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rashisolanki/Downloads/"/>
    </mc:Choice>
  </mc:AlternateContent>
  <xr:revisionPtr revIDLastSave="0" documentId="13_ncr:1_{ADF311DF-2648-0448-965B-B599CE60CAF4}"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472" i="1" l="1"/>
  <c r="A8471" i="1"/>
  <c r="A8470" i="1"/>
  <c r="A8469" i="1"/>
  <c r="A8468" i="1"/>
  <c r="A8467" i="1"/>
  <c r="A8466" i="1"/>
  <c r="A8465" i="1"/>
  <c r="A8464" i="1"/>
  <c r="A8463" i="1"/>
  <c r="A8462" i="1"/>
  <c r="A8461" i="1"/>
  <c r="A8460" i="1"/>
  <c r="A8459" i="1"/>
  <c r="A8458" i="1"/>
  <c r="A8457" i="1"/>
  <c r="A8456" i="1"/>
  <c r="A8455" i="1"/>
  <c r="A8454" i="1"/>
  <c r="A8453" i="1"/>
  <c r="A8452" i="1"/>
  <c r="A8451" i="1"/>
  <c r="A8450" i="1"/>
  <c r="A8449" i="1"/>
  <c r="A8448" i="1"/>
  <c r="A8447" i="1"/>
  <c r="A8446" i="1"/>
  <c r="A8445" i="1"/>
  <c r="A8444" i="1"/>
  <c r="A8443" i="1"/>
  <c r="A8442" i="1"/>
  <c r="A8441" i="1"/>
  <c r="A8440" i="1"/>
  <c r="A8439" i="1"/>
  <c r="A8438" i="1"/>
  <c r="A8437" i="1"/>
  <c r="A8436" i="1"/>
  <c r="A8435" i="1"/>
  <c r="A8434" i="1"/>
  <c r="A8433" i="1"/>
  <c r="A8432" i="1"/>
  <c r="A8431" i="1"/>
  <c r="A8430" i="1"/>
  <c r="A8429" i="1"/>
  <c r="A8428" i="1"/>
  <c r="A8427" i="1"/>
  <c r="A8426" i="1"/>
  <c r="A8425" i="1"/>
  <c r="A8424" i="1"/>
  <c r="A8423" i="1"/>
  <c r="A8422" i="1"/>
  <c r="A8421" i="1"/>
  <c r="A8420" i="1"/>
  <c r="A8419" i="1"/>
  <c r="A8418" i="1"/>
  <c r="A8417" i="1"/>
  <c r="A8416" i="1"/>
  <c r="A8415" i="1"/>
  <c r="A8414" i="1"/>
  <c r="A8413" i="1"/>
  <c r="A8412" i="1"/>
  <c r="A8411" i="1"/>
  <c r="A8410" i="1"/>
  <c r="A8409" i="1"/>
  <c r="A8408" i="1"/>
  <c r="A8407" i="1"/>
  <c r="A8406" i="1"/>
  <c r="A8405" i="1"/>
  <c r="A8404" i="1"/>
  <c r="A8403" i="1"/>
  <c r="A8402" i="1"/>
  <c r="A8401" i="1"/>
  <c r="A8400" i="1"/>
  <c r="A8399" i="1"/>
  <c r="A8398" i="1"/>
  <c r="A8397" i="1"/>
  <c r="A8396" i="1"/>
  <c r="A8395" i="1"/>
  <c r="A8394" i="1"/>
  <c r="A8393" i="1"/>
  <c r="A8392" i="1"/>
  <c r="A8391" i="1"/>
  <c r="A8390" i="1"/>
  <c r="A8389" i="1"/>
  <c r="A8388" i="1"/>
  <c r="A8387" i="1"/>
  <c r="A8386" i="1"/>
  <c r="A8385" i="1"/>
  <c r="A8384" i="1"/>
  <c r="A8383" i="1"/>
  <c r="A8382" i="1"/>
  <c r="A8381" i="1"/>
  <c r="A8380" i="1"/>
  <c r="A8379" i="1"/>
  <c r="A8378" i="1"/>
  <c r="A8377" i="1"/>
  <c r="A8376" i="1"/>
  <c r="A8375" i="1"/>
  <c r="A8374" i="1"/>
  <c r="A8373" i="1"/>
  <c r="A8372" i="1"/>
  <c r="A8371" i="1"/>
  <c r="A8370" i="1"/>
  <c r="A8369" i="1"/>
  <c r="A8368" i="1"/>
  <c r="A8367" i="1"/>
  <c r="A8366" i="1"/>
  <c r="A8365" i="1"/>
  <c r="A8364" i="1"/>
  <c r="A8363" i="1"/>
  <c r="A8362" i="1"/>
  <c r="A8361" i="1"/>
  <c r="A8360" i="1"/>
  <c r="A8359" i="1"/>
  <c r="A8358" i="1"/>
  <c r="A8357" i="1"/>
  <c r="A8356" i="1"/>
  <c r="A8355" i="1"/>
  <c r="A8354" i="1"/>
  <c r="A8353" i="1"/>
  <c r="A8352" i="1"/>
  <c r="A8351" i="1"/>
  <c r="A8350" i="1"/>
  <c r="A8349" i="1"/>
  <c r="A8348" i="1"/>
  <c r="A8347" i="1"/>
  <c r="A8346" i="1"/>
  <c r="A8345" i="1"/>
  <c r="A8344" i="1"/>
  <c r="A8343" i="1"/>
  <c r="A8342" i="1"/>
  <c r="A8341" i="1"/>
  <c r="A8340" i="1"/>
  <c r="A8339" i="1"/>
  <c r="A8338" i="1"/>
  <c r="A8337" i="1"/>
  <c r="A8336" i="1"/>
  <c r="A8335" i="1"/>
  <c r="A8334" i="1"/>
  <c r="A8333" i="1"/>
  <c r="A8332" i="1"/>
  <c r="A8331" i="1"/>
  <c r="A8330" i="1"/>
  <c r="A8329" i="1"/>
  <c r="A8328" i="1"/>
  <c r="A8327" i="1"/>
  <c r="A8326" i="1"/>
  <c r="A8325" i="1"/>
  <c r="A8324" i="1"/>
  <c r="A8323" i="1"/>
  <c r="A8322" i="1"/>
  <c r="A8321" i="1"/>
  <c r="A8320" i="1"/>
  <c r="A8319" i="1"/>
  <c r="A8318" i="1"/>
  <c r="A8317" i="1"/>
  <c r="A8316" i="1"/>
  <c r="A8315" i="1"/>
  <c r="A8314" i="1"/>
  <c r="A8313" i="1"/>
  <c r="A8312" i="1"/>
  <c r="A8311" i="1"/>
  <c r="A8310" i="1"/>
  <c r="A8309" i="1"/>
  <c r="A8308" i="1"/>
  <c r="A8307" i="1"/>
  <c r="A8306" i="1"/>
  <c r="A8305" i="1"/>
  <c r="A8304" i="1"/>
  <c r="A8303" i="1"/>
  <c r="A8302" i="1"/>
  <c r="A8301" i="1"/>
  <c r="A8300" i="1"/>
  <c r="A8299" i="1"/>
  <c r="A8298" i="1"/>
  <c r="A8297" i="1"/>
  <c r="A8296" i="1"/>
  <c r="A8295" i="1"/>
  <c r="A8294" i="1"/>
  <c r="A8293" i="1"/>
  <c r="A8292" i="1"/>
  <c r="A8291" i="1"/>
  <c r="A8290" i="1"/>
  <c r="A8289" i="1"/>
  <c r="A8288" i="1"/>
  <c r="A8287" i="1"/>
  <c r="A8286" i="1"/>
  <c r="A8285" i="1"/>
  <c r="A8284" i="1"/>
  <c r="A8283" i="1"/>
  <c r="A8282" i="1"/>
  <c r="A8281" i="1"/>
  <c r="A8280" i="1"/>
  <c r="A8279" i="1"/>
  <c r="A8278" i="1"/>
  <c r="A8277" i="1"/>
  <c r="A8276" i="1"/>
  <c r="A8275" i="1"/>
  <c r="A8274" i="1"/>
  <c r="A8273" i="1"/>
  <c r="A8272" i="1"/>
  <c r="A8271" i="1"/>
  <c r="A8270" i="1"/>
  <c r="A8269" i="1"/>
  <c r="A8268" i="1"/>
  <c r="A8267" i="1"/>
  <c r="A8266" i="1"/>
  <c r="A8265" i="1"/>
  <c r="A8264" i="1"/>
  <c r="A8263" i="1"/>
  <c r="A8262" i="1"/>
  <c r="A8261" i="1"/>
  <c r="A8260" i="1"/>
  <c r="A8259" i="1"/>
  <c r="A8258" i="1"/>
  <c r="A8257" i="1"/>
  <c r="A8256" i="1"/>
  <c r="A8255" i="1"/>
  <c r="A8254" i="1"/>
  <c r="A8253" i="1"/>
  <c r="A8252" i="1"/>
  <c r="A8251" i="1"/>
  <c r="A8250" i="1"/>
  <c r="A8249" i="1"/>
  <c r="A8248" i="1"/>
  <c r="A8247" i="1"/>
  <c r="A8246" i="1"/>
  <c r="A8245" i="1"/>
  <c r="A8244" i="1"/>
  <c r="A8243" i="1"/>
  <c r="A8242" i="1"/>
  <c r="A8241" i="1"/>
  <c r="A8240" i="1"/>
  <c r="A8239" i="1"/>
  <c r="A8238" i="1"/>
  <c r="A8237" i="1"/>
  <c r="A8236" i="1"/>
  <c r="A8235" i="1"/>
  <c r="A8234" i="1"/>
  <c r="A8233" i="1"/>
  <c r="A8232" i="1"/>
  <c r="A8231" i="1"/>
  <c r="A8230" i="1"/>
  <c r="A8229" i="1"/>
  <c r="A8228" i="1"/>
  <c r="A8227" i="1"/>
  <c r="A8226" i="1"/>
  <c r="A8225" i="1"/>
  <c r="A8224" i="1"/>
  <c r="A8223" i="1"/>
  <c r="A8222" i="1"/>
  <c r="A8221" i="1"/>
  <c r="A8220" i="1"/>
  <c r="A8219" i="1"/>
  <c r="A8218" i="1"/>
  <c r="A8217" i="1"/>
  <c r="A8216" i="1"/>
  <c r="A8215" i="1"/>
  <c r="A8214" i="1"/>
  <c r="A8213" i="1"/>
  <c r="A8212" i="1"/>
  <c r="A8211" i="1"/>
  <c r="A8210" i="1"/>
  <c r="A8209" i="1"/>
  <c r="A8208" i="1"/>
  <c r="A8207" i="1"/>
  <c r="A8206" i="1"/>
  <c r="A8205" i="1"/>
  <c r="A8204" i="1"/>
  <c r="A8203" i="1"/>
  <c r="A8202" i="1"/>
  <c r="A8201" i="1"/>
  <c r="A8200" i="1"/>
  <c r="A8199" i="1"/>
  <c r="A8198" i="1"/>
  <c r="A8197" i="1"/>
  <c r="A8196" i="1"/>
  <c r="A8195" i="1"/>
  <c r="A8194" i="1"/>
  <c r="A8193" i="1"/>
  <c r="A8192" i="1"/>
  <c r="A8191" i="1"/>
  <c r="A8190" i="1"/>
  <c r="A8189" i="1"/>
  <c r="A8188" i="1"/>
  <c r="A8187" i="1"/>
  <c r="A8186" i="1"/>
  <c r="A8185" i="1"/>
  <c r="A8184" i="1"/>
  <c r="A8183" i="1"/>
  <c r="A8182" i="1"/>
  <c r="A8181" i="1"/>
  <c r="A8180" i="1"/>
  <c r="A8179" i="1"/>
  <c r="A8178" i="1"/>
  <c r="A8177" i="1"/>
  <c r="A8176" i="1"/>
  <c r="A8175" i="1"/>
  <c r="A8174" i="1"/>
  <c r="A8173" i="1"/>
  <c r="A8172" i="1"/>
  <c r="A8171" i="1"/>
  <c r="A8170" i="1"/>
  <c r="A8169" i="1"/>
  <c r="A8168" i="1"/>
  <c r="A8167" i="1"/>
  <c r="A8166" i="1"/>
  <c r="A8165" i="1"/>
  <c r="A8164" i="1"/>
  <c r="A8163" i="1"/>
  <c r="A8162" i="1"/>
  <c r="A8161" i="1"/>
  <c r="A8160" i="1"/>
  <c r="A8159" i="1"/>
  <c r="A8158" i="1"/>
  <c r="A8157" i="1"/>
  <c r="A8156" i="1"/>
  <c r="A8155" i="1"/>
  <c r="A8154" i="1"/>
  <c r="A8153" i="1"/>
  <c r="A8152" i="1"/>
  <c r="A8151" i="1"/>
  <c r="A8150" i="1"/>
  <c r="A8149" i="1"/>
  <c r="A8148" i="1"/>
  <c r="A8147" i="1"/>
  <c r="A8146" i="1"/>
  <c r="A8145" i="1"/>
  <c r="A8144" i="1"/>
  <c r="A8143" i="1"/>
  <c r="A8142" i="1"/>
  <c r="A8141" i="1"/>
  <c r="A8140" i="1"/>
  <c r="A8139" i="1"/>
  <c r="A8138" i="1"/>
  <c r="A8137" i="1"/>
  <c r="A8136" i="1"/>
  <c r="A8135" i="1"/>
  <c r="A8134" i="1"/>
  <c r="A8133" i="1"/>
  <c r="A8132" i="1"/>
  <c r="A8131" i="1"/>
  <c r="A8130" i="1"/>
  <c r="A8129" i="1"/>
  <c r="A8128" i="1"/>
  <c r="A8127" i="1"/>
  <c r="A8126" i="1"/>
  <c r="A8125" i="1"/>
  <c r="A8124" i="1"/>
  <c r="A8123" i="1"/>
  <c r="A8122" i="1"/>
  <c r="A8121" i="1"/>
  <c r="A8120" i="1"/>
  <c r="A8119" i="1"/>
  <c r="A8118" i="1"/>
  <c r="A8117" i="1"/>
  <c r="A8116" i="1"/>
  <c r="A8115" i="1"/>
  <c r="A8114" i="1"/>
  <c r="A8113" i="1"/>
  <c r="A8112" i="1"/>
  <c r="A8111" i="1"/>
  <c r="A8110" i="1"/>
  <c r="A8109" i="1"/>
  <c r="A8108" i="1"/>
  <c r="A8107" i="1"/>
  <c r="A8106" i="1"/>
  <c r="A8105" i="1"/>
  <c r="A8104" i="1"/>
  <c r="A8103" i="1"/>
  <c r="A8102" i="1"/>
  <c r="A8101" i="1"/>
  <c r="A8100" i="1"/>
  <c r="A8099" i="1"/>
  <c r="A8098" i="1"/>
  <c r="A8097" i="1"/>
  <c r="A8096" i="1"/>
  <c r="A8095" i="1"/>
  <c r="A8094" i="1"/>
  <c r="A8093" i="1"/>
  <c r="A8092" i="1"/>
  <c r="A8091" i="1"/>
  <c r="A8090" i="1"/>
  <c r="A8089" i="1"/>
  <c r="A8088" i="1"/>
  <c r="A8087" i="1"/>
  <c r="A8086" i="1"/>
  <c r="A8085" i="1"/>
  <c r="A8084" i="1"/>
  <c r="A8083" i="1"/>
  <c r="A8082" i="1"/>
  <c r="A8081" i="1"/>
  <c r="A8080" i="1"/>
  <c r="A8079" i="1"/>
  <c r="A8078" i="1"/>
  <c r="A8077" i="1"/>
  <c r="A8076" i="1"/>
  <c r="A8075" i="1"/>
  <c r="A8074" i="1"/>
  <c r="A8073" i="1"/>
  <c r="A8072" i="1"/>
  <c r="A8071" i="1"/>
  <c r="A8070" i="1"/>
  <c r="A8069" i="1"/>
  <c r="A8068" i="1"/>
  <c r="A8067" i="1"/>
  <c r="A8066" i="1"/>
  <c r="A8065" i="1"/>
  <c r="A8064" i="1"/>
  <c r="A8063" i="1"/>
  <c r="A8062" i="1"/>
  <c r="A8061" i="1"/>
  <c r="A8060" i="1"/>
  <c r="A8059" i="1"/>
  <c r="A8058" i="1"/>
  <c r="A8057" i="1"/>
  <c r="A8056" i="1"/>
  <c r="A8055" i="1"/>
  <c r="A8054" i="1"/>
  <c r="A8053" i="1"/>
  <c r="A8052" i="1"/>
  <c r="A8051" i="1"/>
  <c r="A8050" i="1"/>
  <c r="A8049" i="1"/>
  <c r="A8048" i="1"/>
  <c r="A8047" i="1"/>
  <c r="A8046" i="1"/>
  <c r="A8045" i="1"/>
  <c r="A8044" i="1"/>
  <c r="A8043" i="1"/>
  <c r="A8042" i="1"/>
  <c r="A8041" i="1"/>
  <c r="A8040" i="1"/>
  <c r="A8039" i="1"/>
  <c r="A8038" i="1"/>
  <c r="A8037" i="1"/>
  <c r="A8036" i="1"/>
  <c r="A8035" i="1"/>
  <c r="A8034" i="1"/>
  <c r="A8033" i="1"/>
  <c r="A8032" i="1"/>
  <c r="A8031" i="1"/>
  <c r="A8030" i="1"/>
  <c r="A8029" i="1"/>
  <c r="A8028" i="1"/>
  <c r="A8027" i="1"/>
  <c r="A8026" i="1"/>
  <c r="A8025" i="1"/>
  <c r="A8024" i="1"/>
  <c r="A8023" i="1"/>
  <c r="A8022" i="1"/>
  <c r="A8021" i="1"/>
  <c r="A8020" i="1"/>
  <c r="A8019" i="1"/>
  <c r="A8018" i="1"/>
  <c r="A8017" i="1"/>
  <c r="A8016" i="1"/>
  <c r="A8015" i="1"/>
  <c r="A8014" i="1"/>
  <c r="A8013" i="1"/>
  <c r="A8012" i="1"/>
  <c r="A8011" i="1"/>
  <c r="A8010" i="1"/>
  <c r="A8009" i="1"/>
  <c r="A8008" i="1"/>
  <c r="A8007" i="1"/>
  <c r="A8006" i="1"/>
  <c r="A8005" i="1"/>
  <c r="A8004" i="1"/>
  <c r="A8003" i="1"/>
  <c r="A8002" i="1"/>
  <c r="A8001" i="1"/>
  <c r="A8000" i="1"/>
  <c r="A7999" i="1"/>
  <c r="A7998" i="1"/>
  <c r="A7997" i="1"/>
  <c r="A7996" i="1"/>
  <c r="A7995" i="1"/>
  <c r="A7994" i="1"/>
  <c r="A7993" i="1"/>
  <c r="A7992" i="1"/>
  <c r="A7991" i="1"/>
  <c r="A7990" i="1"/>
  <c r="A7989" i="1"/>
  <c r="A7988" i="1"/>
  <c r="A7987" i="1"/>
  <c r="A7986" i="1"/>
  <c r="A7985" i="1"/>
  <c r="A7984" i="1"/>
  <c r="A7983" i="1"/>
  <c r="A7982" i="1"/>
  <c r="A7981" i="1"/>
  <c r="A7980" i="1"/>
  <c r="A7979" i="1"/>
  <c r="A7978" i="1"/>
  <c r="A7977" i="1"/>
  <c r="A7976" i="1"/>
  <c r="A7975" i="1"/>
  <c r="A7974" i="1"/>
  <c r="A7973" i="1"/>
  <c r="A7972" i="1"/>
  <c r="A7971" i="1"/>
  <c r="A7970" i="1"/>
  <c r="A7969" i="1"/>
  <c r="A7968" i="1"/>
  <c r="A7967" i="1"/>
  <c r="A7966" i="1"/>
  <c r="A7965" i="1"/>
  <c r="A7964" i="1"/>
  <c r="A7963" i="1"/>
  <c r="A7962" i="1"/>
  <c r="A7961" i="1"/>
  <c r="A7960" i="1"/>
  <c r="A7959" i="1"/>
  <c r="A7958" i="1"/>
  <c r="A7957" i="1"/>
  <c r="A7956" i="1"/>
  <c r="A7955" i="1"/>
  <c r="A7954" i="1"/>
  <c r="A7953" i="1"/>
  <c r="A7952" i="1"/>
  <c r="A7951" i="1"/>
  <c r="A7950" i="1"/>
  <c r="A7949" i="1"/>
  <c r="A7948" i="1"/>
  <c r="A7947" i="1"/>
  <c r="A7946" i="1"/>
  <c r="A7945" i="1"/>
  <c r="A7944" i="1"/>
  <c r="A7943" i="1"/>
  <c r="A7942" i="1"/>
  <c r="A7941" i="1"/>
  <c r="A7940" i="1"/>
  <c r="A7939" i="1"/>
  <c r="A7938" i="1"/>
  <c r="A7937" i="1"/>
  <c r="A7936" i="1"/>
  <c r="A7935" i="1"/>
  <c r="A7934" i="1"/>
  <c r="A7933" i="1"/>
  <c r="A7932" i="1"/>
  <c r="A7931" i="1"/>
  <c r="A7930" i="1"/>
  <c r="A7929" i="1"/>
  <c r="A7928" i="1"/>
  <c r="A7927" i="1"/>
  <c r="A7926" i="1"/>
  <c r="A7925" i="1"/>
  <c r="A7924" i="1"/>
  <c r="A7923" i="1"/>
  <c r="A7922" i="1"/>
  <c r="A7921" i="1"/>
  <c r="A7920" i="1"/>
  <c r="A7919" i="1"/>
  <c r="A7918" i="1"/>
  <c r="A7917" i="1"/>
  <c r="A7916" i="1"/>
  <c r="A7915" i="1"/>
  <c r="A7914" i="1"/>
  <c r="A7913" i="1"/>
  <c r="A7912" i="1"/>
  <c r="A7911" i="1"/>
  <c r="A7910" i="1"/>
  <c r="A7909" i="1"/>
  <c r="A7908" i="1"/>
  <c r="A7907" i="1"/>
  <c r="A7906" i="1"/>
  <c r="A7905" i="1"/>
  <c r="A7904" i="1"/>
  <c r="A7903" i="1"/>
  <c r="A7902" i="1"/>
  <c r="A7901" i="1"/>
  <c r="A7900" i="1"/>
  <c r="A7899" i="1"/>
  <c r="A7898" i="1"/>
  <c r="A7897" i="1"/>
  <c r="A7896" i="1"/>
  <c r="A7895" i="1"/>
  <c r="A7894" i="1"/>
  <c r="A7893" i="1"/>
  <c r="A7892" i="1"/>
  <c r="A7891" i="1"/>
  <c r="A7890" i="1"/>
  <c r="A7889" i="1"/>
  <c r="A7888" i="1"/>
  <c r="A7887" i="1"/>
  <c r="A7886" i="1"/>
  <c r="A7885" i="1"/>
  <c r="A7884" i="1"/>
  <c r="A7883" i="1"/>
  <c r="A7882" i="1"/>
  <c r="A7881" i="1"/>
  <c r="A7880" i="1"/>
  <c r="A7879" i="1"/>
  <c r="A7878" i="1"/>
  <c r="A7877" i="1"/>
  <c r="A7876" i="1"/>
  <c r="A7875" i="1"/>
  <c r="A7874" i="1"/>
  <c r="A7873" i="1"/>
  <c r="A7872" i="1"/>
  <c r="A7871" i="1"/>
  <c r="A7870" i="1"/>
  <c r="A7869" i="1"/>
  <c r="A7868" i="1"/>
  <c r="A7867" i="1"/>
  <c r="A7866" i="1"/>
  <c r="A7865" i="1"/>
  <c r="A7864" i="1"/>
  <c r="A7863" i="1"/>
  <c r="A7862" i="1"/>
  <c r="A7861" i="1"/>
  <c r="A7860" i="1"/>
  <c r="A7859" i="1"/>
  <c r="A7858" i="1"/>
  <c r="A7857" i="1"/>
  <c r="A7856" i="1"/>
  <c r="A7855" i="1"/>
  <c r="A7854" i="1"/>
  <c r="A7853" i="1"/>
  <c r="A7852" i="1"/>
  <c r="A7851" i="1"/>
  <c r="A7850" i="1"/>
  <c r="A7849" i="1"/>
  <c r="A7848" i="1"/>
  <c r="A7847" i="1"/>
  <c r="A7846" i="1"/>
  <c r="A7845" i="1"/>
  <c r="A7844" i="1"/>
  <c r="A7843" i="1"/>
  <c r="A7842" i="1"/>
  <c r="A7841" i="1"/>
  <c r="A7840" i="1"/>
  <c r="A7839" i="1"/>
  <c r="A7838" i="1"/>
  <c r="A7837" i="1"/>
  <c r="A7836" i="1"/>
  <c r="A7835" i="1"/>
  <c r="A7834" i="1"/>
  <c r="A7833" i="1"/>
  <c r="A7832" i="1"/>
  <c r="A7831" i="1"/>
  <c r="A7830" i="1"/>
  <c r="A7829" i="1"/>
  <c r="A7828" i="1"/>
  <c r="A7827" i="1"/>
  <c r="A7826" i="1"/>
  <c r="A7825" i="1"/>
  <c r="A7824" i="1"/>
  <c r="A7823" i="1"/>
  <c r="A7822" i="1"/>
  <c r="A7821" i="1"/>
  <c r="A7820" i="1"/>
  <c r="A7819" i="1"/>
  <c r="A7818" i="1"/>
  <c r="A7817" i="1"/>
  <c r="A7816" i="1"/>
  <c r="A7815" i="1"/>
  <c r="A7814" i="1"/>
  <c r="A7813" i="1"/>
  <c r="A7812" i="1"/>
  <c r="A7811" i="1"/>
  <c r="A7810" i="1"/>
  <c r="A7809" i="1"/>
  <c r="A7808" i="1"/>
  <c r="A7807" i="1"/>
  <c r="A7806" i="1"/>
  <c r="A7805" i="1"/>
  <c r="A7804" i="1"/>
  <c r="A7803" i="1"/>
  <c r="A7802" i="1"/>
  <c r="A7801" i="1"/>
  <c r="A7800" i="1"/>
  <c r="A7799" i="1"/>
  <c r="A7798" i="1"/>
  <c r="A7797" i="1"/>
  <c r="A7796" i="1"/>
  <c r="A7795" i="1"/>
  <c r="A7794" i="1"/>
  <c r="A7793" i="1"/>
  <c r="A7792" i="1"/>
  <c r="A7791" i="1"/>
  <c r="A7790" i="1"/>
  <c r="A7789" i="1"/>
  <c r="A7788" i="1"/>
  <c r="A7787" i="1"/>
  <c r="A7786" i="1"/>
  <c r="A7785" i="1"/>
  <c r="A7784" i="1"/>
  <c r="A7783" i="1"/>
  <c r="A7782" i="1"/>
  <c r="A7781" i="1"/>
  <c r="A7780" i="1"/>
  <c r="A7779" i="1"/>
  <c r="A7778" i="1"/>
  <c r="A7777" i="1"/>
  <c r="A7776" i="1"/>
  <c r="A7775" i="1"/>
  <c r="A7774" i="1"/>
  <c r="A7773" i="1"/>
  <c r="A7772" i="1"/>
  <c r="A7771" i="1"/>
  <c r="A7770" i="1"/>
  <c r="A7769" i="1"/>
  <c r="A7768" i="1"/>
  <c r="A7767" i="1"/>
  <c r="A7766" i="1"/>
  <c r="A7765" i="1"/>
  <c r="A7764" i="1"/>
  <c r="A7763" i="1"/>
  <c r="A7762" i="1"/>
  <c r="A7761" i="1"/>
  <c r="A7760" i="1"/>
  <c r="A7759" i="1"/>
  <c r="A7758" i="1"/>
  <c r="A7757" i="1"/>
  <c r="A7756" i="1"/>
  <c r="A7755" i="1"/>
  <c r="A7754" i="1"/>
  <c r="A7753" i="1"/>
  <c r="A7752" i="1"/>
  <c r="A7751" i="1"/>
  <c r="A7750" i="1"/>
  <c r="A7749" i="1"/>
  <c r="A7748" i="1"/>
  <c r="A7747" i="1"/>
  <c r="A7746" i="1"/>
  <c r="A7745" i="1"/>
  <c r="A7744" i="1"/>
  <c r="A7743" i="1"/>
  <c r="A7742" i="1"/>
  <c r="A7741" i="1"/>
  <c r="A7740" i="1"/>
  <c r="A7739" i="1"/>
  <c r="A7738" i="1"/>
  <c r="A7737" i="1"/>
  <c r="A7736" i="1"/>
  <c r="A7735" i="1"/>
  <c r="A7734" i="1"/>
  <c r="A7733" i="1"/>
  <c r="A7732" i="1"/>
  <c r="A7731" i="1"/>
  <c r="A7730" i="1"/>
  <c r="A7729" i="1"/>
  <c r="A7728" i="1"/>
  <c r="A7727" i="1"/>
  <c r="A7726" i="1"/>
  <c r="A7725" i="1"/>
  <c r="A7724" i="1"/>
  <c r="A7723" i="1"/>
  <c r="A7722" i="1"/>
  <c r="A7721" i="1"/>
  <c r="A7720" i="1"/>
  <c r="A7719" i="1"/>
  <c r="A7718" i="1"/>
  <c r="A7717" i="1"/>
  <c r="A7716" i="1"/>
  <c r="A7715" i="1"/>
  <c r="A7714" i="1"/>
  <c r="A7713" i="1"/>
  <c r="A7712" i="1"/>
  <c r="A7711" i="1"/>
  <c r="A7710" i="1"/>
  <c r="A7709" i="1"/>
  <c r="A7708" i="1"/>
  <c r="A7707" i="1"/>
  <c r="A7706" i="1"/>
  <c r="A7705" i="1"/>
  <c r="A7704" i="1"/>
  <c r="A7703" i="1"/>
  <c r="A7702" i="1"/>
  <c r="A7701" i="1"/>
  <c r="A7700" i="1"/>
  <c r="A7699" i="1"/>
  <c r="A7698" i="1"/>
  <c r="A7697" i="1"/>
  <c r="A7696" i="1"/>
  <c r="A7695" i="1"/>
  <c r="A7694" i="1"/>
  <c r="A7693" i="1"/>
  <c r="A7692" i="1"/>
  <c r="A7691" i="1"/>
  <c r="A7690" i="1"/>
  <c r="A7689" i="1"/>
  <c r="A7688" i="1"/>
  <c r="A7687" i="1"/>
  <c r="A7686" i="1"/>
  <c r="A7685" i="1"/>
  <c r="A7684" i="1"/>
  <c r="A7683" i="1"/>
  <c r="A7682" i="1"/>
  <c r="A7681" i="1"/>
  <c r="A7680" i="1"/>
  <c r="A7679" i="1"/>
  <c r="A7678" i="1"/>
  <c r="A7677" i="1"/>
  <c r="A7676" i="1"/>
  <c r="A7675" i="1"/>
  <c r="A7674" i="1"/>
  <c r="A7673" i="1"/>
  <c r="A7672" i="1"/>
  <c r="A7671" i="1"/>
  <c r="A7670" i="1"/>
  <c r="A7669" i="1"/>
  <c r="A7668" i="1"/>
  <c r="A7667" i="1"/>
  <c r="A7666" i="1"/>
  <c r="A7665" i="1"/>
  <c r="A7664" i="1"/>
  <c r="A7663" i="1"/>
  <c r="A7662" i="1"/>
  <c r="A7661" i="1"/>
  <c r="A7660" i="1"/>
  <c r="A7659" i="1"/>
  <c r="A7658" i="1"/>
  <c r="A7657" i="1"/>
  <c r="A7656" i="1"/>
  <c r="A7655" i="1"/>
  <c r="A7654" i="1"/>
  <c r="A7653" i="1"/>
  <c r="A7652" i="1"/>
  <c r="A7651" i="1"/>
  <c r="A7650" i="1"/>
  <c r="A7649" i="1"/>
  <c r="A7648" i="1"/>
  <c r="A7647" i="1"/>
  <c r="A7646" i="1"/>
  <c r="A7645" i="1"/>
  <c r="A7644" i="1"/>
  <c r="A7643" i="1"/>
  <c r="A7642" i="1"/>
  <c r="A7641" i="1"/>
  <c r="A7640" i="1"/>
  <c r="A7639" i="1"/>
  <c r="A7638" i="1"/>
  <c r="A7637" i="1"/>
  <c r="A7636" i="1"/>
  <c r="A7635" i="1"/>
  <c r="A7634" i="1"/>
  <c r="A7633" i="1"/>
  <c r="A7632" i="1"/>
  <c r="A7631" i="1"/>
  <c r="A7630" i="1"/>
  <c r="A7629" i="1"/>
  <c r="A7628" i="1"/>
  <c r="A7627" i="1"/>
  <c r="A7626" i="1"/>
  <c r="A7625" i="1"/>
  <c r="A7624" i="1"/>
  <c r="A7623" i="1"/>
  <c r="A7622" i="1"/>
  <c r="A7621" i="1"/>
  <c r="A7620" i="1"/>
  <c r="A7619" i="1"/>
  <c r="A7618" i="1"/>
  <c r="A7617" i="1"/>
  <c r="A7616" i="1"/>
  <c r="A7615" i="1"/>
  <c r="A7614" i="1"/>
  <c r="A7613" i="1"/>
  <c r="A7612" i="1"/>
  <c r="A7611" i="1"/>
  <c r="A7610" i="1"/>
  <c r="A7609" i="1"/>
  <c r="A7608" i="1"/>
  <c r="A7607" i="1"/>
  <c r="A7606" i="1"/>
  <c r="A7605" i="1"/>
  <c r="A7604" i="1"/>
  <c r="A7603" i="1"/>
  <c r="A7602" i="1"/>
  <c r="A7601" i="1"/>
  <c r="A7600" i="1"/>
  <c r="A7599" i="1"/>
  <c r="A7598" i="1"/>
  <c r="A7597" i="1"/>
  <c r="A7596" i="1"/>
  <c r="A7595" i="1"/>
  <c r="A7594" i="1"/>
  <c r="A7593" i="1"/>
  <c r="A7592" i="1"/>
  <c r="A7591" i="1"/>
  <c r="A7590" i="1"/>
  <c r="A7589" i="1"/>
  <c r="A7588" i="1"/>
  <c r="A7587" i="1"/>
  <c r="A7586" i="1"/>
  <c r="A7585" i="1"/>
  <c r="A7584" i="1"/>
  <c r="A7583" i="1"/>
  <c r="A7582" i="1"/>
  <c r="A7581" i="1"/>
  <c r="A7580" i="1"/>
  <c r="A7579" i="1"/>
  <c r="A7578" i="1"/>
  <c r="A7577" i="1"/>
  <c r="A7576" i="1"/>
  <c r="A7575" i="1"/>
  <c r="A7574" i="1"/>
  <c r="A7573" i="1"/>
  <c r="A7572" i="1"/>
  <c r="A7571" i="1"/>
  <c r="A7570" i="1"/>
  <c r="A7569" i="1"/>
  <c r="A7568" i="1"/>
  <c r="A7567" i="1"/>
  <c r="A7566" i="1"/>
  <c r="A7565" i="1"/>
  <c r="A7564" i="1"/>
  <c r="A7563" i="1"/>
  <c r="A7562" i="1"/>
  <c r="A7561" i="1"/>
  <c r="A7560" i="1"/>
  <c r="A7559" i="1"/>
  <c r="A7558" i="1"/>
  <c r="A7557" i="1"/>
  <c r="A7556" i="1"/>
  <c r="A7555" i="1"/>
  <c r="A7554" i="1"/>
  <c r="A7553" i="1"/>
  <c r="A7552" i="1"/>
  <c r="A7551" i="1"/>
  <c r="A7550" i="1"/>
  <c r="A7549" i="1"/>
  <c r="A7548" i="1"/>
  <c r="A7547" i="1"/>
  <c r="A7546" i="1"/>
  <c r="A7545" i="1"/>
  <c r="A7544" i="1"/>
  <c r="A7543" i="1"/>
  <c r="A7542" i="1"/>
  <c r="A7541" i="1"/>
  <c r="A7540" i="1"/>
  <c r="A7539" i="1"/>
  <c r="A7538" i="1"/>
  <c r="A7537" i="1"/>
  <c r="A7536" i="1"/>
  <c r="A7535" i="1"/>
  <c r="A7534" i="1"/>
  <c r="A7533" i="1"/>
  <c r="A7532" i="1"/>
  <c r="A7531" i="1"/>
  <c r="A7530" i="1"/>
  <c r="A7529" i="1"/>
  <c r="A7528" i="1"/>
  <c r="A7527" i="1"/>
  <c r="A7526" i="1"/>
  <c r="A7525" i="1"/>
  <c r="A7524" i="1"/>
  <c r="A7523" i="1"/>
  <c r="A7522" i="1"/>
  <c r="A7521" i="1"/>
  <c r="A7520" i="1"/>
  <c r="A7519" i="1"/>
  <c r="A7518" i="1"/>
  <c r="A7517" i="1"/>
  <c r="A7516" i="1"/>
  <c r="A7515" i="1"/>
  <c r="A7514" i="1"/>
  <c r="A7513" i="1"/>
  <c r="A7512" i="1"/>
  <c r="A7511" i="1"/>
  <c r="A7510" i="1"/>
  <c r="A7509" i="1"/>
  <c r="A7508" i="1"/>
  <c r="A7507" i="1"/>
  <c r="A7506" i="1"/>
  <c r="A7505" i="1"/>
  <c r="A7504" i="1"/>
  <c r="A7503" i="1"/>
  <c r="A7502" i="1"/>
  <c r="A7501" i="1"/>
  <c r="A7500" i="1"/>
  <c r="A7499" i="1"/>
  <c r="A7498" i="1"/>
  <c r="A7497" i="1"/>
  <c r="A7496" i="1"/>
  <c r="A7495" i="1"/>
  <c r="A7494" i="1"/>
  <c r="A7493" i="1"/>
  <c r="A7492" i="1"/>
  <c r="A7491" i="1"/>
  <c r="A7490" i="1"/>
  <c r="A7489" i="1"/>
  <c r="A7488" i="1"/>
  <c r="A7487" i="1"/>
  <c r="A7486" i="1"/>
  <c r="A7485" i="1"/>
  <c r="A7484" i="1"/>
  <c r="A7483" i="1"/>
  <c r="A7482" i="1"/>
  <c r="A7481" i="1"/>
  <c r="A7480" i="1"/>
  <c r="A7479" i="1"/>
  <c r="A7478" i="1"/>
  <c r="A7477" i="1"/>
  <c r="A7476" i="1"/>
  <c r="A7475" i="1"/>
  <c r="A7474" i="1"/>
  <c r="A7473" i="1"/>
  <c r="A7472" i="1"/>
  <c r="A7471" i="1"/>
  <c r="A7470" i="1"/>
  <c r="A7469" i="1"/>
  <c r="A7468" i="1"/>
  <c r="A7467" i="1"/>
  <c r="A7466" i="1"/>
  <c r="A7465" i="1"/>
  <c r="A7464" i="1"/>
  <c r="A7463" i="1"/>
  <c r="A7462" i="1"/>
  <c r="A7461" i="1"/>
  <c r="A7460" i="1"/>
  <c r="A7459" i="1"/>
  <c r="A7458" i="1"/>
  <c r="A7457" i="1"/>
  <c r="A7456" i="1"/>
  <c r="A7455" i="1"/>
  <c r="A7454" i="1"/>
  <c r="A7453" i="1"/>
  <c r="A7452" i="1"/>
  <c r="A7451" i="1"/>
  <c r="A7450" i="1"/>
  <c r="A7449" i="1"/>
  <c r="A7448" i="1"/>
  <c r="A7447" i="1"/>
  <c r="A7446" i="1"/>
  <c r="A7445" i="1"/>
  <c r="A7444" i="1"/>
  <c r="A7443" i="1"/>
  <c r="A7442" i="1"/>
  <c r="A7441" i="1"/>
  <c r="A7440" i="1"/>
  <c r="A7439" i="1"/>
  <c r="A7438" i="1"/>
  <c r="A7437" i="1"/>
  <c r="A7436" i="1"/>
  <c r="A7435" i="1"/>
  <c r="A7434" i="1"/>
  <c r="A7433" i="1"/>
  <c r="A7432" i="1"/>
  <c r="A7431" i="1"/>
  <c r="A7430" i="1"/>
  <c r="A7429" i="1"/>
  <c r="A7428" i="1"/>
  <c r="A7427" i="1"/>
  <c r="A7426" i="1"/>
  <c r="A7425" i="1"/>
  <c r="A7424" i="1"/>
  <c r="A7423" i="1"/>
  <c r="A7422" i="1"/>
  <c r="A7421" i="1"/>
  <c r="A7420" i="1"/>
  <c r="A7419" i="1"/>
  <c r="A7418" i="1"/>
  <c r="A7417" i="1"/>
  <c r="A7416" i="1"/>
  <c r="A7415" i="1"/>
  <c r="A7414" i="1"/>
  <c r="A7413" i="1"/>
  <c r="A7412" i="1"/>
  <c r="A7411" i="1"/>
  <c r="A7410" i="1"/>
  <c r="A7409" i="1"/>
  <c r="A7408" i="1"/>
  <c r="A7407" i="1"/>
  <c r="A7406" i="1"/>
  <c r="A7405" i="1"/>
  <c r="A7404" i="1"/>
  <c r="A7403" i="1"/>
  <c r="A7402" i="1"/>
  <c r="A7401" i="1"/>
  <c r="A7400" i="1"/>
  <c r="A7399" i="1"/>
  <c r="A7398" i="1"/>
  <c r="A7397" i="1"/>
  <c r="A7396" i="1"/>
  <c r="A7395" i="1"/>
  <c r="A7394" i="1"/>
  <c r="A7393" i="1"/>
  <c r="A7392" i="1"/>
  <c r="A7391" i="1"/>
  <c r="A7390" i="1"/>
  <c r="A7389" i="1"/>
  <c r="A7388" i="1"/>
  <c r="A7387" i="1"/>
  <c r="A7386" i="1"/>
  <c r="A7385" i="1"/>
  <c r="A7384" i="1"/>
  <c r="A7383" i="1"/>
  <c r="A7382" i="1"/>
  <c r="A7381" i="1"/>
  <c r="A7380" i="1"/>
  <c r="A7379" i="1"/>
  <c r="A7378" i="1"/>
  <c r="A7377" i="1"/>
  <c r="A7376" i="1"/>
  <c r="A7375" i="1"/>
  <c r="A7374" i="1"/>
  <c r="A7373" i="1"/>
  <c r="A7372" i="1"/>
  <c r="A7371" i="1"/>
  <c r="A7370" i="1"/>
  <c r="A7369" i="1"/>
  <c r="A7368" i="1"/>
  <c r="A7367" i="1"/>
  <c r="A7366" i="1"/>
  <c r="A7365" i="1"/>
  <c r="A7364" i="1"/>
  <c r="A7363" i="1"/>
  <c r="A7362" i="1"/>
  <c r="A7361" i="1"/>
  <c r="A7360" i="1"/>
  <c r="A7359" i="1"/>
  <c r="A7358" i="1"/>
  <c r="A7357" i="1"/>
  <c r="A7356" i="1"/>
  <c r="A7355" i="1"/>
  <c r="A7354" i="1"/>
  <c r="A7353" i="1"/>
  <c r="A7352" i="1"/>
  <c r="A7351" i="1"/>
  <c r="A7350" i="1"/>
  <c r="A7349" i="1"/>
  <c r="A7348" i="1"/>
  <c r="A7347" i="1"/>
  <c r="A7346" i="1"/>
  <c r="A7345" i="1"/>
  <c r="A7344" i="1"/>
  <c r="A7343" i="1"/>
  <c r="A7342" i="1"/>
  <c r="A7341" i="1"/>
  <c r="A7340" i="1"/>
  <c r="A7339" i="1"/>
  <c r="A7338" i="1"/>
  <c r="A7337" i="1"/>
  <c r="A7336" i="1"/>
  <c r="A7335" i="1"/>
  <c r="A7334" i="1"/>
  <c r="A7333" i="1"/>
  <c r="A7332" i="1"/>
  <c r="A7331" i="1"/>
  <c r="A7330" i="1"/>
  <c r="A7329" i="1"/>
  <c r="A7328" i="1"/>
  <c r="A7327" i="1"/>
  <c r="A7326" i="1"/>
  <c r="A7325" i="1"/>
  <c r="A7324" i="1"/>
  <c r="A7323" i="1"/>
  <c r="A7322" i="1"/>
  <c r="A7321" i="1"/>
  <c r="A7320" i="1"/>
  <c r="A7319" i="1"/>
  <c r="A7318" i="1"/>
  <c r="A7317" i="1"/>
  <c r="A7316" i="1"/>
  <c r="A7315" i="1"/>
  <c r="A7314" i="1"/>
  <c r="A7313" i="1"/>
  <c r="A7312" i="1"/>
  <c r="A7311" i="1"/>
  <c r="A7310" i="1"/>
  <c r="A7309" i="1"/>
  <c r="A7308" i="1"/>
  <c r="A7307" i="1"/>
  <c r="A7306" i="1"/>
  <c r="A7305" i="1"/>
  <c r="A7304" i="1"/>
  <c r="A7303" i="1"/>
  <c r="A7302" i="1"/>
  <c r="A7301" i="1"/>
  <c r="A7300" i="1"/>
  <c r="A7299" i="1"/>
  <c r="A7298" i="1"/>
  <c r="A7297" i="1"/>
  <c r="A7296" i="1"/>
  <c r="A7295" i="1"/>
  <c r="A7294" i="1"/>
  <c r="A7293" i="1"/>
  <c r="A7292" i="1"/>
  <c r="A7291" i="1"/>
  <c r="A7290" i="1"/>
  <c r="A7289" i="1"/>
  <c r="A7288" i="1"/>
  <c r="A7287" i="1"/>
  <c r="A7286" i="1"/>
  <c r="A7285" i="1"/>
  <c r="A7284" i="1"/>
  <c r="A7283" i="1"/>
  <c r="A7282" i="1"/>
  <c r="A7281" i="1"/>
  <c r="A7280" i="1"/>
  <c r="A7279" i="1"/>
  <c r="A7278" i="1"/>
  <c r="A7277" i="1"/>
  <c r="A7276" i="1"/>
  <c r="A7275" i="1"/>
  <c r="A7274" i="1"/>
  <c r="A7273" i="1"/>
  <c r="A7272" i="1"/>
  <c r="A7271" i="1"/>
  <c r="A7270" i="1"/>
  <c r="A7269" i="1"/>
  <c r="A7268" i="1"/>
  <c r="A7267" i="1"/>
  <c r="A7266" i="1"/>
  <c r="A7265" i="1"/>
  <c r="A7264" i="1"/>
  <c r="A7263" i="1"/>
  <c r="A7262" i="1"/>
  <c r="A7261" i="1"/>
  <c r="A7260" i="1"/>
  <c r="A7259" i="1"/>
  <c r="A7258" i="1"/>
  <c r="A7257" i="1"/>
  <c r="A7256" i="1"/>
  <c r="A7255" i="1"/>
  <c r="A7254" i="1"/>
  <c r="A7253" i="1"/>
  <c r="A7252" i="1"/>
  <c r="A7251" i="1"/>
  <c r="A7250" i="1"/>
  <c r="A7249" i="1"/>
  <c r="A7248" i="1"/>
  <c r="A7247" i="1"/>
  <c r="A7246" i="1"/>
  <c r="A7245" i="1"/>
  <c r="A7244" i="1"/>
  <c r="A7243" i="1"/>
  <c r="A7242" i="1"/>
  <c r="A7241" i="1"/>
  <c r="A7240" i="1"/>
  <c r="A7239" i="1"/>
  <c r="A7238" i="1"/>
  <c r="A7237" i="1"/>
  <c r="A7236" i="1"/>
  <c r="A7235" i="1"/>
  <c r="A7234" i="1"/>
  <c r="A7233" i="1"/>
  <c r="A7232" i="1"/>
  <c r="A7231" i="1"/>
  <c r="A7230" i="1"/>
  <c r="A7229" i="1"/>
  <c r="A7228" i="1"/>
  <c r="A7227" i="1"/>
  <c r="A7226" i="1"/>
  <c r="A7225" i="1"/>
  <c r="A7224" i="1"/>
  <c r="A7223" i="1"/>
  <c r="A7222" i="1"/>
  <c r="A7221" i="1"/>
  <c r="A7220" i="1"/>
  <c r="A7219" i="1"/>
  <c r="A7218" i="1"/>
  <c r="A7217" i="1"/>
  <c r="A7216" i="1"/>
  <c r="A7215" i="1"/>
  <c r="A7214" i="1"/>
  <c r="A7213" i="1"/>
  <c r="A7212" i="1"/>
  <c r="A7211" i="1"/>
  <c r="A7210" i="1"/>
  <c r="A7209" i="1"/>
  <c r="A7208" i="1"/>
  <c r="A7207" i="1"/>
  <c r="A7206" i="1"/>
  <c r="A7205" i="1"/>
  <c r="A7204" i="1"/>
  <c r="A7203" i="1"/>
  <c r="A7202" i="1"/>
  <c r="A7201" i="1"/>
  <c r="A7200" i="1"/>
  <c r="A7199" i="1"/>
  <c r="A7198" i="1"/>
  <c r="A7197" i="1"/>
  <c r="A7196" i="1"/>
  <c r="A7195" i="1"/>
  <c r="A7194" i="1"/>
  <c r="A7193" i="1"/>
  <c r="A7192" i="1"/>
  <c r="A7191" i="1"/>
  <c r="A7190" i="1"/>
  <c r="A7189" i="1"/>
  <c r="A7188" i="1"/>
  <c r="A7187" i="1"/>
  <c r="A7186" i="1"/>
  <c r="A7185" i="1"/>
  <c r="A7184" i="1"/>
  <c r="A7183" i="1"/>
  <c r="A7182" i="1"/>
  <c r="A7181" i="1"/>
  <c r="A7180" i="1"/>
  <c r="A7179" i="1"/>
  <c r="A7178" i="1"/>
  <c r="A7177" i="1"/>
  <c r="A7176" i="1"/>
  <c r="A7175" i="1"/>
  <c r="A7174" i="1"/>
  <c r="A7173" i="1"/>
  <c r="A7172" i="1"/>
  <c r="A7171" i="1"/>
  <c r="A7170" i="1"/>
  <c r="A7169" i="1"/>
  <c r="A7168" i="1"/>
  <c r="A7167" i="1"/>
  <c r="A7166" i="1"/>
  <c r="A7165" i="1"/>
  <c r="A7164" i="1"/>
  <c r="A7163" i="1"/>
  <c r="A7162" i="1"/>
  <c r="A7161" i="1"/>
  <c r="A7160" i="1"/>
  <c r="A7159" i="1"/>
  <c r="A7158" i="1"/>
  <c r="A7157" i="1"/>
  <c r="A7156" i="1"/>
  <c r="A7155" i="1"/>
  <c r="A7154" i="1"/>
  <c r="A7153" i="1"/>
  <c r="A7152" i="1"/>
  <c r="A7151" i="1"/>
  <c r="A7150" i="1"/>
  <c r="A7149" i="1"/>
  <c r="A7148" i="1"/>
  <c r="A7147" i="1"/>
  <c r="A7146" i="1"/>
  <c r="A7145" i="1"/>
  <c r="A7144" i="1"/>
  <c r="A7143" i="1"/>
  <c r="A7142" i="1"/>
  <c r="A7141" i="1"/>
  <c r="A7140" i="1"/>
  <c r="A7139" i="1"/>
  <c r="A7138" i="1"/>
  <c r="A7137" i="1"/>
  <c r="A7136" i="1"/>
  <c r="A7135" i="1"/>
  <c r="A7134" i="1"/>
  <c r="A7133" i="1"/>
  <c r="A7132" i="1"/>
  <c r="A7131" i="1"/>
  <c r="A7130" i="1"/>
  <c r="A7129" i="1"/>
  <c r="A7128" i="1"/>
  <c r="A7127" i="1"/>
  <c r="A7126" i="1"/>
  <c r="A7125" i="1"/>
  <c r="A7124" i="1"/>
  <c r="A7123" i="1"/>
  <c r="A7122" i="1"/>
  <c r="A7121" i="1"/>
  <c r="A7120" i="1"/>
  <c r="A7119" i="1"/>
  <c r="A7118" i="1"/>
  <c r="A7117" i="1"/>
  <c r="A7116" i="1"/>
  <c r="A7115" i="1"/>
  <c r="A7114" i="1"/>
  <c r="A7113" i="1"/>
  <c r="A7112" i="1"/>
  <c r="A7111" i="1"/>
  <c r="A7110" i="1"/>
  <c r="A7109" i="1"/>
  <c r="A7108" i="1"/>
  <c r="A7107" i="1"/>
  <c r="A7106" i="1"/>
  <c r="A7105" i="1"/>
  <c r="A7104" i="1"/>
  <c r="A7103" i="1"/>
  <c r="A7102" i="1"/>
  <c r="A7101" i="1"/>
  <c r="A7100" i="1"/>
  <c r="A7099" i="1"/>
  <c r="A7098" i="1"/>
  <c r="A7097" i="1"/>
  <c r="A7096" i="1"/>
  <c r="A7095" i="1"/>
  <c r="A7094" i="1"/>
  <c r="A7093" i="1"/>
  <c r="A7092" i="1"/>
  <c r="A7091" i="1"/>
  <c r="A7090" i="1"/>
  <c r="A7089" i="1"/>
  <c r="A7088" i="1"/>
  <c r="A7087" i="1"/>
  <c r="A7086" i="1"/>
  <c r="A7085" i="1"/>
  <c r="A7084" i="1"/>
  <c r="A7083" i="1"/>
  <c r="A7082" i="1"/>
  <c r="A7081" i="1"/>
  <c r="A7080" i="1"/>
  <c r="A7079" i="1"/>
  <c r="A7078" i="1"/>
  <c r="A7077" i="1"/>
  <c r="A7076" i="1"/>
  <c r="A7075" i="1"/>
  <c r="A7074" i="1"/>
  <c r="A7073" i="1"/>
  <c r="A7072" i="1"/>
  <c r="A7071" i="1"/>
  <c r="A7070" i="1"/>
  <c r="A7069" i="1"/>
  <c r="A7068" i="1"/>
  <c r="A7067" i="1"/>
  <c r="A7066" i="1"/>
  <c r="A7065" i="1"/>
  <c r="A7064" i="1"/>
  <c r="A7063" i="1"/>
  <c r="A7062" i="1"/>
  <c r="A7061" i="1"/>
  <c r="A7060" i="1"/>
  <c r="A7059" i="1"/>
  <c r="A7058" i="1"/>
  <c r="A7057" i="1"/>
  <c r="A7056" i="1"/>
  <c r="A7055" i="1"/>
  <c r="A7054" i="1"/>
  <c r="A7053" i="1"/>
  <c r="A7052" i="1"/>
  <c r="A7051" i="1"/>
  <c r="A7050" i="1"/>
  <c r="A7049" i="1"/>
  <c r="A7048" i="1"/>
  <c r="A7047" i="1"/>
  <c r="A7046" i="1"/>
  <c r="A7045" i="1"/>
  <c r="A7044" i="1"/>
  <c r="A7043" i="1"/>
  <c r="A7042" i="1"/>
  <c r="A7041" i="1"/>
  <c r="A7040" i="1"/>
  <c r="A7039" i="1"/>
  <c r="A7038" i="1"/>
  <c r="A7037" i="1"/>
  <c r="A7036" i="1"/>
  <c r="A7035" i="1"/>
  <c r="A7034" i="1"/>
  <c r="A7033" i="1"/>
  <c r="A7032" i="1"/>
  <c r="A7031" i="1"/>
  <c r="A7030" i="1"/>
  <c r="A7029" i="1"/>
  <c r="A7028" i="1"/>
  <c r="A7027" i="1"/>
  <c r="A7026" i="1"/>
  <c r="A7025" i="1"/>
  <c r="A7024" i="1"/>
  <c r="A7023" i="1"/>
  <c r="A7022" i="1"/>
  <c r="A7021" i="1"/>
  <c r="A7020" i="1"/>
  <c r="A7019" i="1"/>
  <c r="A7018" i="1"/>
  <c r="A7017" i="1"/>
  <c r="A7016" i="1"/>
  <c r="A7015" i="1"/>
  <c r="A7014" i="1"/>
  <c r="A7013" i="1"/>
  <c r="A7012" i="1"/>
  <c r="A7011" i="1"/>
  <c r="A7010" i="1"/>
  <c r="A7009" i="1"/>
  <c r="A7008" i="1"/>
  <c r="A7007" i="1"/>
  <c r="A7006" i="1"/>
  <c r="A7005" i="1"/>
  <c r="A7004" i="1"/>
  <c r="A7003" i="1"/>
  <c r="A7002" i="1"/>
  <c r="A7001" i="1"/>
  <c r="A7000" i="1"/>
  <c r="A6999" i="1"/>
  <c r="A6998" i="1"/>
  <c r="A6997" i="1"/>
  <c r="A6996" i="1"/>
  <c r="A6995" i="1"/>
  <c r="A6994" i="1"/>
  <c r="A6993" i="1"/>
  <c r="A6992" i="1"/>
  <c r="A6991" i="1"/>
  <c r="A6990" i="1"/>
  <c r="A6989" i="1"/>
  <c r="A6988" i="1"/>
  <c r="A6987" i="1"/>
  <c r="A6986" i="1"/>
  <c r="A6985" i="1"/>
  <c r="A6984" i="1"/>
  <c r="A6983" i="1"/>
  <c r="A6982" i="1"/>
  <c r="A6981" i="1"/>
  <c r="A6980" i="1"/>
  <c r="A6979" i="1"/>
  <c r="A6978" i="1"/>
  <c r="A6977" i="1"/>
  <c r="A6976" i="1"/>
  <c r="A6975" i="1"/>
  <c r="A6974" i="1"/>
  <c r="A6973" i="1"/>
  <c r="A6972" i="1"/>
  <c r="A6971" i="1"/>
  <c r="A6970" i="1"/>
  <c r="A6969" i="1"/>
  <c r="A6968" i="1"/>
  <c r="A6967" i="1"/>
  <c r="A6966" i="1"/>
  <c r="A6965" i="1"/>
  <c r="A6964" i="1"/>
  <c r="A6963" i="1"/>
  <c r="A6962" i="1"/>
  <c r="A6961" i="1"/>
  <c r="A6960" i="1"/>
  <c r="A6959" i="1"/>
  <c r="A6958" i="1"/>
  <c r="A6957" i="1"/>
  <c r="A6956" i="1"/>
  <c r="A6955" i="1"/>
  <c r="A6954" i="1"/>
  <c r="A6953" i="1"/>
  <c r="A6952" i="1"/>
  <c r="A6951" i="1"/>
  <c r="A6950" i="1"/>
  <c r="A6949" i="1"/>
  <c r="A6948" i="1"/>
  <c r="A6947" i="1"/>
  <c r="A6946" i="1"/>
  <c r="A6945" i="1"/>
  <c r="A6944" i="1"/>
  <c r="A6943" i="1"/>
  <c r="A6942" i="1"/>
  <c r="A6941" i="1"/>
  <c r="A6940" i="1"/>
  <c r="A6939" i="1"/>
  <c r="A6938" i="1"/>
  <c r="A6937" i="1"/>
  <c r="A6936" i="1"/>
  <c r="A6935" i="1"/>
  <c r="A6934" i="1"/>
  <c r="A6933" i="1"/>
  <c r="A6932" i="1"/>
  <c r="A6931" i="1"/>
  <c r="A6930" i="1"/>
  <c r="A6929" i="1"/>
  <c r="A6928" i="1"/>
  <c r="A6927" i="1"/>
  <c r="A6926" i="1"/>
  <c r="A6925" i="1"/>
  <c r="A6924" i="1"/>
  <c r="A6923" i="1"/>
  <c r="A6922" i="1"/>
  <c r="A6921" i="1"/>
  <c r="A6920" i="1"/>
  <c r="A6919" i="1"/>
  <c r="A6918" i="1"/>
  <c r="A6917" i="1"/>
  <c r="A6916" i="1"/>
  <c r="A6915" i="1"/>
  <c r="A6914" i="1"/>
  <c r="A6913" i="1"/>
  <c r="A6912" i="1"/>
  <c r="A6911" i="1"/>
  <c r="A6910" i="1"/>
  <c r="A6909" i="1"/>
  <c r="A6908" i="1"/>
  <c r="A6907" i="1"/>
  <c r="A6906" i="1"/>
  <c r="A6905" i="1"/>
  <c r="A6904" i="1"/>
  <c r="A6903" i="1"/>
  <c r="A6902" i="1"/>
  <c r="A6901" i="1"/>
  <c r="A6900" i="1"/>
  <c r="A6899" i="1"/>
  <c r="A6898" i="1"/>
  <c r="A6897" i="1"/>
  <c r="A6896" i="1"/>
  <c r="A6895" i="1"/>
  <c r="A6894" i="1"/>
  <c r="A6893" i="1"/>
  <c r="A6892" i="1"/>
  <c r="A6891" i="1"/>
  <c r="A6890" i="1"/>
  <c r="A6889" i="1"/>
  <c r="A6888" i="1"/>
  <c r="A6887" i="1"/>
  <c r="A6886" i="1"/>
  <c r="A6885" i="1"/>
  <c r="A6884" i="1"/>
  <c r="A6883" i="1"/>
  <c r="A6882" i="1"/>
  <c r="A6881" i="1"/>
  <c r="A6880" i="1"/>
  <c r="A6879" i="1"/>
  <c r="A6878" i="1"/>
  <c r="A6877" i="1"/>
  <c r="A6876" i="1"/>
  <c r="A6875" i="1"/>
  <c r="A6874" i="1"/>
  <c r="A6873" i="1"/>
  <c r="A6872" i="1"/>
  <c r="A6871" i="1"/>
  <c r="A6870" i="1"/>
  <c r="A6869" i="1"/>
  <c r="A6868" i="1"/>
  <c r="A6867" i="1"/>
  <c r="A6866" i="1"/>
  <c r="A6865" i="1"/>
  <c r="A6864" i="1"/>
  <c r="A6863" i="1"/>
  <c r="A6862" i="1"/>
  <c r="A6861" i="1"/>
  <c r="A6860" i="1"/>
  <c r="A6859" i="1"/>
  <c r="A6858" i="1"/>
  <c r="A6857" i="1"/>
  <c r="A6856" i="1"/>
  <c r="A6855" i="1"/>
  <c r="A6854" i="1"/>
  <c r="A6853" i="1"/>
  <c r="A6852" i="1"/>
  <c r="A6851" i="1"/>
  <c r="A6850" i="1"/>
  <c r="A6849" i="1"/>
  <c r="A6848" i="1"/>
  <c r="A6847" i="1"/>
  <c r="A6846" i="1"/>
  <c r="A6845" i="1"/>
  <c r="A6844" i="1"/>
  <c r="A6843" i="1"/>
  <c r="A6842" i="1"/>
  <c r="A6841" i="1"/>
  <c r="A6840" i="1"/>
  <c r="A6839" i="1"/>
  <c r="A6838" i="1"/>
  <c r="A6837" i="1"/>
  <c r="A6835" i="1"/>
  <c r="A6834" i="1"/>
  <c r="A6833" i="1"/>
  <c r="A6832" i="1"/>
  <c r="A6831" i="1"/>
  <c r="A6830" i="1"/>
  <c r="A6829" i="1"/>
  <c r="A6828" i="1"/>
  <c r="A6827" i="1"/>
  <c r="A6826" i="1"/>
  <c r="A6825" i="1"/>
  <c r="A6824" i="1"/>
  <c r="A6823" i="1"/>
  <c r="A6822" i="1"/>
  <c r="A6821" i="1"/>
  <c r="A6820" i="1"/>
  <c r="A6819" i="1"/>
  <c r="A6818" i="1"/>
  <c r="A6817" i="1"/>
  <c r="A6816" i="1"/>
  <c r="A6815" i="1"/>
  <c r="A6814" i="1"/>
  <c r="A6813" i="1"/>
  <c r="A6812" i="1"/>
  <c r="A6811" i="1"/>
  <c r="A6810" i="1"/>
  <c r="A6809" i="1"/>
  <c r="A6808" i="1"/>
  <c r="A6807" i="1"/>
  <c r="A6806" i="1"/>
  <c r="A6805" i="1"/>
  <c r="A6804" i="1"/>
  <c r="A6803" i="1"/>
  <c r="A6802" i="1"/>
  <c r="A6801" i="1"/>
  <c r="A6800" i="1"/>
  <c r="A6799" i="1"/>
  <c r="A6798" i="1"/>
  <c r="A6797" i="1"/>
  <c r="A6796" i="1"/>
  <c r="A6795" i="1"/>
  <c r="A6794" i="1"/>
  <c r="A6793" i="1"/>
  <c r="A6792" i="1"/>
  <c r="A6791" i="1"/>
  <c r="A6790" i="1"/>
  <c r="A6789" i="1"/>
  <c r="A6788" i="1"/>
  <c r="A6787" i="1"/>
  <c r="A6786" i="1"/>
  <c r="A6785" i="1"/>
  <c r="A6784" i="1"/>
  <c r="A6783" i="1"/>
  <c r="A6782" i="1"/>
  <c r="A6781" i="1"/>
  <c r="A6780" i="1"/>
  <c r="A6779" i="1"/>
  <c r="A6778" i="1"/>
  <c r="A6777" i="1"/>
  <c r="A6776" i="1"/>
  <c r="A6775" i="1"/>
  <c r="A6774" i="1"/>
  <c r="A6773" i="1"/>
  <c r="A6772" i="1"/>
  <c r="A6771" i="1"/>
  <c r="A6770" i="1"/>
  <c r="A6769" i="1"/>
  <c r="A6768" i="1"/>
  <c r="A6767" i="1"/>
  <c r="A6766" i="1"/>
  <c r="A6765" i="1"/>
  <c r="A6764" i="1"/>
  <c r="A6763" i="1"/>
  <c r="A6762" i="1"/>
  <c r="A6761" i="1"/>
  <c r="A6760" i="1"/>
  <c r="A6759" i="1"/>
  <c r="A6758" i="1"/>
  <c r="A6757" i="1"/>
  <c r="A6756" i="1"/>
  <c r="A6755" i="1"/>
  <c r="A6754" i="1"/>
  <c r="A6753" i="1"/>
  <c r="A6752" i="1"/>
  <c r="A6751" i="1"/>
  <c r="A6750" i="1"/>
  <c r="A6749" i="1"/>
  <c r="A6748" i="1"/>
  <c r="A6747" i="1"/>
  <c r="A6746" i="1"/>
  <c r="A6745" i="1"/>
  <c r="A6744" i="1"/>
  <c r="A6743" i="1"/>
  <c r="A6742" i="1"/>
  <c r="A6741" i="1"/>
  <c r="A6740" i="1"/>
  <c r="A6739" i="1"/>
  <c r="A6738" i="1"/>
  <c r="A6737" i="1"/>
  <c r="A6736" i="1"/>
  <c r="A6735" i="1"/>
  <c r="A6734" i="1"/>
  <c r="A6733" i="1"/>
  <c r="A6732" i="1"/>
  <c r="A6731" i="1"/>
  <c r="A6730" i="1"/>
  <c r="A6729" i="1"/>
  <c r="A6728" i="1"/>
  <c r="A6727" i="1"/>
  <c r="A6726" i="1"/>
  <c r="A6725" i="1"/>
  <c r="A6724" i="1"/>
  <c r="A6723" i="1"/>
  <c r="A6722" i="1"/>
  <c r="A6721" i="1"/>
  <c r="A6720" i="1"/>
  <c r="A6719" i="1"/>
  <c r="A6718" i="1"/>
  <c r="A6717" i="1"/>
  <c r="A6716" i="1"/>
  <c r="A6715" i="1"/>
  <c r="A6714" i="1"/>
  <c r="A6713" i="1"/>
  <c r="A6712" i="1"/>
  <c r="A6711" i="1"/>
  <c r="A6710" i="1"/>
  <c r="A6709" i="1"/>
  <c r="A6708" i="1"/>
  <c r="A6707" i="1"/>
  <c r="A6706" i="1"/>
  <c r="A6705" i="1"/>
  <c r="A6704" i="1"/>
  <c r="A6703" i="1"/>
  <c r="A6702" i="1"/>
  <c r="A6701" i="1"/>
  <c r="A6700" i="1"/>
  <c r="A6699" i="1"/>
  <c r="A6698" i="1"/>
  <c r="A6697" i="1"/>
  <c r="A6696" i="1"/>
  <c r="A6695" i="1"/>
  <c r="A6694" i="1"/>
  <c r="A6693" i="1"/>
  <c r="A6692" i="1"/>
  <c r="A6691" i="1"/>
  <c r="A6690" i="1"/>
  <c r="A6689" i="1"/>
  <c r="A6688" i="1"/>
  <c r="A6687" i="1"/>
  <c r="A6686" i="1"/>
  <c r="A6685" i="1"/>
  <c r="A6684" i="1"/>
  <c r="A6683" i="1"/>
  <c r="A6682" i="1"/>
  <c r="A6681" i="1"/>
  <c r="A6680" i="1"/>
  <c r="A6679" i="1"/>
  <c r="A6678" i="1"/>
  <c r="A6677" i="1"/>
  <c r="A6676" i="1"/>
  <c r="A6675" i="1"/>
  <c r="A6674" i="1"/>
  <c r="A6673" i="1"/>
  <c r="A6672" i="1"/>
  <c r="A6671" i="1"/>
  <c r="A6670" i="1"/>
  <c r="A6669" i="1"/>
  <c r="A6668" i="1"/>
  <c r="A6667" i="1"/>
  <c r="A6666" i="1"/>
  <c r="A6665" i="1"/>
  <c r="A6664" i="1"/>
  <c r="A6663" i="1"/>
  <c r="A6662" i="1"/>
  <c r="A6661" i="1"/>
  <c r="A6660" i="1"/>
  <c r="A6659" i="1"/>
  <c r="A6658" i="1"/>
  <c r="A6657" i="1"/>
  <c r="A6656" i="1"/>
  <c r="A6655" i="1"/>
  <c r="A6654" i="1"/>
  <c r="A6653" i="1"/>
  <c r="A6652" i="1"/>
  <c r="A6651" i="1"/>
  <c r="A6650" i="1"/>
  <c r="A6649" i="1"/>
  <c r="A6648" i="1"/>
  <c r="A6647" i="1"/>
  <c r="A6646" i="1"/>
  <c r="A6645" i="1"/>
  <c r="A6644" i="1"/>
  <c r="A6643" i="1"/>
  <c r="A6642" i="1"/>
  <c r="A6641" i="1"/>
  <c r="A6640" i="1"/>
  <c r="A6639" i="1"/>
  <c r="A6638" i="1"/>
  <c r="A6637" i="1"/>
  <c r="A6636" i="1"/>
  <c r="A6635" i="1"/>
  <c r="A6634" i="1"/>
  <c r="A6633" i="1"/>
  <c r="A6632" i="1"/>
  <c r="A6631" i="1"/>
  <c r="A6630" i="1"/>
  <c r="A6629" i="1"/>
  <c r="A6628" i="1"/>
  <c r="A6627" i="1"/>
  <c r="A6626" i="1"/>
  <c r="A6625" i="1"/>
  <c r="A6624" i="1"/>
  <c r="A6623" i="1"/>
  <c r="A6622" i="1"/>
  <c r="A6621" i="1"/>
  <c r="A6620" i="1"/>
  <c r="A6619" i="1"/>
  <c r="A6618" i="1"/>
  <c r="A6617" i="1"/>
  <c r="A6616" i="1"/>
  <c r="A6615" i="1"/>
  <c r="A6614" i="1"/>
  <c r="A6613" i="1"/>
  <c r="A6612" i="1"/>
  <c r="A6611" i="1"/>
  <c r="A6610" i="1"/>
  <c r="A6609" i="1"/>
  <c r="A6608" i="1"/>
  <c r="A6607" i="1"/>
  <c r="A6606" i="1"/>
  <c r="A6605" i="1"/>
  <c r="A6604" i="1"/>
  <c r="A6603" i="1"/>
  <c r="A6602" i="1"/>
  <c r="A6601" i="1"/>
  <c r="A6600" i="1"/>
  <c r="A6599" i="1"/>
  <c r="A6598" i="1"/>
  <c r="A6597" i="1"/>
  <c r="A6596" i="1"/>
  <c r="A6595" i="1"/>
  <c r="A6594" i="1"/>
  <c r="A6593" i="1"/>
  <c r="A6592" i="1"/>
  <c r="A6591" i="1"/>
  <c r="A6590" i="1"/>
  <c r="A6589" i="1"/>
  <c r="A6588" i="1"/>
  <c r="A6587" i="1"/>
  <c r="A6586" i="1"/>
  <c r="A6585" i="1"/>
  <c r="A6584" i="1"/>
  <c r="A6583" i="1"/>
  <c r="A6582" i="1"/>
  <c r="A6581" i="1"/>
  <c r="A6580" i="1"/>
  <c r="A6579" i="1"/>
  <c r="A6578" i="1"/>
  <c r="A6577" i="1"/>
  <c r="A6576" i="1"/>
  <c r="A6575" i="1"/>
  <c r="A6574" i="1"/>
  <c r="A6573" i="1"/>
  <c r="A6572" i="1"/>
  <c r="A6571" i="1"/>
  <c r="A6570" i="1"/>
  <c r="A6569" i="1"/>
  <c r="A6568" i="1"/>
  <c r="A6567" i="1"/>
  <c r="A6566" i="1"/>
  <c r="A6565" i="1"/>
  <c r="A6564" i="1"/>
  <c r="A6563" i="1"/>
  <c r="A6562" i="1"/>
  <c r="A6561" i="1"/>
  <c r="A6560" i="1"/>
  <c r="A6559" i="1"/>
  <c r="A6558" i="1"/>
  <c r="A6557" i="1"/>
  <c r="A6556" i="1"/>
  <c r="A6555" i="1"/>
  <c r="A6554" i="1"/>
  <c r="A6553" i="1"/>
  <c r="A6552" i="1"/>
  <c r="A6551" i="1"/>
  <c r="A6550" i="1"/>
  <c r="A6549" i="1"/>
  <c r="A6548" i="1"/>
  <c r="A6547" i="1"/>
  <c r="A6546" i="1"/>
  <c r="A6545" i="1"/>
  <c r="A6544" i="1"/>
  <c r="A6543" i="1"/>
  <c r="A6542" i="1"/>
  <c r="A6541" i="1"/>
  <c r="A6540" i="1"/>
  <c r="A6539" i="1"/>
  <c r="A6538" i="1"/>
  <c r="A6537" i="1"/>
  <c r="A6536" i="1"/>
  <c r="A6535" i="1"/>
  <c r="A6534" i="1"/>
  <c r="A6533" i="1"/>
  <c r="A6532" i="1"/>
  <c r="A6531" i="1"/>
  <c r="A6530" i="1"/>
  <c r="A6529" i="1"/>
  <c r="A6528" i="1"/>
  <c r="A6527" i="1"/>
  <c r="A6526" i="1"/>
  <c r="A6525" i="1"/>
  <c r="A6524" i="1"/>
  <c r="A6523" i="1"/>
  <c r="A6522" i="1"/>
  <c r="A6521" i="1"/>
  <c r="A6520" i="1"/>
  <c r="A6519" i="1"/>
  <c r="A6518" i="1"/>
  <c r="A6517" i="1"/>
  <c r="A6516" i="1"/>
  <c r="A6515" i="1"/>
  <c r="A6514" i="1"/>
  <c r="A6513" i="1"/>
  <c r="A6512" i="1"/>
  <c r="A6511" i="1"/>
  <c r="A6510" i="1"/>
  <c r="A6509" i="1"/>
  <c r="A6508" i="1"/>
  <c r="A6507" i="1"/>
  <c r="A6506" i="1"/>
  <c r="A6505" i="1"/>
  <c r="A6504" i="1"/>
  <c r="A6503" i="1"/>
  <c r="A6502" i="1"/>
  <c r="A6501" i="1"/>
  <c r="A6500" i="1"/>
  <c r="A6499" i="1"/>
  <c r="A6498" i="1"/>
  <c r="A6497" i="1"/>
  <c r="A6496" i="1"/>
  <c r="A6495" i="1"/>
  <c r="A6494" i="1"/>
  <c r="A6493" i="1"/>
  <c r="A6492" i="1"/>
  <c r="A6491" i="1"/>
  <c r="A6490" i="1"/>
  <c r="A6489" i="1"/>
  <c r="A6488" i="1"/>
  <c r="A6487" i="1"/>
  <c r="A6486" i="1"/>
  <c r="A6485" i="1"/>
  <c r="A6484" i="1"/>
  <c r="A6483" i="1"/>
  <c r="A6482" i="1"/>
  <c r="A6481" i="1"/>
  <c r="A6480" i="1"/>
  <c r="A6479" i="1"/>
  <c r="A6478" i="1"/>
  <c r="A6477" i="1"/>
  <c r="A6476" i="1"/>
  <c r="A6475" i="1"/>
  <c r="A6474" i="1"/>
  <c r="A6473" i="1"/>
  <c r="A6472" i="1"/>
  <c r="A6471" i="1"/>
  <c r="A6470" i="1"/>
  <c r="A6469" i="1"/>
  <c r="A6468" i="1"/>
  <c r="A6467" i="1"/>
  <c r="A6466" i="1"/>
  <c r="A6465" i="1"/>
  <c r="A6464" i="1"/>
  <c r="A6463" i="1"/>
  <c r="A6462" i="1"/>
  <c r="A6461" i="1"/>
  <c r="A6460" i="1"/>
  <c r="A6459" i="1"/>
  <c r="A6458" i="1"/>
  <c r="A6457" i="1"/>
  <c r="A6456" i="1"/>
  <c r="A6455" i="1"/>
  <c r="A6454" i="1"/>
  <c r="A6453" i="1"/>
  <c r="A6452" i="1"/>
  <c r="A6451" i="1"/>
  <c r="A6450" i="1"/>
  <c r="A6449" i="1"/>
  <c r="A6448" i="1"/>
  <c r="A6447" i="1"/>
  <c r="A6446" i="1"/>
  <c r="A6445" i="1"/>
  <c r="A6444" i="1"/>
  <c r="A6443" i="1"/>
  <c r="A6442" i="1"/>
  <c r="A6441" i="1"/>
  <c r="A6440" i="1"/>
  <c r="A6439" i="1"/>
  <c r="A6438" i="1"/>
  <c r="A6437" i="1"/>
  <c r="A6436" i="1"/>
  <c r="A6435" i="1"/>
  <c r="A6434" i="1"/>
  <c r="A6433" i="1"/>
  <c r="A6432" i="1"/>
  <c r="A6431" i="1"/>
  <c r="A6430" i="1"/>
  <c r="A6429" i="1"/>
  <c r="A6428" i="1"/>
  <c r="A6427" i="1"/>
  <c r="A6426" i="1"/>
  <c r="A6425" i="1"/>
  <c r="A6424" i="1"/>
  <c r="A6423" i="1"/>
  <c r="A6422" i="1"/>
  <c r="A6421" i="1"/>
  <c r="A6420" i="1"/>
  <c r="A6419" i="1"/>
  <c r="A6418" i="1"/>
  <c r="A6417" i="1"/>
  <c r="A6416" i="1"/>
  <c r="A6415" i="1"/>
  <c r="A6414" i="1"/>
  <c r="A6413" i="1"/>
  <c r="A6412" i="1"/>
  <c r="A6411" i="1"/>
  <c r="A6410" i="1"/>
  <c r="A6409" i="1"/>
  <c r="A6408" i="1"/>
  <c r="A6407" i="1"/>
  <c r="A6406" i="1"/>
  <c r="A6405" i="1"/>
  <c r="A6404" i="1"/>
  <c r="A6403" i="1"/>
  <c r="A6402" i="1"/>
  <c r="A6401" i="1"/>
  <c r="A6400" i="1"/>
  <c r="A6399" i="1"/>
  <c r="A6398" i="1"/>
  <c r="A6397" i="1"/>
  <c r="A6396" i="1"/>
  <c r="A6395" i="1"/>
  <c r="A6394" i="1"/>
  <c r="A6393" i="1"/>
  <c r="A6392" i="1"/>
  <c r="A6391" i="1"/>
  <c r="A6390" i="1"/>
  <c r="A6389" i="1"/>
  <c r="A6388" i="1"/>
  <c r="A6387" i="1"/>
  <c r="A6386" i="1"/>
  <c r="A6385" i="1"/>
  <c r="A6384" i="1"/>
  <c r="A6383" i="1"/>
  <c r="A6382" i="1"/>
  <c r="A6381" i="1"/>
  <c r="A6380" i="1"/>
  <c r="A6379" i="1"/>
  <c r="A6378" i="1"/>
  <c r="A6377" i="1"/>
  <c r="A6376" i="1"/>
  <c r="A6375" i="1"/>
  <c r="A6374" i="1"/>
  <c r="A6373" i="1"/>
  <c r="A6372" i="1"/>
  <c r="A6371" i="1"/>
  <c r="A6370" i="1"/>
  <c r="A6369" i="1"/>
  <c r="A6368" i="1"/>
  <c r="A6367" i="1"/>
  <c r="A6366" i="1"/>
  <c r="A6365" i="1"/>
  <c r="A6364" i="1"/>
  <c r="A6363" i="1"/>
  <c r="A6362" i="1"/>
  <c r="A6361" i="1"/>
  <c r="A6360" i="1"/>
  <c r="A6359" i="1"/>
  <c r="A6358" i="1"/>
  <c r="A6357" i="1"/>
  <c r="A6356" i="1"/>
  <c r="A6355" i="1"/>
  <c r="A6354" i="1"/>
  <c r="A6353" i="1"/>
  <c r="A6352" i="1"/>
  <c r="A6351" i="1"/>
  <c r="A6350" i="1"/>
  <c r="A6349" i="1"/>
  <c r="A6348" i="1"/>
  <c r="A6347" i="1"/>
  <c r="A6346" i="1"/>
  <c r="A6345" i="1"/>
  <c r="A6344" i="1"/>
  <c r="A6343" i="1"/>
  <c r="A6342" i="1"/>
  <c r="A6341" i="1"/>
  <c r="A6340" i="1"/>
  <c r="A6339" i="1"/>
  <c r="A6338" i="1"/>
  <c r="A6337" i="1"/>
  <c r="A6336" i="1"/>
  <c r="A6335" i="1"/>
  <c r="A6334" i="1"/>
  <c r="A6333" i="1"/>
  <c r="A6332" i="1"/>
  <c r="A6331" i="1"/>
  <c r="A6330" i="1"/>
  <c r="A6329" i="1"/>
  <c r="A6328" i="1"/>
  <c r="A6327" i="1"/>
  <c r="A6326" i="1"/>
  <c r="A6325" i="1"/>
  <c r="A6324" i="1"/>
  <c r="A6323" i="1"/>
  <c r="A6322" i="1"/>
  <c r="A6321" i="1"/>
  <c r="A6320" i="1"/>
  <c r="A6319" i="1"/>
  <c r="A6318" i="1"/>
  <c r="A6317" i="1"/>
  <c r="A6316" i="1"/>
  <c r="A6315" i="1"/>
  <c r="A6314" i="1"/>
  <c r="A6313" i="1"/>
  <c r="A6312" i="1"/>
  <c r="A6311" i="1"/>
  <c r="A6310" i="1"/>
  <c r="A6309" i="1"/>
  <c r="A6308" i="1"/>
  <c r="A6307" i="1"/>
  <c r="A6306" i="1"/>
  <c r="A6305" i="1"/>
  <c r="A6304" i="1"/>
  <c r="A6303" i="1"/>
  <c r="A6302" i="1"/>
  <c r="A6301" i="1"/>
  <c r="A6300" i="1"/>
  <c r="A6299" i="1"/>
  <c r="A6298" i="1"/>
  <c r="A6297" i="1"/>
  <c r="A6296" i="1"/>
  <c r="A6295" i="1"/>
  <c r="A6294" i="1"/>
  <c r="A6293" i="1"/>
  <c r="A6292" i="1"/>
  <c r="A6291" i="1"/>
  <c r="A6290" i="1"/>
  <c r="A6289" i="1"/>
  <c r="A6288" i="1"/>
  <c r="A6287" i="1"/>
  <c r="A6286" i="1"/>
  <c r="A6285" i="1"/>
  <c r="A6284" i="1"/>
  <c r="A6283" i="1"/>
  <c r="A6282" i="1"/>
  <c r="A6281" i="1"/>
  <c r="A6280" i="1"/>
  <c r="A6279" i="1"/>
  <c r="A6278" i="1"/>
  <c r="A6277" i="1"/>
  <c r="A6276" i="1"/>
  <c r="A6275" i="1"/>
  <c r="A6274" i="1"/>
  <c r="A6273" i="1"/>
  <c r="A6272" i="1"/>
  <c r="A6271" i="1"/>
  <c r="A6270" i="1"/>
  <c r="A6269" i="1"/>
  <c r="A6268" i="1"/>
  <c r="A6267" i="1"/>
  <c r="A6266" i="1"/>
  <c r="A6265" i="1"/>
  <c r="A6264" i="1"/>
  <c r="A6263" i="1"/>
  <c r="A6262" i="1"/>
  <c r="A6261" i="1"/>
  <c r="A6260" i="1"/>
  <c r="A6259" i="1"/>
  <c r="A6258" i="1"/>
  <c r="A6257" i="1"/>
  <c r="A6256" i="1"/>
  <c r="A6255" i="1"/>
  <c r="A6254" i="1"/>
  <c r="A6253" i="1"/>
  <c r="A6252" i="1"/>
  <c r="A6251" i="1"/>
  <c r="A6250" i="1"/>
  <c r="A6249" i="1"/>
  <c r="A6248" i="1"/>
  <c r="A6247" i="1"/>
  <c r="A6246" i="1"/>
  <c r="A6245" i="1"/>
  <c r="A6244" i="1"/>
  <c r="A6243" i="1"/>
  <c r="A6242" i="1"/>
  <c r="A6241" i="1"/>
  <c r="A6240" i="1"/>
  <c r="A6239" i="1"/>
  <c r="A6238" i="1"/>
  <c r="A6237" i="1"/>
  <c r="A6236" i="1"/>
  <c r="A6235" i="1"/>
  <c r="A6234" i="1"/>
  <c r="A6233" i="1"/>
  <c r="A6232" i="1"/>
  <c r="A6231" i="1"/>
  <c r="A6230" i="1"/>
  <c r="A6229" i="1"/>
  <c r="A6228" i="1"/>
  <c r="A6227" i="1"/>
  <c r="A6226" i="1"/>
  <c r="A6225" i="1"/>
  <c r="A6224" i="1"/>
  <c r="A6223" i="1"/>
  <c r="A6222" i="1"/>
  <c r="A6221" i="1"/>
  <c r="A6220" i="1"/>
  <c r="A6219" i="1"/>
  <c r="A6218" i="1"/>
  <c r="A6217" i="1"/>
  <c r="A6216" i="1"/>
  <c r="A6215" i="1"/>
  <c r="A6214" i="1"/>
  <c r="A6213" i="1"/>
  <c r="A6212" i="1"/>
  <c r="A6211" i="1"/>
  <c r="A6210" i="1"/>
  <c r="A6209" i="1"/>
  <c r="A6208" i="1"/>
  <c r="A6207" i="1"/>
  <c r="A6206" i="1"/>
  <c r="A6205" i="1"/>
  <c r="A6204" i="1"/>
  <c r="A6203" i="1"/>
  <c r="A6202" i="1"/>
  <c r="A6201" i="1"/>
  <c r="A6200" i="1"/>
  <c r="A6199" i="1"/>
  <c r="A6198" i="1"/>
  <c r="A6197" i="1"/>
  <c r="A6196" i="1"/>
  <c r="A6195" i="1"/>
  <c r="A6194" i="1"/>
  <c r="A6193" i="1"/>
  <c r="A6192" i="1"/>
  <c r="A6191" i="1"/>
  <c r="A6190" i="1"/>
  <c r="A6189" i="1"/>
  <c r="A6188" i="1"/>
  <c r="A6187" i="1"/>
  <c r="A6186" i="1"/>
  <c r="A6185" i="1"/>
  <c r="A6184" i="1"/>
  <c r="A6183" i="1"/>
  <c r="A6182" i="1"/>
  <c r="A6181" i="1"/>
  <c r="A6180" i="1"/>
  <c r="A6179" i="1"/>
  <c r="A6178" i="1"/>
  <c r="A6177" i="1"/>
  <c r="A6176" i="1"/>
  <c r="A6175" i="1"/>
  <c r="A6174" i="1"/>
  <c r="A6173" i="1"/>
  <c r="A6172" i="1"/>
  <c r="A6171" i="1"/>
  <c r="A6170" i="1"/>
  <c r="A6169" i="1"/>
  <c r="A6168" i="1"/>
  <c r="A6167" i="1"/>
  <c r="A6166" i="1"/>
  <c r="A6165" i="1"/>
  <c r="A6164" i="1"/>
  <c r="A6163" i="1"/>
  <c r="A6162" i="1"/>
  <c r="A6161" i="1"/>
  <c r="A6160" i="1"/>
  <c r="A6159" i="1"/>
  <c r="A6158" i="1"/>
  <c r="A6157" i="1"/>
  <c r="A6156" i="1"/>
  <c r="A6155" i="1"/>
  <c r="A6154" i="1"/>
  <c r="A6153" i="1"/>
  <c r="A6152" i="1"/>
  <c r="A6151" i="1"/>
  <c r="A6150" i="1"/>
  <c r="A6149" i="1"/>
  <c r="A6148" i="1"/>
  <c r="A6147" i="1"/>
  <c r="A6146" i="1"/>
  <c r="A6145" i="1"/>
  <c r="A6144" i="1"/>
  <c r="A6143" i="1"/>
  <c r="A6142" i="1"/>
  <c r="A6141" i="1"/>
  <c r="A6140" i="1"/>
  <c r="A6139" i="1"/>
  <c r="A6138" i="1"/>
  <c r="A6137" i="1"/>
  <c r="A6136" i="1"/>
  <c r="A6135" i="1"/>
  <c r="A6134" i="1"/>
  <c r="A6133" i="1"/>
  <c r="A6132" i="1"/>
  <c r="A6131" i="1"/>
  <c r="A6130" i="1"/>
  <c r="A6129" i="1"/>
  <c r="A6128" i="1"/>
  <c r="A6127" i="1"/>
  <c r="A6126" i="1"/>
  <c r="A6125" i="1"/>
  <c r="A6124" i="1"/>
  <c r="A6123" i="1"/>
  <c r="A6122" i="1"/>
  <c r="A6121" i="1"/>
  <c r="A6120" i="1"/>
  <c r="A6119" i="1"/>
  <c r="A6118" i="1"/>
  <c r="A6117" i="1"/>
  <c r="A6116" i="1"/>
  <c r="A6115" i="1"/>
  <c r="A6114" i="1"/>
  <c r="A6113" i="1"/>
  <c r="A6112" i="1"/>
  <c r="A6111" i="1"/>
  <c r="A6110" i="1"/>
  <c r="A6109" i="1"/>
  <c r="A6108" i="1"/>
  <c r="A6107" i="1"/>
  <c r="A6106" i="1"/>
  <c r="A6105" i="1"/>
  <c r="A6104" i="1"/>
  <c r="A6103" i="1"/>
  <c r="A6102" i="1"/>
  <c r="A6101" i="1"/>
  <c r="A6100" i="1"/>
  <c r="A6099" i="1"/>
  <c r="A6098" i="1"/>
  <c r="A6097" i="1"/>
  <c r="A6096" i="1"/>
  <c r="A6095" i="1"/>
  <c r="A6094" i="1"/>
  <c r="A6093" i="1"/>
  <c r="A6092" i="1"/>
  <c r="A6091" i="1"/>
  <c r="A6090" i="1"/>
  <c r="A6089" i="1"/>
  <c r="A6088" i="1"/>
  <c r="A6087" i="1"/>
  <c r="A6086" i="1"/>
  <c r="A6085" i="1"/>
  <c r="A6084" i="1"/>
  <c r="A6083" i="1"/>
  <c r="A6082" i="1"/>
  <c r="A6081" i="1"/>
  <c r="A6080" i="1"/>
  <c r="A6079" i="1"/>
  <c r="A6078" i="1"/>
  <c r="A6077" i="1"/>
  <c r="A6076" i="1"/>
  <c r="A6075" i="1"/>
  <c r="A6074" i="1"/>
  <c r="A6073" i="1"/>
  <c r="A6072" i="1"/>
  <c r="A6071" i="1"/>
  <c r="A6070" i="1"/>
  <c r="A6069" i="1"/>
  <c r="A6068" i="1"/>
  <c r="A6067" i="1"/>
  <c r="A6066" i="1"/>
  <c r="A6065" i="1"/>
  <c r="A6064" i="1"/>
  <c r="A6063" i="1"/>
  <c r="A6062" i="1"/>
  <c r="A6061" i="1"/>
  <c r="A6060" i="1"/>
  <c r="A6059" i="1"/>
  <c r="A6058" i="1"/>
  <c r="A6057" i="1"/>
  <c r="A6056" i="1"/>
  <c r="A6055" i="1"/>
  <c r="A6054" i="1"/>
  <c r="A6053" i="1"/>
  <c r="A6052" i="1"/>
  <c r="A6051" i="1"/>
  <c r="A6050" i="1"/>
  <c r="A6049" i="1"/>
  <c r="A6048" i="1"/>
  <c r="A6047" i="1"/>
  <c r="A6046" i="1"/>
  <c r="A6045" i="1"/>
  <c r="A6044" i="1"/>
  <c r="A6043" i="1"/>
  <c r="A6042" i="1"/>
  <c r="A6041" i="1"/>
  <c r="A6040" i="1"/>
  <c r="A6039" i="1"/>
  <c r="A6038" i="1"/>
  <c r="A6037" i="1"/>
  <c r="A6036" i="1"/>
  <c r="A6035" i="1"/>
  <c r="A6034" i="1"/>
  <c r="A6033" i="1"/>
  <c r="A6032" i="1"/>
  <c r="A6031" i="1"/>
  <c r="A6030" i="1"/>
  <c r="A6029" i="1"/>
  <c r="A6028" i="1"/>
  <c r="A6027" i="1"/>
  <c r="A6026" i="1"/>
  <c r="A6025" i="1"/>
  <c r="A6024" i="1"/>
  <c r="A6023" i="1"/>
  <c r="A6022" i="1"/>
  <c r="A6021" i="1"/>
  <c r="A6020" i="1"/>
  <c r="A6019" i="1"/>
  <c r="A6018" i="1"/>
  <c r="A6017" i="1"/>
  <c r="A6016" i="1"/>
  <c r="A6015" i="1"/>
  <c r="A6014" i="1"/>
  <c r="A6013" i="1"/>
  <c r="A6012" i="1"/>
  <c r="A6011" i="1"/>
  <c r="A6010" i="1"/>
  <c r="A6009" i="1"/>
  <c r="A6008" i="1"/>
  <c r="A6007" i="1"/>
  <c r="A6006" i="1"/>
  <c r="A6005" i="1"/>
  <c r="A6004" i="1"/>
  <c r="A6003" i="1"/>
  <c r="A6002" i="1"/>
  <c r="A6001" i="1"/>
  <c r="A6000" i="1"/>
  <c r="A5999" i="1"/>
  <c r="A5998" i="1"/>
  <c r="A5997" i="1"/>
  <c r="A5996" i="1"/>
  <c r="A5995" i="1"/>
  <c r="A5994" i="1"/>
  <c r="A5993" i="1"/>
  <c r="A5992" i="1"/>
  <c r="A5991" i="1"/>
  <c r="A5990" i="1"/>
  <c r="A5989" i="1"/>
  <c r="A5988" i="1"/>
  <c r="A5987" i="1"/>
  <c r="A5986" i="1"/>
  <c r="A5985" i="1"/>
  <c r="A5984" i="1"/>
  <c r="A5983" i="1"/>
  <c r="A5982" i="1"/>
  <c r="A5981" i="1"/>
  <c r="A5980" i="1"/>
  <c r="A5979" i="1"/>
  <c r="A5978" i="1"/>
  <c r="A5977" i="1"/>
  <c r="A5976" i="1"/>
  <c r="A5975" i="1"/>
  <c r="A5974" i="1"/>
  <c r="A5973" i="1"/>
  <c r="A5972" i="1"/>
  <c r="A5971" i="1"/>
  <c r="A5970" i="1"/>
  <c r="A5969" i="1"/>
  <c r="A5968" i="1"/>
  <c r="A5967" i="1"/>
  <c r="A5966" i="1"/>
  <c r="A5965" i="1"/>
  <c r="A5964" i="1"/>
  <c r="A5963" i="1"/>
  <c r="A5962" i="1"/>
  <c r="A5961" i="1"/>
  <c r="A5960" i="1"/>
  <c r="A5959" i="1"/>
  <c r="A5958" i="1"/>
  <c r="A5957" i="1"/>
  <c r="A5956" i="1"/>
  <c r="A5955" i="1"/>
  <c r="A5954" i="1"/>
  <c r="A5953" i="1"/>
  <c r="A5952" i="1"/>
  <c r="A5951" i="1"/>
  <c r="A5950" i="1"/>
  <c r="A5949" i="1"/>
  <c r="A5948" i="1"/>
  <c r="A5947" i="1"/>
  <c r="A5946" i="1"/>
  <c r="A5945" i="1"/>
  <c r="A5944" i="1"/>
  <c r="A5943" i="1"/>
  <c r="A5942" i="1"/>
  <c r="A5941" i="1"/>
  <c r="A5940" i="1"/>
  <c r="A5939" i="1"/>
  <c r="A5938" i="1"/>
  <c r="A5937" i="1"/>
  <c r="A5936" i="1"/>
  <c r="A5935" i="1"/>
  <c r="A5934" i="1"/>
  <c r="A5933" i="1"/>
  <c r="A5932" i="1"/>
  <c r="A5931" i="1"/>
  <c r="A5930" i="1"/>
  <c r="A5929" i="1"/>
  <c r="A5928" i="1"/>
  <c r="A5927" i="1"/>
  <c r="A5926" i="1"/>
  <c r="A5925" i="1"/>
  <c r="A5924" i="1"/>
  <c r="A5923" i="1"/>
  <c r="A5922" i="1"/>
  <c r="A5921" i="1"/>
  <c r="A5920" i="1"/>
  <c r="A5919" i="1"/>
  <c r="A5918" i="1"/>
  <c r="A5917" i="1"/>
  <c r="A5916" i="1"/>
  <c r="A5915" i="1"/>
  <c r="A5914" i="1"/>
  <c r="A5913" i="1"/>
  <c r="A5912" i="1"/>
  <c r="A5911" i="1"/>
  <c r="A5910" i="1"/>
  <c r="A5909" i="1"/>
  <c r="A5908" i="1"/>
  <c r="A5907" i="1"/>
  <c r="A5906" i="1"/>
  <c r="A5905" i="1"/>
  <c r="A5904" i="1"/>
  <c r="A5903" i="1"/>
  <c r="A5902" i="1"/>
  <c r="A5901" i="1"/>
  <c r="A5900" i="1"/>
  <c r="A5899" i="1"/>
  <c r="A5898" i="1"/>
  <c r="A5897" i="1"/>
  <c r="A5896" i="1"/>
  <c r="A5895" i="1"/>
  <c r="A5894" i="1"/>
  <c r="A5893" i="1"/>
  <c r="A5892" i="1"/>
  <c r="A5891" i="1"/>
  <c r="A5890" i="1"/>
  <c r="A5889" i="1"/>
  <c r="A5888" i="1"/>
  <c r="A5887" i="1"/>
  <c r="A5886" i="1"/>
  <c r="A5885" i="1"/>
  <c r="A5884" i="1"/>
  <c r="A5883" i="1"/>
  <c r="A5882" i="1"/>
  <c r="A5881" i="1"/>
  <c r="A5880" i="1"/>
  <c r="A5879" i="1"/>
  <c r="A5878" i="1"/>
  <c r="A5877" i="1"/>
  <c r="A5876" i="1"/>
  <c r="A5875" i="1"/>
  <c r="A5874" i="1"/>
  <c r="A5873" i="1"/>
  <c r="A5872" i="1"/>
  <c r="A5871" i="1"/>
  <c r="A5870" i="1"/>
  <c r="A5869" i="1"/>
  <c r="A5868" i="1"/>
  <c r="A5867" i="1"/>
  <c r="A5866" i="1"/>
  <c r="A5865" i="1"/>
  <c r="A5864" i="1"/>
  <c r="A5863" i="1"/>
  <c r="A5862" i="1"/>
  <c r="A5861" i="1"/>
  <c r="A5860" i="1"/>
  <c r="A5859" i="1"/>
  <c r="A5858" i="1"/>
  <c r="A5857" i="1"/>
  <c r="A5856" i="1"/>
  <c r="A5855" i="1"/>
  <c r="A5854" i="1"/>
  <c r="A5853" i="1"/>
  <c r="A5852" i="1"/>
  <c r="A5851" i="1"/>
  <c r="A5850" i="1"/>
  <c r="A5849" i="1"/>
  <c r="A5848" i="1"/>
  <c r="A5847" i="1"/>
  <c r="A5846" i="1"/>
  <c r="A5845" i="1"/>
  <c r="A5844" i="1"/>
  <c r="A5843" i="1"/>
  <c r="A5842" i="1"/>
  <c r="A5841" i="1"/>
  <c r="A5840" i="1"/>
  <c r="A5839" i="1"/>
  <c r="A5838" i="1"/>
  <c r="A5837" i="1"/>
  <c r="A5836" i="1"/>
  <c r="A5835" i="1"/>
  <c r="A5834" i="1"/>
  <c r="A5833" i="1"/>
  <c r="A5832" i="1"/>
  <c r="A5831" i="1"/>
  <c r="A5830" i="1"/>
  <c r="A5829" i="1"/>
  <c r="A5828" i="1"/>
  <c r="A5827" i="1"/>
  <c r="A5826" i="1"/>
  <c r="A5825" i="1"/>
  <c r="A5824" i="1"/>
  <c r="A5823" i="1"/>
  <c r="A5822" i="1"/>
  <c r="A5821" i="1"/>
  <c r="A5820" i="1"/>
  <c r="A5819" i="1"/>
  <c r="A5818" i="1"/>
  <c r="A5817" i="1"/>
  <c r="A5816" i="1"/>
  <c r="A5815" i="1"/>
  <c r="A5814" i="1"/>
  <c r="A5813" i="1"/>
  <c r="A5812" i="1"/>
  <c r="A5811" i="1"/>
  <c r="A5810" i="1"/>
  <c r="A5809" i="1"/>
  <c r="A5808" i="1"/>
  <c r="A5807" i="1"/>
  <c r="A5806" i="1"/>
  <c r="A5805" i="1"/>
  <c r="A5804" i="1"/>
  <c r="A5803" i="1"/>
  <c r="A5802" i="1"/>
  <c r="A5801" i="1"/>
  <c r="A5800" i="1"/>
  <c r="A5799" i="1"/>
  <c r="A5798" i="1"/>
  <c r="A5797" i="1"/>
  <c r="A5796" i="1"/>
  <c r="A5795" i="1"/>
  <c r="A5794" i="1"/>
  <c r="A5793" i="1"/>
  <c r="A5792" i="1"/>
  <c r="A5791" i="1"/>
  <c r="A5790" i="1"/>
  <c r="A5789" i="1"/>
  <c r="A5788" i="1"/>
  <c r="A5787" i="1"/>
  <c r="A5786" i="1"/>
  <c r="A5785" i="1"/>
  <c r="A5784" i="1"/>
  <c r="A5783" i="1"/>
  <c r="A5782" i="1"/>
  <c r="A5781" i="1"/>
  <c r="A5780" i="1"/>
  <c r="A5779" i="1"/>
  <c r="A5778" i="1"/>
  <c r="A5777" i="1"/>
  <c r="A5776" i="1"/>
  <c r="A5775" i="1"/>
  <c r="A5774" i="1"/>
  <c r="A5773" i="1"/>
  <c r="A5772" i="1"/>
  <c r="A5771" i="1"/>
  <c r="A5770" i="1"/>
  <c r="A5769" i="1"/>
  <c r="A5768" i="1"/>
  <c r="A5767" i="1"/>
  <c r="A5766" i="1"/>
  <c r="A5765" i="1"/>
  <c r="A5764" i="1"/>
  <c r="A5763" i="1"/>
  <c r="A5762" i="1"/>
  <c r="A5761" i="1"/>
  <c r="A5760" i="1"/>
  <c r="A5759" i="1"/>
  <c r="A5758" i="1"/>
  <c r="A5757" i="1"/>
  <c r="A5756" i="1"/>
  <c r="A5755" i="1"/>
  <c r="A5754" i="1"/>
  <c r="A5753" i="1"/>
  <c r="A5752" i="1"/>
  <c r="A5751" i="1"/>
  <c r="A5750" i="1"/>
  <c r="A5749" i="1"/>
  <c r="A5748" i="1"/>
  <c r="A5747" i="1"/>
  <c r="A5746" i="1"/>
  <c r="A5745" i="1"/>
  <c r="A5744" i="1"/>
  <c r="A5743" i="1"/>
  <c r="A5742" i="1"/>
  <c r="A5741" i="1"/>
  <c r="A5740" i="1"/>
  <c r="A5739" i="1"/>
  <c r="A5738" i="1"/>
  <c r="A5737" i="1"/>
  <c r="A5736" i="1"/>
  <c r="A5735" i="1"/>
  <c r="A5734" i="1"/>
  <c r="A5733" i="1"/>
  <c r="A5732" i="1"/>
  <c r="A5731" i="1"/>
  <c r="A5730" i="1"/>
  <c r="A5729" i="1"/>
  <c r="A5728" i="1"/>
  <c r="A5727" i="1"/>
  <c r="A5726" i="1"/>
  <c r="A5725" i="1"/>
  <c r="A5724" i="1"/>
  <c r="A5723" i="1"/>
  <c r="A5722" i="1"/>
  <c r="A5721" i="1"/>
  <c r="A5720" i="1"/>
  <c r="A5719" i="1"/>
  <c r="A5718" i="1"/>
  <c r="A5717" i="1"/>
  <c r="A5716" i="1"/>
  <c r="A5715" i="1"/>
  <c r="A5714" i="1"/>
  <c r="A5713" i="1"/>
  <c r="A5712" i="1"/>
  <c r="A5711" i="1"/>
  <c r="A5710" i="1"/>
  <c r="A5709" i="1"/>
  <c r="A5708" i="1"/>
  <c r="A5707" i="1"/>
  <c r="A5706" i="1"/>
  <c r="A5705" i="1"/>
  <c r="A5704" i="1"/>
  <c r="A5703" i="1"/>
  <c r="A5702" i="1"/>
  <c r="A5701" i="1"/>
  <c r="A5700" i="1"/>
  <c r="A5699" i="1"/>
  <c r="A5698" i="1"/>
  <c r="A5697" i="1"/>
  <c r="A5696" i="1"/>
  <c r="A5695" i="1"/>
  <c r="A5694" i="1"/>
  <c r="A5693" i="1"/>
  <c r="A5692" i="1"/>
  <c r="A5691" i="1"/>
  <c r="A5690" i="1"/>
  <c r="A5689" i="1"/>
  <c r="A5688" i="1"/>
  <c r="A5687" i="1"/>
  <c r="A5686" i="1"/>
  <c r="A5685" i="1"/>
  <c r="A5684" i="1"/>
  <c r="A5683" i="1"/>
  <c r="A5682" i="1"/>
  <c r="A5681" i="1"/>
  <c r="A5680" i="1"/>
  <c r="A5679" i="1"/>
  <c r="A5678" i="1"/>
  <c r="A5677" i="1"/>
  <c r="A5676" i="1"/>
  <c r="A5675" i="1"/>
  <c r="A5674" i="1"/>
  <c r="A5673" i="1"/>
  <c r="A5672" i="1"/>
  <c r="A5671" i="1"/>
  <c r="A5670" i="1"/>
  <c r="A5669" i="1"/>
  <c r="A5668" i="1"/>
  <c r="A5667" i="1"/>
  <c r="A5666" i="1"/>
  <c r="A5665" i="1"/>
  <c r="A5664" i="1"/>
  <c r="A5663" i="1"/>
  <c r="A5662" i="1"/>
  <c r="A5661" i="1"/>
  <c r="A5660" i="1"/>
  <c r="A5659" i="1"/>
  <c r="A5658" i="1"/>
  <c r="A5657" i="1"/>
  <c r="A5656" i="1"/>
  <c r="A5655" i="1"/>
  <c r="A5654" i="1"/>
  <c r="A5653" i="1"/>
  <c r="A5652" i="1"/>
  <c r="A5651" i="1"/>
  <c r="A5650" i="1"/>
  <c r="A5649" i="1"/>
  <c r="A5648" i="1"/>
  <c r="A5647" i="1"/>
  <c r="A5646" i="1"/>
  <c r="A5645" i="1"/>
  <c r="A5644" i="1"/>
  <c r="A5643" i="1"/>
  <c r="A5642" i="1"/>
  <c r="A5641" i="1"/>
  <c r="A5640" i="1"/>
  <c r="A5639" i="1"/>
  <c r="A5638" i="1"/>
  <c r="A5637" i="1"/>
  <c r="A5636" i="1"/>
  <c r="A5635" i="1"/>
  <c r="A5634" i="1"/>
  <c r="A5633" i="1"/>
  <c r="A5632" i="1"/>
  <c r="A5631" i="1"/>
  <c r="A5630" i="1"/>
  <c r="A5629" i="1"/>
  <c r="A5628" i="1"/>
  <c r="A5627" i="1"/>
  <c r="A5626" i="1"/>
  <c r="A5625" i="1"/>
  <c r="A5624" i="1"/>
  <c r="A5623" i="1"/>
  <c r="A5622" i="1"/>
  <c r="A5621" i="1"/>
  <c r="A5620" i="1"/>
  <c r="A5619" i="1"/>
  <c r="A5618" i="1"/>
  <c r="A5617" i="1"/>
  <c r="A5616" i="1"/>
  <c r="A5615" i="1"/>
  <c r="A5614" i="1"/>
  <c r="A5613" i="1"/>
  <c r="A5612" i="1"/>
  <c r="A5611" i="1"/>
  <c r="A5610" i="1"/>
  <c r="A5609" i="1"/>
  <c r="A5608" i="1"/>
  <c r="A5607" i="1"/>
  <c r="A5606" i="1"/>
  <c r="A5605" i="1"/>
  <c r="A5604" i="1"/>
  <c r="A5603" i="1"/>
  <c r="A5602" i="1"/>
  <c r="A5601" i="1"/>
  <c r="A5600" i="1"/>
  <c r="A5599" i="1"/>
  <c r="A5598" i="1"/>
  <c r="A5597" i="1"/>
  <c r="A5596" i="1"/>
  <c r="A5595" i="1"/>
  <c r="A5594" i="1"/>
  <c r="A5593" i="1"/>
  <c r="A5592" i="1"/>
  <c r="A5591" i="1"/>
  <c r="A5590" i="1"/>
  <c r="A5589" i="1"/>
  <c r="A5588" i="1"/>
  <c r="A5587" i="1"/>
  <c r="A5586" i="1"/>
  <c r="A5585" i="1"/>
  <c r="A5584" i="1"/>
  <c r="A5583" i="1"/>
  <c r="A5582" i="1"/>
  <c r="A5581" i="1"/>
  <c r="A5580" i="1"/>
  <c r="A5579" i="1"/>
  <c r="A5578" i="1"/>
  <c r="A5577" i="1"/>
  <c r="A5576" i="1"/>
  <c r="A5575" i="1"/>
  <c r="A5574" i="1"/>
  <c r="A5573" i="1"/>
  <c r="A5572" i="1"/>
  <c r="A5571" i="1"/>
  <c r="A5570" i="1"/>
  <c r="A5569" i="1"/>
  <c r="A5568" i="1"/>
  <c r="A5567" i="1"/>
  <c r="A5566" i="1"/>
  <c r="A5565" i="1"/>
  <c r="A5564" i="1"/>
  <c r="A5563" i="1"/>
  <c r="A5562" i="1"/>
  <c r="A5561" i="1"/>
  <c r="A5560" i="1"/>
  <c r="A5559" i="1"/>
  <c r="A5558" i="1"/>
  <c r="A5557" i="1"/>
  <c r="A5556" i="1"/>
  <c r="A5555" i="1"/>
  <c r="A5554" i="1"/>
  <c r="A5553" i="1"/>
  <c r="A5552" i="1"/>
  <c r="A5551" i="1"/>
  <c r="A5550" i="1"/>
  <c r="A5549" i="1"/>
  <c r="A5548" i="1"/>
  <c r="A5547" i="1"/>
  <c r="A5546" i="1"/>
  <c r="A5545" i="1"/>
  <c r="A5544" i="1"/>
  <c r="A5543" i="1"/>
  <c r="A5542" i="1"/>
  <c r="A5541" i="1"/>
  <c r="A5540" i="1"/>
  <c r="A5539" i="1"/>
  <c r="A5538" i="1"/>
  <c r="A5537" i="1"/>
  <c r="A5536" i="1"/>
  <c r="A5535" i="1"/>
  <c r="A5534" i="1"/>
  <c r="A5533" i="1"/>
  <c r="A5532" i="1"/>
  <c r="A5531" i="1"/>
  <c r="A5530" i="1"/>
  <c r="A5529" i="1"/>
  <c r="A5528" i="1"/>
  <c r="A5527" i="1"/>
  <c r="A5526" i="1"/>
  <c r="A5525" i="1"/>
  <c r="A5524" i="1"/>
  <c r="A5523" i="1"/>
  <c r="A5522" i="1"/>
  <c r="A5521" i="1"/>
  <c r="A5520" i="1"/>
  <c r="A5519" i="1"/>
  <c r="A5518" i="1"/>
  <c r="A5517" i="1"/>
  <c r="A5516" i="1"/>
  <c r="A5515" i="1"/>
  <c r="A5514" i="1"/>
  <c r="A5513" i="1"/>
  <c r="A5512" i="1"/>
  <c r="A5511" i="1"/>
  <c r="A5510" i="1"/>
  <c r="A5509" i="1"/>
  <c r="A5508" i="1"/>
  <c r="A5507" i="1"/>
  <c r="A5506" i="1"/>
  <c r="A5505" i="1"/>
  <c r="A5504" i="1"/>
  <c r="A5503" i="1"/>
  <c r="A5502" i="1"/>
  <c r="A5501" i="1"/>
  <c r="A5500" i="1"/>
  <c r="A5499" i="1"/>
  <c r="A5498" i="1"/>
  <c r="A5497" i="1"/>
  <c r="A5496" i="1"/>
  <c r="A5495" i="1"/>
  <c r="A5494" i="1"/>
  <c r="A5493" i="1"/>
  <c r="A5492" i="1"/>
  <c r="A5491" i="1"/>
  <c r="A5490" i="1"/>
  <c r="A5489" i="1"/>
  <c r="A5488" i="1"/>
  <c r="A5487" i="1"/>
  <c r="A5486" i="1"/>
  <c r="A5485" i="1"/>
  <c r="A5484" i="1"/>
  <c r="A5483" i="1"/>
  <c r="A5482" i="1"/>
  <c r="A5481" i="1"/>
  <c r="A5480" i="1"/>
  <c r="A5479" i="1"/>
  <c r="A5478" i="1"/>
  <c r="A5477" i="1"/>
  <c r="A5476" i="1"/>
  <c r="A5475" i="1"/>
  <c r="A5474" i="1"/>
  <c r="A5473" i="1"/>
  <c r="A5472" i="1"/>
  <c r="A5471" i="1"/>
  <c r="A5470" i="1"/>
  <c r="A5469" i="1"/>
  <c r="A5468" i="1"/>
  <c r="A5467" i="1"/>
  <c r="A5466" i="1"/>
  <c r="A5465" i="1"/>
  <c r="A5464" i="1"/>
  <c r="A5463" i="1"/>
  <c r="A5462" i="1"/>
  <c r="A5461" i="1"/>
  <c r="A5460" i="1"/>
  <c r="A5459" i="1"/>
  <c r="A5458" i="1"/>
  <c r="A5457" i="1"/>
  <c r="A5456" i="1"/>
  <c r="A5455" i="1"/>
  <c r="A5454" i="1"/>
  <c r="A5453" i="1"/>
  <c r="A5452" i="1"/>
  <c r="A5451" i="1"/>
  <c r="A5450" i="1"/>
  <c r="A5449" i="1"/>
  <c r="A5448" i="1"/>
  <c r="A5447" i="1"/>
  <c r="A5446" i="1"/>
  <c r="A5445" i="1"/>
  <c r="A5444" i="1"/>
  <c r="A5443" i="1"/>
  <c r="A5442" i="1"/>
  <c r="A5441" i="1"/>
  <c r="A5440" i="1"/>
  <c r="A5439" i="1"/>
  <c r="A5438" i="1"/>
  <c r="A5437" i="1"/>
  <c r="A5436" i="1"/>
  <c r="A5435" i="1"/>
  <c r="A5434" i="1"/>
  <c r="A5433" i="1"/>
  <c r="A5432" i="1"/>
  <c r="A5431" i="1"/>
  <c r="A5430" i="1"/>
  <c r="A5429" i="1"/>
  <c r="A5428" i="1"/>
  <c r="A5427" i="1"/>
  <c r="A5426" i="1"/>
  <c r="A5425" i="1"/>
  <c r="A5424" i="1"/>
  <c r="A5423" i="1"/>
  <c r="A5422" i="1"/>
  <c r="A5421" i="1"/>
  <c r="A5420" i="1"/>
  <c r="A5419" i="1"/>
  <c r="A5418" i="1"/>
  <c r="A5417" i="1"/>
  <c r="A5416" i="1"/>
  <c r="A5415" i="1"/>
  <c r="A5414" i="1"/>
  <c r="A5413" i="1"/>
  <c r="A5412" i="1"/>
  <c r="A5411" i="1"/>
  <c r="A5410" i="1"/>
  <c r="A5409" i="1"/>
  <c r="A5408" i="1"/>
  <c r="A5407" i="1"/>
  <c r="A5406" i="1"/>
  <c r="A5405" i="1"/>
  <c r="A5404" i="1"/>
  <c r="A5403" i="1"/>
  <c r="A5402" i="1"/>
  <c r="A5401" i="1"/>
  <c r="A5400" i="1"/>
  <c r="A5399" i="1"/>
  <c r="A5398" i="1"/>
  <c r="A5397" i="1"/>
  <c r="A5396" i="1"/>
  <c r="A5395" i="1"/>
  <c r="A5394" i="1"/>
  <c r="A5393" i="1"/>
  <c r="A5392" i="1"/>
  <c r="A5391" i="1"/>
  <c r="A5390" i="1"/>
  <c r="A5389" i="1"/>
  <c r="A5388" i="1"/>
  <c r="A5387" i="1"/>
  <c r="A5386" i="1"/>
  <c r="A5385" i="1"/>
  <c r="A5384" i="1"/>
  <c r="A5383" i="1"/>
  <c r="A5382" i="1"/>
  <c r="A5381" i="1"/>
  <c r="A5380" i="1"/>
  <c r="A5379" i="1"/>
  <c r="A5378" i="1"/>
  <c r="A5377" i="1"/>
  <c r="A5376" i="1"/>
  <c r="A5375" i="1"/>
  <c r="A5374" i="1"/>
  <c r="A5373" i="1"/>
  <c r="A5372" i="1"/>
  <c r="A5371" i="1"/>
  <c r="A5370" i="1"/>
  <c r="A5369" i="1"/>
  <c r="A5368" i="1"/>
  <c r="A5367" i="1"/>
  <c r="A5366" i="1"/>
  <c r="A5365" i="1"/>
  <c r="A5364" i="1"/>
  <c r="A5363" i="1"/>
  <c r="A5362" i="1"/>
  <c r="A5361" i="1"/>
  <c r="A5360" i="1"/>
  <c r="A5359" i="1"/>
  <c r="A5358" i="1"/>
  <c r="A5357" i="1"/>
  <c r="A5356" i="1"/>
  <c r="A5355" i="1"/>
  <c r="A5354" i="1"/>
  <c r="A5353" i="1"/>
  <c r="A5352" i="1"/>
  <c r="A5351" i="1"/>
  <c r="A5350" i="1"/>
  <c r="A5349" i="1"/>
  <c r="A5348" i="1"/>
  <c r="A5347" i="1"/>
  <c r="A5346" i="1"/>
  <c r="A5345" i="1"/>
  <c r="A5344" i="1"/>
  <c r="A5343" i="1"/>
  <c r="A5342" i="1"/>
  <c r="A5341" i="1"/>
  <c r="A5340" i="1"/>
  <c r="A5339" i="1"/>
  <c r="A5338" i="1"/>
  <c r="A5337" i="1"/>
  <c r="A5336" i="1"/>
  <c r="A5335" i="1"/>
  <c r="A5334" i="1"/>
  <c r="A5333" i="1"/>
  <c r="A5332" i="1"/>
  <c r="A5331" i="1"/>
  <c r="A5330" i="1"/>
  <c r="A5329" i="1"/>
  <c r="A5328" i="1"/>
  <c r="A5327" i="1"/>
  <c r="A5326" i="1"/>
  <c r="A5325" i="1"/>
  <c r="A5324" i="1"/>
  <c r="A5323" i="1"/>
  <c r="A5322" i="1"/>
  <c r="A5321" i="1"/>
  <c r="A5320" i="1"/>
  <c r="A5319" i="1"/>
  <c r="A5318" i="1"/>
  <c r="A5317" i="1"/>
  <c r="A5316" i="1"/>
  <c r="A5315" i="1"/>
  <c r="A5314" i="1"/>
  <c r="A5313" i="1"/>
  <c r="A5312" i="1"/>
  <c r="A5311" i="1"/>
  <c r="A5310" i="1"/>
  <c r="A5309" i="1"/>
  <c r="A5308" i="1"/>
  <c r="A5307" i="1"/>
  <c r="A5306" i="1"/>
  <c r="A5305" i="1"/>
  <c r="A5304" i="1"/>
  <c r="A5303" i="1"/>
  <c r="A5302" i="1"/>
  <c r="A5301" i="1"/>
  <c r="A5300" i="1"/>
  <c r="A5299" i="1"/>
  <c r="A5298" i="1"/>
  <c r="A5297" i="1"/>
  <c r="A5296" i="1"/>
  <c r="A5295" i="1"/>
  <c r="A5294" i="1"/>
  <c r="A5293" i="1"/>
  <c r="A5292" i="1"/>
  <c r="A5291" i="1"/>
  <c r="A5290" i="1"/>
  <c r="A5289" i="1"/>
  <c r="A5288" i="1"/>
  <c r="A5287" i="1"/>
  <c r="A5286" i="1"/>
  <c r="A5285" i="1"/>
  <c r="A5284" i="1"/>
  <c r="A5283" i="1"/>
  <c r="A5282" i="1"/>
  <c r="A5281" i="1"/>
  <c r="A5280" i="1"/>
  <c r="A5279" i="1"/>
  <c r="A5278" i="1"/>
  <c r="A5277" i="1"/>
  <c r="A5276" i="1"/>
  <c r="A5275" i="1"/>
  <c r="A5274" i="1"/>
  <c r="A5273" i="1"/>
  <c r="A5272" i="1"/>
  <c r="A5271" i="1"/>
  <c r="A5270" i="1"/>
  <c r="A5269" i="1"/>
  <c r="A5268" i="1"/>
  <c r="A5267" i="1"/>
  <c r="A5266" i="1"/>
  <c r="A5265" i="1"/>
  <c r="A5264" i="1"/>
  <c r="A5263" i="1"/>
  <c r="A5262" i="1"/>
  <c r="A5261" i="1"/>
  <c r="A5260" i="1"/>
  <c r="A5259" i="1"/>
  <c r="A5258" i="1"/>
  <c r="A5257" i="1"/>
  <c r="A5256" i="1"/>
  <c r="A5255" i="1"/>
  <c r="A5254" i="1"/>
  <c r="A5253" i="1"/>
  <c r="A5252" i="1"/>
  <c r="A5251" i="1"/>
  <c r="A5250" i="1"/>
  <c r="A5249" i="1"/>
  <c r="A5248" i="1"/>
  <c r="A5247" i="1"/>
  <c r="A5246" i="1"/>
  <c r="A5245" i="1"/>
  <c r="A5244" i="1"/>
  <c r="A5243" i="1"/>
  <c r="A5242" i="1"/>
  <c r="A5241" i="1"/>
  <c r="A5240" i="1"/>
  <c r="A5239" i="1"/>
  <c r="A5238" i="1"/>
  <c r="A5237" i="1"/>
  <c r="A5236" i="1"/>
  <c r="A5235" i="1"/>
  <c r="A5234" i="1"/>
  <c r="A5233" i="1"/>
  <c r="A5232" i="1"/>
  <c r="A5231" i="1"/>
  <c r="A5230" i="1"/>
  <c r="A5229" i="1"/>
  <c r="A5228" i="1"/>
  <c r="A5227" i="1"/>
  <c r="A5226" i="1"/>
  <c r="A5225" i="1"/>
  <c r="A5224" i="1"/>
  <c r="A5223" i="1"/>
  <c r="A5222" i="1"/>
  <c r="A5221" i="1"/>
  <c r="A5220" i="1"/>
  <c r="A5219" i="1"/>
  <c r="A5218" i="1"/>
  <c r="A5217" i="1"/>
  <c r="A5216" i="1"/>
  <c r="A5215" i="1"/>
  <c r="A5214" i="1"/>
  <c r="A5213" i="1"/>
  <c r="A5212" i="1"/>
  <c r="A5211" i="1"/>
  <c r="A5210" i="1"/>
  <c r="A5209" i="1"/>
  <c r="A5208" i="1"/>
  <c r="A5207" i="1"/>
  <c r="A5206" i="1"/>
  <c r="A5205" i="1"/>
  <c r="A5204" i="1"/>
  <c r="A5203" i="1"/>
  <c r="A5202" i="1"/>
  <c r="A5201" i="1"/>
  <c r="A5200" i="1"/>
  <c r="A5199" i="1"/>
  <c r="A5198" i="1"/>
  <c r="A5197" i="1"/>
  <c r="A5196" i="1"/>
  <c r="A5195" i="1"/>
  <c r="A5194" i="1"/>
  <c r="A5193" i="1"/>
  <c r="A5192" i="1"/>
  <c r="A5191" i="1"/>
  <c r="A5190" i="1"/>
  <c r="A5189" i="1"/>
  <c r="A5188" i="1"/>
  <c r="A5187" i="1"/>
  <c r="A5186" i="1"/>
  <c r="A5185" i="1"/>
  <c r="A5184" i="1"/>
  <c r="A5183" i="1"/>
  <c r="A5182" i="1"/>
  <c r="A5181" i="1"/>
  <c r="A5180" i="1"/>
  <c r="A5179" i="1"/>
  <c r="A5178" i="1"/>
  <c r="A5177" i="1"/>
  <c r="A5176" i="1"/>
  <c r="A5175" i="1"/>
  <c r="A5174" i="1"/>
  <c r="A5173" i="1"/>
  <c r="A5172" i="1"/>
  <c r="A5171" i="1"/>
  <c r="A5170" i="1"/>
  <c r="A5169" i="1"/>
  <c r="A5168" i="1"/>
  <c r="A5167" i="1"/>
  <c r="A5166" i="1"/>
  <c r="A5165" i="1"/>
  <c r="A5164" i="1"/>
  <c r="A5163" i="1"/>
  <c r="A5162" i="1"/>
  <c r="A5161" i="1"/>
  <c r="A5160" i="1"/>
  <c r="A5159" i="1"/>
  <c r="A5158" i="1"/>
  <c r="A5157" i="1"/>
  <c r="A5156" i="1"/>
  <c r="A5155" i="1"/>
  <c r="A5154" i="1"/>
  <c r="A5153" i="1"/>
  <c r="A5152" i="1"/>
  <c r="A5151" i="1"/>
  <c r="A5150" i="1"/>
  <c r="A5149" i="1"/>
  <c r="A5148" i="1"/>
  <c r="A5147" i="1"/>
  <c r="A5146" i="1"/>
  <c r="A5145" i="1"/>
  <c r="A5144" i="1"/>
  <c r="A5143" i="1"/>
  <c r="A5142" i="1"/>
  <c r="A5141" i="1"/>
  <c r="A5140" i="1"/>
  <c r="A5139" i="1"/>
  <c r="A5138" i="1"/>
  <c r="A5137" i="1"/>
  <c r="A5136" i="1"/>
  <c r="A5135" i="1"/>
  <c r="A5134" i="1"/>
  <c r="A5133" i="1"/>
  <c r="A5132" i="1"/>
  <c r="A5131" i="1"/>
  <c r="A5130" i="1"/>
  <c r="A5129" i="1"/>
  <c r="A5128" i="1"/>
  <c r="A5127" i="1"/>
  <c r="A5126" i="1"/>
  <c r="A5125" i="1"/>
  <c r="A5124" i="1"/>
  <c r="A5123" i="1"/>
  <c r="A5122" i="1"/>
  <c r="A5121" i="1"/>
  <c r="A5120" i="1"/>
  <c r="A5119" i="1"/>
  <c r="A5118" i="1"/>
  <c r="A5117" i="1"/>
  <c r="A5116" i="1"/>
  <c r="A5115" i="1"/>
  <c r="A5114" i="1"/>
  <c r="A5113" i="1"/>
  <c r="A5112" i="1"/>
  <c r="A5111" i="1"/>
  <c r="A5110" i="1"/>
  <c r="A5109" i="1"/>
  <c r="A5108" i="1"/>
  <c r="A5107" i="1"/>
  <c r="A5106" i="1"/>
  <c r="A5105" i="1"/>
  <c r="A5104" i="1"/>
  <c r="A5103" i="1"/>
  <c r="A5102" i="1"/>
  <c r="A5101" i="1"/>
  <c r="A5100" i="1"/>
  <c r="A5099" i="1"/>
  <c r="A5098" i="1"/>
  <c r="A5097" i="1"/>
  <c r="A5096" i="1"/>
  <c r="A5095" i="1"/>
  <c r="A5094" i="1"/>
  <c r="A5093" i="1"/>
  <c r="A5092" i="1"/>
  <c r="A5091" i="1"/>
  <c r="A5090" i="1"/>
  <c r="A5089" i="1"/>
  <c r="A5088" i="1"/>
  <c r="A5087" i="1"/>
  <c r="A5086" i="1"/>
  <c r="A5085" i="1"/>
  <c r="A5084" i="1"/>
  <c r="A5083" i="1"/>
  <c r="A5082" i="1"/>
  <c r="A5081" i="1"/>
  <c r="A5080" i="1"/>
  <c r="A5079" i="1"/>
  <c r="A5078" i="1"/>
  <c r="A5077" i="1"/>
  <c r="A5076" i="1"/>
  <c r="A5075" i="1"/>
  <c r="A5074" i="1"/>
  <c r="A5073" i="1"/>
  <c r="A5072" i="1"/>
  <c r="A5071" i="1"/>
  <c r="A5070" i="1"/>
  <c r="A5069" i="1"/>
  <c r="A5068" i="1"/>
  <c r="A5067" i="1"/>
  <c r="A5066" i="1"/>
  <c r="A5065" i="1"/>
  <c r="A5064" i="1"/>
  <c r="A5063" i="1"/>
  <c r="A5062" i="1"/>
  <c r="A5061" i="1"/>
  <c r="A5060" i="1"/>
  <c r="A5059" i="1"/>
  <c r="A5058" i="1"/>
  <c r="A5057" i="1"/>
  <c r="A5056" i="1"/>
  <c r="A5055" i="1"/>
  <c r="A5054" i="1"/>
  <c r="A5053" i="1"/>
  <c r="A5052" i="1"/>
  <c r="A5051" i="1"/>
  <c r="A5050" i="1"/>
  <c r="A5049" i="1"/>
  <c r="A5048" i="1"/>
  <c r="A5047" i="1"/>
  <c r="A5046" i="1"/>
  <c r="A5045" i="1"/>
  <c r="A5044" i="1"/>
  <c r="A5043" i="1"/>
  <c r="A5042" i="1"/>
  <c r="A5041" i="1"/>
  <c r="A5040" i="1"/>
  <c r="A5039" i="1"/>
  <c r="A5038" i="1"/>
  <c r="A5037" i="1"/>
  <c r="A5036" i="1"/>
  <c r="A5035" i="1"/>
  <c r="A5034" i="1"/>
  <c r="A5033" i="1"/>
  <c r="A5032" i="1"/>
  <c r="A5031" i="1"/>
  <c r="A5030" i="1"/>
  <c r="A5029" i="1"/>
  <c r="A5028" i="1"/>
  <c r="A5027" i="1"/>
  <c r="A5026" i="1"/>
  <c r="A5025" i="1"/>
  <c r="A5024" i="1"/>
  <c r="A5023" i="1"/>
  <c r="A5022" i="1"/>
  <c r="A5021" i="1"/>
  <c r="A5020" i="1"/>
  <c r="A5019" i="1"/>
  <c r="A5018" i="1"/>
  <c r="A5017" i="1"/>
  <c r="A5016" i="1"/>
  <c r="A5015" i="1"/>
  <c r="A5014" i="1"/>
  <c r="A5013" i="1"/>
  <c r="A5012" i="1"/>
  <c r="A5011" i="1"/>
  <c r="A5010" i="1"/>
  <c r="A5009" i="1"/>
  <c r="A5008" i="1"/>
  <c r="A5007" i="1"/>
  <c r="A5006" i="1"/>
  <c r="A5005" i="1"/>
  <c r="A5004" i="1"/>
  <c r="A5003" i="1"/>
  <c r="A5002" i="1"/>
  <c r="A5001" i="1"/>
  <c r="A5000" i="1"/>
  <c r="A4999" i="1"/>
  <c r="A4998" i="1"/>
  <c r="A4997" i="1"/>
  <c r="A4996" i="1"/>
  <c r="A4995" i="1"/>
  <c r="A4994" i="1"/>
  <c r="A4993" i="1"/>
  <c r="A4992" i="1"/>
  <c r="A4991" i="1"/>
  <c r="A4990" i="1"/>
  <c r="A4989" i="1"/>
  <c r="A4988" i="1"/>
  <c r="A4987" i="1"/>
  <c r="A4986" i="1"/>
  <c r="A4985" i="1"/>
  <c r="A4984" i="1"/>
  <c r="A4983" i="1"/>
  <c r="A4982" i="1"/>
  <c r="A4981" i="1"/>
  <c r="A4980" i="1"/>
  <c r="A4979" i="1"/>
  <c r="A4978" i="1"/>
  <c r="A4977" i="1"/>
  <c r="A4976" i="1"/>
  <c r="A4975" i="1"/>
  <c r="A4974" i="1"/>
  <c r="A4973" i="1"/>
  <c r="A4972" i="1"/>
  <c r="A4971" i="1"/>
  <c r="A4970" i="1"/>
  <c r="A4969" i="1"/>
  <c r="A4968" i="1"/>
  <c r="A4967" i="1"/>
  <c r="A4966" i="1"/>
  <c r="A4965" i="1"/>
  <c r="A4964" i="1"/>
  <c r="A4963" i="1"/>
  <c r="A4962" i="1"/>
  <c r="A4961" i="1"/>
  <c r="A4960" i="1"/>
  <c r="A4959" i="1"/>
  <c r="A4958" i="1"/>
  <c r="A4957" i="1"/>
  <c r="A4956" i="1"/>
  <c r="A4955" i="1"/>
  <c r="A4954" i="1"/>
  <c r="A4953" i="1"/>
  <c r="A4952" i="1"/>
  <c r="A4951" i="1"/>
  <c r="A4950" i="1"/>
  <c r="A4949" i="1"/>
  <c r="A4948" i="1"/>
  <c r="A4947" i="1"/>
  <c r="A4946" i="1"/>
  <c r="A4945" i="1"/>
  <c r="A4944" i="1"/>
  <c r="A4943" i="1"/>
  <c r="A4942" i="1"/>
  <c r="A4941" i="1"/>
  <c r="A4940" i="1"/>
  <c r="A4939" i="1"/>
  <c r="A4938" i="1"/>
  <c r="A4937" i="1"/>
  <c r="A4936" i="1"/>
  <c r="A4935" i="1"/>
  <c r="A4934" i="1"/>
  <c r="A4933" i="1"/>
  <c r="A4932" i="1"/>
  <c r="A4931" i="1"/>
  <c r="A4930" i="1"/>
  <c r="A4929" i="1"/>
  <c r="A4928" i="1"/>
  <c r="A4927" i="1"/>
  <c r="A4926" i="1"/>
  <c r="A4925" i="1"/>
  <c r="A4924" i="1"/>
  <c r="A4923" i="1"/>
  <c r="A4922" i="1"/>
  <c r="A4921" i="1"/>
  <c r="A4920" i="1"/>
  <c r="A4919" i="1"/>
  <c r="A4918" i="1"/>
  <c r="A4917" i="1"/>
  <c r="A4916" i="1"/>
  <c r="A4915" i="1"/>
  <c r="A4914" i="1"/>
  <c r="A4913" i="1"/>
  <c r="A4912" i="1"/>
  <c r="A4911" i="1"/>
  <c r="A4910" i="1"/>
  <c r="A4909" i="1"/>
  <c r="A4908" i="1"/>
  <c r="A4907" i="1"/>
  <c r="A4906" i="1"/>
  <c r="A4905" i="1"/>
  <c r="A4904" i="1"/>
  <c r="A4903" i="1"/>
  <c r="A4902" i="1"/>
  <c r="A4901" i="1"/>
  <c r="A4900" i="1"/>
  <c r="A4899" i="1"/>
  <c r="A4898" i="1"/>
  <c r="A4897" i="1"/>
  <c r="A4896" i="1"/>
  <c r="A4895" i="1"/>
  <c r="A4894" i="1"/>
  <c r="A4893" i="1"/>
  <c r="A4892" i="1"/>
  <c r="A4891" i="1"/>
  <c r="A4890" i="1"/>
  <c r="A4889" i="1"/>
  <c r="A4888" i="1"/>
  <c r="A4887" i="1"/>
  <c r="A4886" i="1"/>
  <c r="A4885" i="1"/>
  <c r="A4884" i="1"/>
  <c r="A4883" i="1"/>
  <c r="A4882" i="1"/>
  <c r="A4881" i="1"/>
  <c r="A4880" i="1"/>
  <c r="A4879" i="1"/>
  <c r="A4878" i="1"/>
  <c r="A4877" i="1"/>
  <c r="A4876" i="1"/>
  <c r="A4875" i="1"/>
  <c r="A4874" i="1"/>
  <c r="A4873" i="1"/>
  <c r="A4872" i="1"/>
  <c r="A4871" i="1"/>
  <c r="A4870" i="1"/>
  <c r="A4869" i="1"/>
  <c r="A4868" i="1"/>
  <c r="A4867" i="1"/>
  <c r="A4866" i="1"/>
  <c r="A4865" i="1"/>
  <c r="A4864" i="1"/>
  <c r="A4863" i="1"/>
  <c r="A4862" i="1"/>
  <c r="A4861" i="1"/>
  <c r="A4860" i="1"/>
  <c r="A4859" i="1"/>
  <c r="A4858" i="1"/>
  <c r="A4857" i="1"/>
  <c r="A4856" i="1"/>
  <c r="A4855" i="1"/>
  <c r="A4854" i="1"/>
  <c r="A4853" i="1"/>
  <c r="A4852" i="1"/>
  <c r="A4851" i="1"/>
  <c r="A4850" i="1"/>
  <c r="A4849" i="1"/>
  <c r="A4848" i="1"/>
  <c r="A4847" i="1"/>
  <c r="A4846" i="1"/>
  <c r="A4845" i="1"/>
  <c r="A4844" i="1"/>
  <c r="A4843" i="1"/>
  <c r="A4842" i="1"/>
  <c r="A4841" i="1"/>
  <c r="A4840" i="1"/>
  <c r="A4839" i="1"/>
  <c r="A4838" i="1"/>
  <c r="A4837" i="1"/>
  <c r="A4836" i="1"/>
  <c r="A4835" i="1"/>
  <c r="A4834" i="1"/>
  <c r="A4833" i="1"/>
  <c r="A4832" i="1"/>
  <c r="A4831" i="1"/>
  <c r="A4830" i="1"/>
  <c r="A4829" i="1"/>
  <c r="A4828" i="1"/>
  <c r="A4827" i="1"/>
  <c r="A4826" i="1"/>
  <c r="A4825" i="1"/>
  <c r="A4824" i="1"/>
  <c r="A4823" i="1"/>
  <c r="A4822" i="1"/>
  <c r="A4821" i="1"/>
  <c r="A4820" i="1"/>
  <c r="A4819" i="1"/>
  <c r="A4818" i="1"/>
  <c r="A4817" i="1"/>
  <c r="A4816" i="1"/>
  <c r="A4815" i="1"/>
  <c r="A4814" i="1"/>
  <c r="A4813" i="1"/>
  <c r="A4812" i="1"/>
  <c r="A4811" i="1"/>
  <c r="A4810" i="1"/>
  <c r="A4809" i="1"/>
  <c r="A4808" i="1"/>
  <c r="A4807" i="1"/>
  <c r="A4806" i="1"/>
  <c r="A4805" i="1"/>
  <c r="A4804" i="1"/>
  <c r="A4803" i="1"/>
  <c r="A4802" i="1"/>
  <c r="A4801" i="1"/>
  <c r="A4800" i="1"/>
  <c r="A4799" i="1"/>
  <c r="A4798" i="1"/>
  <c r="A4797" i="1"/>
  <c r="A4796" i="1"/>
  <c r="A4795" i="1"/>
  <c r="A4794" i="1"/>
  <c r="A4793" i="1"/>
  <c r="A4792" i="1"/>
  <c r="A4791" i="1"/>
  <c r="A4790" i="1"/>
  <c r="A4789" i="1"/>
  <c r="A4788" i="1"/>
  <c r="A4787" i="1"/>
  <c r="A4786" i="1"/>
  <c r="A4785" i="1"/>
  <c r="A4784" i="1"/>
  <c r="A4783" i="1"/>
  <c r="A4782" i="1"/>
  <c r="A4781" i="1"/>
  <c r="A4780" i="1"/>
  <c r="A4779" i="1"/>
  <c r="A4778" i="1"/>
  <c r="A4777" i="1"/>
  <c r="A4776" i="1"/>
  <c r="A4775" i="1"/>
  <c r="A4774" i="1"/>
  <c r="A4773" i="1"/>
  <c r="A4772" i="1"/>
  <c r="A4771" i="1"/>
  <c r="A4770" i="1"/>
  <c r="A4769" i="1"/>
  <c r="A4768" i="1"/>
  <c r="A4767" i="1"/>
  <c r="A4766" i="1"/>
  <c r="A4765" i="1"/>
  <c r="A4764" i="1"/>
  <c r="A4763" i="1"/>
  <c r="A4762" i="1"/>
  <c r="A4761" i="1"/>
  <c r="A4760" i="1"/>
  <c r="A4759" i="1"/>
  <c r="A4758" i="1"/>
  <c r="A4757" i="1"/>
  <c r="A4756" i="1"/>
  <c r="A4755" i="1"/>
  <c r="A4754" i="1"/>
  <c r="A4753" i="1"/>
  <c r="A4752" i="1"/>
  <c r="A4751" i="1"/>
  <c r="A4750" i="1"/>
  <c r="A4749" i="1"/>
  <c r="A4748" i="1"/>
  <c r="A4747" i="1"/>
  <c r="A4746" i="1"/>
  <c r="A4745" i="1"/>
  <c r="A4744" i="1"/>
  <c r="A4743" i="1"/>
  <c r="A4742" i="1"/>
  <c r="A4741" i="1"/>
  <c r="A4740" i="1"/>
  <c r="A4739" i="1"/>
  <c r="A4738" i="1"/>
  <c r="A4737" i="1"/>
  <c r="A4736" i="1"/>
  <c r="A4735" i="1"/>
  <c r="A4734" i="1"/>
  <c r="A4733" i="1"/>
  <c r="A4732" i="1"/>
  <c r="A4731" i="1"/>
  <c r="A4730" i="1"/>
  <c r="A4729" i="1"/>
  <c r="A4728" i="1"/>
  <c r="A4727" i="1"/>
  <c r="A4726" i="1"/>
  <c r="A4725" i="1"/>
  <c r="A4724" i="1"/>
  <c r="A4723" i="1"/>
  <c r="A4722" i="1"/>
  <c r="A4721" i="1"/>
  <c r="A4720" i="1"/>
  <c r="A4719" i="1"/>
  <c r="A4718" i="1"/>
  <c r="A4717" i="1"/>
  <c r="A4716" i="1"/>
  <c r="A4715" i="1"/>
  <c r="A4714" i="1"/>
  <c r="A4713" i="1"/>
  <c r="A4712" i="1"/>
  <c r="A4711" i="1"/>
  <c r="A4710" i="1"/>
  <c r="A4709" i="1"/>
  <c r="A4708" i="1"/>
  <c r="A4707" i="1"/>
  <c r="A4706" i="1"/>
  <c r="A4705" i="1"/>
  <c r="A4704" i="1"/>
  <c r="A4703" i="1"/>
  <c r="A4702" i="1"/>
  <c r="A4701" i="1"/>
  <c r="A4700" i="1"/>
  <c r="A4699" i="1"/>
  <c r="A4698" i="1"/>
  <c r="A4697" i="1"/>
  <c r="A4696" i="1"/>
  <c r="A4695" i="1"/>
  <c r="A4694" i="1"/>
  <c r="A4693" i="1"/>
  <c r="A4692" i="1"/>
  <c r="A4691" i="1"/>
  <c r="A4690" i="1"/>
  <c r="A4689" i="1"/>
  <c r="A4688" i="1"/>
  <c r="A4687" i="1"/>
  <c r="A4686" i="1"/>
  <c r="A4685" i="1"/>
  <c r="A4684" i="1"/>
  <c r="A4683" i="1"/>
  <c r="A4682" i="1"/>
  <c r="A4681" i="1"/>
  <c r="A4680" i="1"/>
  <c r="A4679" i="1"/>
  <c r="A4678" i="1"/>
  <c r="A4677" i="1"/>
  <c r="A4676" i="1"/>
  <c r="A4675" i="1"/>
  <c r="A4674" i="1"/>
  <c r="A4673" i="1"/>
  <c r="A4672" i="1"/>
  <c r="A4671" i="1"/>
  <c r="A4670" i="1"/>
  <c r="A4669" i="1"/>
  <c r="A4668" i="1"/>
  <c r="A4667" i="1"/>
  <c r="A4666" i="1"/>
  <c r="A4665" i="1"/>
  <c r="A4664" i="1"/>
  <c r="A4663" i="1"/>
  <c r="A4662" i="1"/>
  <c r="A4661" i="1"/>
  <c r="A4660" i="1"/>
  <c r="A4659" i="1"/>
  <c r="A4658" i="1"/>
  <c r="A4657" i="1"/>
  <c r="A4656" i="1"/>
  <c r="A4655" i="1"/>
  <c r="A4654" i="1"/>
  <c r="A4653" i="1"/>
  <c r="A4652" i="1"/>
  <c r="A4651" i="1"/>
  <c r="A4650" i="1"/>
  <c r="A4649" i="1"/>
  <c r="A4648" i="1"/>
  <c r="A4647" i="1"/>
  <c r="A4646" i="1"/>
  <c r="A4645" i="1"/>
  <c r="A4644" i="1"/>
  <c r="A4643" i="1"/>
  <c r="A4642" i="1"/>
  <c r="A4641" i="1"/>
  <c r="A4640" i="1"/>
  <c r="A4639" i="1"/>
  <c r="A4638" i="1"/>
  <c r="A4637" i="1"/>
  <c r="A4636" i="1"/>
  <c r="A4635" i="1"/>
  <c r="A4634" i="1"/>
  <c r="A4633" i="1"/>
  <c r="A4632" i="1"/>
  <c r="A4631" i="1"/>
  <c r="A4630" i="1"/>
  <c r="A4629" i="1"/>
  <c r="A4628" i="1"/>
  <c r="A4627" i="1"/>
  <c r="A4626" i="1"/>
  <c r="A4625" i="1"/>
  <c r="A4624" i="1"/>
  <c r="A4623" i="1"/>
  <c r="A4622" i="1"/>
  <c r="A4621" i="1"/>
  <c r="A4620" i="1"/>
  <c r="A4619" i="1"/>
  <c r="A4618" i="1"/>
  <c r="A4617" i="1"/>
  <c r="A4616" i="1"/>
  <c r="A4615" i="1"/>
  <c r="A4614" i="1"/>
  <c r="A4613" i="1"/>
  <c r="A4612" i="1"/>
  <c r="A4611" i="1"/>
  <c r="A4610" i="1"/>
  <c r="A4609" i="1"/>
  <c r="A4608" i="1"/>
  <c r="A4607" i="1"/>
  <c r="A4606" i="1"/>
  <c r="A4605" i="1"/>
  <c r="A4604" i="1"/>
  <c r="A4603" i="1"/>
  <c r="A4602" i="1"/>
  <c r="A4601" i="1"/>
  <c r="A4600" i="1"/>
  <c r="A4599" i="1"/>
  <c r="A4598" i="1"/>
  <c r="A4597" i="1"/>
  <c r="A4596" i="1"/>
  <c r="A4595" i="1"/>
  <c r="A4594" i="1"/>
  <c r="A4593" i="1"/>
  <c r="A4592" i="1"/>
  <c r="A4591" i="1"/>
  <c r="A4590" i="1"/>
  <c r="A4589" i="1"/>
  <c r="A4588" i="1"/>
  <c r="A4587" i="1"/>
  <c r="A4586" i="1"/>
  <c r="A4585" i="1"/>
  <c r="A4584" i="1"/>
  <c r="A4583" i="1"/>
  <c r="A4582" i="1"/>
  <c r="A4581" i="1"/>
  <c r="A4580" i="1"/>
  <c r="A4579" i="1"/>
  <c r="A4578" i="1"/>
  <c r="A4577" i="1"/>
  <c r="A4576" i="1"/>
  <c r="A4575" i="1"/>
  <c r="A4574" i="1"/>
  <c r="A4573" i="1"/>
  <c r="A4572" i="1"/>
  <c r="A4571" i="1"/>
  <c r="A4570" i="1"/>
  <c r="A4569" i="1"/>
  <c r="A4568" i="1"/>
  <c r="A4567" i="1"/>
  <c r="A4566" i="1"/>
  <c r="A4565" i="1"/>
  <c r="A4564" i="1"/>
  <c r="A4563" i="1"/>
  <c r="A4562" i="1"/>
  <c r="A4561" i="1"/>
  <c r="A4560" i="1"/>
  <c r="A4559" i="1"/>
  <c r="A4558" i="1"/>
  <c r="A4557" i="1"/>
  <c r="A4556" i="1"/>
  <c r="A4555" i="1"/>
  <c r="A4554" i="1"/>
  <c r="A4553" i="1"/>
  <c r="A4552" i="1"/>
  <c r="A4551" i="1"/>
  <c r="A4550" i="1"/>
  <c r="A4549" i="1"/>
  <c r="A4548" i="1"/>
  <c r="A4547" i="1"/>
  <c r="A4546" i="1"/>
  <c r="A4545" i="1"/>
  <c r="A4544" i="1"/>
  <c r="A4543" i="1"/>
  <c r="A4542" i="1"/>
  <c r="A4541" i="1"/>
  <c r="A4540" i="1"/>
  <c r="A4539" i="1"/>
  <c r="A4538" i="1"/>
  <c r="A4537" i="1"/>
  <c r="A4536" i="1"/>
  <c r="A4535" i="1"/>
  <c r="A4534" i="1"/>
  <c r="A4533" i="1"/>
  <c r="A4532" i="1"/>
  <c r="A4531" i="1"/>
  <c r="A4530" i="1"/>
  <c r="A4529" i="1"/>
  <c r="A4528" i="1"/>
  <c r="A4527" i="1"/>
  <c r="A4526" i="1"/>
  <c r="A4525" i="1"/>
  <c r="A4524" i="1"/>
  <c r="A4523" i="1"/>
  <c r="A4522" i="1"/>
  <c r="A4521" i="1"/>
  <c r="A4520" i="1"/>
  <c r="A4519" i="1"/>
  <c r="A4518" i="1"/>
  <c r="A4517" i="1"/>
  <c r="A4516" i="1"/>
  <c r="A4515" i="1"/>
  <c r="A4514" i="1"/>
  <c r="A4513" i="1"/>
  <c r="A4512" i="1"/>
  <c r="A4511" i="1"/>
  <c r="A4510" i="1"/>
  <c r="A4509" i="1"/>
  <c r="A4508" i="1"/>
  <c r="A4507" i="1"/>
  <c r="A4506" i="1"/>
  <c r="A4505" i="1"/>
  <c r="A4504" i="1"/>
  <c r="A4503" i="1"/>
  <c r="A4502" i="1"/>
  <c r="A4501" i="1"/>
  <c r="A4500" i="1"/>
  <c r="A4499" i="1"/>
  <c r="A4498" i="1"/>
  <c r="A4497" i="1"/>
  <c r="A4496" i="1"/>
  <c r="A4495" i="1"/>
  <c r="A4494" i="1"/>
  <c r="A4493" i="1"/>
  <c r="A4492" i="1"/>
  <c r="A4491" i="1"/>
  <c r="A4490" i="1"/>
  <c r="A4489" i="1"/>
  <c r="A4488" i="1"/>
  <c r="A4487" i="1"/>
  <c r="A4486" i="1"/>
  <c r="A4485" i="1"/>
  <c r="A4484" i="1"/>
  <c r="A4483" i="1"/>
  <c r="A4482" i="1"/>
  <c r="A4481" i="1"/>
  <c r="A4480" i="1"/>
  <c r="A4479" i="1"/>
  <c r="A4478" i="1"/>
  <c r="A4477" i="1"/>
  <c r="A4476" i="1"/>
  <c r="A4475" i="1"/>
  <c r="A4474" i="1"/>
  <c r="A4473" i="1"/>
  <c r="A4472" i="1"/>
  <c r="A4471" i="1"/>
  <c r="A4470" i="1"/>
  <c r="A4469" i="1"/>
  <c r="A4468" i="1"/>
  <c r="A4467" i="1"/>
  <c r="A4466" i="1"/>
  <c r="A4465" i="1"/>
  <c r="A4464" i="1"/>
  <c r="A4463" i="1"/>
  <c r="A4462" i="1"/>
  <c r="A4461" i="1"/>
  <c r="A4460" i="1"/>
  <c r="A4459" i="1"/>
  <c r="A4458" i="1"/>
  <c r="A4457" i="1"/>
  <c r="A4456" i="1"/>
  <c r="A4455" i="1"/>
  <c r="A4454" i="1"/>
  <c r="A4453" i="1"/>
  <c r="A4452" i="1"/>
  <c r="A4451" i="1"/>
  <c r="A4450" i="1"/>
  <c r="A4449" i="1"/>
  <c r="A4448" i="1"/>
  <c r="A4447" i="1"/>
  <c r="A4446" i="1"/>
  <c r="A4445" i="1"/>
  <c r="A4444" i="1"/>
  <c r="A4443" i="1"/>
  <c r="A4442" i="1"/>
  <c r="A4441" i="1"/>
  <c r="A4440" i="1"/>
  <c r="A4439" i="1"/>
  <c r="A4438" i="1"/>
  <c r="A4437" i="1"/>
  <c r="A4436" i="1"/>
  <c r="A4435" i="1"/>
  <c r="A4434" i="1"/>
  <c r="A4433" i="1"/>
  <c r="A4432" i="1"/>
  <c r="A4431" i="1"/>
  <c r="A4430" i="1"/>
  <c r="A4429" i="1"/>
  <c r="A4428" i="1"/>
  <c r="A4427" i="1"/>
  <c r="A4426" i="1"/>
  <c r="A4425" i="1"/>
  <c r="A4424" i="1"/>
  <c r="A4423" i="1"/>
  <c r="A4422" i="1"/>
  <c r="A4421" i="1"/>
  <c r="A4420" i="1"/>
  <c r="A4419" i="1"/>
  <c r="A4418" i="1"/>
  <c r="A4417" i="1"/>
  <c r="A4416" i="1"/>
  <c r="A4415" i="1"/>
  <c r="A4414" i="1"/>
  <c r="A4413" i="1"/>
  <c r="A4412" i="1"/>
  <c r="A4411" i="1"/>
  <c r="A4410" i="1"/>
  <c r="A4409" i="1"/>
  <c r="A4408" i="1"/>
  <c r="A4407" i="1"/>
  <c r="A4406" i="1"/>
  <c r="A4405" i="1"/>
  <c r="A4404" i="1"/>
  <c r="A4403" i="1"/>
  <c r="A4402" i="1"/>
  <c r="A4401" i="1"/>
  <c r="A4400" i="1"/>
  <c r="A4399" i="1"/>
  <c r="A4398" i="1"/>
  <c r="A4397" i="1"/>
  <c r="A4396" i="1"/>
  <c r="A4395" i="1"/>
  <c r="A4394" i="1"/>
  <c r="A4393" i="1"/>
  <c r="A4392" i="1"/>
  <c r="A4391" i="1"/>
  <c r="A4390" i="1"/>
  <c r="A4389" i="1"/>
  <c r="A4388" i="1"/>
  <c r="A4387" i="1"/>
  <c r="A4386" i="1"/>
  <c r="A4385" i="1"/>
  <c r="A4384" i="1"/>
  <c r="A4383" i="1"/>
  <c r="A4382" i="1"/>
  <c r="A4381" i="1"/>
  <c r="A4380" i="1"/>
  <c r="A4379" i="1"/>
  <c r="A4378" i="1"/>
  <c r="A4377" i="1"/>
  <c r="A4376" i="1"/>
  <c r="A4375" i="1"/>
  <c r="A4374" i="1"/>
  <c r="A4373" i="1"/>
  <c r="A4372" i="1"/>
  <c r="A4371" i="1"/>
  <c r="A4370" i="1"/>
  <c r="A4369" i="1"/>
  <c r="A4368" i="1"/>
  <c r="A4367" i="1"/>
  <c r="A4366" i="1"/>
  <c r="A4365" i="1"/>
  <c r="A4364" i="1"/>
  <c r="A4363" i="1"/>
  <c r="A4362" i="1"/>
  <c r="A4361" i="1"/>
  <c r="A4360" i="1"/>
  <c r="A4359" i="1"/>
  <c r="A4358" i="1"/>
  <c r="A4357" i="1"/>
  <c r="A4356" i="1"/>
  <c r="A4355" i="1"/>
  <c r="A4354" i="1"/>
  <c r="A4353" i="1"/>
  <c r="A4352" i="1"/>
  <c r="A4351" i="1"/>
  <c r="A4350" i="1"/>
  <c r="A4349" i="1"/>
  <c r="A4348" i="1"/>
  <c r="A4347" i="1"/>
  <c r="A4346" i="1"/>
  <c r="A4345" i="1"/>
  <c r="A4344" i="1"/>
  <c r="A4343" i="1"/>
  <c r="A4342" i="1"/>
  <c r="A4341" i="1"/>
  <c r="A4340" i="1"/>
  <c r="A4339" i="1"/>
  <c r="A4338" i="1"/>
  <c r="A4337" i="1"/>
  <c r="A4336" i="1"/>
  <c r="A4335" i="1"/>
  <c r="A4334" i="1"/>
  <c r="A4333" i="1"/>
  <c r="A4332" i="1"/>
  <c r="A4331" i="1"/>
  <c r="A4330" i="1"/>
  <c r="A4329" i="1"/>
  <c r="A4328" i="1"/>
  <c r="A4327" i="1"/>
  <c r="A4326" i="1"/>
  <c r="A4325" i="1"/>
  <c r="A4324" i="1"/>
  <c r="A4323" i="1"/>
  <c r="A4322" i="1"/>
  <c r="A4321" i="1"/>
  <c r="A4320" i="1"/>
  <c r="A4319" i="1"/>
  <c r="A4318" i="1"/>
  <c r="A4317" i="1"/>
  <c r="A4316" i="1"/>
  <c r="A4315" i="1"/>
  <c r="A4314" i="1"/>
  <c r="A4313" i="1"/>
  <c r="A4312" i="1"/>
  <c r="A4311" i="1"/>
  <c r="A4310" i="1"/>
  <c r="A4309" i="1"/>
  <c r="A4308" i="1"/>
  <c r="A4307" i="1"/>
  <c r="A4306" i="1"/>
  <c r="A4305" i="1"/>
  <c r="A4304" i="1"/>
  <c r="A4303" i="1"/>
  <c r="A4302" i="1"/>
  <c r="A4301" i="1"/>
  <c r="A4300" i="1"/>
  <c r="A4299" i="1"/>
  <c r="A4298" i="1"/>
  <c r="A4297" i="1"/>
  <c r="A4296" i="1"/>
  <c r="A4295" i="1"/>
  <c r="A4294" i="1"/>
  <c r="A4293" i="1"/>
  <c r="A4292" i="1"/>
  <c r="A4291" i="1"/>
  <c r="A4290" i="1"/>
  <c r="A4289" i="1"/>
  <c r="A4288" i="1"/>
  <c r="A4287" i="1"/>
  <c r="A4286" i="1"/>
  <c r="A4285" i="1"/>
  <c r="A4284" i="1"/>
  <c r="A4283" i="1"/>
  <c r="A4282" i="1"/>
  <c r="A4281" i="1"/>
  <c r="A4280" i="1"/>
  <c r="A4279" i="1"/>
  <c r="A4278" i="1"/>
  <c r="A4277" i="1"/>
  <c r="A4276" i="1"/>
  <c r="A4275" i="1"/>
  <c r="A4274" i="1"/>
  <c r="A4273" i="1"/>
  <c r="A4272" i="1"/>
  <c r="A4271" i="1"/>
  <c r="A4270" i="1"/>
  <c r="A4269" i="1"/>
  <c r="A4268" i="1"/>
  <c r="A4267" i="1"/>
  <c r="A4266" i="1"/>
  <c r="A4265" i="1"/>
  <c r="A4264" i="1"/>
  <c r="A4263" i="1"/>
  <c r="A4262" i="1"/>
  <c r="A4261" i="1"/>
  <c r="A4260" i="1"/>
  <c r="A4259" i="1"/>
  <c r="A4258" i="1"/>
  <c r="A4257" i="1"/>
  <c r="A4256" i="1"/>
  <c r="A4255" i="1"/>
  <c r="A4254" i="1"/>
  <c r="A4253" i="1"/>
  <c r="A4252" i="1"/>
  <c r="A4251" i="1"/>
  <c r="A4250" i="1"/>
  <c r="A4249" i="1"/>
  <c r="A4248" i="1"/>
  <c r="A4247" i="1"/>
  <c r="A4246" i="1"/>
  <c r="A4245" i="1"/>
  <c r="A4244" i="1"/>
  <c r="A4243" i="1"/>
  <c r="A4242" i="1"/>
  <c r="A4241" i="1"/>
  <c r="A4240" i="1"/>
  <c r="A4239" i="1"/>
  <c r="A4238" i="1"/>
  <c r="A4237" i="1"/>
  <c r="A4236" i="1"/>
  <c r="A4235" i="1"/>
  <c r="A4234" i="1"/>
  <c r="A4233" i="1"/>
  <c r="A4232" i="1"/>
  <c r="A4231" i="1"/>
  <c r="A4230" i="1"/>
  <c r="A4229" i="1"/>
  <c r="A4228" i="1"/>
  <c r="A4227" i="1"/>
  <c r="A4226" i="1"/>
  <c r="A4225" i="1"/>
  <c r="A4224" i="1"/>
  <c r="A4223" i="1"/>
  <c r="A4222" i="1"/>
  <c r="A4221" i="1"/>
  <c r="A4220" i="1"/>
  <c r="A4219" i="1"/>
  <c r="A4218" i="1"/>
  <c r="A4217" i="1"/>
  <c r="A4216" i="1"/>
  <c r="A4215" i="1"/>
  <c r="A4214" i="1"/>
  <c r="A4213" i="1"/>
  <c r="A4212" i="1"/>
  <c r="A4211" i="1"/>
  <c r="A4210" i="1"/>
  <c r="A4209" i="1"/>
  <c r="A4208" i="1"/>
  <c r="A4207" i="1"/>
  <c r="A4206" i="1"/>
  <c r="A4205" i="1"/>
  <c r="A4204" i="1"/>
  <c r="A4203" i="1"/>
  <c r="A4202" i="1"/>
  <c r="A4201" i="1"/>
  <c r="A4200" i="1"/>
  <c r="A4199" i="1"/>
  <c r="A4198" i="1"/>
  <c r="A4197" i="1"/>
  <c r="A4196" i="1"/>
  <c r="A4195" i="1"/>
  <c r="A4194" i="1"/>
  <c r="A4193" i="1"/>
  <c r="A4192" i="1"/>
  <c r="A4191" i="1"/>
  <c r="A4190" i="1"/>
  <c r="A4189" i="1"/>
  <c r="A4188" i="1"/>
  <c r="A4187" i="1"/>
  <c r="A4186" i="1"/>
  <c r="A4185" i="1"/>
  <c r="A4184" i="1"/>
  <c r="A4183" i="1"/>
  <c r="A4182" i="1"/>
  <c r="A4181" i="1"/>
  <c r="A4180" i="1"/>
  <c r="A4179" i="1"/>
  <c r="A4178" i="1"/>
  <c r="A4177" i="1"/>
  <c r="A4176" i="1"/>
  <c r="A4175" i="1"/>
  <c r="A4174" i="1"/>
  <c r="A4173" i="1"/>
  <c r="A4172" i="1"/>
  <c r="A4171" i="1"/>
  <c r="A4170" i="1"/>
  <c r="A4169" i="1"/>
  <c r="A4168" i="1"/>
  <c r="A4167" i="1"/>
  <c r="A4166" i="1"/>
  <c r="A4165" i="1"/>
  <c r="A4164" i="1"/>
  <c r="A4163" i="1"/>
  <c r="A4162" i="1"/>
  <c r="A4161" i="1"/>
  <c r="A4160" i="1"/>
  <c r="A4159" i="1"/>
  <c r="A4158" i="1"/>
  <c r="A4157" i="1"/>
  <c r="A4156" i="1"/>
  <c r="A4155" i="1"/>
  <c r="A4154" i="1"/>
  <c r="A4153" i="1"/>
  <c r="A4152" i="1"/>
  <c r="A4151" i="1"/>
  <c r="A4150" i="1"/>
  <c r="A4149" i="1"/>
  <c r="A4148" i="1"/>
  <c r="A4147" i="1"/>
  <c r="A4146" i="1"/>
  <c r="A4145" i="1"/>
  <c r="A4144" i="1"/>
  <c r="A4143" i="1"/>
  <c r="A4142" i="1"/>
  <c r="A4141" i="1"/>
  <c r="A4140" i="1"/>
  <c r="A4139" i="1"/>
  <c r="A4138" i="1"/>
  <c r="A4137" i="1"/>
  <c r="A4136" i="1"/>
  <c r="A4135" i="1"/>
  <c r="A4134" i="1"/>
  <c r="A4133" i="1"/>
  <c r="A4132" i="1"/>
  <c r="A4131" i="1"/>
  <c r="A4130" i="1"/>
  <c r="A4129" i="1"/>
  <c r="A4128" i="1"/>
  <c r="A4127" i="1"/>
  <c r="A4126" i="1"/>
  <c r="A4125" i="1"/>
  <c r="A4124" i="1"/>
  <c r="A4123" i="1"/>
  <c r="A4122" i="1"/>
  <c r="A4121" i="1"/>
  <c r="A4120" i="1"/>
  <c r="A4119" i="1"/>
  <c r="A4118" i="1"/>
  <c r="A4117" i="1"/>
  <c r="A4116" i="1"/>
  <c r="A4115" i="1"/>
  <c r="A4114" i="1"/>
  <c r="A4113" i="1"/>
  <c r="A4112" i="1"/>
  <c r="A4111" i="1"/>
  <c r="A4110" i="1"/>
  <c r="A4109" i="1"/>
  <c r="A4108" i="1"/>
  <c r="A4107" i="1"/>
  <c r="A4106" i="1"/>
  <c r="A4105" i="1"/>
  <c r="A4104" i="1"/>
  <c r="A4103" i="1"/>
  <c r="A4102" i="1"/>
  <c r="A4101" i="1"/>
  <c r="A4100" i="1"/>
  <c r="A4099" i="1"/>
  <c r="A4098" i="1"/>
  <c r="A4097" i="1"/>
  <c r="A4096" i="1"/>
  <c r="A4095" i="1"/>
  <c r="A4094" i="1"/>
  <c r="A4093" i="1"/>
  <c r="A4092" i="1"/>
  <c r="A4091" i="1"/>
  <c r="A4090" i="1"/>
  <c r="A4089" i="1"/>
  <c r="A4088" i="1"/>
  <c r="A4087" i="1"/>
  <c r="A4086" i="1"/>
  <c r="A4085" i="1"/>
  <c r="A4084" i="1"/>
  <c r="A4083" i="1"/>
  <c r="A4082" i="1"/>
  <c r="A4081" i="1"/>
  <c r="A4080" i="1"/>
  <c r="A4079" i="1"/>
  <c r="A4078" i="1"/>
  <c r="A4077" i="1"/>
  <c r="A4076" i="1"/>
  <c r="A4075" i="1"/>
  <c r="A4074" i="1"/>
  <c r="A4073" i="1"/>
  <c r="A4072" i="1"/>
  <c r="A4071" i="1"/>
  <c r="A4070" i="1"/>
  <c r="A4069" i="1"/>
  <c r="A4068" i="1"/>
  <c r="A4067" i="1"/>
  <c r="A4066" i="1"/>
  <c r="A4065" i="1"/>
  <c r="A4064" i="1"/>
  <c r="A4063" i="1"/>
  <c r="A4062" i="1"/>
  <c r="A4061" i="1"/>
  <c r="A4060" i="1"/>
  <c r="A4059" i="1"/>
  <c r="A4058" i="1"/>
  <c r="A4057" i="1"/>
  <c r="A4056" i="1"/>
  <c r="A4055" i="1"/>
  <c r="A4054" i="1"/>
  <c r="A4053" i="1"/>
  <c r="A4052" i="1"/>
  <c r="A4051" i="1"/>
  <c r="A4050" i="1"/>
  <c r="A4049" i="1"/>
  <c r="A4048" i="1"/>
  <c r="A4047" i="1"/>
  <c r="A4046" i="1"/>
  <c r="A4045" i="1"/>
  <c r="A4044" i="1"/>
  <c r="A4043" i="1"/>
  <c r="A4042" i="1"/>
  <c r="A4041" i="1"/>
  <c r="A4040" i="1"/>
  <c r="A4039" i="1"/>
  <c r="A4038" i="1"/>
  <c r="A4037" i="1"/>
  <c r="A4036" i="1"/>
  <c r="A4035" i="1"/>
  <c r="A4034" i="1"/>
  <c r="A4033" i="1"/>
  <c r="A4032" i="1"/>
  <c r="A4031" i="1"/>
  <c r="A4030" i="1"/>
  <c r="A4029" i="1"/>
  <c r="A4028" i="1"/>
  <c r="A4027" i="1"/>
  <c r="A4026" i="1"/>
  <c r="A4025" i="1"/>
  <c r="A4024" i="1"/>
  <c r="A4023" i="1"/>
  <c r="A4022" i="1"/>
  <c r="A4021" i="1"/>
  <c r="A4020" i="1"/>
  <c r="A4019" i="1"/>
  <c r="A4018" i="1"/>
  <c r="A4017" i="1"/>
  <c r="A4016" i="1"/>
  <c r="A4015" i="1"/>
  <c r="A4014" i="1"/>
  <c r="A4013" i="1"/>
  <c r="A4012" i="1"/>
  <c r="A4011" i="1"/>
  <c r="A4010" i="1"/>
  <c r="A4009" i="1"/>
  <c r="A4008" i="1"/>
  <c r="A4007" i="1"/>
  <c r="A4006" i="1"/>
  <c r="A4005" i="1"/>
  <c r="A4004" i="1"/>
  <c r="A4003" i="1"/>
  <c r="A4002" i="1"/>
  <c r="A4001" i="1"/>
  <c r="A4000" i="1"/>
  <c r="A3999" i="1"/>
  <c r="A3998" i="1"/>
  <c r="A3997" i="1"/>
  <c r="A3996" i="1"/>
  <c r="A3995" i="1"/>
  <c r="A3994" i="1"/>
  <c r="A3993" i="1"/>
  <c r="A3992" i="1"/>
  <c r="A3991" i="1"/>
  <c r="A3990" i="1"/>
  <c r="A3989" i="1"/>
  <c r="A3988" i="1"/>
  <c r="A3987" i="1"/>
  <c r="A3986" i="1"/>
  <c r="A3985" i="1"/>
  <c r="A3984" i="1"/>
  <c r="A3983" i="1"/>
  <c r="A3982" i="1"/>
  <c r="A3981" i="1"/>
  <c r="A3980" i="1"/>
  <c r="A3979" i="1"/>
  <c r="A3978" i="1"/>
  <c r="A3977" i="1"/>
  <c r="A3976" i="1"/>
  <c r="A3975" i="1"/>
  <c r="A3974" i="1"/>
  <c r="A3973" i="1"/>
  <c r="A3972" i="1"/>
  <c r="A3971" i="1"/>
  <c r="A3970" i="1"/>
  <c r="A3969" i="1"/>
  <c r="A3968" i="1"/>
  <c r="A3967" i="1"/>
  <c r="A3966" i="1"/>
  <c r="A3965" i="1"/>
  <c r="A3964" i="1"/>
  <c r="A3963" i="1"/>
  <c r="A3962" i="1"/>
  <c r="A3961" i="1"/>
  <c r="A3960" i="1"/>
  <c r="A3959" i="1"/>
  <c r="A3958" i="1"/>
  <c r="A3957" i="1"/>
  <c r="A3956" i="1"/>
  <c r="A3955" i="1"/>
  <c r="A3954" i="1"/>
  <c r="A3953" i="1"/>
  <c r="A3952" i="1"/>
  <c r="A3951" i="1"/>
  <c r="A3950" i="1"/>
  <c r="A3949" i="1"/>
  <c r="A3948" i="1"/>
  <c r="A3947" i="1"/>
  <c r="A3946" i="1"/>
  <c r="A3945" i="1"/>
  <c r="A3944" i="1"/>
  <c r="A3943" i="1"/>
  <c r="A3942" i="1"/>
  <c r="A3941" i="1"/>
  <c r="A3940" i="1"/>
  <c r="A3939" i="1"/>
  <c r="A3938" i="1"/>
  <c r="A3937" i="1"/>
  <c r="A3936" i="1"/>
  <c r="A3935" i="1"/>
  <c r="A3934" i="1"/>
  <c r="A3933" i="1"/>
  <c r="A3932" i="1"/>
  <c r="A3931" i="1"/>
  <c r="A3930" i="1"/>
  <c r="A3929" i="1"/>
  <c r="A3928" i="1"/>
  <c r="A3927" i="1"/>
  <c r="A3926" i="1"/>
  <c r="A3925" i="1"/>
  <c r="A3924" i="1"/>
  <c r="A3923" i="1"/>
  <c r="A3922" i="1"/>
  <c r="A3921" i="1"/>
  <c r="A3920" i="1"/>
  <c r="A3919" i="1"/>
  <c r="A3918" i="1"/>
  <c r="A3917" i="1"/>
  <c r="A3916" i="1"/>
  <c r="A3915" i="1"/>
  <c r="A3914" i="1"/>
  <c r="A3913" i="1"/>
  <c r="A3912" i="1"/>
  <c r="A3911" i="1"/>
  <c r="A3910" i="1"/>
  <c r="A3909" i="1"/>
  <c r="A3908" i="1"/>
  <c r="A3907" i="1"/>
  <c r="A3906" i="1"/>
  <c r="A3905" i="1"/>
  <c r="A3904" i="1"/>
  <c r="A3903" i="1"/>
  <c r="A3902" i="1"/>
  <c r="A3901" i="1"/>
  <c r="A3900" i="1"/>
  <c r="A3899" i="1"/>
  <c r="A3898" i="1"/>
  <c r="A3897" i="1"/>
  <c r="A3896" i="1"/>
  <c r="A3895" i="1"/>
  <c r="A3894" i="1"/>
  <c r="A3893" i="1"/>
  <c r="A3892" i="1"/>
  <c r="A3891" i="1"/>
  <c r="A3890" i="1"/>
  <c r="A3889" i="1"/>
  <c r="A3888" i="1"/>
  <c r="A3887" i="1"/>
  <c r="A3886" i="1"/>
  <c r="A3885" i="1"/>
  <c r="A3884" i="1"/>
  <c r="A3883" i="1"/>
  <c r="A3882" i="1"/>
  <c r="A3881" i="1"/>
  <c r="A3880" i="1"/>
  <c r="A3879" i="1"/>
  <c r="A3878" i="1"/>
  <c r="A3877" i="1"/>
  <c r="A3876" i="1"/>
  <c r="A3875" i="1"/>
  <c r="A3874" i="1"/>
  <c r="A3873" i="1"/>
  <c r="A3872" i="1"/>
  <c r="A3871" i="1"/>
  <c r="A3870" i="1"/>
  <c r="A3869" i="1"/>
  <c r="A3868" i="1"/>
  <c r="A3867" i="1"/>
  <c r="A3866" i="1"/>
  <c r="A3865" i="1"/>
  <c r="A3864" i="1"/>
  <c r="A3863" i="1"/>
  <c r="A3862" i="1"/>
  <c r="A3861" i="1"/>
  <c r="A3860" i="1"/>
  <c r="A3859" i="1"/>
  <c r="A3858" i="1"/>
  <c r="A3857" i="1"/>
  <c r="A3856" i="1"/>
  <c r="A3855" i="1"/>
  <c r="A3854" i="1"/>
  <c r="A3853" i="1"/>
  <c r="A3852" i="1"/>
  <c r="A3851" i="1"/>
  <c r="A3850" i="1"/>
  <c r="A3849" i="1"/>
  <c r="A3848" i="1"/>
  <c r="A3847" i="1"/>
  <c r="A3846" i="1"/>
  <c r="A3845" i="1"/>
  <c r="A3844" i="1"/>
  <c r="A3843" i="1"/>
  <c r="A3842" i="1"/>
  <c r="A3841" i="1"/>
  <c r="A3840" i="1"/>
  <c r="A3839" i="1"/>
  <c r="A3838" i="1"/>
  <c r="A3837" i="1"/>
  <c r="A3836" i="1"/>
  <c r="A3835" i="1"/>
  <c r="A3834" i="1"/>
  <c r="A3833" i="1"/>
  <c r="A3832" i="1"/>
  <c r="A3831" i="1"/>
  <c r="A3830" i="1"/>
  <c r="A3829" i="1"/>
  <c r="A3828" i="1"/>
  <c r="A3827" i="1"/>
  <c r="A3826" i="1"/>
  <c r="A3825" i="1"/>
  <c r="A3824" i="1"/>
  <c r="A3823" i="1"/>
  <c r="A3822" i="1"/>
  <c r="A3821" i="1"/>
  <c r="A3820" i="1"/>
  <c r="A3819" i="1"/>
  <c r="A3818" i="1"/>
  <c r="A3817" i="1"/>
  <c r="A3816" i="1"/>
  <c r="A3815" i="1"/>
  <c r="A3814" i="1"/>
  <c r="A3813" i="1"/>
  <c r="A3812" i="1"/>
  <c r="A3811" i="1"/>
  <c r="A3810" i="1"/>
  <c r="A3809" i="1"/>
  <c r="A3808" i="1"/>
  <c r="A3807" i="1"/>
  <c r="A3806" i="1"/>
  <c r="A3805" i="1"/>
  <c r="A3804" i="1"/>
  <c r="A3803" i="1"/>
  <c r="A3802" i="1"/>
  <c r="A3801" i="1"/>
  <c r="A3800" i="1"/>
  <c r="A3799" i="1"/>
  <c r="A3798" i="1"/>
  <c r="A3797" i="1"/>
  <c r="A3796" i="1"/>
  <c r="A3795" i="1"/>
  <c r="A3794" i="1"/>
  <c r="A3793" i="1"/>
  <c r="A3792" i="1"/>
  <c r="A3791" i="1"/>
  <c r="A3790" i="1"/>
  <c r="A3789" i="1"/>
  <c r="A3788" i="1"/>
  <c r="A3787" i="1"/>
  <c r="A3786" i="1"/>
  <c r="A3785" i="1"/>
  <c r="A3784" i="1"/>
  <c r="A3783" i="1"/>
  <c r="A3782" i="1"/>
  <c r="A3781" i="1"/>
  <c r="A3780" i="1"/>
  <c r="A3779" i="1"/>
  <c r="A3778" i="1"/>
  <c r="A3777" i="1"/>
  <c r="A3776" i="1"/>
  <c r="A3775" i="1"/>
  <c r="A3774" i="1"/>
  <c r="A3773" i="1"/>
  <c r="A3772" i="1"/>
  <c r="A3771" i="1"/>
  <c r="A3770" i="1"/>
  <c r="A3769" i="1"/>
  <c r="A3768" i="1"/>
  <c r="A3767" i="1"/>
  <c r="A3766" i="1"/>
  <c r="A3765" i="1"/>
  <c r="A3764" i="1"/>
  <c r="A3763" i="1"/>
  <c r="A3762" i="1"/>
  <c r="A3761" i="1"/>
  <c r="A3760" i="1"/>
  <c r="A3759" i="1"/>
  <c r="A3758" i="1"/>
  <c r="A3757" i="1"/>
  <c r="A3756" i="1"/>
  <c r="A3755" i="1"/>
  <c r="A3754" i="1"/>
  <c r="A3753" i="1"/>
  <c r="A3752" i="1"/>
  <c r="A3751" i="1"/>
  <c r="A3750" i="1"/>
  <c r="A3749" i="1"/>
  <c r="A3748" i="1"/>
  <c r="A3747" i="1"/>
  <c r="A3746" i="1"/>
  <c r="A3745" i="1"/>
  <c r="A3744" i="1"/>
  <c r="A3743" i="1"/>
  <c r="A3742" i="1"/>
  <c r="A3741" i="1"/>
  <c r="A3740" i="1"/>
  <c r="A3739" i="1"/>
  <c r="A3738" i="1"/>
  <c r="A3737" i="1"/>
  <c r="A3736" i="1"/>
  <c r="A3735" i="1"/>
  <c r="A3734" i="1"/>
  <c r="A3733" i="1"/>
  <c r="A3732" i="1"/>
  <c r="A3731" i="1"/>
  <c r="A3730" i="1"/>
  <c r="A3729" i="1"/>
  <c r="A3728" i="1"/>
  <c r="A3727" i="1"/>
  <c r="A3726" i="1"/>
  <c r="A3725" i="1"/>
  <c r="A3724" i="1"/>
  <c r="A3723" i="1"/>
  <c r="A3722" i="1"/>
  <c r="A3721" i="1"/>
  <c r="A3720" i="1"/>
  <c r="A3719" i="1"/>
  <c r="A3718" i="1"/>
  <c r="A3717" i="1"/>
  <c r="A3716" i="1"/>
  <c r="A3715" i="1"/>
  <c r="A3714" i="1"/>
  <c r="A3713" i="1"/>
  <c r="A3712" i="1"/>
  <c r="A3711" i="1"/>
  <c r="A3710" i="1"/>
  <c r="A3709" i="1"/>
  <c r="A3708" i="1"/>
  <c r="A3707" i="1"/>
  <c r="A3706" i="1"/>
  <c r="A3705" i="1"/>
  <c r="A3704" i="1"/>
  <c r="A3703" i="1"/>
  <c r="A3702" i="1"/>
  <c r="A3701" i="1"/>
  <c r="A3700" i="1"/>
  <c r="A3699" i="1"/>
  <c r="A3698" i="1"/>
  <c r="A3697" i="1"/>
  <c r="A3696" i="1"/>
  <c r="A3695" i="1"/>
  <c r="A3694" i="1"/>
  <c r="A3693" i="1"/>
  <c r="A3692" i="1"/>
  <c r="A3691" i="1"/>
  <c r="A3690" i="1"/>
  <c r="A3689" i="1"/>
  <c r="A3688" i="1"/>
  <c r="A3687" i="1"/>
  <c r="A3686" i="1"/>
  <c r="A3685" i="1"/>
  <c r="A3684" i="1"/>
  <c r="A3683" i="1"/>
  <c r="A3682" i="1"/>
  <c r="A3681" i="1"/>
  <c r="A3680" i="1"/>
  <c r="A3679" i="1"/>
  <c r="A3678" i="1"/>
  <c r="A3677" i="1"/>
  <c r="A3676" i="1"/>
  <c r="A3675" i="1"/>
  <c r="A3674" i="1"/>
  <c r="A3673" i="1"/>
  <c r="A3672" i="1"/>
  <c r="A3671" i="1"/>
  <c r="A3670" i="1"/>
  <c r="A3669" i="1"/>
  <c r="A3668" i="1"/>
  <c r="A3667" i="1"/>
  <c r="A3666" i="1"/>
  <c r="A3665" i="1"/>
  <c r="A3664" i="1"/>
  <c r="A3663" i="1"/>
  <c r="A3662" i="1"/>
  <c r="A3661" i="1"/>
  <c r="A3660" i="1"/>
  <c r="A3659" i="1"/>
  <c r="A3658" i="1"/>
  <c r="A3657" i="1"/>
  <c r="A3656" i="1"/>
  <c r="A3655" i="1"/>
  <c r="A3654" i="1"/>
  <c r="A3653" i="1"/>
  <c r="A3652" i="1"/>
  <c r="A3651" i="1"/>
  <c r="A3650" i="1"/>
  <c r="A3649" i="1"/>
  <c r="A3648" i="1"/>
  <c r="A3647" i="1"/>
  <c r="A3646" i="1"/>
  <c r="A3645" i="1"/>
  <c r="A3644" i="1"/>
  <c r="A3643" i="1"/>
  <c r="A3642" i="1"/>
  <c r="A3641" i="1"/>
  <c r="A3640" i="1"/>
  <c r="A3639" i="1"/>
  <c r="A3638" i="1"/>
  <c r="A3637" i="1"/>
  <c r="A3636" i="1"/>
  <c r="A3635" i="1"/>
  <c r="A3634" i="1"/>
  <c r="A3633" i="1"/>
  <c r="A3632" i="1"/>
  <c r="A3631" i="1"/>
  <c r="A3630" i="1"/>
  <c r="A3629" i="1"/>
  <c r="A3628" i="1"/>
  <c r="A3627" i="1"/>
  <c r="A3626" i="1"/>
  <c r="A3625" i="1"/>
  <c r="A3624" i="1"/>
  <c r="A3623" i="1"/>
  <c r="A3622" i="1"/>
  <c r="A3621" i="1"/>
  <c r="A3620" i="1"/>
  <c r="A3619" i="1"/>
  <c r="A3618" i="1"/>
  <c r="A3617" i="1"/>
  <c r="A3616" i="1"/>
  <c r="A3615" i="1"/>
  <c r="A3614" i="1"/>
  <c r="A3613" i="1"/>
  <c r="A3612" i="1"/>
  <c r="A3611" i="1"/>
  <c r="A3610" i="1"/>
  <c r="A3609" i="1"/>
  <c r="A3608" i="1"/>
  <c r="A3607" i="1"/>
  <c r="A3606" i="1"/>
  <c r="A3605" i="1"/>
  <c r="A3604" i="1"/>
  <c r="A3603" i="1"/>
  <c r="A3602" i="1"/>
  <c r="A3601" i="1"/>
  <c r="A3600" i="1"/>
  <c r="A3599" i="1"/>
  <c r="A3598" i="1"/>
  <c r="A3597" i="1"/>
  <c r="A3596" i="1"/>
  <c r="A3595" i="1"/>
  <c r="A3594" i="1"/>
  <c r="A3593" i="1"/>
  <c r="A3592" i="1"/>
  <c r="A3591" i="1"/>
  <c r="A3590" i="1"/>
  <c r="A3589" i="1"/>
  <c r="A3588" i="1"/>
  <c r="A3587" i="1"/>
  <c r="A3586" i="1"/>
  <c r="A3585" i="1"/>
  <c r="A3584" i="1"/>
  <c r="A3583" i="1"/>
  <c r="A3582" i="1"/>
  <c r="A3581" i="1"/>
  <c r="A3580" i="1"/>
  <c r="A3579" i="1"/>
  <c r="A3578" i="1"/>
  <c r="A3577" i="1"/>
  <c r="A3576" i="1"/>
  <c r="A3575" i="1"/>
  <c r="A3574" i="1"/>
  <c r="A3573" i="1"/>
  <c r="A3572" i="1"/>
  <c r="A3571" i="1"/>
  <c r="A3570" i="1"/>
  <c r="A3569" i="1"/>
  <c r="A3568" i="1"/>
  <c r="A3567" i="1"/>
  <c r="A3566" i="1"/>
  <c r="A3565" i="1"/>
  <c r="A3564" i="1"/>
  <c r="A3563" i="1"/>
  <c r="A3562" i="1"/>
  <c r="A3561" i="1"/>
  <c r="A3560" i="1"/>
  <c r="A3559" i="1"/>
  <c r="A3558" i="1"/>
  <c r="A3557" i="1"/>
  <c r="A3556" i="1"/>
  <c r="A3555" i="1"/>
  <c r="A3554" i="1"/>
  <c r="A3553" i="1"/>
  <c r="A3552" i="1"/>
  <c r="A3551" i="1"/>
  <c r="A3550" i="1"/>
  <c r="A3549" i="1"/>
  <c r="A3548" i="1"/>
  <c r="A3547" i="1"/>
  <c r="A3546" i="1"/>
  <c r="A3545" i="1"/>
  <c r="A3544" i="1"/>
  <c r="A3543" i="1"/>
  <c r="A3542" i="1"/>
  <c r="A3541" i="1"/>
  <c r="A3540" i="1"/>
  <c r="A3539" i="1"/>
  <c r="A3538" i="1"/>
  <c r="A3537" i="1"/>
  <c r="A3536" i="1"/>
  <c r="A3535" i="1"/>
  <c r="A3534" i="1"/>
  <c r="A3533" i="1"/>
  <c r="A3532" i="1"/>
  <c r="A3531" i="1"/>
  <c r="A3530" i="1"/>
  <c r="A3529" i="1"/>
  <c r="A3528" i="1"/>
  <c r="A3527" i="1"/>
  <c r="A3526" i="1"/>
  <c r="A3525" i="1"/>
  <c r="A3524" i="1"/>
  <c r="A3523" i="1"/>
  <c r="A3522" i="1"/>
  <c r="A3521" i="1"/>
  <c r="A3520" i="1"/>
  <c r="A3519" i="1"/>
  <c r="A3518" i="1"/>
  <c r="A3517" i="1"/>
  <c r="A3516" i="1"/>
  <c r="A3515" i="1"/>
  <c r="A3514" i="1"/>
  <c r="A3513" i="1"/>
  <c r="A3512" i="1"/>
  <c r="A3511" i="1"/>
  <c r="A3510" i="1"/>
  <c r="A3509" i="1"/>
  <c r="A3508" i="1"/>
  <c r="A3507" i="1"/>
  <c r="A3506" i="1"/>
  <c r="A3505" i="1"/>
  <c r="A3504" i="1"/>
  <c r="A3503" i="1"/>
  <c r="A3502" i="1"/>
  <c r="A3501" i="1"/>
  <c r="A3500" i="1"/>
  <c r="A3499" i="1"/>
  <c r="A3498" i="1"/>
  <c r="A3497" i="1"/>
  <c r="A3496" i="1"/>
  <c r="A3495" i="1"/>
  <c r="A3494" i="1"/>
  <c r="A3493" i="1"/>
  <c r="A3492" i="1"/>
  <c r="A3491" i="1"/>
  <c r="A3490" i="1"/>
  <c r="A3489" i="1"/>
  <c r="A3488" i="1"/>
  <c r="A3487" i="1"/>
  <c r="A3486" i="1"/>
  <c r="A3485" i="1"/>
  <c r="A3484" i="1"/>
  <c r="A3483" i="1"/>
  <c r="A3482" i="1"/>
  <c r="A3481" i="1"/>
  <c r="A3480" i="1"/>
  <c r="A3479" i="1"/>
  <c r="A3478" i="1"/>
  <c r="A3477" i="1"/>
  <c r="A3476" i="1"/>
  <c r="A3475" i="1"/>
  <c r="A3474" i="1"/>
  <c r="A3473" i="1"/>
  <c r="A3472" i="1"/>
  <c r="A3471" i="1"/>
  <c r="A3470" i="1"/>
  <c r="A3469" i="1"/>
  <c r="A3468" i="1"/>
  <c r="A3467" i="1"/>
  <c r="A3466" i="1"/>
  <c r="A3465" i="1"/>
  <c r="A3464" i="1"/>
  <c r="A3463" i="1"/>
  <c r="A3462" i="1"/>
  <c r="A3461" i="1"/>
  <c r="A3460" i="1"/>
  <c r="A3459" i="1"/>
  <c r="A3458" i="1"/>
  <c r="A3457" i="1"/>
  <c r="A3456" i="1"/>
  <c r="A3455" i="1"/>
  <c r="A3454" i="1"/>
  <c r="A3453" i="1"/>
  <c r="A3452" i="1"/>
  <c r="A3451" i="1"/>
  <c r="A3450" i="1"/>
  <c r="A3449" i="1"/>
  <c r="A3448" i="1"/>
  <c r="A3447" i="1"/>
  <c r="A3446" i="1"/>
  <c r="A3445" i="1"/>
  <c r="A3444" i="1"/>
  <c r="A3443" i="1"/>
  <c r="A3442" i="1"/>
  <c r="A3441" i="1"/>
  <c r="A3440" i="1"/>
  <c r="A3439" i="1"/>
  <c r="A3438" i="1"/>
  <c r="A3437" i="1"/>
  <c r="A3436" i="1"/>
  <c r="A3435" i="1"/>
  <c r="A3434" i="1"/>
  <c r="A3433" i="1"/>
  <c r="A3432" i="1"/>
  <c r="A3431" i="1"/>
  <c r="A3430" i="1"/>
  <c r="A3429" i="1"/>
  <c r="A3428" i="1"/>
  <c r="A3427" i="1"/>
  <c r="A3426" i="1"/>
  <c r="A3425" i="1"/>
  <c r="A3424" i="1"/>
  <c r="A3423" i="1"/>
  <c r="A3422" i="1"/>
  <c r="A3421" i="1"/>
  <c r="A3420" i="1"/>
  <c r="A3419" i="1"/>
  <c r="A3418" i="1"/>
  <c r="A3417" i="1"/>
  <c r="A3416" i="1"/>
  <c r="A3415" i="1"/>
  <c r="A3414" i="1"/>
  <c r="A3413" i="1"/>
  <c r="A3412" i="1"/>
  <c r="A3411" i="1"/>
  <c r="A3410" i="1"/>
  <c r="A3409" i="1"/>
  <c r="A3408" i="1"/>
  <c r="A3407" i="1"/>
  <c r="A3406" i="1"/>
  <c r="A3405" i="1"/>
  <c r="A3404" i="1"/>
  <c r="A3403" i="1"/>
  <c r="A3402" i="1"/>
  <c r="A3401" i="1"/>
  <c r="A3400" i="1"/>
  <c r="A3399" i="1"/>
  <c r="A3398" i="1"/>
  <c r="A3397" i="1"/>
  <c r="A3396" i="1"/>
  <c r="A3395" i="1"/>
  <c r="A3394" i="1"/>
  <c r="A3393" i="1"/>
  <c r="A3392" i="1"/>
  <c r="A3391" i="1"/>
  <c r="A3390" i="1"/>
  <c r="A3389" i="1"/>
  <c r="A3388" i="1"/>
  <c r="A3387" i="1"/>
  <c r="A3386" i="1"/>
  <c r="A3385" i="1"/>
  <c r="A3384" i="1"/>
  <c r="A3383" i="1"/>
  <c r="A3382" i="1"/>
  <c r="A3381" i="1"/>
  <c r="A3380" i="1"/>
  <c r="A3379" i="1"/>
  <c r="A3378" i="1"/>
  <c r="A3377" i="1"/>
  <c r="A3376" i="1"/>
  <c r="A3375" i="1"/>
  <c r="A3374" i="1"/>
  <c r="A3373" i="1"/>
  <c r="A3372" i="1"/>
  <c r="A3371" i="1"/>
  <c r="A3370" i="1"/>
  <c r="A3369" i="1"/>
  <c r="A3368" i="1"/>
  <c r="A3367" i="1"/>
  <c r="A3366" i="1"/>
  <c r="A3365" i="1"/>
  <c r="A3364" i="1"/>
  <c r="A3363" i="1"/>
  <c r="A3362" i="1"/>
  <c r="A3361" i="1"/>
  <c r="A3360" i="1"/>
  <c r="A3359" i="1"/>
  <c r="A3358" i="1"/>
  <c r="A3357" i="1"/>
  <c r="A3356" i="1"/>
  <c r="A3355" i="1"/>
  <c r="A3354" i="1"/>
  <c r="A3353" i="1"/>
  <c r="A3352" i="1"/>
  <c r="A3351" i="1"/>
  <c r="A3350" i="1"/>
  <c r="A3349" i="1"/>
  <c r="A3348" i="1"/>
  <c r="A3347" i="1"/>
  <c r="A3346" i="1"/>
  <c r="A3345" i="1"/>
  <c r="A3344" i="1"/>
  <c r="A3343" i="1"/>
  <c r="A3342" i="1"/>
  <c r="A3341" i="1"/>
  <c r="A3340" i="1"/>
  <c r="A3339" i="1"/>
  <c r="A3338" i="1"/>
  <c r="A3337" i="1"/>
  <c r="A3336" i="1"/>
  <c r="A3335" i="1"/>
  <c r="A3334" i="1"/>
  <c r="A3333" i="1"/>
  <c r="A3332" i="1"/>
  <c r="A3331" i="1"/>
  <c r="A3330" i="1"/>
  <c r="A3329" i="1"/>
  <c r="A3328" i="1"/>
  <c r="A3327" i="1"/>
  <c r="A3326" i="1"/>
  <c r="A3325" i="1"/>
  <c r="A3324" i="1"/>
  <c r="A3323" i="1"/>
  <c r="A3322" i="1"/>
  <c r="A3321" i="1"/>
  <c r="A3320" i="1"/>
  <c r="A3319" i="1"/>
  <c r="A3318" i="1"/>
  <c r="A3317" i="1"/>
  <c r="A3316" i="1"/>
  <c r="A3315" i="1"/>
  <c r="A3314" i="1"/>
  <c r="A3313" i="1"/>
  <c r="A3312" i="1"/>
  <c r="A3311" i="1"/>
  <c r="A3310" i="1"/>
  <c r="A3309" i="1"/>
  <c r="A3308" i="1"/>
  <c r="A3307" i="1"/>
  <c r="A3306" i="1"/>
  <c r="A3305" i="1"/>
  <c r="A3304" i="1"/>
  <c r="A3303" i="1"/>
  <c r="A3302" i="1"/>
  <c r="A3301" i="1"/>
  <c r="A3300" i="1"/>
  <c r="A3299" i="1"/>
  <c r="A3298" i="1"/>
  <c r="A3297" i="1"/>
  <c r="A3296" i="1"/>
  <c r="A3295" i="1"/>
  <c r="A3294" i="1"/>
  <c r="A3293" i="1"/>
  <c r="A3292" i="1"/>
  <c r="A3291" i="1"/>
  <c r="A3290" i="1"/>
  <c r="A3289" i="1"/>
  <c r="A3288" i="1"/>
  <c r="A3287" i="1"/>
  <c r="A3286" i="1"/>
  <c r="A3285" i="1"/>
  <c r="A3284" i="1"/>
  <c r="A3283" i="1"/>
  <c r="A3282" i="1"/>
  <c r="A3281" i="1"/>
  <c r="A3280" i="1"/>
  <c r="A3279" i="1"/>
  <c r="A3278" i="1"/>
  <c r="A3277" i="1"/>
  <c r="A3276" i="1"/>
  <c r="A3275" i="1"/>
  <c r="A3274" i="1"/>
  <c r="A3273" i="1"/>
  <c r="A3272" i="1"/>
  <c r="A3271" i="1"/>
  <c r="A3270" i="1"/>
  <c r="A3269" i="1"/>
  <c r="A3268" i="1"/>
  <c r="A3267" i="1"/>
  <c r="A3266" i="1"/>
  <c r="A3265" i="1"/>
  <c r="A3264" i="1"/>
  <c r="A3263" i="1"/>
  <c r="A3262" i="1"/>
  <c r="A3261" i="1"/>
  <c r="A3260" i="1"/>
  <c r="A3259" i="1"/>
  <c r="A3258" i="1"/>
  <c r="A3257" i="1"/>
  <c r="A3256" i="1"/>
  <c r="A3255" i="1"/>
  <c r="A3254" i="1"/>
  <c r="A3253" i="1"/>
  <c r="A3252" i="1"/>
  <c r="A3251" i="1"/>
  <c r="A3250" i="1"/>
  <c r="A3249" i="1"/>
  <c r="A3248" i="1"/>
  <c r="A3247" i="1"/>
  <c r="A3246" i="1"/>
  <c r="A3245" i="1"/>
  <c r="A3244" i="1"/>
  <c r="A3243" i="1"/>
  <c r="A3242" i="1"/>
  <c r="A3241" i="1"/>
  <c r="A3240" i="1"/>
  <c r="A3239" i="1"/>
  <c r="A3238" i="1"/>
  <c r="A3237" i="1"/>
  <c r="A3236" i="1"/>
  <c r="A3235" i="1"/>
  <c r="A3234" i="1"/>
  <c r="A3233" i="1"/>
  <c r="A3232" i="1"/>
  <c r="A3231" i="1"/>
  <c r="A3230" i="1"/>
  <c r="A3229" i="1"/>
  <c r="A3228" i="1"/>
  <c r="A3227" i="1"/>
  <c r="A3226" i="1"/>
  <c r="A3225" i="1"/>
  <c r="A3224" i="1"/>
  <c r="A3223" i="1"/>
  <c r="A3222" i="1"/>
  <c r="A3221" i="1"/>
  <c r="A3220" i="1"/>
  <c r="A3219" i="1"/>
  <c r="A3218" i="1"/>
  <c r="A3217" i="1"/>
  <c r="A3216" i="1"/>
  <c r="A3215" i="1"/>
  <c r="A3214" i="1"/>
  <c r="A3213" i="1"/>
  <c r="A3212" i="1"/>
  <c r="A3211" i="1"/>
  <c r="A3210" i="1"/>
  <c r="A3209" i="1"/>
  <c r="A3208" i="1"/>
  <c r="A3207" i="1"/>
  <c r="A3206" i="1"/>
  <c r="A3205" i="1"/>
  <c r="A3204" i="1"/>
  <c r="A3203" i="1"/>
  <c r="A3202" i="1"/>
  <c r="A3201" i="1"/>
  <c r="A3200" i="1"/>
  <c r="A3199" i="1"/>
  <c r="A3198" i="1"/>
  <c r="A3197" i="1"/>
  <c r="A3196" i="1"/>
  <c r="A3195" i="1"/>
  <c r="A3194" i="1"/>
  <c r="A3193" i="1"/>
  <c r="A3192" i="1"/>
  <c r="A3191" i="1"/>
  <c r="A3190" i="1"/>
  <c r="A3189" i="1"/>
  <c r="A3188" i="1"/>
  <c r="A3187" i="1"/>
  <c r="A3186" i="1"/>
  <c r="A3185" i="1"/>
  <c r="A3184" i="1"/>
  <c r="A3183" i="1"/>
  <c r="A3182" i="1"/>
  <c r="A3181" i="1"/>
  <c r="A3180" i="1"/>
  <c r="A3179" i="1"/>
  <c r="A3178" i="1"/>
  <c r="A3177" i="1"/>
  <c r="A3176" i="1"/>
  <c r="A3175" i="1"/>
  <c r="A3174" i="1"/>
  <c r="A3173" i="1"/>
  <c r="A3172" i="1"/>
  <c r="A3171" i="1"/>
  <c r="A3170" i="1"/>
  <c r="A3169" i="1"/>
  <c r="A3168" i="1"/>
  <c r="A3167" i="1"/>
  <c r="A3166" i="1"/>
  <c r="A3165" i="1"/>
  <c r="A3164" i="1"/>
  <c r="A3163" i="1"/>
  <c r="A3162" i="1"/>
  <c r="A3161" i="1"/>
  <c r="A3160" i="1"/>
  <c r="A3159" i="1"/>
  <c r="A3158" i="1"/>
  <c r="A3157" i="1"/>
  <c r="A3156" i="1"/>
  <c r="A3155" i="1"/>
  <c r="A3154" i="1"/>
  <c r="A3153" i="1"/>
  <c r="A3152" i="1"/>
  <c r="A3151" i="1"/>
  <c r="A3150" i="1"/>
  <c r="A3149" i="1"/>
  <c r="A3148" i="1"/>
  <c r="A3147" i="1"/>
  <c r="A3146" i="1"/>
  <c r="A3145" i="1"/>
  <c r="A3144" i="1"/>
  <c r="A3143" i="1"/>
  <c r="A3142" i="1"/>
  <c r="A3141" i="1"/>
  <c r="A3140" i="1"/>
  <c r="A3139" i="1"/>
  <c r="A3138" i="1"/>
  <c r="A3137" i="1"/>
  <c r="A3136" i="1"/>
  <c r="A3135" i="1"/>
  <c r="A3134" i="1"/>
  <c r="A3133" i="1"/>
  <c r="A3132" i="1"/>
  <c r="A3131" i="1"/>
  <c r="A3130" i="1"/>
  <c r="A3129" i="1"/>
  <c r="A3128" i="1"/>
  <c r="A3127" i="1"/>
  <c r="A3126" i="1"/>
  <c r="A3125" i="1"/>
  <c r="A3124" i="1"/>
  <c r="A3123" i="1"/>
  <c r="A3122" i="1"/>
  <c r="A3121" i="1"/>
  <c r="A3120" i="1"/>
  <c r="A3119" i="1"/>
  <c r="A3118" i="1"/>
  <c r="A3117" i="1"/>
  <c r="A3116" i="1"/>
  <c r="A3115" i="1"/>
  <c r="A3114" i="1"/>
  <c r="A3113" i="1"/>
  <c r="A3112" i="1"/>
  <c r="A3111" i="1"/>
  <c r="A3110" i="1"/>
  <c r="A3109" i="1"/>
  <c r="A3108" i="1"/>
  <c r="A3107" i="1"/>
  <c r="A3106" i="1"/>
  <c r="A3105" i="1"/>
  <c r="A3104" i="1"/>
  <c r="A3103" i="1"/>
  <c r="A3102" i="1"/>
  <c r="A3101" i="1"/>
  <c r="A3100" i="1"/>
  <c r="A3099" i="1"/>
  <c r="A3098" i="1"/>
  <c r="A3097" i="1"/>
  <c r="A3096" i="1"/>
  <c r="A3095" i="1"/>
  <c r="A3094" i="1"/>
  <c r="A3093" i="1"/>
  <c r="A3092" i="1"/>
  <c r="A3091" i="1"/>
  <c r="A3090" i="1"/>
  <c r="A3089" i="1"/>
  <c r="A3088" i="1"/>
  <c r="A3087" i="1"/>
  <c r="A3086" i="1"/>
  <c r="A3085" i="1"/>
  <c r="A3084" i="1"/>
  <c r="A3083" i="1"/>
  <c r="A3082" i="1"/>
  <c r="A3081" i="1"/>
  <c r="A3080" i="1"/>
  <c r="A3079" i="1"/>
  <c r="A3078" i="1"/>
  <c r="A3077" i="1"/>
  <c r="A3076" i="1"/>
  <c r="A3075" i="1"/>
  <c r="A3074" i="1"/>
  <c r="A3073" i="1"/>
  <c r="A3072" i="1"/>
  <c r="A3071" i="1"/>
  <c r="A3070" i="1"/>
  <c r="A3069" i="1"/>
  <c r="A3068" i="1"/>
  <c r="A3067" i="1"/>
  <c r="A3066" i="1"/>
  <c r="A3065" i="1"/>
  <c r="A3064" i="1"/>
  <c r="A3063" i="1"/>
  <c r="A3062" i="1"/>
  <c r="A3061" i="1"/>
  <c r="A3060" i="1"/>
  <c r="A3059" i="1"/>
  <c r="A3058" i="1"/>
  <c r="A3057" i="1"/>
  <c r="A3056" i="1"/>
  <c r="A3055" i="1"/>
  <c r="A3054" i="1"/>
  <c r="A3053" i="1"/>
  <c r="A3052" i="1"/>
  <c r="A3051" i="1"/>
  <c r="A3050" i="1"/>
  <c r="A3049" i="1"/>
  <c r="A3048" i="1"/>
  <c r="A3047" i="1"/>
  <c r="A3046" i="1"/>
  <c r="A3045" i="1"/>
  <c r="A3044" i="1"/>
  <c r="A3043" i="1"/>
  <c r="A3042" i="1"/>
  <c r="A3041" i="1"/>
  <c r="A3040" i="1"/>
  <c r="A3039" i="1"/>
  <c r="A3038" i="1"/>
  <c r="A3037" i="1"/>
  <c r="A3036" i="1"/>
  <c r="A3035" i="1"/>
  <c r="A3034" i="1"/>
  <c r="A3033" i="1"/>
  <c r="A3032" i="1"/>
  <c r="A3031" i="1"/>
  <c r="A3030" i="1"/>
  <c r="A3029" i="1"/>
  <c r="A3028" i="1"/>
  <c r="A3027" i="1"/>
  <c r="A3026" i="1"/>
  <c r="A3025" i="1"/>
  <c r="A3024" i="1"/>
  <c r="A3023" i="1"/>
  <c r="A3022" i="1"/>
  <c r="A3021" i="1"/>
  <c r="A3020" i="1"/>
  <c r="A3019" i="1"/>
  <c r="A3018" i="1"/>
  <c r="A3017" i="1"/>
  <c r="A3016" i="1"/>
  <c r="A3015" i="1"/>
  <c r="A3014" i="1"/>
  <c r="A3013" i="1"/>
  <c r="A3012" i="1"/>
  <c r="A3011" i="1"/>
  <c r="A3010" i="1"/>
  <c r="A3009" i="1"/>
  <c r="A3008" i="1"/>
  <c r="A3007" i="1"/>
  <c r="A3006" i="1"/>
  <c r="A3005" i="1"/>
  <c r="A3004" i="1"/>
  <c r="A3003" i="1"/>
  <c r="A3002" i="1"/>
  <c r="A3001" i="1"/>
  <c r="A3000" i="1"/>
  <c r="A2999" i="1"/>
  <c r="A2998" i="1"/>
  <c r="A2997" i="1"/>
  <c r="A2996" i="1"/>
  <c r="A2995" i="1"/>
  <c r="A2994" i="1"/>
  <c r="A2993" i="1"/>
  <c r="A2992" i="1"/>
  <c r="A2991" i="1"/>
  <c r="A2990" i="1"/>
  <c r="A2989" i="1"/>
  <c r="A2988" i="1"/>
  <c r="A2987" i="1"/>
  <c r="A2986" i="1"/>
  <c r="A2985" i="1"/>
  <c r="A2984" i="1"/>
  <c r="A2983" i="1"/>
  <c r="A2982" i="1"/>
  <c r="A2981" i="1"/>
  <c r="A2980" i="1"/>
  <c r="A2979" i="1"/>
  <c r="A2978" i="1"/>
  <c r="A2977" i="1"/>
  <c r="A2976" i="1"/>
  <c r="A2975" i="1"/>
  <c r="A2974" i="1"/>
  <c r="A2973" i="1"/>
  <c r="A2972" i="1"/>
  <c r="A2971" i="1"/>
  <c r="A2970" i="1"/>
  <c r="A2969" i="1"/>
  <c r="A2968" i="1"/>
  <c r="A2967" i="1"/>
  <c r="A2966" i="1"/>
  <c r="A2965" i="1"/>
  <c r="A2964" i="1"/>
  <c r="A2963" i="1"/>
  <c r="A2962" i="1"/>
  <c r="A2961" i="1"/>
  <c r="A2960" i="1"/>
  <c r="A2959" i="1"/>
  <c r="A2958" i="1"/>
  <c r="A2957" i="1"/>
  <c r="A2956" i="1"/>
  <c r="A2955" i="1"/>
  <c r="A2954" i="1"/>
  <c r="A2953" i="1"/>
  <c r="A2952" i="1"/>
  <c r="A2951" i="1"/>
  <c r="A2950" i="1"/>
  <c r="A2949" i="1"/>
  <c r="A2948" i="1"/>
  <c r="A2947" i="1"/>
  <c r="A2946" i="1"/>
  <c r="A2945" i="1"/>
  <c r="A2944" i="1"/>
  <c r="A2943" i="1"/>
  <c r="A2942" i="1"/>
  <c r="A2941" i="1"/>
  <c r="A2940" i="1"/>
  <c r="A2939" i="1"/>
  <c r="A2938" i="1"/>
  <c r="A2937" i="1"/>
  <c r="A2936" i="1"/>
  <c r="A2935" i="1"/>
  <c r="A2934" i="1"/>
  <c r="A2933" i="1"/>
  <c r="A2932" i="1"/>
  <c r="A2931" i="1"/>
  <c r="A2930" i="1"/>
  <c r="A2929" i="1"/>
  <c r="A2928" i="1"/>
  <c r="A2927" i="1"/>
  <c r="A2926" i="1"/>
  <c r="A2925" i="1"/>
  <c r="A2924" i="1"/>
  <c r="A2923" i="1"/>
  <c r="A2922" i="1"/>
  <c r="A2921" i="1"/>
  <c r="A2920" i="1"/>
  <c r="A2919" i="1"/>
  <c r="A2918" i="1"/>
  <c r="A2917" i="1"/>
  <c r="A2916" i="1"/>
  <c r="A2915" i="1"/>
  <c r="A2914" i="1"/>
  <c r="A2913" i="1"/>
  <c r="A2912" i="1"/>
  <c r="A2911" i="1"/>
  <c r="A2910" i="1"/>
  <c r="A2909" i="1"/>
  <c r="A2908" i="1"/>
  <c r="A2907" i="1"/>
  <c r="A2906" i="1"/>
  <c r="A2905" i="1"/>
  <c r="A2904" i="1"/>
  <c r="A2903" i="1"/>
  <c r="A2902" i="1"/>
  <c r="A2901" i="1"/>
  <c r="A2900" i="1"/>
  <c r="A2899" i="1"/>
  <c r="A2898" i="1"/>
  <c r="A2897" i="1"/>
  <c r="A2896" i="1"/>
  <c r="A2895" i="1"/>
  <c r="A2894" i="1"/>
  <c r="A2893" i="1"/>
  <c r="A2892" i="1"/>
  <c r="A2891" i="1"/>
  <c r="A2890" i="1"/>
  <c r="A2889" i="1"/>
  <c r="A2888" i="1"/>
  <c r="A2887" i="1"/>
  <c r="A2886" i="1"/>
  <c r="A2885" i="1"/>
  <c r="A2884" i="1"/>
  <c r="A2883" i="1"/>
  <c r="A2882" i="1"/>
  <c r="A2881" i="1"/>
  <c r="A2880" i="1"/>
  <c r="A2879" i="1"/>
  <c r="A2878" i="1"/>
  <c r="A2877" i="1"/>
  <c r="A2876" i="1"/>
  <c r="A2875" i="1"/>
  <c r="A2874" i="1"/>
  <c r="A2873" i="1"/>
  <c r="A2872" i="1"/>
  <c r="A2871" i="1"/>
  <c r="A2870" i="1"/>
  <c r="A2869" i="1"/>
  <c r="A2868" i="1"/>
  <c r="A2867" i="1"/>
  <c r="A2866" i="1"/>
  <c r="A2865" i="1"/>
  <c r="A2864" i="1"/>
  <c r="A2863" i="1"/>
  <c r="A2862" i="1"/>
  <c r="A2861" i="1"/>
  <c r="A2860" i="1"/>
  <c r="A2859" i="1"/>
  <c r="A2858" i="1"/>
  <c r="A2857" i="1"/>
  <c r="A2856" i="1"/>
  <c r="A2855" i="1"/>
  <c r="A2854" i="1"/>
  <c r="A2853" i="1"/>
  <c r="A2852" i="1"/>
  <c r="A2851" i="1"/>
  <c r="A2850" i="1"/>
  <c r="A2849" i="1"/>
  <c r="A2848" i="1"/>
  <c r="A2847" i="1"/>
  <c r="A2846" i="1"/>
  <c r="A2845" i="1"/>
  <c r="A2844" i="1"/>
  <c r="A2843" i="1"/>
  <c r="A2842" i="1"/>
  <c r="A2841" i="1"/>
  <c r="A2840" i="1"/>
  <c r="A2839" i="1"/>
  <c r="A2838" i="1"/>
  <c r="A2837" i="1"/>
  <c r="A2836" i="1"/>
  <c r="A2835" i="1"/>
  <c r="A2834" i="1"/>
  <c r="A2833" i="1"/>
  <c r="A2832" i="1"/>
  <c r="A2831" i="1"/>
  <c r="A2830" i="1"/>
  <c r="A2829" i="1"/>
  <c r="A2828" i="1"/>
  <c r="A2827" i="1"/>
  <c r="A2826" i="1"/>
  <c r="A2825" i="1"/>
  <c r="A2824" i="1"/>
  <c r="A2823" i="1"/>
  <c r="A2822" i="1"/>
  <c r="A2821" i="1"/>
  <c r="A2820" i="1"/>
  <c r="A2819" i="1"/>
  <c r="A2818" i="1"/>
  <c r="A2817" i="1"/>
  <c r="A2816" i="1"/>
  <c r="A2815" i="1"/>
  <c r="A2814" i="1"/>
  <c r="A2813" i="1"/>
  <c r="A2812" i="1"/>
  <c r="A2811" i="1"/>
  <c r="A2810" i="1"/>
  <c r="A2809" i="1"/>
  <c r="A2808" i="1"/>
  <c r="A2807" i="1"/>
  <c r="A2806" i="1"/>
  <c r="A2805" i="1"/>
  <c r="A2804" i="1"/>
  <c r="A2803" i="1"/>
  <c r="A2802" i="1"/>
  <c r="A2801" i="1"/>
  <c r="A2800" i="1"/>
  <c r="A2799" i="1"/>
  <c r="A2798" i="1"/>
  <c r="A2797" i="1"/>
  <c r="A2796" i="1"/>
  <c r="A2795" i="1"/>
  <c r="A2794" i="1"/>
  <c r="A2793" i="1"/>
  <c r="A2792" i="1"/>
  <c r="A2791" i="1"/>
  <c r="A2790" i="1"/>
  <c r="A2789" i="1"/>
  <c r="A2788" i="1"/>
  <c r="A2787" i="1"/>
  <c r="A2786" i="1"/>
  <c r="A2785" i="1"/>
  <c r="A2784" i="1"/>
  <c r="A2783" i="1"/>
  <c r="A2782" i="1"/>
  <c r="A2781" i="1"/>
  <c r="A2780" i="1"/>
  <c r="A2779" i="1"/>
  <c r="A2778" i="1"/>
  <c r="A2777" i="1"/>
  <c r="A2776" i="1"/>
  <c r="A2775" i="1"/>
  <c r="A2774" i="1"/>
  <c r="A2773" i="1"/>
  <c r="A2772" i="1"/>
  <c r="A2771" i="1"/>
  <c r="A2770" i="1"/>
  <c r="A2769" i="1"/>
  <c r="A2768" i="1"/>
  <c r="A2767" i="1"/>
  <c r="A2766" i="1"/>
  <c r="A2765" i="1"/>
  <c r="A2764" i="1"/>
  <c r="A2763" i="1"/>
  <c r="A2762" i="1"/>
  <c r="A2761" i="1"/>
  <c r="A2760" i="1"/>
  <c r="A2759" i="1"/>
  <c r="A2758" i="1"/>
  <c r="A2757" i="1"/>
  <c r="A2756" i="1"/>
  <c r="A2755" i="1"/>
  <c r="A2754" i="1"/>
  <c r="A2753" i="1"/>
  <c r="A2752" i="1"/>
  <c r="A2751" i="1"/>
  <c r="A2750" i="1"/>
  <c r="A2749" i="1"/>
  <c r="A2748" i="1"/>
  <c r="A2747" i="1"/>
  <c r="A2746" i="1"/>
  <c r="A2745" i="1"/>
  <c r="A2744" i="1"/>
  <c r="A2743" i="1"/>
  <c r="A2742" i="1"/>
  <c r="A2741" i="1"/>
  <c r="A2740" i="1"/>
  <c r="A2739" i="1"/>
  <c r="A2738" i="1"/>
  <c r="A2737" i="1"/>
  <c r="A2736" i="1"/>
  <c r="A2735" i="1"/>
  <c r="A2734" i="1"/>
  <c r="A2733" i="1"/>
  <c r="A2732" i="1"/>
  <c r="A2731" i="1"/>
  <c r="A2730" i="1"/>
  <c r="A2729" i="1"/>
  <c r="A2728" i="1"/>
  <c r="A2727" i="1"/>
  <c r="A2726" i="1"/>
  <c r="A2725" i="1"/>
  <c r="A2724" i="1"/>
  <c r="A2723" i="1"/>
  <c r="A2722" i="1"/>
  <c r="A2721" i="1"/>
  <c r="A2720" i="1"/>
  <c r="A2719" i="1"/>
  <c r="A2718" i="1"/>
  <c r="A2717" i="1"/>
  <c r="A2716" i="1"/>
  <c r="A2715" i="1"/>
  <c r="A2714" i="1"/>
  <c r="A2713" i="1"/>
  <c r="A2712" i="1"/>
  <c r="A2711" i="1"/>
  <c r="A2710" i="1"/>
  <c r="A2709" i="1"/>
  <c r="A2708" i="1"/>
  <c r="A2707" i="1"/>
  <c r="A2706" i="1"/>
  <c r="A2705" i="1"/>
  <c r="A2704" i="1"/>
  <c r="A2703" i="1"/>
  <c r="A2702" i="1"/>
  <c r="A2701" i="1"/>
  <c r="A2700" i="1"/>
  <c r="A2699" i="1"/>
  <c r="A2698" i="1"/>
  <c r="A2697" i="1"/>
  <c r="A2696" i="1"/>
  <c r="A2695" i="1"/>
  <c r="A2694" i="1"/>
  <c r="A2693" i="1"/>
  <c r="A2692" i="1"/>
  <c r="A2691" i="1"/>
  <c r="A2690" i="1"/>
  <c r="A2689" i="1"/>
  <c r="A2688" i="1"/>
  <c r="A2687" i="1"/>
  <c r="A2686" i="1"/>
  <c r="A2685" i="1"/>
  <c r="A2684" i="1"/>
  <c r="A2683" i="1"/>
  <c r="A2682" i="1"/>
  <c r="A2681" i="1"/>
  <c r="A2680" i="1"/>
  <c r="A2679" i="1"/>
  <c r="A2678" i="1"/>
  <c r="A2677" i="1"/>
  <c r="A2676" i="1"/>
  <c r="A2675" i="1"/>
  <c r="A2674" i="1"/>
  <c r="A2673" i="1"/>
  <c r="A2672" i="1"/>
  <c r="A2671" i="1"/>
  <c r="A2670" i="1"/>
  <c r="A2669" i="1"/>
  <c r="A2668" i="1"/>
  <c r="A2667" i="1"/>
  <c r="A2666" i="1"/>
  <c r="A2665" i="1"/>
  <c r="A2664" i="1"/>
  <c r="A2663" i="1"/>
  <c r="A2662" i="1"/>
  <c r="A2661" i="1"/>
  <c r="A2660" i="1"/>
  <c r="A2659" i="1"/>
  <c r="A2658" i="1"/>
  <c r="A2657" i="1"/>
  <c r="A2656" i="1"/>
  <c r="A2655" i="1"/>
  <c r="A2654" i="1"/>
  <c r="A2653" i="1"/>
  <c r="A2652" i="1"/>
  <c r="A2651" i="1"/>
  <c r="A2650" i="1"/>
  <c r="A2649" i="1"/>
  <c r="A2648" i="1"/>
  <c r="A2647" i="1"/>
  <c r="A2646" i="1"/>
  <c r="A2645" i="1"/>
  <c r="A2644" i="1"/>
  <c r="A2643" i="1"/>
  <c r="A2642" i="1"/>
  <c r="A2641" i="1"/>
  <c r="A2640" i="1"/>
  <c r="A2639" i="1"/>
  <c r="A2638" i="1"/>
  <c r="A2637" i="1"/>
  <c r="A2636" i="1"/>
  <c r="A2635" i="1"/>
  <c r="A2634" i="1"/>
  <c r="A2633" i="1"/>
  <c r="A2632" i="1"/>
  <c r="A2631" i="1"/>
  <c r="A2630" i="1"/>
  <c r="A2629" i="1"/>
  <c r="A2628" i="1"/>
  <c r="A2627" i="1"/>
  <c r="A2626" i="1"/>
  <c r="A2625" i="1"/>
  <c r="A2624" i="1"/>
  <c r="A2623" i="1"/>
  <c r="A2622" i="1"/>
  <c r="A2621" i="1"/>
  <c r="A2620" i="1"/>
  <c r="A2619" i="1"/>
  <c r="A2618" i="1"/>
  <c r="A2617" i="1"/>
  <c r="A2616" i="1"/>
  <c r="A2615" i="1"/>
  <c r="A2614" i="1"/>
  <c r="A2613" i="1"/>
  <c r="A2612" i="1"/>
  <c r="A2611" i="1"/>
  <c r="A2610" i="1"/>
  <c r="A2609" i="1"/>
  <c r="A2608" i="1"/>
  <c r="A2607" i="1"/>
  <c r="A2606" i="1"/>
  <c r="A2605" i="1"/>
  <c r="A2604" i="1"/>
  <c r="A2603" i="1"/>
  <c r="A2602" i="1"/>
  <c r="A2601" i="1"/>
  <c r="A2600" i="1"/>
  <c r="A2599" i="1"/>
  <c r="A2598" i="1"/>
  <c r="A2597" i="1"/>
  <c r="A2596" i="1"/>
  <c r="A2595" i="1"/>
  <c r="A2594" i="1"/>
  <c r="A2593" i="1"/>
  <c r="A2592" i="1"/>
  <c r="A2591" i="1"/>
  <c r="A2590" i="1"/>
  <c r="A2589" i="1"/>
  <c r="A2588" i="1"/>
  <c r="A2587" i="1"/>
  <c r="A2586" i="1"/>
  <c r="A2585" i="1"/>
  <c r="A2584" i="1"/>
  <c r="A2583" i="1"/>
  <c r="A2582" i="1"/>
  <c r="A2581" i="1"/>
  <c r="A2580" i="1"/>
  <c r="A2579" i="1"/>
  <c r="A2578" i="1"/>
  <c r="A2577" i="1"/>
  <c r="A2576" i="1"/>
  <c r="A2575" i="1"/>
  <c r="A2574" i="1"/>
  <c r="A2573" i="1"/>
  <c r="A2572" i="1"/>
  <c r="A2571" i="1"/>
  <c r="A2570" i="1"/>
  <c r="A2569" i="1"/>
  <c r="A2568" i="1"/>
  <c r="A2567" i="1"/>
  <c r="A2566" i="1"/>
  <c r="A2565" i="1"/>
  <c r="A2564" i="1"/>
  <c r="A2563" i="1"/>
  <c r="A2562" i="1"/>
  <c r="A2561" i="1"/>
  <c r="A2560" i="1"/>
  <c r="A2559" i="1"/>
  <c r="A2558" i="1"/>
  <c r="A2557" i="1"/>
  <c r="A2556" i="1"/>
  <c r="A2555" i="1"/>
  <c r="A2554" i="1"/>
  <c r="A2553" i="1"/>
  <c r="A2552" i="1"/>
  <c r="A2551" i="1"/>
  <c r="A2550" i="1"/>
  <c r="A2549" i="1"/>
  <c r="A2548" i="1"/>
  <c r="A2547" i="1"/>
  <c r="A2546" i="1"/>
  <c r="A2545" i="1"/>
  <c r="A2544" i="1"/>
  <c r="A2543" i="1"/>
  <c r="A2542" i="1"/>
  <c r="A2541" i="1"/>
  <c r="A2540" i="1"/>
  <c r="A2539" i="1"/>
  <c r="A2538" i="1"/>
  <c r="A2537" i="1"/>
  <c r="A2536" i="1"/>
  <c r="A2535" i="1"/>
  <c r="A2534" i="1"/>
  <c r="A2533" i="1"/>
  <c r="A2532" i="1"/>
  <c r="A2531" i="1"/>
  <c r="A2530" i="1"/>
  <c r="A2529" i="1"/>
  <c r="A2528" i="1"/>
  <c r="A2527" i="1"/>
  <c r="A2526" i="1"/>
  <c r="A2525" i="1"/>
  <c r="A2524" i="1"/>
  <c r="A2523" i="1"/>
  <c r="A2522" i="1"/>
  <c r="A2521" i="1"/>
  <c r="A2520" i="1"/>
  <c r="A2519" i="1"/>
  <c r="A2518" i="1"/>
  <c r="A2517" i="1"/>
  <c r="A2516" i="1"/>
  <c r="A2515" i="1"/>
  <c r="A2514" i="1"/>
  <c r="A2513" i="1"/>
  <c r="A2512" i="1"/>
  <c r="A2511" i="1"/>
  <c r="A2510" i="1"/>
  <c r="A2509" i="1"/>
  <c r="A2508" i="1"/>
  <c r="A2507" i="1"/>
  <c r="A2506" i="1"/>
  <c r="A2505" i="1"/>
  <c r="A2504" i="1"/>
  <c r="A2503" i="1"/>
  <c r="A2502" i="1"/>
  <c r="A2501" i="1"/>
  <c r="A2500" i="1"/>
  <c r="A2499" i="1"/>
  <c r="A2498" i="1"/>
  <c r="A2497" i="1"/>
  <c r="A2496" i="1"/>
  <c r="A2495" i="1"/>
  <c r="A2494" i="1"/>
  <c r="A2493" i="1"/>
  <c r="A2492" i="1"/>
  <c r="A2491" i="1"/>
  <c r="A2490" i="1"/>
  <c r="A2489" i="1"/>
  <c r="A2488" i="1"/>
  <c r="A2487" i="1"/>
  <c r="A2486" i="1"/>
  <c r="A2485" i="1"/>
  <c r="A2484" i="1"/>
  <c r="A2483" i="1"/>
  <c r="A2482" i="1"/>
  <c r="A2481" i="1"/>
  <c r="A2480" i="1"/>
  <c r="A2479" i="1"/>
  <c r="A2478" i="1"/>
  <c r="A2477" i="1"/>
  <c r="A2476" i="1"/>
  <c r="A2475" i="1"/>
  <c r="A2474" i="1"/>
  <c r="A2473" i="1"/>
  <c r="A2472" i="1"/>
  <c r="A2471" i="1"/>
  <c r="A2470" i="1"/>
  <c r="A2469" i="1"/>
  <c r="A2468" i="1"/>
  <c r="A2467" i="1"/>
  <c r="A2466" i="1"/>
  <c r="A2465" i="1"/>
  <c r="A2464" i="1"/>
  <c r="A2463" i="1"/>
  <c r="A2462" i="1"/>
  <c r="A2461" i="1"/>
  <c r="A2460" i="1"/>
  <c r="A2459" i="1"/>
  <c r="A2458" i="1"/>
  <c r="A2457" i="1"/>
  <c r="A2456" i="1"/>
  <c r="A2455" i="1"/>
  <c r="A2454" i="1"/>
  <c r="A2453" i="1"/>
  <c r="A2452" i="1"/>
  <c r="A2451" i="1"/>
  <c r="A2450" i="1"/>
  <c r="A2449" i="1"/>
  <c r="A2448" i="1"/>
  <c r="A2447" i="1"/>
  <c r="A2446" i="1"/>
  <c r="A2445" i="1"/>
  <c r="A2444" i="1"/>
  <c r="A2443" i="1"/>
  <c r="A2442" i="1"/>
  <c r="A2441" i="1"/>
  <c r="A2440" i="1"/>
  <c r="A2439" i="1"/>
  <c r="A2438" i="1"/>
  <c r="A2437" i="1"/>
  <c r="A2436" i="1"/>
  <c r="A2435" i="1"/>
  <c r="A2434" i="1"/>
  <c r="A2433" i="1"/>
  <c r="A2432" i="1"/>
  <c r="A2431" i="1"/>
  <c r="A2430" i="1"/>
  <c r="A2429" i="1"/>
  <c r="A2428" i="1"/>
  <c r="A2427" i="1"/>
  <c r="A2426" i="1"/>
  <c r="A2425" i="1"/>
  <c r="A2424" i="1"/>
  <c r="A2423" i="1"/>
  <c r="A2422" i="1"/>
  <c r="A2421" i="1"/>
  <c r="A2420" i="1"/>
  <c r="A2419" i="1"/>
  <c r="A2418" i="1"/>
  <c r="A2417" i="1"/>
  <c r="A2416" i="1"/>
  <c r="A2415" i="1"/>
  <c r="A2414" i="1"/>
  <c r="A2413" i="1"/>
  <c r="A2412" i="1"/>
  <c r="A2411" i="1"/>
  <c r="A2410" i="1"/>
  <c r="A2409" i="1"/>
  <c r="A2408" i="1"/>
  <c r="A2407" i="1"/>
  <c r="A2406" i="1"/>
  <c r="A2405" i="1"/>
  <c r="A2404" i="1"/>
  <c r="A2403" i="1"/>
  <c r="A2402" i="1"/>
  <c r="A2401" i="1"/>
  <c r="A2400" i="1"/>
  <c r="A2399" i="1"/>
  <c r="A2398" i="1"/>
  <c r="A2397" i="1"/>
  <c r="A2396" i="1"/>
  <c r="A2395" i="1"/>
  <c r="A2394" i="1"/>
  <c r="A2393" i="1"/>
  <c r="A2392" i="1"/>
  <c r="A2391" i="1"/>
  <c r="A2390" i="1"/>
  <c r="A2389" i="1"/>
  <c r="A2388" i="1"/>
  <c r="A2387" i="1"/>
  <c r="A2386" i="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A2334"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A2289" i="1"/>
  <c r="A2288" i="1"/>
  <c r="A2287" i="1"/>
  <c r="A2286" i="1"/>
  <c r="A2285" i="1"/>
  <c r="A2284" i="1"/>
  <c r="A2283" i="1"/>
  <c r="A2282" i="1"/>
  <c r="A2281" i="1"/>
  <c r="A2280" i="1"/>
  <c r="A2279" i="1"/>
  <c r="A2278" i="1"/>
  <c r="A2277" i="1"/>
  <c r="A2276" i="1"/>
  <c r="A2275" i="1"/>
  <c r="A2274" i="1"/>
  <c r="A2273" i="1"/>
  <c r="A2272" i="1"/>
  <c r="A2271" i="1"/>
  <c r="A2270" i="1"/>
  <c r="A2269" i="1"/>
  <c r="A2268" i="1"/>
  <c r="A2267" i="1"/>
  <c r="A2266" i="1"/>
  <c r="A2265" i="1"/>
  <c r="A2264" i="1"/>
  <c r="A2263" i="1"/>
  <c r="A2262" i="1"/>
  <c r="A2261" i="1"/>
  <c r="A2260" i="1"/>
  <c r="A2259" i="1"/>
  <c r="A2258" i="1"/>
  <c r="A2257" i="1"/>
  <c r="A2256" i="1"/>
  <c r="A2255" i="1"/>
  <c r="A2254" i="1"/>
  <c r="A2253" i="1"/>
  <c r="A2252" i="1"/>
  <c r="A2251" i="1"/>
  <c r="A2250" i="1"/>
  <c r="A2249" i="1"/>
  <c r="A2248" i="1"/>
  <c r="A2247" i="1"/>
  <c r="A2246" i="1"/>
  <c r="A2245" i="1"/>
  <c r="A2244" i="1"/>
  <c r="A2243" i="1"/>
  <c r="A2242" i="1"/>
  <c r="A2241" i="1"/>
  <c r="A2240" i="1"/>
  <c r="A2239" i="1"/>
  <c r="A2238" i="1"/>
  <c r="A2237" i="1"/>
  <c r="A2236" i="1"/>
  <c r="A2235" i="1"/>
  <c r="A2234" i="1"/>
  <c r="A2233" i="1"/>
  <c r="A2232" i="1"/>
  <c r="A2231" i="1"/>
  <c r="A2230" i="1"/>
  <c r="A2229" i="1"/>
  <c r="A2228" i="1"/>
  <c r="A2227" i="1"/>
  <c r="A2226" i="1"/>
  <c r="A2225" i="1"/>
  <c r="A2224" i="1"/>
  <c r="A2223" i="1"/>
  <c r="A2222" i="1"/>
  <c r="A2221" i="1"/>
  <c r="A2220" i="1"/>
  <c r="A2219" i="1"/>
  <c r="A2218" i="1"/>
  <c r="A2217" i="1"/>
  <c r="A2216" i="1"/>
  <c r="A2215" i="1"/>
  <c r="A2214" i="1"/>
  <c r="A2213" i="1"/>
  <c r="A2212" i="1"/>
  <c r="A2211" i="1"/>
  <c r="A2210" i="1"/>
  <c r="A2209" i="1"/>
  <c r="A2208" i="1"/>
  <c r="A2207" i="1"/>
  <c r="A2206" i="1"/>
  <c r="A2205" i="1"/>
  <c r="A2204" i="1"/>
  <c r="A2203" i="1"/>
  <c r="A2202" i="1"/>
  <c r="A2201" i="1"/>
  <c r="A2200" i="1"/>
  <c r="A2199" i="1"/>
  <c r="A2198" i="1"/>
  <c r="A2197" i="1"/>
  <c r="A2196" i="1"/>
  <c r="A2195" i="1"/>
  <c r="A2194" i="1"/>
  <c r="A2193" i="1"/>
  <c r="A2192" i="1"/>
  <c r="A2191" i="1"/>
  <c r="A2190" i="1"/>
  <c r="A2189" i="1"/>
  <c r="A2188" i="1"/>
  <c r="A2187" i="1"/>
  <c r="A2186" i="1"/>
  <c r="A2185" i="1"/>
  <c r="A2184" i="1"/>
  <c r="A2183" i="1"/>
  <c r="A2182" i="1"/>
  <c r="A2181" i="1"/>
  <c r="A2180" i="1"/>
  <c r="A2179" i="1"/>
  <c r="A2178" i="1"/>
  <c r="A2177" i="1"/>
  <c r="A2176" i="1"/>
  <c r="A2175" i="1"/>
  <c r="A2174" i="1"/>
  <c r="A2173" i="1"/>
  <c r="A2172" i="1"/>
  <c r="A2171" i="1"/>
  <c r="A2170" i="1"/>
  <c r="A2169" i="1"/>
  <c r="A2168" i="1"/>
  <c r="A2167" i="1"/>
  <c r="A2166" i="1"/>
  <c r="A2165" i="1"/>
  <c r="A2164" i="1"/>
  <c r="A2163" i="1"/>
  <c r="A2162" i="1"/>
  <c r="A2161" i="1"/>
  <c r="A2160" i="1"/>
  <c r="A2159" i="1"/>
  <c r="A2158" i="1"/>
  <c r="A2157" i="1"/>
  <c r="A2156" i="1"/>
  <c r="A2155" i="1"/>
  <c r="A2154" i="1"/>
  <c r="A2153" i="1"/>
  <c r="A2152" i="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A2127" i="1"/>
  <c r="A2126" i="1"/>
  <c r="A2125" i="1"/>
  <c r="A2124" i="1"/>
  <c r="A2123" i="1"/>
  <c r="A2122" i="1"/>
  <c r="A2121" i="1"/>
  <c r="A2120" i="1"/>
  <c r="A2119" i="1"/>
  <c r="A2118" i="1"/>
  <c r="A2117" i="1"/>
  <c r="A2116" i="1"/>
  <c r="A2115" i="1"/>
  <c r="A2114" i="1"/>
  <c r="A2113" i="1"/>
  <c r="A2112" i="1"/>
  <c r="A2111" i="1"/>
  <c r="A2110" i="1"/>
  <c r="A2109" i="1"/>
  <c r="A2108" i="1"/>
  <c r="A2107" i="1"/>
  <c r="A2106" i="1"/>
  <c r="A2105" i="1"/>
  <c r="A2104" i="1"/>
  <c r="A2103" i="1"/>
  <c r="A2102" i="1"/>
  <c r="A2101" i="1"/>
  <c r="A2100" i="1"/>
  <c r="A2099" i="1"/>
  <c r="A2098" i="1"/>
  <c r="A2097" i="1"/>
  <c r="A2096" i="1"/>
  <c r="A2095" i="1"/>
  <c r="A2094" i="1"/>
  <c r="A2093" i="1"/>
  <c r="A2092" i="1"/>
  <c r="A2091" i="1"/>
  <c r="A2090" i="1"/>
  <c r="A2089" i="1"/>
  <c r="A2088" i="1"/>
  <c r="A2087" i="1"/>
  <c r="A2086"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A2042" i="1"/>
  <c r="A2041" i="1"/>
  <c r="A2040" i="1"/>
  <c r="A2039" i="1"/>
  <c r="A2038" i="1"/>
  <c r="A2037" i="1"/>
  <c r="A2036" i="1"/>
  <c r="A2035" i="1"/>
  <c r="A2034" i="1"/>
  <c r="A2033" i="1"/>
  <c r="A2032" i="1"/>
  <c r="A2031" i="1"/>
  <c r="A2030" i="1"/>
  <c r="A2029" i="1"/>
  <c r="A2028" i="1"/>
  <c r="A2027" i="1"/>
  <c r="A2026" i="1"/>
  <c r="A2025" i="1"/>
  <c r="A2024" i="1"/>
  <c r="A2023" i="1"/>
  <c r="A2022" i="1"/>
  <c r="A2021" i="1"/>
  <c r="A2020" i="1"/>
  <c r="A2019" i="1"/>
  <c r="A2018" i="1"/>
  <c r="A2017" i="1"/>
  <c r="A2016" i="1"/>
  <c r="A2015" i="1"/>
  <c r="A2014" i="1"/>
  <c r="A2013" i="1"/>
  <c r="A2012" i="1"/>
  <c r="A2011" i="1"/>
  <c r="A2010" i="1"/>
  <c r="A2009" i="1"/>
  <c r="A2008" i="1"/>
  <c r="A2007" i="1"/>
  <c r="A2006" i="1"/>
  <c r="A2005" i="1"/>
  <c r="A2004" i="1"/>
  <c r="A2003" i="1"/>
  <c r="A2002" i="1"/>
  <c r="A2001" i="1"/>
  <c r="A2000" i="1"/>
  <c r="A1999" i="1"/>
  <c r="A1998" i="1"/>
  <c r="A1997" i="1"/>
  <c r="A1996" i="1"/>
  <c r="A1995" i="1"/>
  <c r="A1994" i="1"/>
  <c r="A1993" i="1"/>
  <c r="A1992" i="1"/>
  <c r="A1991" i="1"/>
  <c r="A1990" i="1"/>
  <c r="A1989" i="1"/>
  <c r="A1988" i="1"/>
  <c r="A1987" i="1"/>
  <c r="A1986" i="1"/>
  <c r="A1985" i="1"/>
  <c r="A1984" i="1"/>
  <c r="A1983" i="1"/>
  <c r="A1982" i="1"/>
  <c r="A1981" i="1"/>
  <c r="A1980" i="1"/>
  <c r="A1979" i="1"/>
  <c r="A1978" i="1"/>
  <c r="A1977" i="1"/>
  <c r="A1976" i="1"/>
  <c r="A1975" i="1"/>
  <c r="A1974" i="1"/>
  <c r="A1973" i="1"/>
  <c r="A1972" i="1"/>
  <c r="A1971" i="1"/>
  <c r="A1970" i="1"/>
  <c r="A1969" i="1"/>
  <c r="A1968" i="1"/>
  <c r="A1967" i="1"/>
  <c r="A1966" i="1"/>
  <c r="A1965" i="1"/>
  <c r="A1964" i="1"/>
  <c r="A1963" i="1"/>
  <c r="A1962" i="1"/>
  <c r="A1961" i="1"/>
  <c r="A1960" i="1"/>
  <c r="A1959" i="1"/>
  <c r="A1958" i="1"/>
  <c r="A1957" i="1"/>
  <c r="A1956" i="1"/>
  <c r="A1955" i="1"/>
  <c r="A1954" i="1"/>
  <c r="A1953" i="1"/>
  <c r="A1952" i="1"/>
  <c r="A1951" i="1"/>
  <c r="A1950" i="1"/>
  <c r="A1949" i="1"/>
  <c r="A1948" i="1"/>
  <c r="A1947" i="1"/>
  <c r="A1946" i="1"/>
  <c r="A1945" i="1"/>
  <c r="A1944" i="1"/>
  <c r="A1943" i="1"/>
  <c r="A1942" i="1"/>
  <c r="A1941" i="1"/>
  <c r="A1940" i="1"/>
  <c r="A1939" i="1"/>
  <c r="A1938" i="1"/>
  <c r="A1937" i="1"/>
  <c r="A1936" i="1"/>
  <c r="A1935" i="1"/>
  <c r="A1934" i="1"/>
  <c r="A1933" i="1"/>
  <c r="A1932" i="1"/>
  <c r="A1931" i="1"/>
  <c r="A1930" i="1"/>
  <c r="A1929" i="1"/>
  <c r="A1928" i="1"/>
  <c r="A1927" i="1"/>
  <c r="A1926" i="1"/>
  <c r="A1925" i="1"/>
  <c r="A1924" i="1"/>
  <c r="A1923" i="1"/>
  <c r="A1922" i="1"/>
  <c r="A1921" i="1"/>
  <c r="A1920" i="1"/>
  <c r="A1919" i="1"/>
  <c r="A1918" i="1"/>
  <c r="A1917" i="1"/>
  <c r="A1916" i="1"/>
  <c r="A1915" i="1"/>
  <c r="A1914" i="1"/>
  <c r="A1913" i="1"/>
  <c r="A1912" i="1"/>
  <c r="A1911" i="1"/>
  <c r="A1910" i="1"/>
  <c r="A1909" i="1"/>
  <c r="A1908" i="1"/>
  <c r="A1907" i="1"/>
  <c r="A1906" i="1"/>
  <c r="A1905" i="1"/>
  <c r="A1904" i="1"/>
  <c r="A1903" i="1"/>
  <c r="A1902" i="1"/>
  <c r="A1901" i="1"/>
  <c r="A1900" i="1"/>
  <c r="A1899" i="1"/>
  <c r="A1898" i="1"/>
  <c r="A1897" i="1"/>
  <c r="A1896" i="1"/>
  <c r="A1895" i="1"/>
  <c r="A1894" i="1"/>
  <c r="A1893" i="1"/>
  <c r="A1892" i="1"/>
  <c r="A1891" i="1"/>
  <c r="A1890" i="1"/>
  <c r="A1889" i="1"/>
  <c r="A1888" i="1"/>
  <c r="A1887" i="1"/>
  <c r="A1886" i="1"/>
  <c r="A1885" i="1"/>
  <c r="A1884" i="1"/>
  <c r="A1883" i="1"/>
  <c r="A1882" i="1"/>
  <c r="A1881" i="1"/>
  <c r="A1880" i="1"/>
  <c r="A1879" i="1"/>
  <c r="A1878" i="1"/>
  <c r="A1877" i="1"/>
  <c r="A1876" i="1"/>
  <c r="A1875" i="1"/>
  <c r="A1874" i="1"/>
  <c r="A1873" i="1"/>
  <c r="A1872" i="1"/>
  <c r="A1871" i="1"/>
  <c r="A1870" i="1"/>
  <c r="A1869" i="1"/>
  <c r="A1868" i="1"/>
  <c r="A1867" i="1"/>
  <c r="A1866" i="1"/>
  <c r="A1865" i="1"/>
  <c r="A1864" i="1"/>
  <c r="A1863" i="1"/>
  <c r="A1862" i="1"/>
  <c r="A1861" i="1"/>
  <c r="A1860" i="1"/>
  <c r="A1859" i="1"/>
  <c r="A1858" i="1"/>
  <c r="A1857" i="1"/>
  <c r="A1856" i="1"/>
  <c r="A1855" i="1"/>
  <c r="A1854" i="1"/>
  <c r="A1853" i="1"/>
  <c r="A1852" i="1"/>
  <c r="A1851" i="1"/>
  <c r="A1850" i="1"/>
  <c r="A1849" i="1"/>
  <c r="A1848" i="1"/>
  <c r="A1847" i="1"/>
  <c r="A1846" i="1"/>
  <c r="A1845" i="1"/>
  <c r="A1844" i="1"/>
  <c r="A1843" i="1"/>
  <c r="A1842" i="1"/>
  <c r="A1841" i="1"/>
  <c r="A1840" i="1"/>
  <c r="A1839" i="1"/>
  <c r="A1838" i="1"/>
  <c r="A1837" i="1"/>
  <c r="A1836" i="1"/>
  <c r="A1835" i="1"/>
  <c r="A1834" i="1"/>
  <c r="A1833" i="1"/>
  <c r="A1832" i="1"/>
  <c r="A1831" i="1"/>
  <c r="A1830" i="1"/>
  <c r="A1829" i="1"/>
  <c r="A1828" i="1"/>
  <c r="A1827" i="1"/>
  <c r="A1826" i="1"/>
  <c r="A1825" i="1"/>
  <c r="A1824" i="1"/>
  <c r="A1823" i="1"/>
  <c r="A1822" i="1"/>
  <c r="A1821" i="1"/>
  <c r="A1820" i="1"/>
  <c r="A1819" i="1"/>
  <c r="A1818" i="1"/>
  <c r="A1817" i="1"/>
  <c r="A1816" i="1"/>
  <c r="A1815" i="1"/>
  <c r="A1814" i="1"/>
  <c r="A1813" i="1"/>
  <c r="A1812" i="1"/>
  <c r="A1811" i="1"/>
  <c r="A1810" i="1"/>
  <c r="A1809" i="1"/>
  <c r="A1808" i="1"/>
  <c r="A1807" i="1"/>
  <c r="A1806" i="1"/>
  <c r="A1805" i="1"/>
  <c r="A1804" i="1"/>
  <c r="A1803" i="1"/>
  <c r="A1802" i="1"/>
  <c r="A1801" i="1"/>
  <c r="A1800" i="1"/>
  <c r="A1799" i="1"/>
  <c r="A1798" i="1"/>
  <c r="A1797" i="1"/>
  <c r="A1796" i="1"/>
  <c r="A1795" i="1"/>
  <c r="A1794" i="1"/>
  <c r="A1793" i="1"/>
  <c r="A1792" i="1"/>
  <c r="A1791" i="1"/>
  <c r="A1790" i="1"/>
  <c r="A1789" i="1"/>
  <c r="A1788" i="1"/>
  <c r="A1787" i="1"/>
  <c r="A1786" i="1"/>
  <c r="A1785" i="1"/>
  <c r="A1784" i="1"/>
  <c r="A1783" i="1"/>
  <c r="A1782" i="1"/>
  <c r="A1781" i="1"/>
  <c r="A1780" i="1"/>
  <c r="A1779" i="1"/>
  <c r="A1778" i="1"/>
  <c r="A1777" i="1"/>
  <c r="A1776" i="1"/>
  <c r="A1775" i="1"/>
  <c r="A1774" i="1"/>
  <c r="A1773" i="1"/>
  <c r="A1772" i="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5" i="1"/>
  <c r="A1674" i="1"/>
  <c r="A1673" i="1"/>
  <c r="A1672" i="1"/>
  <c r="A1671" i="1"/>
  <c r="A1670" i="1"/>
  <c r="A1669" i="1"/>
  <c r="A1668" i="1"/>
  <c r="A1667" i="1"/>
  <c r="A1666" i="1"/>
  <c r="A1665" i="1"/>
  <c r="A1664" i="1"/>
  <c r="A1663" i="1"/>
  <c r="A1662" i="1"/>
  <c r="A1661" i="1"/>
  <c r="A1660" i="1"/>
  <c r="A1659" i="1"/>
  <c r="A1658" i="1"/>
  <c r="A1657" i="1"/>
  <c r="A1656" i="1"/>
  <c r="A1655" i="1"/>
  <c r="A1654" i="1"/>
  <c r="A1653" i="1"/>
  <c r="A1652" i="1"/>
  <c r="A1651" i="1"/>
  <c r="A1650" i="1"/>
  <c r="A1649" i="1"/>
  <c r="A1648" i="1"/>
  <c r="A1647" i="1"/>
  <c r="A1646" i="1"/>
  <c r="A1645" i="1"/>
  <c r="A1644" i="1"/>
  <c r="A1643" i="1"/>
  <c r="A1642" i="1"/>
  <c r="A1641" i="1"/>
  <c r="A1640" i="1"/>
  <c r="A1639" i="1"/>
  <c r="A1638" i="1"/>
  <c r="A1637" i="1"/>
  <c r="A1636" i="1"/>
  <c r="A1635" i="1"/>
  <c r="A1634" i="1"/>
  <c r="A1633" i="1"/>
  <c r="A1632" i="1"/>
  <c r="A1631" i="1"/>
  <c r="A1630" i="1"/>
  <c r="A1629" i="1"/>
  <c r="A1628" i="1"/>
  <c r="A1627" i="1"/>
  <c r="A1626" i="1"/>
  <c r="A1625" i="1"/>
  <c r="A1624" i="1"/>
  <c r="A1623" i="1"/>
  <c r="A1622" i="1"/>
  <c r="A1621" i="1"/>
  <c r="A1620" i="1"/>
  <c r="A1619" i="1"/>
  <c r="A1618" i="1"/>
  <c r="A1617" i="1"/>
  <c r="A1616" i="1"/>
  <c r="A1615" i="1"/>
  <c r="A1614" i="1"/>
  <c r="A1613" i="1"/>
  <c r="A1612" i="1"/>
  <c r="A1611" i="1"/>
  <c r="A1610" i="1"/>
  <c r="A1609" i="1"/>
  <c r="A1608" i="1"/>
  <c r="A1607" i="1"/>
  <c r="A1606" i="1"/>
  <c r="A1605" i="1"/>
  <c r="A1604" i="1"/>
  <c r="A1603" i="1"/>
  <c r="A1602" i="1"/>
  <c r="A1601" i="1"/>
  <c r="A1600" i="1"/>
  <c r="A1599" i="1"/>
  <c r="A1598" i="1"/>
  <c r="A1597" i="1"/>
  <c r="A1596" i="1"/>
  <c r="A1595" i="1"/>
  <c r="A1594" i="1"/>
  <c r="A1593" i="1"/>
  <c r="A1592" i="1"/>
  <c r="A1591" i="1"/>
  <c r="A1590" i="1"/>
  <c r="A1589" i="1"/>
  <c r="A1588" i="1"/>
  <c r="A1587" i="1"/>
  <c r="A1586" i="1"/>
  <c r="A1585" i="1"/>
  <c r="A1584" i="1"/>
  <c r="A1583" i="1"/>
  <c r="A1582" i="1"/>
  <c r="A1581" i="1"/>
  <c r="A1580" i="1"/>
  <c r="A1579" i="1"/>
  <c r="A1578" i="1"/>
  <c r="A1577" i="1"/>
  <c r="A1576" i="1"/>
  <c r="A1575" i="1"/>
  <c r="A1574" i="1"/>
  <c r="A1573" i="1"/>
  <c r="A1572" i="1"/>
  <c r="A1571" i="1"/>
  <c r="A1570" i="1"/>
  <c r="A1569" i="1"/>
  <c r="A1568" i="1"/>
  <c r="A1567" i="1"/>
  <c r="A1566" i="1"/>
  <c r="A1565" i="1"/>
  <c r="A1564"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 r="C8472" i="1"/>
  <c r="B8472" i="1"/>
  <c r="C8471" i="1"/>
  <c r="B8471" i="1"/>
  <c r="C8470" i="1"/>
  <c r="B8470" i="1"/>
  <c r="C8469" i="1"/>
  <c r="B8469" i="1"/>
  <c r="C8468" i="1"/>
  <c r="B8468" i="1"/>
  <c r="C8467" i="1"/>
  <c r="B8467" i="1"/>
  <c r="C8466" i="1"/>
  <c r="B8466" i="1"/>
  <c r="C8465" i="1"/>
  <c r="B8465" i="1"/>
  <c r="C8464" i="1"/>
  <c r="B8464" i="1"/>
  <c r="C8463" i="1"/>
  <c r="B8463" i="1"/>
  <c r="C8462" i="1"/>
  <c r="B8462" i="1"/>
  <c r="C8461" i="1"/>
  <c r="B8461" i="1"/>
  <c r="C8460" i="1"/>
  <c r="B8460" i="1"/>
  <c r="C8459" i="1"/>
  <c r="B8459" i="1"/>
  <c r="C8458" i="1"/>
  <c r="B8458" i="1"/>
  <c r="C8457" i="1"/>
  <c r="B8457" i="1"/>
  <c r="C8456" i="1"/>
  <c r="B8456" i="1"/>
  <c r="C8455" i="1"/>
  <c r="B8455" i="1"/>
  <c r="C8454" i="1"/>
  <c r="B8454" i="1"/>
  <c r="C8453" i="1"/>
  <c r="B8453" i="1"/>
  <c r="C8452" i="1"/>
  <c r="B8452" i="1"/>
  <c r="C8451" i="1"/>
  <c r="B8451" i="1"/>
  <c r="C8450" i="1"/>
  <c r="B8450" i="1"/>
  <c r="C8449" i="1"/>
  <c r="B8449" i="1"/>
  <c r="C8448" i="1"/>
  <c r="B8448" i="1"/>
  <c r="C8447" i="1"/>
  <c r="B8447" i="1"/>
  <c r="C8446" i="1"/>
  <c r="B8446" i="1"/>
  <c r="C8445" i="1"/>
  <c r="B8445" i="1"/>
  <c r="C8444" i="1"/>
  <c r="B8444" i="1"/>
  <c r="C8443" i="1"/>
  <c r="B8443" i="1"/>
  <c r="C8442" i="1"/>
  <c r="B8442" i="1"/>
  <c r="C8441" i="1"/>
  <c r="B8441" i="1"/>
  <c r="C8440" i="1"/>
  <c r="B8440" i="1"/>
  <c r="C8439" i="1"/>
  <c r="B8439" i="1"/>
  <c r="C8438" i="1"/>
  <c r="B8438" i="1"/>
  <c r="C8437" i="1"/>
  <c r="B8437" i="1"/>
  <c r="C8436" i="1"/>
  <c r="B8436" i="1"/>
  <c r="C8435" i="1"/>
  <c r="B8435" i="1"/>
  <c r="C8434" i="1"/>
  <c r="B8434" i="1"/>
  <c r="C8433" i="1"/>
  <c r="B8433" i="1"/>
  <c r="C8432" i="1"/>
  <c r="B8432" i="1"/>
  <c r="C8431" i="1"/>
  <c r="B8431" i="1"/>
  <c r="C8430" i="1"/>
  <c r="B8430" i="1"/>
  <c r="C8429" i="1"/>
  <c r="B8429" i="1"/>
  <c r="C8428" i="1"/>
  <c r="B8428" i="1"/>
  <c r="C8427" i="1"/>
  <c r="B8427" i="1"/>
  <c r="C8426" i="1"/>
  <c r="B8426" i="1"/>
  <c r="C8425" i="1"/>
  <c r="B8425" i="1"/>
  <c r="C8424" i="1"/>
  <c r="B8424" i="1"/>
  <c r="C8423" i="1"/>
  <c r="B8423" i="1"/>
  <c r="C8422" i="1"/>
  <c r="B8422" i="1"/>
  <c r="C8421" i="1"/>
  <c r="B8421" i="1"/>
  <c r="C8420" i="1"/>
  <c r="B8420" i="1"/>
  <c r="C8419" i="1"/>
  <c r="B8419" i="1"/>
  <c r="C8418" i="1"/>
  <c r="B8418" i="1"/>
  <c r="C8417" i="1"/>
  <c r="B8417" i="1"/>
  <c r="C8416" i="1"/>
  <c r="B8416" i="1"/>
  <c r="C8415" i="1"/>
  <c r="B8415" i="1"/>
  <c r="C8414" i="1"/>
  <c r="B8414" i="1"/>
  <c r="C8413" i="1"/>
  <c r="B8413" i="1"/>
  <c r="C8412" i="1"/>
  <c r="B8412" i="1"/>
  <c r="C8411" i="1"/>
  <c r="B8411" i="1"/>
  <c r="C8410" i="1"/>
  <c r="B8410" i="1"/>
  <c r="C8409" i="1"/>
  <c r="B8409" i="1"/>
  <c r="C8408" i="1"/>
  <c r="B8408" i="1"/>
  <c r="C8407" i="1"/>
  <c r="B8407" i="1"/>
  <c r="C8406" i="1"/>
  <c r="B8406" i="1"/>
  <c r="C8405" i="1"/>
  <c r="B8405" i="1"/>
  <c r="C8404" i="1"/>
  <c r="B8404" i="1"/>
  <c r="C8403" i="1"/>
  <c r="B8403" i="1"/>
  <c r="C8402" i="1"/>
  <c r="B8402" i="1"/>
  <c r="C8401" i="1"/>
  <c r="B8401" i="1"/>
  <c r="C8400" i="1"/>
  <c r="B8400" i="1"/>
  <c r="C8399" i="1"/>
  <c r="B8399" i="1"/>
  <c r="C8398" i="1"/>
  <c r="B8398" i="1"/>
  <c r="C8397" i="1"/>
  <c r="B8397" i="1"/>
  <c r="C8396" i="1"/>
  <c r="B8396" i="1"/>
  <c r="C8395" i="1"/>
  <c r="B8395" i="1"/>
  <c r="C8394" i="1"/>
  <c r="B8394" i="1"/>
  <c r="C8393" i="1"/>
  <c r="B8393" i="1"/>
  <c r="C8392" i="1"/>
  <c r="B8392" i="1"/>
  <c r="C8391" i="1"/>
  <c r="B8391" i="1"/>
  <c r="C8390" i="1"/>
  <c r="B8390" i="1"/>
  <c r="C8389" i="1"/>
  <c r="B8389" i="1"/>
  <c r="C8388" i="1"/>
  <c r="B8388" i="1"/>
  <c r="C8387" i="1"/>
  <c r="B8387" i="1"/>
  <c r="C8386" i="1"/>
  <c r="B8386" i="1"/>
  <c r="C8385" i="1"/>
  <c r="B8385" i="1"/>
  <c r="C8384" i="1"/>
  <c r="B8384" i="1"/>
  <c r="C8383" i="1"/>
  <c r="B8383" i="1"/>
  <c r="C8382" i="1"/>
  <c r="B8382" i="1"/>
  <c r="C8381" i="1"/>
  <c r="B8381" i="1"/>
  <c r="C8380" i="1"/>
  <c r="B8380" i="1"/>
  <c r="C8379" i="1"/>
  <c r="B8379" i="1"/>
  <c r="C8378" i="1"/>
  <c r="B8378" i="1"/>
  <c r="C8377" i="1"/>
  <c r="B8377" i="1"/>
  <c r="C8376" i="1"/>
  <c r="B8376" i="1"/>
  <c r="C8375" i="1"/>
  <c r="B8375" i="1"/>
  <c r="C8374" i="1"/>
  <c r="B8374" i="1"/>
  <c r="C8373" i="1"/>
  <c r="B8373" i="1"/>
  <c r="C8372" i="1"/>
  <c r="B8372" i="1"/>
  <c r="C8371" i="1"/>
  <c r="B8371" i="1"/>
  <c r="C8370" i="1"/>
  <c r="B8370" i="1"/>
  <c r="C8369" i="1"/>
  <c r="B8369" i="1"/>
  <c r="C8368" i="1"/>
  <c r="B8368" i="1"/>
  <c r="C8367" i="1"/>
  <c r="B8367" i="1"/>
  <c r="C8366" i="1"/>
  <c r="B8366" i="1"/>
  <c r="C8365" i="1"/>
  <c r="B8365" i="1"/>
  <c r="C8364" i="1"/>
  <c r="B8364" i="1"/>
  <c r="C8363" i="1"/>
  <c r="B8363" i="1"/>
  <c r="C8362" i="1"/>
  <c r="B8362" i="1"/>
  <c r="C8361" i="1"/>
  <c r="B8361" i="1"/>
  <c r="C8360" i="1"/>
  <c r="B8360" i="1"/>
  <c r="C8359" i="1"/>
  <c r="B8359" i="1"/>
  <c r="C8358" i="1"/>
  <c r="B8358" i="1"/>
  <c r="C8357" i="1"/>
  <c r="B8357" i="1"/>
  <c r="C8356" i="1"/>
  <c r="B8356" i="1"/>
  <c r="C8355" i="1"/>
  <c r="B8355" i="1"/>
  <c r="C8354" i="1"/>
  <c r="B8354" i="1"/>
  <c r="C8353" i="1"/>
  <c r="B8353" i="1"/>
  <c r="C8352" i="1"/>
  <c r="B8352" i="1"/>
  <c r="C8351" i="1"/>
  <c r="B8351" i="1"/>
  <c r="C8350" i="1"/>
  <c r="B8350" i="1"/>
  <c r="C8349" i="1"/>
  <c r="B8349" i="1"/>
  <c r="C8348" i="1"/>
  <c r="B8348" i="1"/>
  <c r="C8347" i="1"/>
  <c r="B8347" i="1"/>
  <c r="C8346" i="1"/>
  <c r="B8346" i="1"/>
  <c r="C8345" i="1"/>
  <c r="B8345" i="1"/>
  <c r="C8344" i="1"/>
  <c r="B8344" i="1"/>
  <c r="C8343" i="1"/>
  <c r="B8343" i="1"/>
  <c r="C8342" i="1"/>
  <c r="B8342" i="1"/>
  <c r="C8341" i="1"/>
  <c r="B8341" i="1"/>
  <c r="C8340" i="1"/>
  <c r="B8340" i="1"/>
  <c r="C8339" i="1"/>
  <c r="B8339" i="1"/>
  <c r="C8338" i="1"/>
  <c r="B8338" i="1"/>
  <c r="C8337" i="1"/>
  <c r="B8337" i="1"/>
  <c r="C8336" i="1"/>
  <c r="B8336" i="1"/>
  <c r="C8335" i="1"/>
  <c r="B8335" i="1"/>
  <c r="C8334" i="1"/>
  <c r="B8334" i="1"/>
  <c r="C8333" i="1"/>
  <c r="B8333" i="1"/>
  <c r="C8332" i="1"/>
  <c r="B8332" i="1"/>
  <c r="C8331" i="1"/>
  <c r="B8331" i="1"/>
  <c r="C8330" i="1"/>
  <c r="B8330" i="1"/>
  <c r="C8329" i="1"/>
  <c r="B8329" i="1"/>
  <c r="C8328" i="1"/>
  <c r="B8328" i="1"/>
  <c r="C8327" i="1"/>
  <c r="B8327" i="1"/>
  <c r="C8326" i="1"/>
  <c r="B8326" i="1"/>
  <c r="C8325" i="1"/>
  <c r="B8325" i="1"/>
  <c r="C8324" i="1"/>
  <c r="B8324" i="1"/>
  <c r="C8323" i="1"/>
  <c r="B8323" i="1"/>
  <c r="C8322" i="1"/>
  <c r="B8322" i="1"/>
  <c r="C8321" i="1"/>
  <c r="B8321" i="1"/>
  <c r="C8320" i="1"/>
  <c r="B8320" i="1"/>
  <c r="C8319" i="1"/>
  <c r="B8319" i="1"/>
  <c r="C8318" i="1"/>
  <c r="B8318" i="1"/>
  <c r="C8317" i="1"/>
  <c r="B8317" i="1"/>
  <c r="C8316" i="1"/>
  <c r="B8316" i="1"/>
  <c r="C8315" i="1"/>
  <c r="B8315" i="1"/>
  <c r="C8314" i="1"/>
  <c r="B8314" i="1"/>
  <c r="C8313" i="1"/>
  <c r="B8313" i="1"/>
  <c r="C8312" i="1"/>
  <c r="B8312" i="1"/>
  <c r="C8311" i="1"/>
  <c r="B8311" i="1"/>
  <c r="C8310" i="1"/>
  <c r="B8310" i="1"/>
  <c r="C8309" i="1"/>
  <c r="B8309" i="1"/>
  <c r="C8308" i="1"/>
  <c r="B8308" i="1"/>
  <c r="C8307" i="1"/>
  <c r="B8307" i="1"/>
  <c r="C8306" i="1"/>
  <c r="B8306" i="1"/>
  <c r="C8305" i="1"/>
  <c r="B8305" i="1"/>
  <c r="C8304" i="1"/>
  <c r="B8304" i="1"/>
  <c r="C8303" i="1"/>
  <c r="B8303" i="1"/>
  <c r="C8302" i="1"/>
  <c r="B8302" i="1"/>
  <c r="C8301" i="1"/>
  <c r="B8301" i="1"/>
  <c r="C8300" i="1"/>
  <c r="B8300" i="1"/>
  <c r="C8299" i="1"/>
  <c r="B8299" i="1"/>
  <c r="C8298" i="1"/>
  <c r="B8298" i="1"/>
  <c r="C8297" i="1"/>
  <c r="B8297" i="1"/>
  <c r="C8296" i="1"/>
  <c r="B8296" i="1"/>
  <c r="C8295" i="1"/>
  <c r="B8295" i="1"/>
  <c r="C8294" i="1"/>
  <c r="B8294" i="1"/>
  <c r="C8293" i="1"/>
  <c r="B8293" i="1"/>
  <c r="C8292" i="1"/>
  <c r="B8292" i="1"/>
  <c r="C8291" i="1"/>
  <c r="B8291" i="1"/>
  <c r="C8290" i="1"/>
  <c r="B8290" i="1"/>
  <c r="C8289" i="1"/>
  <c r="B8289" i="1"/>
  <c r="C8288" i="1"/>
  <c r="B8288" i="1"/>
  <c r="C8287" i="1"/>
  <c r="B8287" i="1"/>
  <c r="C8286" i="1"/>
  <c r="B8286" i="1"/>
  <c r="C8285" i="1"/>
  <c r="B8285" i="1"/>
  <c r="C8284" i="1"/>
  <c r="B8284" i="1"/>
  <c r="C8283" i="1"/>
  <c r="B8283" i="1"/>
  <c r="C8282" i="1"/>
  <c r="B8282" i="1"/>
  <c r="C8281" i="1"/>
  <c r="B8281" i="1"/>
  <c r="C8280" i="1"/>
  <c r="B8280" i="1"/>
  <c r="C8279" i="1"/>
  <c r="B8279" i="1"/>
  <c r="C8278" i="1"/>
  <c r="B8278" i="1"/>
  <c r="C8277" i="1"/>
  <c r="B8277" i="1"/>
  <c r="C8276" i="1"/>
  <c r="B8276" i="1"/>
  <c r="C8275" i="1"/>
  <c r="B8275" i="1"/>
  <c r="C8274" i="1"/>
  <c r="B8274" i="1"/>
  <c r="C8273" i="1"/>
  <c r="B8273" i="1"/>
  <c r="C8272" i="1"/>
  <c r="B8272" i="1"/>
  <c r="C8271" i="1"/>
  <c r="B8271" i="1"/>
  <c r="C8270" i="1"/>
  <c r="B8270" i="1"/>
  <c r="C8269" i="1"/>
  <c r="B8269" i="1"/>
  <c r="C8268" i="1"/>
  <c r="B8268" i="1"/>
  <c r="C8267" i="1"/>
  <c r="B8267" i="1"/>
  <c r="C8266" i="1"/>
  <c r="B8266" i="1"/>
  <c r="C8265" i="1"/>
  <c r="B8265" i="1"/>
  <c r="C8264" i="1"/>
  <c r="B8264" i="1"/>
  <c r="C8263" i="1"/>
  <c r="B8263" i="1"/>
  <c r="C8262" i="1"/>
  <c r="B8262" i="1"/>
  <c r="C8261" i="1"/>
  <c r="B8261" i="1"/>
  <c r="C8260" i="1"/>
  <c r="B8260" i="1"/>
  <c r="C8259" i="1"/>
  <c r="B8259" i="1"/>
  <c r="C8258" i="1"/>
  <c r="B8258" i="1"/>
  <c r="C8257" i="1"/>
  <c r="B8257" i="1"/>
  <c r="C8256" i="1"/>
  <c r="B8256" i="1"/>
  <c r="C8255" i="1"/>
  <c r="B8255" i="1"/>
  <c r="C8254" i="1"/>
  <c r="B8254" i="1"/>
  <c r="C8253" i="1"/>
  <c r="B8253" i="1"/>
  <c r="C8252" i="1"/>
  <c r="B8252" i="1"/>
  <c r="C8251" i="1"/>
  <c r="B8251" i="1"/>
  <c r="C8250" i="1"/>
  <c r="B8250" i="1"/>
  <c r="C8249" i="1"/>
  <c r="B8249" i="1"/>
  <c r="C8248" i="1"/>
  <c r="B8248" i="1"/>
  <c r="C8247" i="1"/>
  <c r="B8247" i="1"/>
  <c r="C8246" i="1"/>
  <c r="B8246" i="1"/>
  <c r="C8245" i="1"/>
  <c r="B8245" i="1"/>
  <c r="C8244" i="1"/>
  <c r="B8244" i="1"/>
  <c r="C8243" i="1"/>
  <c r="B8243" i="1"/>
  <c r="C8242" i="1"/>
  <c r="B8242" i="1"/>
  <c r="C8241" i="1"/>
  <c r="B8241" i="1"/>
  <c r="C8240" i="1"/>
  <c r="B8240" i="1"/>
  <c r="C8239" i="1"/>
  <c r="B8239" i="1"/>
  <c r="C8238" i="1"/>
  <c r="B8238" i="1"/>
  <c r="C8237" i="1"/>
  <c r="B8237" i="1"/>
  <c r="C8236" i="1"/>
  <c r="B8236" i="1"/>
  <c r="C8235" i="1"/>
  <c r="B8235" i="1"/>
  <c r="C8234" i="1"/>
  <c r="B8234" i="1"/>
  <c r="C8233" i="1"/>
  <c r="B8233" i="1"/>
  <c r="C8232" i="1"/>
  <c r="B8232" i="1"/>
  <c r="C8231" i="1"/>
  <c r="B8231" i="1"/>
  <c r="C8230" i="1"/>
  <c r="B8230" i="1"/>
  <c r="C8229" i="1"/>
  <c r="B8229" i="1"/>
  <c r="C8228" i="1"/>
  <c r="B8228" i="1"/>
  <c r="C8227" i="1"/>
  <c r="B8227" i="1"/>
  <c r="C8226" i="1"/>
  <c r="B8226" i="1"/>
  <c r="C8225" i="1"/>
  <c r="B8225" i="1"/>
  <c r="C8224" i="1"/>
  <c r="B8224" i="1"/>
  <c r="C8223" i="1"/>
  <c r="B8223" i="1"/>
  <c r="C8222" i="1"/>
  <c r="B8222" i="1"/>
  <c r="C8221" i="1"/>
  <c r="B8221" i="1"/>
  <c r="C8220" i="1"/>
  <c r="B8220" i="1"/>
  <c r="C8219" i="1"/>
  <c r="B8219" i="1"/>
  <c r="C8218" i="1"/>
  <c r="B8218" i="1"/>
  <c r="C8217" i="1"/>
  <c r="B8217" i="1"/>
  <c r="C8216" i="1"/>
  <c r="B8216" i="1"/>
  <c r="C8215" i="1"/>
  <c r="B8215" i="1"/>
  <c r="C8214" i="1"/>
  <c r="B8214" i="1"/>
  <c r="C8213" i="1"/>
  <c r="B8213" i="1"/>
  <c r="C8212" i="1"/>
  <c r="B8212" i="1"/>
  <c r="C8211" i="1"/>
  <c r="B8211" i="1"/>
  <c r="C8210" i="1"/>
  <c r="B8210" i="1"/>
  <c r="C8209" i="1"/>
  <c r="B8209" i="1"/>
  <c r="C8208" i="1"/>
  <c r="B8208" i="1"/>
  <c r="C8207" i="1"/>
  <c r="B8207" i="1"/>
  <c r="C8206" i="1"/>
  <c r="B8206" i="1"/>
  <c r="C8205" i="1"/>
  <c r="B8205" i="1"/>
  <c r="C8204" i="1"/>
  <c r="B8204" i="1"/>
  <c r="C8203" i="1"/>
  <c r="B8203" i="1"/>
  <c r="C8202" i="1"/>
  <c r="B8202" i="1"/>
  <c r="C8201" i="1"/>
  <c r="B8201" i="1"/>
  <c r="C8200" i="1"/>
  <c r="B8200" i="1"/>
  <c r="C8199" i="1"/>
  <c r="B8199" i="1"/>
  <c r="C8198" i="1"/>
  <c r="B8198" i="1"/>
  <c r="C8197" i="1"/>
  <c r="B8197" i="1"/>
  <c r="C8196" i="1"/>
  <c r="B8196" i="1"/>
  <c r="C8195" i="1"/>
  <c r="B8195" i="1"/>
  <c r="C8194" i="1"/>
  <c r="B8194" i="1"/>
  <c r="C8193" i="1"/>
  <c r="B8193" i="1"/>
  <c r="C8192" i="1"/>
  <c r="B8192" i="1"/>
  <c r="C8191" i="1"/>
  <c r="B8191" i="1"/>
  <c r="C8190" i="1"/>
  <c r="B8190" i="1"/>
  <c r="C8189" i="1"/>
  <c r="B8189" i="1"/>
  <c r="C8188" i="1"/>
  <c r="B8188" i="1"/>
  <c r="C8187" i="1"/>
  <c r="B8187" i="1"/>
  <c r="C8186" i="1"/>
  <c r="B8186" i="1"/>
  <c r="C8185" i="1"/>
  <c r="B8185" i="1"/>
  <c r="C8184" i="1"/>
  <c r="B8184" i="1"/>
  <c r="C8183" i="1"/>
  <c r="B8183" i="1"/>
  <c r="C8182" i="1"/>
  <c r="B8182" i="1"/>
  <c r="C8181" i="1"/>
  <c r="B8181" i="1"/>
  <c r="C8180" i="1"/>
  <c r="B8180" i="1"/>
  <c r="C8179" i="1"/>
  <c r="B8179" i="1"/>
  <c r="C8178" i="1"/>
  <c r="B8178" i="1"/>
  <c r="C8177" i="1"/>
  <c r="B8177" i="1"/>
  <c r="C8176" i="1"/>
  <c r="B8176" i="1"/>
  <c r="C8175" i="1"/>
  <c r="B8175" i="1"/>
  <c r="C8174" i="1"/>
  <c r="B8174" i="1"/>
  <c r="C8173" i="1"/>
  <c r="B8173" i="1"/>
  <c r="C8172" i="1"/>
  <c r="B8172" i="1"/>
  <c r="C8171" i="1"/>
  <c r="B8171" i="1"/>
  <c r="C8170" i="1"/>
  <c r="B8170" i="1"/>
  <c r="C8169" i="1"/>
  <c r="B8169" i="1"/>
  <c r="C8168" i="1"/>
  <c r="B8168" i="1"/>
  <c r="C8167" i="1"/>
  <c r="B8167" i="1"/>
  <c r="C8166" i="1"/>
  <c r="B8166" i="1"/>
  <c r="C8165" i="1"/>
  <c r="B8165" i="1"/>
  <c r="C8164" i="1"/>
  <c r="B8164" i="1"/>
  <c r="C8163" i="1"/>
  <c r="B8163" i="1"/>
  <c r="C8162" i="1"/>
  <c r="B8162" i="1"/>
  <c r="C8161" i="1"/>
  <c r="B8161" i="1"/>
  <c r="C8160" i="1"/>
  <c r="B8160" i="1"/>
  <c r="C8159" i="1"/>
  <c r="B8159" i="1"/>
  <c r="C8158" i="1"/>
  <c r="B8158" i="1"/>
  <c r="C8157" i="1"/>
  <c r="B8157" i="1"/>
  <c r="C8156" i="1"/>
  <c r="B8156" i="1"/>
  <c r="C8155" i="1"/>
  <c r="B8155" i="1"/>
  <c r="C8154" i="1"/>
  <c r="B8154" i="1"/>
  <c r="C8153" i="1"/>
  <c r="B8153" i="1"/>
  <c r="C8152" i="1"/>
  <c r="B8152" i="1"/>
  <c r="C8151" i="1"/>
  <c r="B8151" i="1"/>
  <c r="C8150" i="1"/>
  <c r="B8150" i="1"/>
  <c r="C8149" i="1"/>
  <c r="B8149" i="1"/>
  <c r="C8148" i="1"/>
  <c r="B8148" i="1"/>
  <c r="C8147" i="1"/>
  <c r="B8147" i="1"/>
  <c r="C8146" i="1"/>
  <c r="B8146" i="1"/>
  <c r="C8145" i="1"/>
  <c r="B8145" i="1"/>
  <c r="C8144" i="1"/>
  <c r="B8144" i="1"/>
  <c r="C8143" i="1"/>
  <c r="B8143" i="1"/>
  <c r="C8142" i="1"/>
  <c r="B8142" i="1"/>
  <c r="C8141" i="1"/>
  <c r="B8141" i="1"/>
  <c r="C8140" i="1"/>
  <c r="B8140" i="1"/>
  <c r="C8139" i="1"/>
  <c r="B8139" i="1"/>
  <c r="C8138" i="1"/>
  <c r="B8138" i="1"/>
  <c r="C8137" i="1"/>
  <c r="B8137" i="1"/>
  <c r="C8136" i="1"/>
  <c r="B8136" i="1"/>
  <c r="C8135" i="1"/>
  <c r="B8135" i="1"/>
  <c r="C8134" i="1"/>
  <c r="B8134" i="1"/>
  <c r="C8133" i="1"/>
  <c r="B8133" i="1"/>
  <c r="C8132" i="1"/>
  <c r="B8132" i="1"/>
  <c r="C8131" i="1"/>
  <c r="B8131" i="1"/>
  <c r="C8130" i="1"/>
  <c r="B8130" i="1"/>
  <c r="C8129" i="1"/>
  <c r="B8129" i="1"/>
  <c r="C8128" i="1"/>
  <c r="B8128" i="1"/>
  <c r="C8127" i="1"/>
  <c r="B8127" i="1"/>
  <c r="C8126" i="1"/>
  <c r="B8126" i="1"/>
  <c r="C8125" i="1"/>
  <c r="B8125" i="1"/>
  <c r="C8124" i="1"/>
  <c r="B8124" i="1"/>
  <c r="C8123" i="1"/>
  <c r="B8123" i="1"/>
  <c r="C8122" i="1"/>
  <c r="B8122" i="1"/>
  <c r="C8121" i="1"/>
  <c r="B8121" i="1"/>
  <c r="C8120" i="1"/>
  <c r="B8120" i="1"/>
  <c r="C8119" i="1"/>
  <c r="B8119" i="1"/>
  <c r="C8118" i="1"/>
  <c r="B8118" i="1"/>
  <c r="C8117" i="1"/>
  <c r="B8117" i="1"/>
  <c r="C8116" i="1"/>
  <c r="B8116" i="1"/>
  <c r="C8115" i="1"/>
  <c r="B8115" i="1"/>
  <c r="C8114" i="1"/>
  <c r="B8114" i="1"/>
  <c r="C8113" i="1"/>
  <c r="B8113" i="1"/>
  <c r="C8112" i="1"/>
  <c r="B8112" i="1"/>
  <c r="C8111" i="1"/>
  <c r="B8111" i="1"/>
  <c r="C8110" i="1"/>
  <c r="B8110" i="1"/>
  <c r="C8109" i="1"/>
  <c r="B8109" i="1"/>
  <c r="C8108" i="1"/>
  <c r="B8108" i="1"/>
  <c r="C8107" i="1"/>
  <c r="B8107" i="1"/>
  <c r="C8106" i="1"/>
  <c r="B8106" i="1"/>
  <c r="C8105" i="1"/>
  <c r="B8105" i="1"/>
  <c r="C8104" i="1"/>
  <c r="B8104" i="1"/>
  <c r="C8103" i="1"/>
  <c r="B8103" i="1"/>
  <c r="C8102" i="1"/>
  <c r="B8102" i="1"/>
  <c r="C8101" i="1"/>
  <c r="B8101" i="1"/>
  <c r="C8100" i="1"/>
  <c r="B8100" i="1"/>
  <c r="C8099" i="1"/>
  <c r="B8099" i="1"/>
  <c r="C8098" i="1"/>
  <c r="B8098" i="1"/>
  <c r="C8097" i="1"/>
  <c r="B8097" i="1"/>
  <c r="C8096" i="1"/>
  <c r="B8096" i="1"/>
  <c r="C8095" i="1"/>
  <c r="B8095" i="1"/>
  <c r="C8094" i="1"/>
  <c r="B8094" i="1"/>
  <c r="C8093" i="1"/>
  <c r="B8093" i="1"/>
  <c r="C8092" i="1"/>
  <c r="B8092" i="1"/>
  <c r="C8091" i="1"/>
  <c r="B8091" i="1"/>
  <c r="C8090" i="1"/>
  <c r="B8090" i="1"/>
  <c r="C8089" i="1"/>
  <c r="B8089" i="1"/>
  <c r="C8088" i="1"/>
  <c r="B8088" i="1"/>
  <c r="C8087" i="1"/>
  <c r="B8087" i="1"/>
  <c r="C8086" i="1"/>
  <c r="B8086" i="1"/>
  <c r="C8085" i="1"/>
  <c r="B8085" i="1"/>
  <c r="C8084" i="1"/>
  <c r="B8084" i="1"/>
  <c r="C8083" i="1"/>
  <c r="B8083" i="1"/>
  <c r="C8082" i="1"/>
  <c r="B8082" i="1"/>
  <c r="C8081" i="1"/>
  <c r="B8081" i="1"/>
  <c r="C8080" i="1"/>
  <c r="B8080" i="1"/>
  <c r="C8079" i="1"/>
  <c r="B8079" i="1"/>
  <c r="C8078" i="1"/>
  <c r="B8078" i="1"/>
  <c r="C8077" i="1"/>
  <c r="B8077" i="1"/>
  <c r="C8076" i="1"/>
  <c r="B8076" i="1"/>
  <c r="C8075" i="1"/>
  <c r="B8075" i="1"/>
  <c r="C8074" i="1"/>
  <c r="B8074" i="1"/>
  <c r="C8073" i="1"/>
  <c r="B8073" i="1"/>
  <c r="C8072" i="1"/>
  <c r="B8072" i="1"/>
  <c r="C8071" i="1"/>
  <c r="B8071" i="1"/>
  <c r="C8070" i="1"/>
  <c r="B8070" i="1"/>
  <c r="C8069" i="1"/>
  <c r="B8069" i="1"/>
  <c r="C8068" i="1"/>
  <c r="B8068" i="1"/>
  <c r="C8067" i="1"/>
  <c r="B8067" i="1"/>
  <c r="C8066" i="1"/>
  <c r="B8066" i="1"/>
  <c r="C8065" i="1"/>
  <c r="B8065" i="1"/>
  <c r="C8064" i="1"/>
  <c r="B8064" i="1"/>
  <c r="C8063" i="1"/>
  <c r="B8063" i="1"/>
  <c r="C8062" i="1"/>
  <c r="B8062" i="1"/>
  <c r="C8061" i="1"/>
  <c r="B8061" i="1"/>
  <c r="C8060" i="1"/>
  <c r="B8060" i="1"/>
  <c r="C8059" i="1"/>
  <c r="B8059" i="1"/>
  <c r="C8058" i="1"/>
  <c r="B8058" i="1"/>
  <c r="C8057" i="1"/>
  <c r="B8057" i="1"/>
  <c r="C8056" i="1"/>
  <c r="B8056" i="1"/>
  <c r="C8055" i="1"/>
  <c r="B8055" i="1"/>
  <c r="C8054" i="1"/>
  <c r="B8054" i="1"/>
  <c r="C8053" i="1"/>
  <c r="B8053" i="1"/>
  <c r="C8052" i="1"/>
  <c r="B8052" i="1"/>
  <c r="C8051" i="1"/>
  <c r="B8051" i="1"/>
  <c r="C8050" i="1"/>
  <c r="B8050" i="1"/>
  <c r="C8049" i="1"/>
  <c r="B8049" i="1"/>
  <c r="C8048" i="1"/>
  <c r="B8048" i="1"/>
  <c r="C8047" i="1"/>
  <c r="B8047" i="1"/>
  <c r="C8046" i="1"/>
  <c r="B8046" i="1"/>
  <c r="C8045" i="1"/>
  <c r="B8045" i="1"/>
  <c r="C8044" i="1"/>
  <c r="B8044" i="1"/>
  <c r="C8043" i="1"/>
  <c r="B8043" i="1"/>
  <c r="C8042" i="1"/>
  <c r="B8042" i="1"/>
  <c r="C8041" i="1"/>
  <c r="B8041" i="1"/>
  <c r="C8040" i="1"/>
  <c r="B8040" i="1"/>
  <c r="C8039" i="1"/>
  <c r="B8039" i="1"/>
  <c r="C8038" i="1"/>
  <c r="B8038" i="1"/>
  <c r="C8037" i="1"/>
  <c r="B8037" i="1"/>
  <c r="C8036" i="1"/>
  <c r="B8036" i="1"/>
  <c r="C8035" i="1"/>
  <c r="B8035" i="1"/>
  <c r="C8034" i="1"/>
  <c r="B8034" i="1"/>
  <c r="C8033" i="1"/>
  <c r="B8033" i="1"/>
  <c r="C8032" i="1"/>
  <c r="B8032" i="1"/>
  <c r="C8031" i="1"/>
  <c r="B8031" i="1"/>
  <c r="C8030" i="1"/>
  <c r="B8030" i="1"/>
  <c r="C8029" i="1"/>
  <c r="B8029" i="1"/>
  <c r="C8028" i="1"/>
  <c r="B8028" i="1"/>
  <c r="C8027" i="1"/>
  <c r="B8027" i="1"/>
  <c r="C8026" i="1"/>
  <c r="B8026" i="1"/>
  <c r="C8025" i="1"/>
  <c r="B8025" i="1"/>
  <c r="C8024" i="1"/>
  <c r="B8024" i="1"/>
  <c r="C8023" i="1"/>
  <c r="B8023" i="1"/>
  <c r="C8022" i="1"/>
  <c r="B8022" i="1"/>
  <c r="C8021" i="1"/>
  <c r="B8021" i="1"/>
  <c r="C8020" i="1"/>
  <c r="B8020" i="1"/>
  <c r="C8019" i="1"/>
  <c r="B8019" i="1"/>
  <c r="C8018" i="1"/>
  <c r="B8018" i="1"/>
  <c r="C8017" i="1"/>
  <c r="B8017" i="1"/>
  <c r="C8016" i="1"/>
  <c r="B8016" i="1"/>
  <c r="C8015" i="1"/>
  <c r="B8015" i="1"/>
  <c r="C8014" i="1"/>
  <c r="B8014" i="1"/>
  <c r="C8013" i="1"/>
  <c r="B8013" i="1"/>
  <c r="C8012" i="1"/>
  <c r="B8012" i="1"/>
  <c r="C8011" i="1"/>
  <c r="B8011" i="1"/>
  <c r="C8010" i="1"/>
  <c r="B8010" i="1"/>
  <c r="C8009" i="1"/>
  <c r="B8009" i="1"/>
  <c r="C8008" i="1"/>
  <c r="B8008" i="1"/>
  <c r="C8007" i="1"/>
  <c r="B8007" i="1"/>
  <c r="C8006" i="1"/>
  <c r="B8006" i="1"/>
  <c r="C8005" i="1"/>
  <c r="B8005" i="1"/>
  <c r="C8004" i="1"/>
  <c r="B8004" i="1"/>
  <c r="C8003" i="1"/>
  <c r="B8003" i="1"/>
  <c r="C8002" i="1"/>
  <c r="B8002" i="1"/>
  <c r="C8001" i="1"/>
  <c r="B8001" i="1"/>
  <c r="C8000" i="1"/>
  <c r="B8000" i="1"/>
  <c r="C7999" i="1"/>
  <c r="B7999" i="1"/>
  <c r="C7998" i="1"/>
  <c r="B7998" i="1"/>
  <c r="C7997" i="1"/>
  <c r="B7997" i="1"/>
  <c r="C7996" i="1"/>
  <c r="B7996" i="1"/>
  <c r="C7995" i="1"/>
  <c r="B7995" i="1"/>
  <c r="C7994" i="1"/>
  <c r="B7994" i="1"/>
  <c r="C7993" i="1"/>
  <c r="B7993" i="1"/>
  <c r="C7992" i="1"/>
  <c r="B7992" i="1"/>
  <c r="C7991" i="1"/>
  <c r="B7991" i="1"/>
  <c r="C7990" i="1"/>
  <c r="B7990" i="1"/>
  <c r="C7989" i="1"/>
  <c r="B7989" i="1"/>
  <c r="C7988" i="1"/>
  <c r="B7988" i="1"/>
  <c r="C7987" i="1"/>
  <c r="B7987" i="1"/>
  <c r="C7986" i="1"/>
  <c r="B7986" i="1"/>
  <c r="C7985" i="1"/>
  <c r="B7985" i="1"/>
  <c r="C7984" i="1"/>
  <c r="B7984" i="1"/>
  <c r="C7983" i="1"/>
  <c r="B7983" i="1"/>
  <c r="C7982" i="1"/>
  <c r="B7982" i="1"/>
  <c r="C7981" i="1"/>
  <c r="B7981" i="1"/>
  <c r="C7980" i="1"/>
  <c r="B7980" i="1"/>
  <c r="C7979" i="1"/>
  <c r="B7979" i="1"/>
  <c r="C7978" i="1"/>
  <c r="B7978" i="1"/>
  <c r="C7977" i="1"/>
  <c r="B7977" i="1"/>
  <c r="C7976" i="1"/>
  <c r="B7976" i="1"/>
  <c r="C7975" i="1"/>
  <c r="B7975" i="1"/>
  <c r="C7974" i="1"/>
  <c r="B7974" i="1"/>
  <c r="C7973" i="1"/>
  <c r="B7973" i="1"/>
  <c r="C7972" i="1"/>
  <c r="B7972" i="1"/>
  <c r="C7971" i="1"/>
  <c r="B7971" i="1"/>
  <c r="C7970" i="1"/>
  <c r="B7970" i="1"/>
  <c r="C7969" i="1"/>
  <c r="B7969" i="1"/>
  <c r="C7968" i="1"/>
  <c r="B7968" i="1"/>
  <c r="C7967" i="1"/>
  <c r="B7967" i="1"/>
  <c r="C7966" i="1"/>
  <c r="B7966" i="1"/>
  <c r="C7965" i="1"/>
  <c r="B7965" i="1"/>
  <c r="C7964" i="1"/>
  <c r="B7964" i="1"/>
  <c r="C7963" i="1"/>
  <c r="B7963" i="1"/>
  <c r="C7962" i="1"/>
  <c r="B7962" i="1"/>
  <c r="C7961" i="1"/>
  <c r="B7961" i="1"/>
  <c r="C7960" i="1"/>
  <c r="B7960" i="1"/>
  <c r="C7959" i="1"/>
  <c r="B7959" i="1"/>
  <c r="C7958" i="1"/>
  <c r="B7958" i="1"/>
  <c r="C7957" i="1"/>
  <c r="B7957" i="1"/>
  <c r="C7956" i="1"/>
  <c r="B7956" i="1"/>
  <c r="C7955" i="1"/>
  <c r="B7955" i="1"/>
  <c r="C7954" i="1"/>
  <c r="B7954" i="1"/>
  <c r="C7953" i="1"/>
  <c r="B7953" i="1"/>
  <c r="C7952" i="1"/>
  <c r="B7952" i="1"/>
  <c r="C7951" i="1"/>
  <c r="B7951" i="1"/>
  <c r="C7950" i="1"/>
  <c r="B7950" i="1"/>
  <c r="C7949" i="1"/>
  <c r="B7949" i="1"/>
  <c r="C7948" i="1"/>
  <c r="B7948" i="1"/>
  <c r="C7947" i="1"/>
  <c r="B7947" i="1"/>
  <c r="C7946" i="1"/>
  <c r="B7946" i="1"/>
  <c r="C7945" i="1"/>
  <c r="B7945" i="1"/>
  <c r="C7944" i="1"/>
  <c r="B7944" i="1"/>
  <c r="C7943" i="1"/>
  <c r="B7943" i="1"/>
  <c r="C7942" i="1"/>
  <c r="B7942" i="1"/>
  <c r="C7941" i="1"/>
  <c r="B7941" i="1"/>
  <c r="C7940" i="1"/>
  <c r="B7940" i="1"/>
  <c r="C7939" i="1"/>
  <c r="B7939" i="1"/>
  <c r="C7938" i="1"/>
  <c r="B7938" i="1"/>
  <c r="C7937" i="1"/>
  <c r="B7937" i="1"/>
  <c r="C7936" i="1"/>
  <c r="B7936" i="1"/>
  <c r="C7935" i="1"/>
  <c r="B7935" i="1"/>
  <c r="C7934" i="1"/>
  <c r="B7934" i="1"/>
  <c r="C7933" i="1"/>
  <c r="B7933" i="1"/>
  <c r="C7932" i="1"/>
  <c r="B7932" i="1"/>
  <c r="C7931" i="1"/>
  <c r="B7931" i="1"/>
  <c r="C7930" i="1"/>
  <c r="B7930" i="1"/>
  <c r="C7929" i="1"/>
  <c r="B7929" i="1"/>
  <c r="C7928" i="1"/>
  <c r="B7928" i="1"/>
  <c r="C7927" i="1"/>
  <c r="B7927" i="1"/>
  <c r="C7926" i="1"/>
  <c r="B7926" i="1"/>
  <c r="C7925" i="1"/>
  <c r="B7925" i="1"/>
  <c r="C7924" i="1"/>
  <c r="B7924" i="1"/>
  <c r="C7923" i="1"/>
  <c r="B7923" i="1"/>
  <c r="C7922" i="1"/>
  <c r="B7922" i="1"/>
  <c r="C7921" i="1"/>
  <c r="B7921" i="1"/>
  <c r="C7920" i="1"/>
  <c r="B7920" i="1"/>
  <c r="C7919" i="1"/>
  <c r="B7919" i="1"/>
  <c r="C7918" i="1"/>
  <c r="B7918" i="1"/>
  <c r="C7917" i="1"/>
  <c r="B7917" i="1"/>
  <c r="C7916" i="1"/>
  <c r="B7916" i="1"/>
  <c r="C7915" i="1"/>
  <c r="B7915" i="1"/>
  <c r="C7914" i="1"/>
  <c r="B7914" i="1"/>
  <c r="C7913" i="1"/>
  <c r="B7913" i="1"/>
  <c r="C7912" i="1"/>
  <c r="B7912" i="1"/>
  <c r="C7911" i="1"/>
  <c r="B7911" i="1"/>
  <c r="C7910" i="1"/>
  <c r="B7910" i="1"/>
  <c r="C7909" i="1"/>
  <c r="B7909" i="1"/>
  <c r="C7908" i="1"/>
  <c r="B7908" i="1"/>
  <c r="C7907" i="1"/>
  <c r="B7907" i="1"/>
  <c r="C7906" i="1"/>
  <c r="B7906" i="1"/>
  <c r="C7905" i="1"/>
  <c r="B7905" i="1"/>
  <c r="C7904" i="1"/>
  <c r="B7904" i="1"/>
  <c r="C7903" i="1"/>
  <c r="B7903" i="1"/>
  <c r="C7902" i="1"/>
  <c r="B7902" i="1"/>
  <c r="C7901" i="1"/>
  <c r="B7901" i="1"/>
  <c r="C7900" i="1"/>
  <c r="B7900" i="1"/>
  <c r="C7899" i="1"/>
  <c r="B7899" i="1"/>
  <c r="C7898" i="1"/>
  <c r="B7898" i="1"/>
  <c r="C7897" i="1"/>
  <c r="B7897" i="1"/>
  <c r="C7896" i="1"/>
  <c r="B7896" i="1"/>
  <c r="C7895" i="1"/>
  <c r="B7895" i="1"/>
  <c r="C7894" i="1"/>
  <c r="B7894" i="1"/>
  <c r="C7893" i="1"/>
  <c r="B7893" i="1"/>
  <c r="C7892" i="1"/>
  <c r="B7892" i="1"/>
  <c r="C7891" i="1"/>
  <c r="B7891" i="1"/>
  <c r="C7890" i="1"/>
  <c r="B7890" i="1"/>
  <c r="C7889" i="1"/>
  <c r="B7889" i="1"/>
  <c r="C7888" i="1"/>
  <c r="B7888" i="1"/>
  <c r="C7887" i="1"/>
  <c r="B7887" i="1"/>
  <c r="C7886" i="1"/>
  <c r="B7886" i="1"/>
  <c r="C7885" i="1"/>
  <c r="B7885" i="1"/>
  <c r="C7884" i="1"/>
  <c r="B7884" i="1"/>
  <c r="C7883" i="1"/>
  <c r="B7883" i="1"/>
  <c r="C7882" i="1"/>
  <c r="B7882" i="1"/>
  <c r="C7881" i="1"/>
  <c r="B7881" i="1"/>
  <c r="C7880" i="1"/>
  <c r="B7880" i="1"/>
  <c r="C7879" i="1"/>
  <c r="B7879" i="1"/>
  <c r="C7878" i="1"/>
  <c r="B7878" i="1"/>
  <c r="C7877" i="1"/>
  <c r="B7877" i="1"/>
  <c r="C7876" i="1"/>
  <c r="B7876" i="1"/>
  <c r="C7875" i="1"/>
  <c r="B7875" i="1"/>
  <c r="C7874" i="1"/>
  <c r="B7874" i="1"/>
  <c r="C7873" i="1"/>
  <c r="B7873" i="1"/>
  <c r="C7872" i="1"/>
  <c r="B7872" i="1"/>
  <c r="C7871" i="1"/>
  <c r="B7871" i="1"/>
  <c r="C7870" i="1"/>
  <c r="B7870" i="1"/>
  <c r="C7869" i="1"/>
  <c r="B7869" i="1"/>
  <c r="C7868" i="1"/>
  <c r="B7868" i="1"/>
  <c r="C7867" i="1"/>
  <c r="B7867" i="1"/>
  <c r="C7866" i="1"/>
  <c r="B7866" i="1"/>
  <c r="C7865" i="1"/>
  <c r="B7865" i="1"/>
  <c r="C7864" i="1"/>
  <c r="B7864" i="1"/>
  <c r="C7863" i="1"/>
  <c r="B7863" i="1"/>
  <c r="C7862" i="1"/>
  <c r="B7862" i="1"/>
  <c r="C7861" i="1"/>
  <c r="B7861" i="1"/>
  <c r="C7860" i="1"/>
  <c r="B7860" i="1"/>
  <c r="C7859" i="1"/>
  <c r="B7859" i="1"/>
  <c r="C7858" i="1"/>
  <c r="B7858" i="1"/>
  <c r="C7857" i="1"/>
  <c r="B7857" i="1"/>
  <c r="C7856" i="1"/>
  <c r="B7856" i="1"/>
  <c r="C7855" i="1"/>
  <c r="B7855" i="1"/>
  <c r="C7854" i="1"/>
  <c r="B7854" i="1"/>
  <c r="C7853" i="1"/>
  <c r="B7853" i="1"/>
  <c r="C7852" i="1"/>
  <c r="B7852" i="1"/>
  <c r="C7851" i="1"/>
  <c r="B7851" i="1"/>
  <c r="C7850" i="1"/>
  <c r="B7850" i="1"/>
  <c r="C7849" i="1"/>
  <c r="B7849" i="1"/>
  <c r="C7848" i="1"/>
  <c r="B7848" i="1"/>
  <c r="C7847" i="1"/>
  <c r="B7847" i="1"/>
  <c r="C7846" i="1"/>
  <c r="B7846" i="1"/>
  <c r="C7845" i="1"/>
  <c r="B7845" i="1"/>
  <c r="C7844" i="1"/>
  <c r="B7844" i="1"/>
  <c r="C7843" i="1"/>
  <c r="B7843" i="1"/>
  <c r="C7842" i="1"/>
  <c r="B7842" i="1"/>
  <c r="C7841" i="1"/>
  <c r="B7841" i="1"/>
  <c r="C7840" i="1"/>
  <c r="B7840" i="1"/>
  <c r="C7839" i="1"/>
  <c r="B7839" i="1"/>
  <c r="C7838" i="1"/>
  <c r="B7838" i="1"/>
  <c r="C7837" i="1"/>
  <c r="B7837" i="1"/>
  <c r="C7836" i="1"/>
  <c r="B7836" i="1"/>
  <c r="C7835" i="1"/>
  <c r="B7835" i="1"/>
  <c r="C7834" i="1"/>
  <c r="B7834" i="1"/>
  <c r="C7833" i="1"/>
  <c r="B7833" i="1"/>
  <c r="C7832" i="1"/>
  <c r="B7832" i="1"/>
  <c r="C7831" i="1"/>
  <c r="B7831" i="1"/>
  <c r="C7830" i="1"/>
  <c r="B7830" i="1"/>
  <c r="C7829" i="1"/>
  <c r="B7829" i="1"/>
  <c r="C7828" i="1"/>
  <c r="B7828" i="1"/>
  <c r="C7827" i="1"/>
  <c r="B7827" i="1"/>
  <c r="C7826" i="1"/>
  <c r="B7826" i="1"/>
  <c r="C7825" i="1"/>
  <c r="B7825" i="1"/>
  <c r="C7824" i="1"/>
  <c r="B7824" i="1"/>
  <c r="C7823" i="1"/>
  <c r="B7823" i="1"/>
  <c r="C7822" i="1"/>
  <c r="B7822" i="1"/>
  <c r="C7821" i="1"/>
  <c r="B7821" i="1"/>
  <c r="C7820" i="1"/>
  <c r="B7820" i="1"/>
  <c r="C7819" i="1"/>
  <c r="B7819" i="1"/>
  <c r="C7818" i="1"/>
  <c r="B7818" i="1"/>
  <c r="C7817" i="1"/>
  <c r="B7817" i="1"/>
  <c r="C7816" i="1"/>
  <c r="B7816" i="1"/>
  <c r="C7815" i="1"/>
  <c r="B7815" i="1"/>
  <c r="C7814" i="1"/>
  <c r="B7814" i="1"/>
  <c r="C7813" i="1"/>
  <c r="B7813" i="1"/>
  <c r="C7812" i="1"/>
  <c r="B7812" i="1"/>
  <c r="C7811" i="1"/>
  <c r="B7811" i="1"/>
  <c r="C7810" i="1"/>
  <c r="B7810" i="1"/>
  <c r="C7809" i="1"/>
  <c r="B7809" i="1"/>
  <c r="C7808" i="1"/>
  <c r="B7808" i="1"/>
  <c r="C7807" i="1"/>
  <c r="B7807" i="1"/>
  <c r="C7806" i="1"/>
  <c r="B7806" i="1"/>
  <c r="C7805" i="1"/>
  <c r="B7805" i="1"/>
  <c r="C7804" i="1"/>
  <c r="B7804" i="1"/>
  <c r="C7803" i="1"/>
  <c r="B7803" i="1"/>
  <c r="C7802" i="1"/>
  <c r="B7802" i="1"/>
  <c r="C7801" i="1"/>
  <c r="B7801" i="1"/>
  <c r="C7800" i="1"/>
  <c r="B7800" i="1"/>
  <c r="C7799" i="1"/>
  <c r="B7799" i="1"/>
  <c r="C7798" i="1"/>
  <c r="B7798" i="1"/>
  <c r="C7797" i="1"/>
  <c r="B7797" i="1"/>
  <c r="C7796" i="1"/>
  <c r="B7796" i="1"/>
  <c r="C7795" i="1"/>
  <c r="B7795" i="1"/>
  <c r="C7794" i="1"/>
  <c r="B7794" i="1"/>
  <c r="C7793" i="1"/>
  <c r="B7793" i="1"/>
  <c r="C7792" i="1"/>
  <c r="B7792" i="1"/>
  <c r="C7791" i="1"/>
  <c r="B7791" i="1"/>
  <c r="C7790" i="1"/>
  <c r="B7790" i="1"/>
  <c r="C7789" i="1"/>
  <c r="B7789" i="1"/>
  <c r="C7788" i="1"/>
  <c r="B7788" i="1"/>
  <c r="C7787" i="1"/>
  <c r="B7787" i="1"/>
  <c r="C7786" i="1"/>
  <c r="B7786" i="1"/>
  <c r="C7785" i="1"/>
  <c r="B7785" i="1"/>
  <c r="C7784" i="1"/>
  <c r="B7784" i="1"/>
  <c r="C7783" i="1"/>
  <c r="B7783" i="1"/>
  <c r="C7782" i="1"/>
  <c r="B7782" i="1"/>
  <c r="C7781" i="1"/>
  <c r="B7781" i="1"/>
  <c r="C7780" i="1"/>
  <c r="B7780" i="1"/>
  <c r="C7779" i="1"/>
  <c r="B7779" i="1"/>
  <c r="C7778" i="1"/>
  <c r="B7778" i="1"/>
  <c r="C7777" i="1"/>
  <c r="B7777" i="1"/>
  <c r="C7776" i="1"/>
  <c r="B7776" i="1"/>
  <c r="C7775" i="1"/>
  <c r="B7775" i="1"/>
  <c r="C7774" i="1"/>
  <c r="B7774" i="1"/>
  <c r="C7773" i="1"/>
  <c r="B7773" i="1"/>
  <c r="C7772" i="1"/>
  <c r="B7772" i="1"/>
  <c r="C7771" i="1"/>
  <c r="B7771" i="1"/>
  <c r="C7770" i="1"/>
  <c r="B7770" i="1"/>
  <c r="C7769" i="1"/>
  <c r="B7769" i="1"/>
  <c r="C7768" i="1"/>
  <c r="B7768" i="1"/>
  <c r="C7767" i="1"/>
  <c r="B7767" i="1"/>
  <c r="C7766" i="1"/>
  <c r="B7766" i="1"/>
  <c r="C7765" i="1"/>
  <c r="B7765" i="1"/>
  <c r="C7764" i="1"/>
  <c r="B7764" i="1"/>
  <c r="C7763" i="1"/>
  <c r="B7763" i="1"/>
  <c r="C7762" i="1"/>
  <c r="B7762" i="1"/>
  <c r="C7761" i="1"/>
  <c r="B7761" i="1"/>
  <c r="C7760" i="1"/>
  <c r="B7760" i="1"/>
  <c r="C7759" i="1"/>
  <c r="B7759" i="1"/>
  <c r="C7758" i="1"/>
  <c r="B7758" i="1"/>
  <c r="C7757" i="1"/>
  <c r="B7757" i="1"/>
  <c r="C7756" i="1"/>
  <c r="B7756" i="1"/>
  <c r="C7755" i="1"/>
  <c r="B7755" i="1"/>
  <c r="C7754" i="1"/>
  <c r="B7754" i="1"/>
  <c r="C7753" i="1"/>
  <c r="B7753" i="1"/>
  <c r="C7752" i="1"/>
  <c r="B7752" i="1"/>
  <c r="C7751" i="1"/>
  <c r="B7751" i="1"/>
  <c r="C7750" i="1"/>
  <c r="B7750" i="1"/>
  <c r="C7749" i="1"/>
  <c r="B7749" i="1"/>
  <c r="C7748" i="1"/>
  <c r="B7748" i="1"/>
  <c r="C7747" i="1"/>
  <c r="B7747" i="1"/>
  <c r="C7746" i="1"/>
  <c r="B7746" i="1"/>
  <c r="C7745" i="1"/>
  <c r="B7745" i="1"/>
  <c r="C7744" i="1"/>
  <c r="B7744" i="1"/>
  <c r="C7743" i="1"/>
  <c r="B7743" i="1"/>
  <c r="C7742" i="1"/>
  <c r="B7742" i="1"/>
  <c r="C7741" i="1"/>
  <c r="B7741" i="1"/>
  <c r="C7740" i="1"/>
  <c r="B7740" i="1"/>
  <c r="C7739" i="1"/>
  <c r="B7739" i="1"/>
  <c r="C7738" i="1"/>
  <c r="B7738" i="1"/>
  <c r="C7737" i="1"/>
  <c r="B7737" i="1"/>
  <c r="C7736" i="1"/>
  <c r="B7736" i="1"/>
  <c r="C7735" i="1"/>
  <c r="B7735" i="1"/>
  <c r="C7734" i="1"/>
  <c r="B7734" i="1"/>
  <c r="C7733" i="1"/>
  <c r="B7733" i="1"/>
  <c r="C7732" i="1"/>
  <c r="B7732" i="1"/>
  <c r="C7731" i="1"/>
  <c r="B7731" i="1"/>
  <c r="C7730" i="1"/>
  <c r="B7730" i="1"/>
  <c r="C7729" i="1"/>
  <c r="B7729" i="1"/>
  <c r="C7728" i="1"/>
  <c r="B7728" i="1"/>
  <c r="C7727" i="1"/>
  <c r="B7727" i="1"/>
  <c r="C7726" i="1"/>
  <c r="B7726" i="1"/>
  <c r="C7725" i="1"/>
  <c r="B7725" i="1"/>
  <c r="C7724" i="1"/>
  <c r="B7724" i="1"/>
  <c r="C7723" i="1"/>
  <c r="B7723" i="1"/>
  <c r="C7722" i="1"/>
  <c r="B7722" i="1"/>
  <c r="C7721" i="1"/>
  <c r="B7721" i="1"/>
  <c r="C7720" i="1"/>
  <c r="B7720" i="1"/>
  <c r="C7719" i="1"/>
  <c r="B7719" i="1"/>
  <c r="C7718" i="1"/>
  <c r="B7718" i="1"/>
  <c r="C7717" i="1"/>
  <c r="B7717" i="1"/>
  <c r="C7716" i="1"/>
  <c r="B7716" i="1"/>
  <c r="C7715" i="1"/>
  <c r="B7715" i="1"/>
  <c r="C7714" i="1"/>
  <c r="B7714" i="1"/>
  <c r="C7713" i="1"/>
  <c r="B7713" i="1"/>
  <c r="C7712" i="1"/>
  <c r="B7712" i="1"/>
  <c r="C7711" i="1"/>
  <c r="B7711" i="1"/>
  <c r="C7710" i="1"/>
  <c r="B7710" i="1"/>
  <c r="C7709" i="1"/>
  <c r="B7709" i="1"/>
  <c r="C7708" i="1"/>
  <c r="B7708" i="1"/>
  <c r="C7707" i="1"/>
  <c r="B7707" i="1"/>
  <c r="C7706" i="1"/>
  <c r="B7706" i="1"/>
  <c r="C7705" i="1"/>
  <c r="B7705" i="1"/>
  <c r="C7704" i="1"/>
  <c r="B7704" i="1"/>
  <c r="C7703" i="1"/>
  <c r="B7703" i="1"/>
  <c r="C7702" i="1"/>
  <c r="B7702" i="1"/>
  <c r="C7701" i="1"/>
  <c r="B7701" i="1"/>
  <c r="C7700" i="1"/>
  <c r="B7700" i="1"/>
  <c r="C7699" i="1"/>
  <c r="B7699" i="1"/>
  <c r="C7698" i="1"/>
  <c r="B7698" i="1"/>
  <c r="C7697" i="1"/>
  <c r="B7697" i="1"/>
  <c r="C7696" i="1"/>
  <c r="B7696" i="1"/>
  <c r="C7695" i="1"/>
  <c r="B7695" i="1"/>
  <c r="C7694" i="1"/>
  <c r="B7694" i="1"/>
  <c r="C7693" i="1"/>
  <c r="B7693" i="1"/>
  <c r="C7692" i="1"/>
  <c r="B7692" i="1"/>
  <c r="C7691" i="1"/>
  <c r="B7691" i="1"/>
  <c r="C7690" i="1"/>
  <c r="B7690" i="1"/>
  <c r="C7689" i="1"/>
  <c r="B7689" i="1"/>
  <c r="C7688" i="1"/>
  <c r="B7688" i="1"/>
  <c r="C7687" i="1"/>
  <c r="B7687" i="1"/>
  <c r="C7686" i="1"/>
  <c r="B7686" i="1"/>
  <c r="C7685" i="1"/>
  <c r="B7685" i="1"/>
  <c r="C7684" i="1"/>
  <c r="B7684" i="1"/>
  <c r="C7683" i="1"/>
  <c r="B7683" i="1"/>
  <c r="C7682" i="1"/>
  <c r="B7682" i="1"/>
  <c r="C7681" i="1"/>
  <c r="B7681" i="1"/>
  <c r="C7680" i="1"/>
  <c r="B7680" i="1"/>
  <c r="C7679" i="1"/>
  <c r="B7679" i="1"/>
  <c r="C7678" i="1"/>
  <c r="B7678" i="1"/>
  <c r="C7677" i="1"/>
  <c r="B7677" i="1"/>
  <c r="C7676" i="1"/>
  <c r="B7676" i="1"/>
  <c r="C7675" i="1"/>
  <c r="B7675" i="1"/>
  <c r="C7674" i="1"/>
  <c r="B7674" i="1"/>
  <c r="C7673" i="1"/>
  <c r="B7673" i="1"/>
  <c r="C7672" i="1"/>
  <c r="B7672" i="1"/>
  <c r="C7671" i="1"/>
  <c r="B7671" i="1"/>
  <c r="C7670" i="1"/>
  <c r="B7670" i="1"/>
  <c r="C7669" i="1"/>
  <c r="B7669" i="1"/>
  <c r="C7668" i="1"/>
  <c r="B7668" i="1"/>
  <c r="C7667" i="1"/>
  <c r="B7667" i="1"/>
  <c r="C7666" i="1"/>
  <c r="B7666" i="1"/>
  <c r="C7665" i="1"/>
  <c r="B7665" i="1"/>
  <c r="C7664" i="1"/>
  <c r="B7664" i="1"/>
  <c r="C7663" i="1"/>
  <c r="B7663" i="1"/>
  <c r="C7662" i="1"/>
  <c r="B7662" i="1"/>
  <c r="C7661" i="1"/>
  <c r="B7661" i="1"/>
  <c r="C7660" i="1"/>
  <c r="B7660" i="1"/>
  <c r="C7659" i="1"/>
  <c r="B7659" i="1"/>
  <c r="C7658" i="1"/>
  <c r="B7658" i="1"/>
  <c r="C7657" i="1"/>
  <c r="B7657" i="1"/>
  <c r="C7656" i="1"/>
  <c r="B7656" i="1"/>
  <c r="C7655" i="1"/>
  <c r="B7655" i="1"/>
  <c r="C7654" i="1"/>
  <c r="B7654" i="1"/>
  <c r="C7653" i="1"/>
  <c r="B7653" i="1"/>
  <c r="C7652" i="1"/>
  <c r="B7652" i="1"/>
  <c r="C7651" i="1"/>
  <c r="B7651" i="1"/>
  <c r="C7650" i="1"/>
  <c r="B7650" i="1"/>
  <c r="C7649" i="1"/>
  <c r="B7649" i="1"/>
  <c r="C7648" i="1"/>
  <c r="B7648" i="1"/>
  <c r="C7647" i="1"/>
  <c r="B7647" i="1"/>
  <c r="C7646" i="1"/>
  <c r="B7646" i="1"/>
  <c r="C7645" i="1"/>
  <c r="B7645" i="1"/>
  <c r="C7644" i="1"/>
  <c r="B7644" i="1"/>
  <c r="C7643" i="1"/>
  <c r="B7643" i="1"/>
  <c r="C7642" i="1"/>
  <c r="B7642" i="1"/>
  <c r="C7641" i="1"/>
  <c r="B7641" i="1"/>
  <c r="C7640" i="1"/>
  <c r="B7640" i="1"/>
  <c r="C7639" i="1"/>
  <c r="B7639" i="1"/>
  <c r="C7638" i="1"/>
  <c r="B7638" i="1"/>
  <c r="C7637" i="1"/>
  <c r="B7637" i="1"/>
  <c r="C7636" i="1"/>
  <c r="B7636" i="1"/>
  <c r="C7635" i="1"/>
  <c r="B7635" i="1"/>
  <c r="C7634" i="1"/>
  <c r="B7634" i="1"/>
  <c r="C7633" i="1"/>
  <c r="B7633" i="1"/>
  <c r="C7632" i="1"/>
  <c r="B7632" i="1"/>
  <c r="C7631" i="1"/>
  <c r="B7631" i="1"/>
  <c r="C7630" i="1"/>
  <c r="B7630" i="1"/>
  <c r="C7629" i="1"/>
  <c r="B7629" i="1"/>
  <c r="C7628" i="1"/>
  <c r="B7628" i="1"/>
  <c r="C7627" i="1"/>
  <c r="B7627" i="1"/>
  <c r="C7626" i="1"/>
  <c r="B7626" i="1"/>
  <c r="C7625" i="1"/>
  <c r="B7625" i="1"/>
  <c r="C7624" i="1"/>
  <c r="B7624" i="1"/>
  <c r="C7623" i="1"/>
  <c r="B7623" i="1"/>
  <c r="C7622" i="1"/>
  <c r="B7622" i="1"/>
  <c r="C7621" i="1"/>
  <c r="B7621" i="1"/>
  <c r="C7620" i="1"/>
  <c r="B7620" i="1"/>
  <c r="C7619" i="1"/>
  <c r="B7619" i="1"/>
  <c r="C7618" i="1"/>
  <c r="B7618" i="1"/>
  <c r="C7617" i="1"/>
  <c r="B7617" i="1"/>
  <c r="C7616" i="1"/>
  <c r="B7616" i="1"/>
  <c r="C7615" i="1"/>
  <c r="B7615" i="1"/>
  <c r="C7614" i="1"/>
  <c r="B7614" i="1"/>
  <c r="C7613" i="1"/>
  <c r="B7613" i="1"/>
  <c r="C7612" i="1"/>
  <c r="B7612" i="1"/>
  <c r="C7611" i="1"/>
  <c r="B7611" i="1"/>
  <c r="C7610" i="1"/>
  <c r="B7610" i="1"/>
  <c r="C7609" i="1"/>
  <c r="B7609" i="1"/>
  <c r="C7608" i="1"/>
  <c r="B7608" i="1"/>
  <c r="C7607" i="1"/>
  <c r="B7607" i="1"/>
  <c r="C7606" i="1"/>
  <c r="B7606" i="1"/>
  <c r="C7605" i="1"/>
  <c r="B7605" i="1"/>
  <c r="C7604" i="1"/>
  <c r="B7604" i="1"/>
  <c r="C7603" i="1"/>
  <c r="B7603" i="1"/>
  <c r="C7602" i="1"/>
  <c r="B7602" i="1"/>
  <c r="C7601" i="1"/>
  <c r="B7601" i="1"/>
  <c r="C7600" i="1"/>
  <c r="B7600" i="1"/>
  <c r="C7599" i="1"/>
  <c r="B7599" i="1"/>
  <c r="C7598" i="1"/>
  <c r="B7598" i="1"/>
  <c r="C7597" i="1"/>
  <c r="B7597" i="1"/>
  <c r="C7596" i="1"/>
  <c r="B7596" i="1"/>
  <c r="C7595" i="1"/>
  <c r="B7595" i="1"/>
  <c r="C7594" i="1"/>
  <c r="B7594" i="1"/>
  <c r="C7593" i="1"/>
  <c r="B7593" i="1"/>
  <c r="C7592" i="1"/>
  <c r="B7592" i="1"/>
  <c r="C7591" i="1"/>
  <c r="B7591" i="1"/>
  <c r="C7590" i="1"/>
  <c r="B7590" i="1"/>
  <c r="C7589" i="1"/>
  <c r="B7589" i="1"/>
  <c r="C7588" i="1"/>
  <c r="B7588" i="1"/>
  <c r="C7587" i="1"/>
  <c r="B7587" i="1"/>
  <c r="C7586" i="1"/>
  <c r="B7586" i="1"/>
  <c r="C7585" i="1"/>
  <c r="B7585" i="1"/>
  <c r="C7584" i="1"/>
  <c r="B7584" i="1"/>
  <c r="C7583" i="1"/>
  <c r="B7583" i="1"/>
  <c r="C7582" i="1"/>
  <c r="B7582" i="1"/>
  <c r="C7581" i="1"/>
  <c r="B7581" i="1"/>
  <c r="C7580" i="1"/>
  <c r="B7580" i="1"/>
  <c r="C7579" i="1"/>
  <c r="B7579" i="1"/>
  <c r="C7578" i="1"/>
  <c r="B7578" i="1"/>
  <c r="C7577" i="1"/>
  <c r="B7577" i="1"/>
  <c r="C7576" i="1"/>
  <c r="B7576" i="1"/>
  <c r="C7575" i="1"/>
  <c r="B7575" i="1"/>
  <c r="C7574" i="1"/>
  <c r="B7574" i="1"/>
  <c r="C7573" i="1"/>
  <c r="B7573" i="1"/>
  <c r="C7572" i="1"/>
  <c r="B7572" i="1"/>
  <c r="C7571" i="1"/>
  <c r="B7571" i="1"/>
  <c r="C7570" i="1"/>
  <c r="B7570" i="1"/>
  <c r="C7569" i="1"/>
  <c r="B7569" i="1"/>
  <c r="C7568" i="1"/>
  <c r="B7568" i="1"/>
  <c r="C7567" i="1"/>
  <c r="B7567" i="1"/>
  <c r="C7566" i="1"/>
  <c r="B7566" i="1"/>
  <c r="C7565" i="1"/>
  <c r="B7565" i="1"/>
  <c r="C7564" i="1"/>
  <c r="B7564" i="1"/>
  <c r="C7563" i="1"/>
  <c r="B7563" i="1"/>
  <c r="C7562" i="1"/>
  <c r="B7562" i="1"/>
  <c r="C7561" i="1"/>
  <c r="B7561" i="1"/>
  <c r="C7560" i="1"/>
  <c r="B7560" i="1"/>
  <c r="C7559" i="1"/>
  <c r="B7559" i="1"/>
  <c r="C7558" i="1"/>
  <c r="B7558" i="1"/>
  <c r="C7557" i="1"/>
  <c r="B7557" i="1"/>
  <c r="C7556" i="1"/>
  <c r="B7556" i="1"/>
  <c r="C7555" i="1"/>
  <c r="B7555" i="1"/>
  <c r="C7554" i="1"/>
  <c r="B7554" i="1"/>
  <c r="C7553" i="1"/>
  <c r="B7553" i="1"/>
  <c r="C7552" i="1"/>
  <c r="B7552" i="1"/>
  <c r="C7551" i="1"/>
  <c r="B7551" i="1"/>
  <c r="C7550" i="1"/>
  <c r="B7550" i="1"/>
  <c r="C7549" i="1"/>
  <c r="B7549" i="1"/>
  <c r="C7548" i="1"/>
  <c r="B7548" i="1"/>
  <c r="C7547" i="1"/>
  <c r="B7547" i="1"/>
  <c r="C7546" i="1"/>
  <c r="B7546" i="1"/>
  <c r="C7545" i="1"/>
  <c r="B7545" i="1"/>
  <c r="C7544" i="1"/>
  <c r="B7544" i="1"/>
  <c r="C7543" i="1"/>
  <c r="B7543" i="1"/>
  <c r="C7542" i="1"/>
  <c r="B7542" i="1"/>
  <c r="C7541" i="1"/>
  <c r="B7541" i="1"/>
  <c r="C7540" i="1"/>
  <c r="B7540" i="1"/>
  <c r="C7539" i="1"/>
  <c r="B7539" i="1"/>
  <c r="C7538" i="1"/>
  <c r="B7538" i="1"/>
  <c r="C7537" i="1"/>
  <c r="B7537" i="1"/>
  <c r="C7536" i="1"/>
  <c r="B7536" i="1"/>
  <c r="C7535" i="1"/>
  <c r="B7535" i="1"/>
  <c r="C7534" i="1"/>
  <c r="B7534" i="1"/>
  <c r="C7533" i="1"/>
  <c r="B7533" i="1"/>
  <c r="C7532" i="1"/>
  <c r="B7532" i="1"/>
  <c r="C7531" i="1"/>
  <c r="B7531" i="1"/>
  <c r="C7530" i="1"/>
  <c r="B7530" i="1"/>
  <c r="C7529" i="1"/>
  <c r="B7529" i="1"/>
  <c r="C7528" i="1"/>
  <c r="B7528" i="1"/>
  <c r="C7527" i="1"/>
  <c r="B7527" i="1"/>
  <c r="C7526" i="1"/>
  <c r="B7526" i="1"/>
  <c r="C7525" i="1"/>
  <c r="B7525" i="1"/>
  <c r="C7524" i="1"/>
  <c r="B7524" i="1"/>
  <c r="C7523" i="1"/>
  <c r="B7523" i="1"/>
  <c r="C7522" i="1"/>
  <c r="B7522" i="1"/>
  <c r="C7521" i="1"/>
  <c r="B7521" i="1"/>
  <c r="C7520" i="1"/>
  <c r="B7520" i="1"/>
  <c r="C7519" i="1"/>
  <c r="B7519" i="1"/>
  <c r="C7518" i="1"/>
  <c r="B7518" i="1"/>
  <c r="C7517" i="1"/>
  <c r="B7517" i="1"/>
  <c r="C7516" i="1"/>
  <c r="B7516" i="1"/>
  <c r="C7515" i="1"/>
  <c r="B7515" i="1"/>
  <c r="C7514" i="1"/>
  <c r="B7514" i="1"/>
  <c r="C7513" i="1"/>
  <c r="B7513" i="1"/>
  <c r="C7512" i="1"/>
  <c r="B7512" i="1"/>
  <c r="C7511" i="1"/>
  <c r="B7511" i="1"/>
  <c r="C7510" i="1"/>
  <c r="B7510" i="1"/>
  <c r="C7509" i="1"/>
  <c r="B7509" i="1"/>
  <c r="C7508" i="1"/>
  <c r="B7508" i="1"/>
  <c r="C7507" i="1"/>
  <c r="B7507" i="1"/>
  <c r="C7506" i="1"/>
  <c r="B7506" i="1"/>
  <c r="C7505" i="1"/>
  <c r="B7505" i="1"/>
  <c r="C7504" i="1"/>
  <c r="B7504" i="1"/>
  <c r="C7503" i="1"/>
  <c r="B7503" i="1"/>
  <c r="C7502" i="1"/>
  <c r="B7502" i="1"/>
  <c r="C7501" i="1"/>
  <c r="B7501" i="1"/>
  <c r="C7500" i="1"/>
  <c r="B7500" i="1"/>
  <c r="C7499" i="1"/>
  <c r="B7499" i="1"/>
  <c r="C7498" i="1"/>
  <c r="B7498" i="1"/>
  <c r="C7497" i="1"/>
  <c r="B7497" i="1"/>
  <c r="C7496" i="1"/>
  <c r="B7496" i="1"/>
  <c r="C7495" i="1"/>
  <c r="B7495" i="1"/>
  <c r="C7494" i="1"/>
  <c r="B7494" i="1"/>
  <c r="C7493" i="1"/>
  <c r="B7493" i="1"/>
  <c r="C7492" i="1"/>
  <c r="B7492" i="1"/>
  <c r="C7491" i="1"/>
  <c r="B7491" i="1"/>
  <c r="C7490" i="1"/>
  <c r="B7490" i="1"/>
  <c r="C7489" i="1"/>
  <c r="B7489" i="1"/>
  <c r="C7488" i="1"/>
  <c r="B7488" i="1"/>
  <c r="C7487" i="1"/>
  <c r="B7487" i="1"/>
  <c r="C7486" i="1"/>
  <c r="B7486" i="1"/>
  <c r="C7485" i="1"/>
  <c r="B7485" i="1"/>
  <c r="C7484" i="1"/>
  <c r="B7484" i="1"/>
  <c r="C7483" i="1"/>
  <c r="B7483" i="1"/>
  <c r="C7482" i="1"/>
  <c r="B7482" i="1"/>
  <c r="C7481" i="1"/>
  <c r="B7481" i="1"/>
  <c r="C7480" i="1"/>
  <c r="B7480" i="1"/>
  <c r="C7479" i="1"/>
  <c r="B7479" i="1"/>
  <c r="C7478" i="1"/>
  <c r="B7478" i="1"/>
  <c r="C7477" i="1"/>
  <c r="B7477" i="1"/>
  <c r="C7476" i="1"/>
  <c r="B7476" i="1"/>
  <c r="C7475" i="1"/>
  <c r="B7475" i="1"/>
  <c r="C7474" i="1"/>
  <c r="B7474" i="1"/>
  <c r="C7473" i="1"/>
  <c r="B7473" i="1"/>
  <c r="C7472" i="1"/>
  <c r="B7472" i="1"/>
  <c r="C7471" i="1"/>
  <c r="B7471" i="1"/>
  <c r="C7470" i="1"/>
  <c r="B7470" i="1"/>
  <c r="C7469" i="1"/>
  <c r="B7469" i="1"/>
  <c r="C7468" i="1"/>
  <c r="B7468" i="1"/>
  <c r="C7467" i="1"/>
  <c r="B7467" i="1"/>
  <c r="C7466" i="1"/>
  <c r="B7466" i="1"/>
  <c r="C7465" i="1"/>
  <c r="B7465" i="1"/>
  <c r="C7464" i="1"/>
  <c r="B7464" i="1"/>
  <c r="C7463" i="1"/>
  <c r="B7463" i="1"/>
  <c r="C7462" i="1"/>
  <c r="B7462" i="1"/>
  <c r="C7461" i="1"/>
  <c r="B7461" i="1"/>
  <c r="C7460" i="1"/>
  <c r="B7460" i="1"/>
  <c r="C7459" i="1"/>
  <c r="B7459" i="1"/>
  <c r="C7458" i="1"/>
  <c r="B7458" i="1"/>
  <c r="C7457" i="1"/>
  <c r="B7457" i="1"/>
  <c r="C7456" i="1"/>
  <c r="B7456" i="1"/>
  <c r="C7455" i="1"/>
  <c r="B7455" i="1"/>
  <c r="C7454" i="1"/>
  <c r="B7454" i="1"/>
  <c r="C7453" i="1"/>
  <c r="B7453" i="1"/>
  <c r="C7452" i="1"/>
  <c r="B7452" i="1"/>
  <c r="C7451" i="1"/>
  <c r="B7451" i="1"/>
  <c r="C7450" i="1"/>
  <c r="B7450" i="1"/>
  <c r="C7449" i="1"/>
  <c r="B7449" i="1"/>
  <c r="C7448" i="1"/>
  <c r="B7448" i="1"/>
  <c r="C7447" i="1"/>
  <c r="B7447" i="1"/>
  <c r="C7446" i="1"/>
  <c r="B7446" i="1"/>
  <c r="C7445" i="1"/>
  <c r="B7445" i="1"/>
  <c r="C7444" i="1"/>
  <c r="B7444" i="1"/>
  <c r="C7443" i="1"/>
  <c r="B7443" i="1"/>
  <c r="C7442" i="1"/>
  <c r="B7442" i="1"/>
  <c r="C7441" i="1"/>
  <c r="B7441" i="1"/>
  <c r="C7440" i="1"/>
  <c r="B7440" i="1"/>
  <c r="C7439" i="1"/>
  <c r="B7439" i="1"/>
  <c r="C7438" i="1"/>
  <c r="B7438" i="1"/>
  <c r="C7437" i="1"/>
  <c r="B7437" i="1"/>
  <c r="C7436" i="1"/>
  <c r="B7436" i="1"/>
  <c r="C7435" i="1"/>
  <c r="B7435" i="1"/>
  <c r="C7434" i="1"/>
  <c r="B7434" i="1"/>
  <c r="C7433" i="1"/>
  <c r="B7433" i="1"/>
  <c r="C7432" i="1"/>
  <c r="B7432" i="1"/>
  <c r="C7431" i="1"/>
  <c r="B7431" i="1"/>
  <c r="C7430" i="1"/>
  <c r="B7430" i="1"/>
  <c r="C7429" i="1"/>
  <c r="B7429" i="1"/>
  <c r="C7428" i="1"/>
  <c r="B7428" i="1"/>
  <c r="C7427" i="1"/>
  <c r="B7427" i="1"/>
  <c r="C7426" i="1"/>
  <c r="B7426" i="1"/>
  <c r="C7425" i="1"/>
  <c r="B7425" i="1"/>
  <c r="C7424" i="1"/>
  <c r="B7424" i="1"/>
  <c r="C7423" i="1"/>
  <c r="B7423" i="1"/>
  <c r="C7422" i="1"/>
  <c r="B7422" i="1"/>
  <c r="C7421" i="1"/>
  <c r="B7421" i="1"/>
  <c r="C7420" i="1"/>
  <c r="B7420" i="1"/>
  <c r="C7419" i="1"/>
  <c r="B7419" i="1"/>
  <c r="C7418" i="1"/>
  <c r="B7418" i="1"/>
  <c r="C7417" i="1"/>
  <c r="B7417" i="1"/>
  <c r="C7416" i="1"/>
  <c r="B7416" i="1"/>
  <c r="C7415" i="1"/>
  <c r="B7415" i="1"/>
  <c r="C7414" i="1"/>
  <c r="B7414" i="1"/>
  <c r="C7413" i="1"/>
  <c r="B7413" i="1"/>
  <c r="C7412" i="1"/>
  <c r="B7412" i="1"/>
  <c r="C7411" i="1"/>
  <c r="B7411" i="1"/>
  <c r="C7410" i="1"/>
  <c r="B7410" i="1"/>
  <c r="C7409" i="1"/>
  <c r="B7409" i="1"/>
  <c r="C7408" i="1"/>
  <c r="B7408" i="1"/>
  <c r="C7407" i="1"/>
  <c r="B7407" i="1"/>
  <c r="C7406" i="1"/>
  <c r="B7406" i="1"/>
  <c r="C7405" i="1"/>
  <c r="B7405" i="1"/>
  <c r="C7404" i="1"/>
  <c r="B7404" i="1"/>
  <c r="C7403" i="1"/>
  <c r="B7403" i="1"/>
  <c r="C7402" i="1"/>
  <c r="B7402" i="1"/>
  <c r="C7401" i="1"/>
  <c r="B7401" i="1"/>
  <c r="C7400" i="1"/>
  <c r="B7400" i="1"/>
  <c r="C7399" i="1"/>
  <c r="B7399" i="1"/>
  <c r="C7398" i="1"/>
  <c r="B7398" i="1"/>
  <c r="C7397" i="1"/>
  <c r="B7397" i="1"/>
  <c r="C7396" i="1"/>
  <c r="B7396" i="1"/>
  <c r="C7395" i="1"/>
  <c r="B7395" i="1"/>
  <c r="C7394" i="1"/>
  <c r="B7394" i="1"/>
  <c r="C7393" i="1"/>
  <c r="B7393" i="1"/>
  <c r="C7392" i="1"/>
  <c r="B7392" i="1"/>
  <c r="C7391" i="1"/>
  <c r="B7391" i="1"/>
  <c r="C7390" i="1"/>
  <c r="B7390" i="1"/>
  <c r="C7389" i="1"/>
  <c r="B7389" i="1"/>
  <c r="C7388" i="1"/>
  <c r="B7388" i="1"/>
  <c r="C7387" i="1"/>
  <c r="B7387" i="1"/>
  <c r="C7386" i="1"/>
  <c r="B7386" i="1"/>
  <c r="C7385" i="1"/>
  <c r="B7385" i="1"/>
  <c r="C7384" i="1"/>
  <c r="B7384" i="1"/>
  <c r="C7383" i="1"/>
  <c r="B7383" i="1"/>
  <c r="C7382" i="1"/>
  <c r="B7382" i="1"/>
  <c r="C7381" i="1"/>
  <c r="B7381" i="1"/>
  <c r="C7380" i="1"/>
  <c r="B7380" i="1"/>
  <c r="C7379" i="1"/>
  <c r="B7379" i="1"/>
  <c r="C7378" i="1"/>
  <c r="B7378" i="1"/>
  <c r="C7377" i="1"/>
  <c r="B7377" i="1"/>
  <c r="C7376" i="1"/>
  <c r="B7376" i="1"/>
  <c r="C7375" i="1"/>
  <c r="B7375" i="1"/>
  <c r="C7374" i="1"/>
  <c r="B7374" i="1"/>
  <c r="C7373" i="1"/>
  <c r="B7373" i="1"/>
  <c r="C7372" i="1"/>
  <c r="B7372" i="1"/>
  <c r="C7371" i="1"/>
  <c r="B7371" i="1"/>
  <c r="C7370" i="1"/>
  <c r="B7370" i="1"/>
  <c r="C7369" i="1"/>
  <c r="B7369" i="1"/>
  <c r="C7368" i="1"/>
  <c r="B7368" i="1"/>
  <c r="C7367" i="1"/>
  <c r="B7367" i="1"/>
  <c r="C7366" i="1"/>
  <c r="B7366" i="1"/>
  <c r="C7365" i="1"/>
  <c r="B7365" i="1"/>
  <c r="C7364" i="1"/>
  <c r="B7364" i="1"/>
  <c r="C7363" i="1"/>
  <c r="B7363" i="1"/>
  <c r="C7362" i="1"/>
  <c r="B7362" i="1"/>
  <c r="C7361" i="1"/>
  <c r="B7361" i="1"/>
  <c r="C7360" i="1"/>
  <c r="B7360" i="1"/>
  <c r="C7359" i="1"/>
  <c r="B7359" i="1"/>
  <c r="C7358" i="1"/>
  <c r="B7358" i="1"/>
  <c r="C7357" i="1"/>
  <c r="B7357" i="1"/>
  <c r="C7356" i="1"/>
  <c r="B7356" i="1"/>
  <c r="C7355" i="1"/>
  <c r="B7355" i="1"/>
  <c r="C7354" i="1"/>
  <c r="B7354" i="1"/>
  <c r="C7353" i="1"/>
  <c r="B7353" i="1"/>
  <c r="C7352" i="1"/>
  <c r="B7352" i="1"/>
  <c r="C7351" i="1"/>
  <c r="B7351" i="1"/>
  <c r="C7350" i="1"/>
  <c r="B7350" i="1"/>
  <c r="C7349" i="1"/>
  <c r="B7349" i="1"/>
  <c r="C7348" i="1"/>
  <c r="B7348" i="1"/>
  <c r="C7347" i="1"/>
  <c r="B7347" i="1"/>
  <c r="C7346" i="1"/>
  <c r="B7346" i="1"/>
  <c r="C7345" i="1"/>
  <c r="B7345" i="1"/>
  <c r="C7344" i="1"/>
  <c r="B7344" i="1"/>
  <c r="C7343" i="1"/>
  <c r="B7343" i="1"/>
  <c r="C7342" i="1"/>
  <c r="B7342" i="1"/>
  <c r="C7341" i="1"/>
  <c r="B7341" i="1"/>
  <c r="C7340" i="1"/>
  <c r="B7340" i="1"/>
  <c r="C7339" i="1"/>
  <c r="B7339" i="1"/>
  <c r="C7338" i="1"/>
  <c r="B7338" i="1"/>
  <c r="C7337" i="1"/>
  <c r="B7337" i="1"/>
  <c r="C7336" i="1"/>
  <c r="B7336" i="1"/>
  <c r="C7335" i="1"/>
  <c r="B7335" i="1"/>
  <c r="C7334" i="1"/>
  <c r="B7334" i="1"/>
  <c r="C7333" i="1"/>
  <c r="B7333" i="1"/>
  <c r="C7332" i="1"/>
  <c r="B7332" i="1"/>
  <c r="C7331" i="1"/>
  <c r="B7331" i="1"/>
  <c r="C7330" i="1"/>
  <c r="B7330" i="1"/>
  <c r="C7329" i="1"/>
  <c r="B7329" i="1"/>
  <c r="C7328" i="1"/>
  <c r="B7328" i="1"/>
  <c r="C7327" i="1"/>
  <c r="B7327" i="1"/>
  <c r="C7326" i="1"/>
  <c r="B7326" i="1"/>
  <c r="C7325" i="1"/>
  <c r="B7325" i="1"/>
  <c r="C7324" i="1"/>
  <c r="B7324" i="1"/>
  <c r="C7323" i="1"/>
  <c r="B7323" i="1"/>
  <c r="C7322" i="1"/>
  <c r="B7322" i="1"/>
  <c r="C7321" i="1"/>
  <c r="B7321" i="1"/>
  <c r="C7320" i="1"/>
  <c r="B7320" i="1"/>
  <c r="C7319" i="1"/>
  <c r="B7319" i="1"/>
  <c r="C7318" i="1"/>
  <c r="B7318" i="1"/>
  <c r="C7317" i="1"/>
  <c r="B7317" i="1"/>
  <c r="C7316" i="1"/>
  <c r="B7316" i="1"/>
  <c r="C7315" i="1"/>
  <c r="B7315" i="1"/>
  <c r="C7314" i="1"/>
  <c r="B7314" i="1"/>
  <c r="C7313" i="1"/>
  <c r="B7313" i="1"/>
  <c r="C7312" i="1"/>
  <c r="B7312" i="1"/>
  <c r="C7311" i="1"/>
  <c r="B7311" i="1"/>
  <c r="C7310" i="1"/>
  <c r="B7310" i="1"/>
  <c r="C7309" i="1"/>
  <c r="B7309" i="1"/>
  <c r="C7308" i="1"/>
  <c r="B7308" i="1"/>
  <c r="C7307" i="1"/>
  <c r="B7307" i="1"/>
  <c r="C7306" i="1"/>
  <c r="B7306" i="1"/>
  <c r="C7305" i="1"/>
  <c r="B7305" i="1"/>
  <c r="C7304" i="1"/>
  <c r="B7304" i="1"/>
  <c r="C7303" i="1"/>
  <c r="B7303" i="1"/>
  <c r="C7302" i="1"/>
  <c r="B7302" i="1"/>
  <c r="C7301" i="1"/>
  <c r="B7301" i="1"/>
  <c r="C7300" i="1"/>
  <c r="B7300" i="1"/>
  <c r="C7299" i="1"/>
  <c r="B7299" i="1"/>
  <c r="C7298" i="1"/>
  <c r="B7298" i="1"/>
  <c r="C7297" i="1"/>
  <c r="B7297" i="1"/>
  <c r="C7296" i="1"/>
  <c r="B7296" i="1"/>
  <c r="C7295" i="1"/>
  <c r="B7295" i="1"/>
  <c r="C7294" i="1"/>
  <c r="B7294" i="1"/>
  <c r="C7293" i="1"/>
  <c r="B7293" i="1"/>
  <c r="C7292" i="1"/>
  <c r="B7292" i="1"/>
  <c r="C7291" i="1"/>
  <c r="B7291" i="1"/>
  <c r="C7290" i="1"/>
  <c r="B7290" i="1"/>
  <c r="C7289" i="1"/>
  <c r="B7289" i="1"/>
  <c r="C7288" i="1"/>
  <c r="B7288" i="1"/>
  <c r="C7287" i="1"/>
  <c r="B7287" i="1"/>
  <c r="C7286" i="1"/>
  <c r="B7286" i="1"/>
  <c r="C7285" i="1"/>
  <c r="B7285" i="1"/>
  <c r="C7284" i="1"/>
  <c r="B7284" i="1"/>
  <c r="C7283" i="1"/>
  <c r="B7283" i="1"/>
  <c r="C7282" i="1"/>
  <c r="B7282" i="1"/>
  <c r="C7281" i="1"/>
  <c r="B7281" i="1"/>
  <c r="C7280" i="1"/>
  <c r="B7280" i="1"/>
  <c r="C7279" i="1"/>
  <c r="B7279" i="1"/>
  <c r="C7278" i="1"/>
  <c r="B7278" i="1"/>
  <c r="C7277" i="1"/>
  <c r="B7277" i="1"/>
  <c r="C7276" i="1"/>
  <c r="B7276" i="1"/>
  <c r="C7275" i="1"/>
  <c r="B7275" i="1"/>
  <c r="C7274" i="1"/>
  <c r="B7274" i="1"/>
  <c r="C7273" i="1"/>
  <c r="B7273" i="1"/>
  <c r="C7272" i="1"/>
  <c r="B7272" i="1"/>
  <c r="C7271" i="1"/>
  <c r="B7271" i="1"/>
  <c r="C7270" i="1"/>
  <c r="B7270" i="1"/>
  <c r="C7269" i="1"/>
  <c r="B7269" i="1"/>
  <c r="C7268" i="1"/>
  <c r="B7268" i="1"/>
  <c r="C7267" i="1"/>
  <c r="B7267" i="1"/>
  <c r="C7266" i="1"/>
  <c r="B7266" i="1"/>
  <c r="C7265" i="1"/>
  <c r="B7265" i="1"/>
  <c r="C7264" i="1"/>
  <c r="B7264" i="1"/>
  <c r="C7263" i="1"/>
  <c r="B7263" i="1"/>
  <c r="C7262" i="1"/>
  <c r="B7262" i="1"/>
  <c r="C7261" i="1"/>
  <c r="B7261" i="1"/>
  <c r="C7260" i="1"/>
  <c r="B7260" i="1"/>
  <c r="C7259" i="1"/>
  <c r="B7259" i="1"/>
  <c r="C7258" i="1"/>
  <c r="B7258" i="1"/>
  <c r="C7257" i="1"/>
  <c r="B7257" i="1"/>
  <c r="C7256" i="1"/>
  <c r="B7256" i="1"/>
  <c r="C7255" i="1"/>
  <c r="B7255" i="1"/>
  <c r="C7254" i="1"/>
  <c r="B7254" i="1"/>
  <c r="C7253" i="1"/>
  <c r="B7253" i="1"/>
  <c r="C7252" i="1"/>
  <c r="B7252" i="1"/>
  <c r="C7251" i="1"/>
  <c r="B7251" i="1"/>
  <c r="C7250" i="1"/>
  <c r="B7250" i="1"/>
  <c r="C7249" i="1"/>
  <c r="B7249" i="1"/>
  <c r="C7248" i="1"/>
  <c r="B7248" i="1"/>
  <c r="C7247" i="1"/>
  <c r="B7247" i="1"/>
  <c r="C7246" i="1"/>
  <c r="B7246" i="1"/>
  <c r="C7245" i="1"/>
  <c r="B7245" i="1"/>
  <c r="C7244" i="1"/>
  <c r="B7244" i="1"/>
  <c r="C7243" i="1"/>
  <c r="B7243" i="1"/>
  <c r="C7242" i="1"/>
  <c r="B7242" i="1"/>
  <c r="C7241" i="1"/>
  <c r="B7241" i="1"/>
  <c r="C7240" i="1"/>
  <c r="B7240" i="1"/>
  <c r="C7239" i="1"/>
  <c r="B7239" i="1"/>
  <c r="C7238" i="1"/>
  <c r="B7238" i="1"/>
  <c r="C7237" i="1"/>
  <c r="B7237" i="1"/>
  <c r="C7236" i="1"/>
  <c r="B7236" i="1"/>
  <c r="C7235" i="1"/>
  <c r="B7235" i="1"/>
  <c r="C7234" i="1"/>
  <c r="B7234" i="1"/>
  <c r="C7233" i="1"/>
  <c r="B7233" i="1"/>
  <c r="C7232" i="1"/>
  <c r="B7232" i="1"/>
  <c r="C7231" i="1"/>
  <c r="B7231" i="1"/>
  <c r="C7230" i="1"/>
  <c r="B7230" i="1"/>
  <c r="C7229" i="1"/>
  <c r="B7229" i="1"/>
  <c r="C7228" i="1"/>
  <c r="B7228" i="1"/>
  <c r="C7227" i="1"/>
  <c r="B7227" i="1"/>
  <c r="C7226" i="1"/>
  <c r="B7226" i="1"/>
  <c r="C7225" i="1"/>
  <c r="B7225" i="1"/>
  <c r="C7224" i="1"/>
  <c r="B7224" i="1"/>
  <c r="C7223" i="1"/>
  <c r="B7223" i="1"/>
  <c r="C7222" i="1"/>
  <c r="B7222" i="1"/>
  <c r="C7221" i="1"/>
  <c r="B7221" i="1"/>
  <c r="C7220" i="1"/>
  <c r="B7220" i="1"/>
  <c r="C7219" i="1"/>
  <c r="B7219" i="1"/>
  <c r="C7218" i="1"/>
  <c r="B7218" i="1"/>
  <c r="C7217" i="1"/>
  <c r="B7217" i="1"/>
  <c r="C7216" i="1"/>
  <c r="B7216" i="1"/>
  <c r="C7215" i="1"/>
  <c r="B7215" i="1"/>
  <c r="C7214" i="1"/>
  <c r="B7214" i="1"/>
  <c r="C7213" i="1"/>
  <c r="B7213" i="1"/>
  <c r="C7212" i="1"/>
  <c r="B7212" i="1"/>
  <c r="C7211" i="1"/>
  <c r="B7211" i="1"/>
  <c r="C7210" i="1"/>
  <c r="B7210" i="1"/>
  <c r="C7209" i="1"/>
  <c r="B7209" i="1"/>
  <c r="C7208" i="1"/>
  <c r="B7208" i="1"/>
  <c r="C7207" i="1"/>
  <c r="B7207" i="1"/>
  <c r="C7206" i="1"/>
  <c r="B7206" i="1"/>
  <c r="C7205" i="1"/>
  <c r="B7205" i="1"/>
  <c r="C7204" i="1"/>
  <c r="B7204" i="1"/>
  <c r="C7203" i="1"/>
  <c r="B7203" i="1"/>
  <c r="C7202" i="1"/>
  <c r="B7202" i="1"/>
  <c r="C7201" i="1"/>
  <c r="B7201" i="1"/>
  <c r="C7200" i="1"/>
  <c r="B7200" i="1"/>
  <c r="C7199" i="1"/>
  <c r="B7199" i="1"/>
  <c r="C7198" i="1"/>
  <c r="B7198" i="1"/>
  <c r="C7197" i="1"/>
  <c r="B7197" i="1"/>
  <c r="C7196" i="1"/>
  <c r="B7196" i="1"/>
  <c r="C7195" i="1"/>
  <c r="B7195" i="1"/>
  <c r="C7194" i="1"/>
  <c r="B7194" i="1"/>
  <c r="C7193" i="1"/>
  <c r="B7193" i="1"/>
  <c r="C7192" i="1"/>
  <c r="B7192" i="1"/>
  <c r="C7191" i="1"/>
  <c r="B7191" i="1"/>
  <c r="C7190" i="1"/>
  <c r="B7190" i="1"/>
  <c r="C7189" i="1"/>
  <c r="B7189" i="1"/>
  <c r="C7188" i="1"/>
  <c r="B7188" i="1"/>
  <c r="C7187" i="1"/>
  <c r="B7187" i="1"/>
  <c r="C7186" i="1"/>
  <c r="B7186" i="1"/>
  <c r="C7185" i="1"/>
  <c r="B7185" i="1"/>
  <c r="C7184" i="1"/>
  <c r="B7184" i="1"/>
  <c r="C7183" i="1"/>
  <c r="B7183" i="1"/>
  <c r="C7182" i="1"/>
  <c r="B7182" i="1"/>
  <c r="C7181" i="1"/>
  <c r="B7181" i="1"/>
  <c r="C7180" i="1"/>
  <c r="B7180" i="1"/>
  <c r="C7179" i="1"/>
  <c r="B7179" i="1"/>
  <c r="C7178" i="1"/>
  <c r="B7178" i="1"/>
  <c r="C7177" i="1"/>
  <c r="B7177" i="1"/>
  <c r="C7176" i="1"/>
  <c r="B7176" i="1"/>
  <c r="C7175" i="1"/>
  <c r="B7175" i="1"/>
  <c r="C7174" i="1"/>
  <c r="B7174" i="1"/>
  <c r="C7173" i="1"/>
  <c r="B7173" i="1"/>
  <c r="C7172" i="1"/>
  <c r="B7172" i="1"/>
  <c r="C7171" i="1"/>
  <c r="B7171" i="1"/>
  <c r="C7170" i="1"/>
  <c r="B7170" i="1"/>
  <c r="C7169" i="1"/>
  <c r="B7169" i="1"/>
  <c r="C7168" i="1"/>
  <c r="B7168" i="1"/>
  <c r="C7167" i="1"/>
  <c r="B7167" i="1"/>
  <c r="C7166" i="1"/>
  <c r="B7166" i="1"/>
  <c r="C7165" i="1"/>
  <c r="B7165" i="1"/>
  <c r="C7164" i="1"/>
  <c r="B7164" i="1"/>
  <c r="C7163" i="1"/>
  <c r="B7163" i="1"/>
  <c r="C7162" i="1"/>
  <c r="B7162" i="1"/>
  <c r="C7161" i="1"/>
  <c r="B7161" i="1"/>
  <c r="C7160" i="1"/>
  <c r="B7160" i="1"/>
  <c r="C7159" i="1"/>
  <c r="B7159" i="1"/>
  <c r="C7158" i="1"/>
  <c r="B7158" i="1"/>
  <c r="C7157" i="1"/>
  <c r="B7157" i="1"/>
  <c r="C7156" i="1"/>
  <c r="B7156" i="1"/>
  <c r="C7155" i="1"/>
  <c r="B7155" i="1"/>
  <c r="C7154" i="1"/>
  <c r="B7154" i="1"/>
  <c r="C7153" i="1"/>
  <c r="B7153" i="1"/>
  <c r="C7152" i="1"/>
  <c r="B7152" i="1"/>
  <c r="C7151" i="1"/>
  <c r="B7151" i="1"/>
  <c r="C7150" i="1"/>
  <c r="B7150" i="1"/>
  <c r="C7149" i="1"/>
  <c r="B7149" i="1"/>
  <c r="C7148" i="1"/>
  <c r="B7148" i="1"/>
  <c r="C7147" i="1"/>
  <c r="B7147" i="1"/>
  <c r="C7146" i="1"/>
  <c r="B7146" i="1"/>
  <c r="C7145" i="1"/>
  <c r="B7145" i="1"/>
  <c r="C7144" i="1"/>
  <c r="B7144" i="1"/>
  <c r="C7143" i="1"/>
  <c r="B7143" i="1"/>
  <c r="C7142" i="1"/>
  <c r="B7142" i="1"/>
  <c r="C7141" i="1"/>
  <c r="B7141" i="1"/>
  <c r="C7140" i="1"/>
  <c r="B7140" i="1"/>
  <c r="C7139" i="1"/>
  <c r="B7139" i="1"/>
  <c r="C7138" i="1"/>
  <c r="B7138" i="1"/>
  <c r="C7137" i="1"/>
  <c r="B7137" i="1"/>
  <c r="C7136" i="1"/>
  <c r="B7136" i="1"/>
  <c r="C7135" i="1"/>
  <c r="B7135" i="1"/>
  <c r="C7134" i="1"/>
  <c r="B7134" i="1"/>
  <c r="C7133" i="1"/>
  <c r="B7133" i="1"/>
  <c r="C7132" i="1"/>
  <c r="B7132" i="1"/>
  <c r="C7131" i="1"/>
  <c r="B7131" i="1"/>
  <c r="C7130" i="1"/>
  <c r="B7130" i="1"/>
  <c r="C7129" i="1"/>
  <c r="B7129" i="1"/>
  <c r="C7128" i="1"/>
  <c r="B7128" i="1"/>
  <c r="C7127" i="1"/>
  <c r="B7127" i="1"/>
  <c r="C7126" i="1"/>
  <c r="B7126" i="1"/>
  <c r="C7125" i="1"/>
  <c r="B7125" i="1"/>
  <c r="C7124" i="1"/>
  <c r="B7124" i="1"/>
  <c r="C7123" i="1"/>
  <c r="B7123" i="1"/>
  <c r="C7122" i="1"/>
  <c r="B7122" i="1"/>
  <c r="C7121" i="1"/>
  <c r="B7121" i="1"/>
  <c r="C7120" i="1"/>
  <c r="B7120" i="1"/>
  <c r="C7119" i="1"/>
  <c r="B7119" i="1"/>
  <c r="C7118" i="1"/>
  <c r="B7118" i="1"/>
  <c r="C7117" i="1"/>
  <c r="B7117" i="1"/>
  <c r="C7116" i="1"/>
  <c r="B7116" i="1"/>
  <c r="C7115" i="1"/>
  <c r="B7115" i="1"/>
  <c r="C7114" i="1"/>
  <c r="B7114" i="1"/>
  <c r="C7113" i="1"/>
  <c r="B7113" i="1"/>
  <c r="C7112" i="1"/>
  <c r="B7112" i="1"/>
  <c r="C7111" i="1"/>
  <c r="B7111" i="1"/>
  <c r="C7110" i="1"/>
  <c r="B7110" i="1"/>
  <c r="C7109" i="1"/>
  <c r="B7109" i="1"/>
  <c r="C7108" i="1"/>
  <c r="B7108" i="1"/>
  <c r="C7107" i="1"/>
  <c r="B7107" i="1"/>
  <c r="C7106" i="1"/>
  <c r="B7106" i="1"/>
  <c r="C7105" i="1"/>
  <c r="B7105" i="1"/>
  <c r="C7104" i="1"/>
  <c r="B7104" i="1"/>
  <c r="C7103" i="1"/>
  <c r="B7103" i="1"/>
  <c r="C7102" i="1"/>
  <c r="B7102" i="1"/>
  <c r="C7101" i="1"/>
  <c r="B7101" i="1"/>
  <c r="C7100" i="1"/>
  <c r="B7100" i="1"/>
  <c r="C7099" i="1"/>
  <c r="B7099" i="1"/>
  <c r="C7098" i="1"/>
  <c r="B7098" i="1"/>
  <c r="C7097" i="1"/>
  <c r="B7097" i="1"/>
  <c r="C7096" i="1"/>
  <c r="B7096" i="1"/>
  <c r="C7095" i="1"/>
  <c r="B7095" i="1"/>
  <c r="C7094" i="1"/>
  <c r="B7094" i="1"/>
  <c r="C7093" i="1"/>
  <c r="B7093" i="1"/>
  <c r="C7092" i="1"/>
  <c r="B7092" i="1"/>
  <c r="C7091" i="1"/>
  <c r="B7091" i="1"/>
  <c r="C7090" i="1"/>
  <c r="B7090" i="1"/>
  <c r="C7089" i="1"/>
  <c r="B7089" i="1"/>
  <c r="C7088" i="1"/>
  <c r="B7088" i="1"/>
  <c r="C7087" i="1"/>
  <c r="B7087" i="1"/>
  <c r="C7086" i="1"/>
  <c r="B7086" i="1"/>
  <c r="C7085" i="1"/>
  <c r="B7085" i="1"/>
  <c r="C7084" i="1"/>
  <c r="B7084" i="1"/>
  <c r="C7083" i="1"/>
  <c r="B7083" i="1"/>
  <c r="C7082" i="1"/>
  <c r="B7082" i="1"/>
  <c r="C7081" i="1"/>
  <c r="B7081" i="1"/>
  <c r="C7080" i="1"/>
  <c r="B7080" i="1"/>
  <c r="C7079" i="1"/>
  <c r="B7079" i="1"/>
  <c r="C7078" i="1"/>
  <c r="B7078" i="1"/>
  <c r="C7077" i="1"/>
  <c r="B7077" i="1"/>
  <c r="C7076" i="1"/>
  <c r="B7076" i="1"/>
  <c r="C7075" i="1"/>
  <c r="B7075" i="1"/>
  <c r="C7074" i="1"/>
  <c r="B7074" i="1"/>
  <c r="C7073" i="1"/>
  <c r="B7073" i="1"/>
  <c r="C7072" i="1"/>
  <c r="B7072" i="1"/>
  <c r="C7071" i="1"/>
  <c r="B7071" i="1"/>
  <c r="C7070" i="1"/>
  <c r="B7070" i="1"/>
  <c r="C7069" i="1"/>
  <c r="B7069" i="1"/>
  <c r="C7068" i="1"/>
  <c r="B7068" i="1"/>
  <c r="C7067" i="1"/>
  <c r="B7067" i="1"/>
  <c r="C7066" i="1"/>
  <c r="B7066" i="1"/>
  <c r="C7065" i="1"/>
  <c r="B7065" i="1"/>
  <c r="C7064" i="1"/>
  <c r="B7064" i="1"/>
  <c r="C7063" i="1"/>
  <c r="B7063" i="1"/>
  <c r="C7062" i="1"/>
  <c r="B7062" i="1"/>
  <c r="C7061" i="1"/>
  <c r="B7061" i="1"/>
  <c r="C7060" i="1"/>
  <c r="B7060" i="1"/>
  <c r="C7059" i="1"/>
  <c r="B7059" i="1"/>
  <c r="C7058" i="1"/>
  <c r="B7058" i="1"/>
  <c r="C7057" i="1"/>
  <c r="B7057" i="1"/>
  <c r="C7056" i="1"/>
  <c r="B7056" i="1"/>
  <c r="C7055" i="1"/>
  <c r="B7055" i="1"/>
  <c r="C7054" i="1"/>
  <c r="B7054" i="1"/>
  <c r="C7053" i="1"/>
  <c r="B7053" i="1"/>
  <c r="C7052" i="1"/>
  <c r="B7052" i="1"/>
  <c r="C7051" i="1"/>
  <c r="B7051" i="1"/>
  <c r="C7050" i="1"/>
  <c r="B7050" i="1"/>
  <c r="C7049" i="1"/>
  <c r="B7049" i="1"/>
  <c r="C7048" i="1"/>
  <c r="B7048" i="1"/>
  <c r="C7047" i="1"/>
  <c r="B7047" i="1"/>
  <c r="C7046" i="1"/>
  <c r="B7046" i="1"/>
  <c r="C7045" i="1"/>
  <c r="B7045" i="1"/>
  <c r="C7044" i="1"/>
  <c r="B7044" i="1"/>
  <c r="C7043" i="1"/>
  <c r="B7043" i="1"/>
  <c r="C7042" i="1"/>
  <c r="B7042" i="1"/>
  <c r="C7041" i="1"/>
  <c r="B7041" i="1"/>
  <c r="C7040" i="1"/>
  <c r="B7040" i="1"/>
  <c r="C7039" i="1"/>
  <c r="B7039" i="1"/>
  <c r="C7038" i="1"/>
  <c r="B7038" i="1"/>
  <c r="C7037" i="1"/>
  <c r="B7037" i="1"/>
  <c r="C7036" i="1"/>
  <c r="B7036" i="1"/>
  <c r="C7035" i="1"/>
  <c r="B7035" i="1"/>
  <c r="C7034" i="1"/>
  <c r="B7034" i="1"/>
  <c r="C7033" i="1"/>
  <c r="B7033" i="1"/>
  <c r="C7032" i="1"/>
  <c r="B7032" i="1"/>
  <c r="C7031" i="1"/>
  <c r="B7031" i="1"/>
  <c r="C7030" i="1"/>
  <c r="B7030" i="1"/>
  <c r="C7029" i="1"/>
  <c r="B7029" i="1"/>
  <c r="C7028" i="1"/>
  <c r="B7028" i="1"/>
  <c r="C7027" i="1"/>
  <c r="B7027" i="1"/>
  <c r="C7026" i="1"/>
  <c r="B7026" i="1"/>
  <c r="C7025" i="1"/>
  <c r="B7025" i="1"/>
  <c r="C7024" i="1"/>
  <c r="B7024" i="1"/>
  <c r="C7023" i="1"/>
  <c r="B7023" i="1"/>
  <c r="C7022" i="1"/>
  <c r="B7022" i="1"/>
  <c r="C7021" i="1"/>
  <c r="B7021" i="1"/>
  <c r="C7020" i="1"/>
  <c r="B7020" i="1"/>
  <c r="C7019" i="1"/>
  <c r="B7019" i="1"/>
  <c r="C7018" i="1"/>
  <c r="B7018" i="1"/>
  <c r="C7017" i="1"/>
  <c r="B7017" i="1"/>
  <c r="C7016" i="1"/>
  <c r="B7016" i="1"/>
  <c r="C7015" i="1"/>
  <c r="B7015" i="1"/>
  <c r="C7014" i="1"/>
  <c r="B7014" i="1"/>
  <c r="C7013" i="1"/>
  <c r="B7013" i="1"/>
  <c r="C7012" i="1"/>
  <c r="B7012" i="1"/>
  <c r="C7011" i="1"/>
  <c r="B7011" i="1"/>
  <c r="C7010" i="1"/>
  <c r="B7010" i="1"/>
  <c r="C7009" i="1"/>
  <c r="B7009" i="1"/>
  <c r="C7008" i="1"/>
  <c r="B7008" i="1"/>
  <c r="C7007" i="1"/>
  <c r="B7007" i="1"/>
  <c r="C7006" i="1"/>
  <c r="B7006" i="1"/>
  <c r="C7005" i="1"/>
  <c r="B7005" i="1"/>
  <c r="C7004" i="1"/>
  <c r="B7004" i="1"/>
  <c r="C7003" i="1"/>
  <c r="B7003" i="1"/>
  <c r="C7002" i="1"/>
  <c r="B7002" i="1"/>
  <c r="C7001" i="1"/>
  <c r="B7001" i="1"/>
  <c r="C7000" i="1"/>
  <c r="B7000" i="1"/>
  <c r="C6999" i="1"/>
  <c r="B6999" i="1"/>
  <c r="C6998" i="1"/>
  <c r="B6998" i="1"/>
  <c r="C6997" i="1"/>
  <c r="B6997" i="1"/>
  <c r="C6996" i="1"/>
  <c r="B6996" i="1"/>
  <c r="C6995" i="1"/>
  <c r="B6995" i="1"/>
  <c r="C6994" i="1"/>
  <c r="B6994" i="1"/>
  <c r="C6993" i="1"/>
  <c r="B6993" i="1"/>
  <c r="C6992" i="1"/>
  <c r="B6992" i="1"/>
  <c r="C6991" i="1"/>
  <c r="B6991" i="1"/>
  <c r="C6990" i="1"/>
  <c r="B6990" i="1"/>
  <c r="C6989" i="1"/>
  <c r="B6989" i="1"/>
  <c r="C6988" i="1"/>
  <c r="B6988" i="1"/>
  <c r="C6987" i="1"/>
  <c r="B6987" i="1"/>
  <c r="C6986" i="1"/>
  <c r="B6986" i="1"/>
  <c r="C6985" i="1"/>
  <c r="B6985" i="1"/>
  <c r="C6984" i="1"/>
  <c r="B6984" i="1"/>
  <c r="C6983" i="1"/>
  <c r="B6983" i="1"/>
  <c r="C6982" i="1"/>
  <c r="B6982" i="1"/>
  <c r="C6981" i="1"/>
  <c r="B6981" i="1"/>
  <c r="C6980" i="1"/>
  <c r="B6980" i="1"/>
  <c r="C6979" i="1"/>
  <c r="B6979" i="1"/>
  <c r="C6978" i="1"/>
  <c r="B6978" i="1"/>
  <c r="C6977" i="1"/>
  <c r="B6977" i="1"/>
  <c r="C6976" i="1"/>
  <c r="B6976" i="1"/>
  <c r="C6975" i="1"/>
  <c r="B6975" i="1"/>
  <c r="C6974" i="1"/>
  <c r="B6974" i="1"/>
  <c r="C6973" i="1"/>
  <c r="B6973" i="1"/>
  <c r="C6972" i="1"/>
  <c r="B6972" i="1"/>
  <c r="C6971" i="1"/>
  <c r="B6971" i="1"/>
  <c r="C6970" i="1"/>
  <c r="B6970" i="1"/>
  <c r="C6969" i="1"/>
  <c r="B6969" i="1"/>
  <c r="C6968" i="1"/>
  <c r="B6968" i="1"/>
  <c r="C6967" i="1"/>
  <c r="B6967" i="1"/>
  <c r="C6966" i="1"/>
  <c r="B6966" i="1"/>
  <c r="C6965" i="1"/>
  <c r="B6965" i="1"/>
  <c r="C6964" i="1"/>
  <c r="B6964" i="1"/>
  <c r="C6963" i="1"/>
  <c r="B6963" i="1"/>
  <c r="C6962" i="1"/>
  <c r="B6962" i="1"/>
  <c r="C6961" i="1"/>
  <c r="B6961" i="1"/>
  <c r="C6960" i="1"/>
  <c r="B6960" i="1"/>
  <c r="C6959" i="1"/>
  <c r="B6959" i="1"/>
  <c r="C6958" i="1"/>
  <c r="B6958" i="1"/>
  <c r="C6957" i="1"/>
  <c r="B6957" i="1"/>
  <c r="C6956" i="1"/>
  <c r="B6956" i="1"/>
  <c r="C6955" i="1"/>
  <c r="B6955" i="1"/>
  <c r="C6954" i="1"/>
  <c r="B6954" i="1"/>
  <c r="C6953" i="1"/>
  <c r="B6953" i="1"/>
  <c r="C6952" i="1"/>
  <c r="B6952" i="1"/>
  <c r="C6951" i="1"/>
  <c r="B6951" i="1"/>
  <c r="C6950" i="1"/>
  <c r="B6950" i="1"/>
  <c r="C6949" i="1"/>
  <c r="B6949" i="1"/>
  <c r="C6948" i="1"/>
  <c r="B6948" i="1"/>
  <c r="C6947" i="1"/>
  <c r="B6947" i="1"/>
  <c r="C6946" i="1"/>
  <c r="B6946" i="1"/>
  <c r="C6945" i="1"/>
  <c r="B6945" i="1"/>
  <c r="C6944" i="1"/>
  <c r="B6944" i="1"/>
  <c r="C6943" i="1"/>
  <c r="B6943" i="1"/>
  <c r="C6942" i="1"/>
  <c r="B6942" i="1"/>
  <c r="C6941" i="1"/>
  <c r="B6941" i="1"/>
  <c r="C6940" i="1"/>
  <c r="B6940" i="1"/>
  <c r="C6939" i="1"/>
  <c r="B6939" i="1"/>
  <c r="C6938" i="1"/>
  <c r="B6938" i="1"/>
  <c r="C6937" i="1"/>
  <c r="B6937" i="1"/>
  <c r="C6936" i="1"/>
  <c r="B6936" i="1"/>
  <c r="C6935" i="1"/>
  <c r="B6935" i="1"/>
  <c r="C6934" i="1"/>
  <c r="B6934" i="1"/>
  <c r="C6933" i="1"/>
  <c r="B6933" i="1"/>
  <c r="C6932" i="1"/>
  <c r="B6932" i="1"/>
  <c r="C6931" i="1"/>
  <c r="B6931" i="1"/>
  <c r="C6930" i="1"/>
  <c r="B6930" i="1"/>
  <c r="C6929" i="1"/>
  <c r="B6929" i="1"/>
  <c r="C6928" i="1"/>
  <c r="B6928" i="1"/>
  <c r="C6927" i="1"/>
  <c r="B6927" i="1"/>
  <c r="C6926" i="1"/>
  <c r="B6926" i="1"/>
  <c r="C6925" i="1"/>
  <c r="B6925" i="1"/>
  <c r="C6924" i="1"/>
  <c r="B6924" i="1"/>
  <c r="C6923" i="1"/>
  <c r="B6923" i="1"/>
  <c r="C6922" i="1"/>
  <c r="B6922" i="1"/>
  <c r="C6921" i="1"/>
  <c r="B6921" i="1"/>
  <c r="C6920" i="1"/>
  <c r="B6920" i="1"/>
  <c r="C6919" i="1"/>
  <c r="B6919" i="1"/>
  <c r="C6918" i="1"/>
  <c r="B6918" i="1"/>
  <c r="C6917" i="1"/>
  <c r="B6917" i="1"/>
  <c r="C6916" i="1"/>
  <c r="B6916" i="1"/>
  <c r="C6915" i="1"/>
  <c r="B6915" i="1"/>
  <c r="C6914" i="1"/>
  <c r="B6914" i="1"/>
  <c r="C6913" i="1"/>
  <c r="B6913" i="1"/>
  <c r="C6912" i="1"/>
  <c r="B6912" i="1"/>
  <c r="C6911" i="1"/>
  <c r="B6911" i="1"/>
  <c r="C6910" i="1"/>
  <c r="B6910" i="1"/>
  <c r="C6909" i="1"/>
  <c r="B6909" i="1"/>
  <c r="C6908" i="1"/>
  <c r="B6908" i="1"/>
  <c r="C6907" i="1"/>
  <c r="B6907" i="1"/>
  <c r="C6906" i="1"/>
  <c r="B6906" i="1"/>
  <c r="C6905" i="1"/>
  <c r="B6905" i="1"/>
  <c r="C6904" i="1"/>
  <c r="B6904" i="1"/>
  <c r="C6903" i="1"/>
  <c r="B6903" i="1"/>
  <c r="C6902" i="1"/>
  <c r="B6902" i="1"/>
  <c r="C6901" i="1"/>
  <c r="B6901" i="1"/>
  <c r="C6900" i="1"/>
  <c r="B6900" i="1"/>
  <c r="C6899" i="1"/>
  <c r="B6899" i="1"/>
  <c r="C6898" i="1"/>
  <c r="B6898" i="1"/>
  <c r="C6897" i="1"/>
  <c r="B6897" i="1"/>
  <c r="C6896" i="1"/>
  <c r="B6896" i="1"/>
  <c r="C6895" i="1"/>
  <c r="B6895" i="1"/>
  <c r="C6894" i="1"/>
  <c r="B6894" i="1"/>
  <c r="C6893" i="1"/>
  <c r="B6893" i="1"/>
  <c r="C6892" i="1"/>
  <c r="B6892" i="1"/>
  <c r="C6891" i="1"/>
  <c r="B6891" i="1"/>
  <c r="C6890" i="1"/>
  <c r="B6890" i="1"/>
  <c r="C6889" i="1"/>
  <c r="B6889" i="1"/>
  <c r="C6888" i="1"/>
  <c r="B6888" i="1"/>
  <c r="C6887" i="1"/>
  <c r="B6887" i="1"/>
  <c r="C6886" i="1"/>
  <c r="B6886" i="1"/>
  <c r="C6885" i="1"/>
  <c r="B6885" i="1"/>
  <c r="C6884" i="1"/>
  <c r="B6884" i="1"/>
  <c r="C6883" i="1"/>
  <c r="B6883" i="1"/>
  <c r="C6882" i="1"/>
  <c r="B6882" i="1"/>
  <c r="C6881" i="1"/>
  <c r="B6881" i="1"/>
  <c r="C6880" i="1"/>
  <c r="B6880" i="1"/>
  <c r="C6879" i="1"/>
  <c r="B6879" i="1"/>
  <c r="C6878" i="1"/>
  <c r="B6878" i="1"/>
  <c r="C6877" i="1"/>
  <c r="B6877" i="1"/>
  <c r="C6876" i="1"/>
  <c r="B6876" i="1"/>
  <c r="C6875" i="1"/>
  <c r="B6875" i="1"/>
  <c r="C6874" i="1"/>
  <c r="B6874" i="1"/>
  <c r="C6873" i="1"/>
  <c r="B6873" i="1"/>
  <c r="C6872" i="1"/>
  <c r="B6872" i="1"/>
  <c r="C6871" i="1"/>
  <c r="B6871" i="1"/>
  <c r="C6870" i="1"/>
  <c r="B6870" i="1"/>
  <c r="C6869" i="1"/>
  <c r="B6869" i="1"/>
  <c r="C6868" i="1"/>
  <c r="B6868" i="1"/>
  <c r="C6867" i="1"/>
  <c r="B6867" i="1"/>
  <c r="C6866" i="1"/>
  <c r="B6866" i="1"/>
  <c r="C6865" i="1"/>
  <c r="B6865" i="1"/>
  <c r="C6864" i="1"/>
  <c r="B6864" i="1"/>
  <c r="C6863" i="1"/>
  <c r="B6863" i="1"/>
  <c r="C6862" i="1"/>
  <c r="B6862" i="1"/>
  <c r="C6861" i="1"/>
  <c r="B6861" i="1"/>
  <c r="C6860" i="1"/>
  <c r="B6860" i="1"/>
  <c r="C6859" i="1"/>
  <c r="B6859" i="1"/>
  <c r="C6858" i="1"/>
  <c r="B6858" i="1"/>
  <c r="C6857" i="1"/>
  <c r="B6857" i="1"/>
  <c r="C6856" i="1"/>
  <c r="B6856" i="1"/>
  <c r="C6855" i="1"/>
  <c r="B6855" i="1"/>
  <c r="C6854" i="1"/>
  <c r="B6854" i="1"/>
  <c r="C6853" i="1"/>
  <c r="B6853" i="1"/>
  <c r="C6852" i="1"/>
  <c r="B6852" i="1"/>
  <c r="C6851" i="1"/>
  <c r="B6851" i="1"/>
  <c r="C6850" i="1"/>
  <c r="B6850" i="1"/>
  <c r="C6849" i="1"/>
  <c r="B6849" i="1"/>
  <c r="C6848" i="1"/>
  <c r="B6848" i="1"/>
  <c r="C6847" i="1"/>
  <c r="B6847" i="1"/>
  <c r="C6846" i="1"/>
  <c r="B6846" i="1"/>
  <c r="C6845" i="1"/>
  <c r="B6845" i="1"/>
  <c r="C6844" i="1"/>
  <c r="B6844" i="1"/>
  <c r="C6843" i="1"/>
  <c r="B6843" i="1"/>
  <c r="C6842" i="1"/>
  <c r="B6842" i="1"/>
  <c r="C6841" i="1"/>
  <c r="B6841" i="1"/>
  <c r="C6840" i="1"/>
  <c r="B6840" i="1"/>
  <c r="C6839" i="1"/>
  <c r="B6839" i="1"/>
  <c r="C6838" i="1"/>
  <c r="B6838" i="1"/>
  <c r="C6837" i="1"/>
  <c r="B6837" i="1"/>
  <c r="C6836" i="1"/>
  <c r="B6836" i="1"/>
  <c r="C6835" i="1"/>
  <c r="B6835" i="1"/>
  <c r="C6834" i="1"/>
  <c r="B6834" i="1"/>
  <c r="C6833" i="1"/>
  <c r="B6833" i="1"/>
  <c r="C6832" i="1"/>
  <c r="B6832" i="1"/>
  <c r="C6831" i="1"/>
  <c r="B6831" i="1"/>
  <c r="C6830" i="1"/>
  <c r="B6830" i="1"/>
  <c r="C6829" i="1"/>
  <c r="B6829" i="1"/>
  <c r="C6828" i="1"/>
  <c r="B6828" i="1"/>
  <c r="C6827" i="1"/>
  <c r="B6827" i="1"/>
  <c r="C6826" i="1"/>
  <c r="B6826" i="1"/>
  <c r="C6825" i="1"/>
  <c r="B6825" i="1"/>
  <c r="C6824" i="1"/>
  <c r="B6824" i="1"/>
  <c r="C6823" i="1"/>
  <c r="B6823" i="1"/>
  <c r="C6822" i="1"/>
  <c r="B6822" i="1"/>
  <c r="C6821" i="1"/>
  <c r="B6821" i="1"/>
  <c r="C6820" i="1"/>
  <c r="B6820" i="1"/>
  <c r="C6819" i="1"/>
  <c r="B6819" i="1"/>
  <c r="C6818" i="1"/>
  <c r="B6818" i="1"/>
  <c r="C6817" i="1"/>
  <c r="B6817" i="1"/>
  <c r="C6816" i="1"/>
  <c r="B6816" i="1"/>
  <c r="C6815" i="1"/>
  <c r="B6815" i="1"/>
  <c r="C6814" i="1"/>
  <c r="B6814" i="1"/>
  <c r="C6813" i="1"/>
  <c r="B6813" i="1"/>
  <c r="C6812" i="1"/>
  <c r="B6812" i="1"/>
  <c r="C6811" i="1"/>
  <c r="B6811" i="1"/>
  <c r="C6810" i="1"/>
  <c r="B6810" i="1"/>
  <c r="C6809" i="1"/>
  <c r="B6809" i="1"/>
  <c r="C6808" i="1"/>
  <c r="B6808" i="1"/>
  <c r="C6807" i="1"/>
  <c r="B6807" i="1"/>
  <c r="C6806" i="1"/>
  <c r="B6806" i="1"/>
  <c r="C6805" i="1"/>
  <c r="B6805" i="1"/>
  <c r="C6804" i="1"/>
  <c r="B6804" i="1"/>
  <c r="C6803" i="1"/>
  <c r="B6803" i="1"/>
  <c r="C6802" i="1"/>
  <c r="B6802" i="1"/>
  <c r="C6801" i="1"/>
  <c r="B6801" i="1"/>
  <c r="C6800" i="1"/>
  <c r="B6800" i="1"/>
  <c r="C6799" i="1"/>
  <c r="B6799" i="1"/>
  <c r="C6798" i="1"/>
  <c r="B6798" i="1"/>
  <c r="C6797" i="1"/>
  <c r="B6797" i="1"/>
  <c r="C6796" i="1"/>
  <c r="B6796" i="1"/>
  <c r="C6795" i="1"/>
  <c r="B6795" i="1"/>
  <c r="C6794" i="1"/>
  <c r="B6794" i="1"/>
  <c r="C6793" i="1"/>
  <c r="B6793" i="1"/>
  <c r="C6792" i="1"/>
  <c r="B6792" i="1"/>
  <c r="C6791" i="1"/>
  <c r="B6791" i="1"/>
  <c r="C6790" i="1"/>
  <c r="B6790" i="1"/>
  <c r="C6789" i="1"/>
  <c r="B6789" i="1"/>
  <c r="C6788" i="1"/>
  <c r="B6788" i="1"/>
  <c r="C6787" i="1"/>
  <c r="B6787" i="1"/>
  <c r="C6786" i="1"/>
  <c r="B6786" i="1"/>
  <c r="C6785" i="1"/>
  <c r="B6785" i="1"/>
  <c r="C6784" i="1"/>
  <c r="B6784" i="1"/>
  <c r="C6783" i="1"/>
  <c r="B6783" i="1"/>
  <c r="C6782" i="1"/>
  <c r="B6782" i="1"/>
  <c r="C6781" i="1"/>
  <c r="B6781" i="1"/>
  <c r="C6780" i="1"/>
  <c r="B6780" i="1"/>
  <c r="C6779" i="1"/>
  <c r="B6779" i="1"/>
  <c r="C6778" i="1"/>
  <c r="B6778" i="1"/>
  <c r="C6777" i="1"/>
  <c r="B6777" i="1"/>
  <c r="C6776" i="1"/>
  <c r="B6776" i="1"/>
  <c r="C6775" i="1"/>
  <c r="B6775" i="1"/>
  <c r="C6774" i="1"/>
  <c r="B6774" i="1"/>
  <c r="C6773" i="1"/>
  <c r="B6773" i="1"/>
  <c r="C6772" i="1"/>
  <c r="B6772" i="1"/>
  <c r="C6771" i="1"/>
  <c r="B6771" i="1"/>
  <c r="C6770" i="1"/>
  <c r="B6770" i="1"/>
  <c r="C6769" i="1"/>
  <c r="B6769" i="1"/>
  <c r="C6768" i="1"/>
  <c r="B6768" i="1"/>
  <c r="C6767" i="1"/>
  <c r="B6767" i="1"/>
  <c r="C6766" i="1"/>
  <c r="B6766" i="1"/>
  <c r="C6765" i="1"/>
  <c r="B6765" i="1"/>
  <c r="C6764" i="1"/>
  <c r="B6764" i="1"/>
  <c r="C6763" i="1"/>
  <c r="B6763" i="1"/>
  <c r="C6762" i="1"/>
  <c r="B6762" i="1"/>
  <c r="C6761" i="1"/>
  <c r="B6761" i="1"/>
  <c r="C6760" i="1"/>
  <c r="B6760" i="1"/>
  <c r="C6759" i="1"/>
  <c r="B6759" i="1"/>
  <c r="C6758" i="1"/>
  <c r="B6758" i="1"/>
  <c r="C6757" i="1"/>
  <c r="B6757" i="1"/>
  <c r="C6756" i="1"/>
  <c r="B6756" i="1"/>
  <c r="C6755" i="1"/>
  <c r="B6755" i="1"/>
  <c r="C6754" i="1"/>
  <c r="B6754" i="1"/>
  <c r="C6753" i="1"/>
  <c r="B6753" i="1"/>
  <c r="C6752" i="1"/>
  <c r="B6752" i="1"/>
  <c r="C6751" i="1"/>
  <c r="B6751" i="1"/>
  <c r="C6750" i="1"/>
  <c r="B6750" i="1"/>
  <c r="C6749" i="1"/>
  <c r="B6749" i="1"/>
  <c r="C6748" i="1"/>
  <c r="B6748" i="1"/>
  <c r="C6747" i="1"/>
  <c r="B6747" i="1"/>
  <c r="C6746" i="1"/>
  <c r="B6746" i="1"/>
  <c r="C6745" i="1"/>
  <c r="B6745" i="1"/>
  <c r="C6744" i="1"/>
  <c r="B6744" i="1"/>
  <c r="C6743" i="1"/>
  <c r="B6743" i="1"/>
  <c r="C6742" i="1"/>
  <c r="B6742" i="1"/>
  <c r="C6741" i="1"/>
  <c r="B6741" i="1"/>
  <c r="C6740" i="1"/>
  <c r="B6740" i="1"/>
  <c r="C6739" i="1"/>
  <c r="B6739" i="1"/>
  <c r="C6738" i="1"/>
  <c r="B6738" i="1"/>
  <c r="C6737" i="1"/>
  <c r="B6737" i="1"/>
  <c r="C6736" i="1"/>
  <c r="B6736" i="1"/>
  <c r="C6735" i="1"/>
  <c r="B6735" i="1"/>
  <c r="C6734" i="1"/>
  <c r="B6734" i="1"/>
  <c r="C6733" i="1"/>
  <c r="B6733" i="1"/>
  <c r="C6732" i="1"/>
  <c r="B6732" i="1"/>
  <c r="C6731" i="1"/>
  <c r="B6731" i="1"/>
  <c r="C6730" i="1"/>
  <c r="B6730" i="1"/>
  <c r="C6729" i="1"/>
  <c r="B6729" i="1"/>
  <c r="C6728" i="1"/>
  <c r="B6728" i="1"/>
  <c r="C6727" i="1"/>
  <c r="B6727" i="1"/>
  <c r="C6726" i="1"/>
  <c r="B6726" i="1"/>
  <c r="C6725" i="1"/>
  <c r="B6725" i="1"/>
  <c r="C6724" i="1"/>
  <c r="B6724" i="1"/>
  <c r="C6723" i="1"/>
  <c r="B6723" i="1"/>
  <c r="C6722" i="1"/>
  <c r="B6722" i="1"/>
  <c r="C6721" i="1"/>
  <c r="B6721" i="1"/>
  <c r="C6720" i="1"/>
  <c r="B6720" i="1"/>
  <c r="C6719" i="1"/>
  <c r="B6719" i="1"/>
  <c r="C6718" i="1"/>
  <c r="B6718" i="1"/>
  <c r="C6717" i="1"/>
  <c r="B6717" i="1"/>
  <c r="C6716" i="1"/>
  <c r="B6716" i="1"/>
  <c r="C6715" i="1"/>
  <c r="B6715" i="1"/>
  <c r="C6714" i="1"/>
  <c r="B6714" i="1"/>
  <c r="C6713" i="1"/>
  <c r="B6713" i="1"/>
  <c r="C6712" i="1"/>
  <c r="B6712" i="1"/>
  <c r="C6711" i="1"/>
  <c r="B6711" i="1"/>
  <c r="C6710" i="1"/>
  <c r="B6710" i="1"/>
  <c r="C6709" i="1"/>
  <c r="B6709" i="1"/>
  <c r="C6708" i="1"/>
  <c r="B6708" i="1"/>
  <c r="C6707" i="1"/>
  <c r="B6707" i="1"/>
  <c r="C6706" i="1"/>
  <c r="B6706" i="1"/>
  <c r="C6705" i="1"/>
  <c r="B6705" i="1"/>
  <c r="C6704" i="1"/>
  <c r="B6704" i="1"/>
  <c r="C6703" i="1"/>
  <c r="B6703" i="1"/>
  <c r="C6702" i="1"/>
  <c r="B6702" i="1"/>
  <c r="C6701" i="1"/>
  <c r="B6701" i="1"/>
  <c r="C6700" i="1"/>
  <c r="B6700" i="1"/>
  <c r="C6699" i="1"/>
  <c r="B6699" i="1"/>
  <c r="C6698" i="1"/>
  <c r="B6698" i="1"/>
  <c r="C6697" i="1"/>
  <c r="B6697" i="1"/>
  <c r="C6696" i="1"/>
  <c r="B6696" i="1"/>
  <c r="C6695" i="1"/>
  <c r="B6695" i="1"/>
  <c r="C6694" i="1"/>
  <c r="B6694" i="1"/>
  <c r="C6693" i="1"/>
  <c r="B6693" i="1"/>
  <c r="C6692" i="1"/>
  <c r="B6692" i="1"/>
  <c r="C6691" i="1"/>
  <c r="B6691" i="1"/>
  <c r="C6690" i="1"/>
  <c r="B6690" i="1"/>
  <c r="C6689" i="1"/>
  <c r="B6689" i="1"/>
  <c r="C6688" i="1"/>
  <c r="B6688" i="1"/>
  <c r="C6687" i="1"/>
  <c r="B6687" i="1"/>
  <c r="C6686" i="1"/>
  <c r="B6686" i="1"/>
  <c r="C6685" i="1"/>
  <c r="B6685" i="1"/>
  <c r="C6684" i="1"/>
  <c r="B6684" i="1"/>
  <c r="C6683" i="1"/>
  <c r="B6683" i="1"/>
  <c r="C6682" i="1"/>
  <c r="B6682" i="1"/>
  <c r="C6681" i="1"/>
  <c r="B6681" i="1"/>
  <c r="C6680" i="1"/>
  <c r="B6680" i="1"/>
  <c r="C6679" i="1"/>
  <c r="B6679" i="1"/>
  <c r="C6678" i="1"/>
  <c r="B6678" i="1"/>
  <c r="C6677" i="1"/>
  <c r="B6677" i="1"/>
  <c r="C6676" i="1"/>
  <c r="B6676" i="1"/>
  <c r="C6675" i="1"/>
  <c r="B6675" i="1"/>
  <c r="C6674" i="1"/>
  <c r="B6674" i="1"/>
  <c r="C6673" i="1"/>
  <c r="B6673" i="1"/>
  <c r="C6672" i="1"/>
  <c r="B6672" i="1"/>
  <c r="C6671" i="1"/>
  <c r="B6671" i="1"/>
  <c r="C6670" i="1"/>
  <c r="B6670" i="1"/>
  <c r="C6669" i="1"/>
  <c r="B6669" i="1"/>
  <c r="C6668" i="1"/>
  <c r="B6668" i="1"/>
  <c r="C6667" i="1"/>
  <c r="B6667" i="1"/>
  <c r="C6666" i="1"/>
  <c r="B6666" i="1"/>
  <c r="C6665" i="1"/>
  <c r="B6665" i="1"/>
  <c r="C6664" i="1"/>
  <c r="B6664" i="1"/>
  <c r="C6663" i="1"/>
  <c r="B6663" i="1"/>
  <c r="C6662" i="1"/>
  <c r="B6662" i="1"/>
  <c r="C6661" i="1"/>
  <c r="B6661" i="1"/>
  <c r="C6660" i="1"/>
  <c r="B6660" i="1"/>
  <c r="C6659" i="1"/>
  <c r="B6659" i="1"/>
  <c r="C6658" i="1"/>
  <c r="B6658" i="1"/>
  <c r="C6657" i="1"/>
  <c r="B6657" i="1"/>
  <c r="C6656" i="1"/>
  <c r="B6656" i="1"/>
  <c r="C6655" i="1"/>
  <c r="B6655" i="1"/>
  <c r="C6654" i="1"/>
  <c r="B6654" i="1"/>
  <c r="C6653" i="1"/>
  <c r="B6653" i="1"/>
  <c r="C6652" i="1"/>
  <c r="B6652" i="1"/>
  <c r="C6651" i="1"/>
  <c r="B6651" i="1"/>
  <c r="C6650" i="1"/>
  <c r="B6650" i="1"/>
  <c r="C6649" i="1"/>
  <c r="B6649" i="1"/>
  <c r="C6648" i="1"/>
  <c r="B6648" i="1"/>
  <c r="C6647" i="1"/>
  <c r="B6647" i="1"/>
  <c r="C6646" i="1"/>
  <c r="B6646" i="1"/>
  <c r="C6645" i="1"/>
  <c r="B6645" i="1"/>
  <c r="C6644" i="1"/>
  <c r="B6644" i="1"/>
  <c r="C6643" i="1"/>
  <c r="B6643" i="1"/>
  <c r="C6642" i="1"/>
  <c r="B6642" i="1"/>
  <c r="C6641" i="1"/>
  <c r="B6641" i="1"/>
  <c r="C6640" i="1"/>
  <c r="B6640" i="1"/>
  <c r="C6639" i="1"/>
  <c r="B6639" i="1"/>
  <c r="C6638" i="1"/>
  <c r="B6638" i="1"/>
  <c r="C6637" i="1"/>
  <c r="B6637" i="1"/>
  <c r="C6636" i="1"/>
  <c r="B6636" i="1"/>
  <c r="C6635" i="1"/>
  <c r="B6635" i="1"/>
  <c r="C6634" i="1"/>
  <c r="B6634" i="1"/>
  <c r="C6633" i="1"/>
  <c r="B6633" i="1"/>
  <c r="C6632" i="1"/>
  <c r="B6632" i="1"/>
  <c r="C6631" i="1"/>
  <c r="B6631" i="1"/>
  <c r="C6630" i="1"/>
  <c r="B6630" i="1"/>
  <c r="C6629" i="1"/>
  <c r="B6629" i="1"/>
  <c r="C6628" i="1"/>
  <c r="B6628" i="1"/>
  <c r="C6627" i="1"/>
  <c r="B6627" i="1"/>
  <c r="C6626" i="1"/>
  <c r="B6626" i="1"/>
  <c r="C6625" i="1"/>
  <c r="B6625" i="1"/>
  <c r="C6624" i="1"/>
  <c r="B6624" i="1"/>
  <c r="C6623" i="1"/>
  <c r="B6623" i="1"/>
  <c r="C6622" i="1"/>
  <c r="B6622" i="1"/>
  <c r="C6621" i="1"/>
  <c r="B6621" i="1"/>
  <c r="C6620" i="1"/>
  <c r="B6620" i="1"/>
  <c r="C6619" i="1"/>
  <c r="B6619" i="1"/>
  <c r="C6618" i="1"/>
  <c r="B6618" i="1"/>
  <c r="C6617" i="1"/>
  <c r="B6617" i="1"/>
  <c r="C6616" i="1"/>
  <c r="B6616" i="1"/>
  <c r="C6615" i="1"/>
  <c r="B6615" i="1"/>
  <c r="C6614" i="1"/>
  <c r="B6614" i="1"/>
  <c r="C6613" i="1"/>
  <c r="B6613" i="1"/>
  <c r="C6612" i="1"/>
  <c r="B6612" i="1"/>
  <c r="C6611" i="1"/>
  <c r="B6611" i="1"/>
  <c r="C6610" i="1"/>
  <c r="B6610" i="1"/>
  <c r="C6609" i="1"/>
  <c r="B6609" i="1"/>
  <c r="C6608" i="1"/>
  <c r="B6608" i="1"/>
  <c r="C6607" i="1"/>
  <c r="B6607" i="1"/>
  <c r="C6606" i="1"/>
  <c r="B6606" i="1"/>
  <c r="C6605" i="1"/>
  <c r="B6605" i="1"/>
  <c r="C6604" i="1"/>
  <c r="B6604" i="1"/>
  <c r="C6603" i="1"/>
  <c r="B6603" i="1"/>
  <c r="C6602" i="1"/>
  <c r="B6602" i="1"/>
  <c r="C6601" i="1"/>
  <c r="B6601" i="1"/>
  <c r="C6600" i="1"/>
  <c r="B6600" i="1"/>
  <c r="C6599" i="1"/>
  <c r="B6599" i="1"/>
  <c r="C6598" i="1"/>
  <c r="B6598" i="1"/>
  <c r="C6597" i="1"/>
  <c r="B6597" i="1"/>
  <c r="C6596" i="1"/>
  <c r="B6596" i="1"/>
  <c r="C6595" i="1"/>
  <c r="B6595" i="1"/>
  <c r="C6594" i="1"/>
  <c r="B6594" i="1"/>
  <c r="C6593" i="1"/>
  <c r="B6593" i="1"/>
  <c r="C6592" i="1"/>
  <c r="B6592" i="1"/>
  <c r="C6591" i="1"/>
  <c r="B6591" i="1"/>
  <c r="C6590" i="1"/>
  <c r="B6590" i="1"/>
  <c r="C6589" i="1"/>
  <c r="B6589" i="1"/>
  <c r="C6588" i="1"/>
  <c r="B6588" i="1"/>
  <c r="C6587" i="1"/>
  <c r="B6587" i="1"/>
  <c r="C6586" i="1"/>
  <c r="B6586" i="1"/>
  <c r="C6585" i="1"/>
  <c r="B6585" i="1"/>
  <c r="C6584" i="1"/>
  <c r="B6584" i="1"/>
  <c r="C6583" i="1"/>
  <c r="B6583" i="1"/>
  <c r="C6582" i="1"/>
  <c r="B6582" i="1"/>
  <c r="C6581" i="1"/>
  <c r="B6581" i="1"/>
  <c r="C6580" i="1"/>
  <c r="B6580" i="1"/>
  <c r="C6579" i="1"/>
  <c r="B6579" i="1"/>
  <c r="C6578" i="1"/>
  <c r="B6578" i="1"/>
  <c r="C6577" i="1"/>
  <c r="B6577" i="1"/>
  <c r="C6576" i="1"/>
  <c r="B6576" i="1"/>
  <c r="C6575" i="1"/>
  <c r="B6575" i="1"/>
  <c r="C6574" i="1"/>
  <c r="B6574" i="1"/>
  <c r="C6573" i="1"/>
  <c r="B6573" i="1"/>
  <c r="C6572" i="1"/>
  <c r="B6572" i="1"/>
  <c r="C6571" i="1"/>
  <c r="B6571" i="1"/>
  <c r="C6570" i="1"/>
  <c r="B6570" i="1"/>
  <c r="C6569" i="1"/>
  <c r="B6569" i="1"/>
  <c r="C6568" i="1"/>
  <c r="B6568" i="1"/>
  <c r="C6567" i="1"/>
  <c r="B6567" i="1"/>
  <c r="C6566" i="1"/>
  <c r="B6566" i="1"/>
  <c r="C6565" i="1"/>
  <c r="B6565" i="1"/>
  <c r="C6564" i="1"/>
  <c r="B6564" i="1"/>
  <c r="C6563" i="1"/>
  <c r="B6563" i="1"/>
  <c r="C6562" i="1"/>
  <c r="B6562" i="1"/>
  <c r="C6561" i="1"/>
  <c r="B6561" i="1"/>
  <c r="C6560" i="1"/>
  <c r="B6560" i="1"/>
  <c r="C6559" i="1"/>
  <c r="B6559" i="1"/>
  <c r="C6558" i="1"/>
  <c r="B6558" i="1"/>
  <c r="C6557" i="1"/>
  <c r="B6557" i="1"/>
  <c r="C6556" i="1"/>
  <c r="B6556" i="1"/>
  <c r="C6555" i="1"/>
  <c r="B6555" i="1"/>
  <c r="C6554" i="1"/>
  <c r="B6554" i="1"/>
  <c r="C6553" i="1"/>
  <c r="B6553" i="1"/>
  <c r="C6552" i="1"/>
  <c r="B6552" i="1"/>
  <c r="C6551" i="1"/>
  <c r="B6551" i="1"/>
  <c r="C6550" i="1"/>
  <c r="B6550" i="1"/>
  <c r="C6549" i="1"/>
  <c r="B6549" i="1"/>
  <c r="C6548" i="1"/>
  <c r="B6548" i="1"/>
  <c r="C6547" i="1"/>
  <c r="B6547" i="1"/>
  <c r="C6546" i="1"/>
  <c r="B6546" i="1"/>
  <c r="C6545" i="1"/>
  <c r="B6545" i="1"/>
  <c r="C6544" i="1"/>
  <c r="B6544" i="1"/>
  <c r="C6543" i="1"/>
  <c r="B6543" i="1"/>
  <c r="C6542" i="1"/>
  <c r="B6542" i="1"/>
  <c r="C6541" i="1"/>
  <c r="B6541" i="1"/>
  <c r="C6540" i="1"/>
  <c r="B6540" i="1"/>
  <c r="C6539" i="1"/>
  <c r="B6539" i="1"/>
  <c r="C6538" i="1"/>
  <c r="B6538" i="1"/>
  <c r="C6537" i="1"/>
  <c r="B6537" i="1"/>
  <c r="C6536" i="1"/>
  <c r="B6536" i="1"/>
  <c r="C6535" i="1"/>
  <c r="B6535" i="1"/>
  <c r="C6534" i="1"/>
  <c r="B6534" i="1"/>
  <c r="C6533" i="1"/>
  <c r="B6533" i="1"/>
  <c r="C6532" i="1"/>
  <c r="B6532" i="1"/>
  <c r="C6531" i="1"/>
  <c r="B6531" i="1"/>
  <c r="C6530" i="1"/>
  <c r="B6530" i="1"/>
  <c r="C6529" i="1"/>
  <c r="B6529" i="1"/>
  <c r="C6528" i="1"/>
  <c r="B6528" i="1"/>
  <c r="C6527" i="1"/>
  <c r="B6527" i="1"/>
  <c r="C6526" i="1"/>
  <c r="B6526" i="1"/>
  <c r="C6525" i="1"/>
  <c r="B6525" i="1"/>
  <c r="C6524" i="1"/>
  <c r="B6524" i="1"/>
  <c r="C6523" i="1"/>
  <c r="B6523" i="1"/>
  <c r="C6522" i="1"/>
  <c r="B6522" i="1"/>
  <c r="C6521" i="1"/>
  <c r="B6521" i="1"/>
  <c r="C6520" i="1"/>
  <c r="B6520" i="1"/>
  <c r="C6519" i="1"/>
  <c r="B6519" i="1"/>
  <c r="C6518" i="1"/>
  <c r="B6518" i="1"/>
  <c r="C6517" i="1"/>
  <c r="B6517" i="1"/>
  <c r="C6516" i="1"/>
  <c r="B6516" i="1"/>
  <c r="C6515" i="1"/>
  <c r="B6515" i="1"/>
  <c r="C6514" i="1"/>
  <c r="B6514" i="1"/>
  <c r="C6513" i="1"/>
  <c r="B6513" i="1"/>
  <c r="C6512" i="1"/>
  <c r="B6512" i="1"/>
  <c r="C6511" i="1"/>
  <c r="B6511" i="1"/>
  <c r="C6510" i="1"/>
  <c r="B6510" i="1"/>
  <c r="C6509" i="1"/>
  <c r="B6509" i="1"/>
  <c r="C6508" i="1"/>
  <c r="B6508" i="1"/>
  <c r="C6507" i="1"/>
  <c r="B6507" i="1"/>
  <c r="C6506" i="1"/>
  <c r="B6506" i="1"/>
  <c r="C6505" i="1"/>
  <c r="B6505" i="1"/>
  <c r="C6504" i="1"/>
  <c r="B6504" i="1"/>
  <c r="C6503" i="1"/>
  <c r="B6503" i="1"/>
  <c r="C6502" i="1"/>
  <c r="B6502" i="1"/>
  <c r="C6501" i="1"/>
  <c r="B6501" i="1"/>
  <c r="C6500" i="1"/>
  <c r="B6500" i="1"/>
  <c r="C6499" i="1"/>
  <c r="B6499" i="1"/>
  <c r="C6498" i="1"/>
  <c r="B6498" i="1"/>
  <c r="C6497" i="1"/>
  <c r="B6497" i="1"/>
  <c r="C6496" i="1"/>
  <c r="B6496" i="1"/>
  <c r="C6495" i="1"/>
  <c r="B6495" i="1"/>
  <c r="C6494" i="1"/>
  <c r="B6494" i="1"/>
  <c r="C6493" i="1"/>
  <c r="B6493" i="1"/>
  <c r="C6492" i="1"/>
  <c r="B6492" i="1"/>
  <c r="C6491" i="1"/>
  <c r="B6491" i="1"/>
  <c r="C6490" i="1"/>
  <c r="B6490" i="1"/>
  <c r="C6489" i="1"/>
  <c r="B6489" i="1"/>
  <c r="C6488" i="1"/>
  <c r="B6488" i="1"/>
  <c r="C6487" i="1"/>
  <c r="B6487" i="1"/>
  <c r="C6486" i="1"/>
  <c r="B6486" i="1"/>
  <c r="C6485" i="1"/>
  <c r="B6485" i="1"/>
  <c r="C6484" i="1"/>
  <c r="B6484" i="1"/>
  <c r="C6483" i="1"/>
  <c r="B6483" i="1"/>
  <c r="C6482" i="1"/>
  <c r="B6482" i="1"/>
  <c r="C6481" i="1"/>
  <c r="B6481" i="1"/>
  <c r="C6480" i="1"/>
  <c r="B6480" i="1"/>
  <c r="C6479" i="1"/>
  <c r="B6479" i="1"/>
  <c r="C6478" i="1"/>
  <c r="B6478" i="1"/>
  <c r="C6477" i="1"/>
  <c r="B6477" i="1"/>
  <c r="C6476" i="1"/>
  <c r="B6476" i="1"/>
  <c r="C6475" i="1"/>
  <c r="B6475" i="1"/>
  <c r="C6474" i="1"/>
  <c r="B6474" i="1"/>
  <c r="C6473" i="1"/>
  <c r="B6473" i="1"/>
  <c r="C6472" i="1"/>
  <c r="B6472" i="1"/>
  <c r="C6471" i="1"/>
  <c r="B6471" i="1"/>
  <c r="C6470" i="1"/>
  <c r="B6470" i="1"/>
  <c r="C6469" i="1"/>
  <c r="B6469" i="1"/>
  <c r="C6468" i="1"/>
  <c r="B6468" i="1"/>
  <c r="C6467" i="1"/>
  <c r="B6467" i="1"/>
  <c r="C6466" i="1"/>
  <c r="B6466" i="1"/>
  <c r="C6465" i="1"/>
  <c r="B6465" i="1"/>
  <c r="C6464" i="1"/>
  <c r="B6464" i="1"/>
  <c r="C6463" i="1"/>
  <c r="B6463" i="1"/>
  <c r="C6462" i="1"/>
  <c r="B6462" i="1"/>
  <c r="C6461" i="1"/>
  <c r="B6461" i="1"/>
  <c r="C6460" i="1"/>
  <c r="B6460" i="1"/>
  <c r="C6459" i="1"/>
  <c r="B6459" i="1"/>
  <c r="C6458" i="1"/>
  <c r="B6458" i="1"/>
  <c r="C6457" i="1"/>
  <c r="B6457" i="1"/>
  <c r="C6456" i="1"/>
  <c r="B6456" i="1"/>
  <c r="C6455" i="1"/>
  <c r="B6455" i="1"/>
  <c r="C6454" i="1"/>
  <c r="B6454" i="1"/>
  <c r="C6453" i="1"/>
  <c r="B6453" i="1"/>
  <c r="C6452" i="1"/>
  <c r="B6452" i="1"/>
  <c r="C6451" i="1"/>
  <c r="B6451" i="1"/>
  <c r="C6450" i="1"/>
  <c r="B6450" i="1"/>
  <c r="C6449" i="1"/>
  <c r="B6449" i="1"/>
  <c r="C6448" i="1"/>
  <c r="B6448" i="1"/>
  <c r="C6447" i="1"/>
  <c r="B6447" i="1"/>
  <c r="C6446" i="1"/>
  <c r="B6446" i="1"/>
  <c r="C6445" i="1"/>
  <c r="B6445" i="1"/>
  <c r="C6444" i="1"/>
  <c r="B6444" i="1"/>
  <c r="C6443" i="1"/>
  <c r="B6443" i="1"/>
  <c r="C6442" i="1"/>
  <c r="B6442" i="1"/>
  <c r="C6441" i="1"/>
  <c r="B6441" i="1"/>
  <c r="C6440" i="1"/>
  <c r="B6440" i="1"/>
  <c r="C6439" i="1"/>
  <c r="B6439" i="1"/>
  <c r="C6438" i="1"/>
  <c r="B6438" i="1"/>
  <c r="C6437" i="1"/>
  <c r="B6437" i="1"/>
  <c r="C6436" i="1"/>
  <c r="B6436" i="1"/>
  <c r="C6435" i="1"/>
  <c r="B6435" i="1"/>
  <c r="C6434" i="1"/>
  <c r="B6434" i="1"/>
  <c r="C6433" i="1"/>
  <c r="B6433" i="1"/>
  <c r="C6432" i="1"/>
  <c r="B6432" i="1"/>
  <c r="C6431" i="1"/>
  <c r="B6431" i="1"/>
  <c r="C6430" i="1"/>
  <c r="B6430" i="1"/>
  <c r="C6429" i="1"/>
  <c r="B6429" i="1"/>
  <c r="C6428" i="1"/>
  <c r="B6428" i="1"/>
  <c r="C6427" i="1"/>
  <c r="B6427" i="1"/>
  <c r="C6426" i="1"/>
  <c r="B6426" i="1"/>
  <c r="C6425" i="1"/>
  <c r="B6425" i="1"/>
  <c r="C6424" i="1"/>
  <c r="B6424" i="1"/>
  <c r="C6423" i="1"/>
  <c r="B6423" i="1"/>
  <c r="C6422" i="1"/>
  <c r="B6422" i="1"/>
  <c r="C6421" i="1"/>
  <c r="B6421" i="1"/>
  <c r="C6420" i="1"/>
  <c r="B6420" i="1"/>
  <c r="C6419" i="1"/>
  <c r="B6419" i="1"/>
  <c r="C6418" i="1"/>
  <c r="B6418" i="1"/>
  <c r="C6417" i="1"/>
  <c r="B6417" i="1"/>
  <c r="C6416" i="1"/>
  <c r="B6416" i="1"/>
  <c r="C6415" i="1"/>
  <c r="B6415" i="1"/>
  <c r="C6414" i="1"/>
  <c r="B6414" i="1"/>
  <c r="C6413" i="1"/>
  <c r="B6413" i="1"/>
  <c r="C6412" i="1"/>
  <c r="B6412" i="1"/>
  <c r="C6411" i="1"/>
  <c r="B6411" i="1"/>
  <c r="C6410" i="1"/>
  <c r="B6410" i="1"/>
  <c r="C6409" i="1"/>
  <c r="B6409" i="1"/>
  <c r="C6408" i="1"/>
  <c r="B6408" i="1"/>
  <c r="C6407" i="1"/>
  <c r="B6407" i="1"/>
  <c r="C6406" i="1"/>
  <c r="B6406" i="1"/>
  <c r="C6405" i="1"/>
  <c r="B6405" i="1"/>
  <c r="C6404" i="1"/>
  <c r="B6404" i="1"/>
  <c r="C6403" i="1"/>
  <c r="B6403" i="1"/>
  <c r="C6402" i="1"/>
  <c r="B6402" i="1"/>
  <c r="C6401" i="1"/>
  <c r="B6401" i="1"/>
  <c r="C6400" i="1"/>
  <c r="B6400" i="1"/>
  <c r="C6399" i="1"/>
  <c r="B6399" i="1"/>
  <c r="C6398" i="1"/>
  <c r="B6398" i="1"/>
  <c r="C6397" i="1"/>
  <c r="B6397" i="1"/>
  <c r="C6396" i="1"/>
  <c r="B6396" i="1"/>
  <c r="C6395" i="1"/>
  <c r="B6395" i="1"/>
  <c r="C6394" i="1"/>
  <c r="B6394" i="1"/>
  <c r="C6393" i="1"/>
  <c r="B6393" i="1"/>
  <c r="C6392" i="1"/>
  <c r="B6392" i="1"/>
  <c r="C6391" i="1"/>
  <c r="B6391" i="1"/>
  <c r="C6390" i="1"/>
  <c r="B6390" i="1"/>
  <c r="C6389" i="1"/>
  <c r="B6389" i="1"/>
  <c r="C6388" i="1"/>
  <c r="B6388" i="1"/>
  <c r="C6387" i="1"/>
  <c r="B6387" i="1"/>
  <c r="C6386" i="1"/>
  <c r="B6386" i="1"/>
  <c r="C6385" i="1"/>
  <c r="B6385" i="1"/>
  <c r="C6384" i="1"/>
  <c r="B6384" i="1"/>
  <c r="C6383" i="1"/>
  <c r="B6383" i="1"/>
  <c r="C6382" i="1"/>
  <c r="B6382" i="1"/>
  <c r="C6381" i="1"/>
  <c r="B6381" i="1"/>
  <c r="C6380" i="1"/>
  <c r="B6380" i="1"/>
  <c r="C6379" i="1"/>
  <c r="B6379" i="1"/>
  <c r="C6378" i="1"/>
  <c r="B6378" i="1"/>
  <c r="C6377" i="1"/>
  <c r="B6377" i="1"/>
  <c r="C6376" i="1"/>
  <c r="B6376" i="1"/>
  <c r="C6375" i="1"/>
  <c r="B6375" i="1"/>
  <c r="C6374" i="1"/>
  <c r="B6374" i="1"/>
  <c r="C6373" i="1"/>
  <c r="B6373" i="1"/>
  <c r="C6372" i="1"/>
  <c r="B6372" i="1"/>
  <c r="C6371" i="1"/>
  <c r="B6371" i="1"/>
  <c r="C6370" i="1"/>
  <c r="B6370" i="1"/>
  <c r="C6369" i="1"/>
  <c r="B6369" i="1"/>
  <c r="C6368" i="1"/>
  <c r="B6368" i="1"/>
  <c r="C6367" i="1"/>
  <c r="B6367" i="1"/>
  <c r="C6366" i="1"/>
  <c r="B6366" i="1"/>
  <c r="C6365" i="1"/>
  <c r="B6365" i="1"/>
  <c r="C6364" i="1"/>
  <c r="B6364" i="1"/>
  <c r="C6363" i="1"/>
  <c r="B6363" i="1"/>
  <c r="C6362" i="1"/>
  <c r="B6362" i="1"/>
  <c r="C6361" i="1"/>
  <c r="B6361" i="1"/>
  <c r="C6360" i="1"/>
  <c r="B6360" i="1"/>
  <c r="C6359" i="1"/>
  <c r="B6359" i="1"/>
  <c r="C6358" i="1"/>
  <c r="B6358" i="1"/>
  <c r="C6357" i="1"/>
  <c r="B6357" i="1"/>
  <c r="C6356" i="1"/>
  <c r="B6356" i="1"/>
  <c r="C6355" i="1"/>
  <c r="B6355" i="1"/>
  <c r="C6354" i="1"/>
  <c r="B6354" i="1"/>
  <c r="C6353" i="1"/>
  <c r="B6353" i="1"/>
  <c r="C6352" i="1"/>
  <c r="B6352" i="1"/>
  <c r="C6351" i="1"/>
  <c r="B6351" i="1"/>
  <c r="C6350" i="1"/>
  <c r="B6350" i="1"/>
  <c r="C6349" i="1"/>
  <c r="B6349" i="1"/>
  <c r="C6348" i="1"/>
  <c r="B6348" i="1"/>
  <c r="C6347" i="1"/>
  <c r="B6347" i="1"/>
  <c r="C6346" i="1"/>
  <c r="B6346" i="1"/>
  <c r="C6345" i="1"/>
  <c r="B6345" i="1"/>
  <c r="C6344" i="1"/>
  <c r="B6344" i="1"/>
  <c r="C6343" i="1"/>
  <c r="B6343" i="1"/>
  <c r="C6342" i="1"/>
  <c r="B6342" i="1"/>
  <c r="C6341" i="1"/>
  <c r="B6341" i="1"/>
  <c r="C6340" i="1"/>
  <c r="B6340" i="1"/>
  <c r="C6339" i="1"/>
  <c r="B6339" i="1"/>
  <c r="C6338" i="1"/>
  <c r="B6338" i="1"/>
  <c r="C6337" i="1"/>
  <c r="B6337" i="1"/>
  <c r="C6336" i="1"/>
  <c r="B6336" i="1"/>
  <c r="C6335" i="1"/>
  <c r="B6335" i="1"/>
  <c r="C6334" i="1"/>
  <c r="B6334" i="1"/>
  <c r="C6333" i="1"/>
  <c r="B6333" i="1"/>
  <c r="C6332" i="1"/>
  <c r="B6332" i="1"/>
  <c r="C6331" i="1"/>
  <c r="B6331" i="1"/>
  <c r="C6330" i="1"/>
  <c r="B6330" i="1"/>
  <c r="C6329" i="1"/>
  <c r="B6329" i="1"/>
  <c r="C6328" i="1"/>
  <c r="B6328" i="1"/>
  <c r="C6327" i="1"/>
  <c r="B6327" i="1"/>
  <c r="C6326" i="1"/>
  <c r="B6326" i="1"/>
  <c r="C6325" i="1"/>
  <c r="B6325" i="1"/>
  <c r="C6324" i="1"/>
  <c r="B6324" i="1"/>
  <c r="C6323" i="1"/>
  <c r="B6323" i="1"/>
  <c r="C6322" i="1"/>
  <c r="B6322" i="1"/>
  <c r="C6321" i="1"/>
  <c r="B6321" i="1"/>
  <c r="C6320" i="1"/>
  <c r="B6320" i="1"/>
  <c r="C6319" i="1"/>
  <c r="B6319" i="1"/>
  <c r="C6318" i="1"/>
  <c r="B6318" i="1"/>
  <c r="C6317" i="1"/>
  <c r="B6317" i="1"/>
  <c r="C6316" i="1"/>
  <c r="B6316" i="1"/>
  <c r="C6315" i="1"/>
  <c r="B6315" i="1"/>
  <c r="C6314" i="1"/>
  <c r="B6314" i="1"/>
  <c r="C6313" i="1"/>
  <c r="B6313" i="1"/>
  <c r="C6312" i="1"/>
  <c r="B6312" i="1"/>
  <c r="C6311" i="1"/>
  <c r="B6311" i="1"/>
  <c r="C6310" i="1"/>
  <c r="B6310" i="1"/>
  <c r="C6309" i="1"/>
  <c r="B6309" i="1"/>
  <c r="C6308" i="1"/>
  <c r="B6308" i="1"/>
  <c r="C6307" i="1"/>
  <c r="B6307" i="1"/>
  <c r="C6306" i="1"/>
  <c r="B6306" i="1"/>
  <c r="C6305" i="1"/>
  <c r="B6305" i="1"/>
  <c r="C6304" i="1"/>
  <c r="B6304" i="1"/>
  <c r="C6303" i="1"/>
  <c r="B6303" i="1"/>
  <c r="C6302" i="1"/>
  <c r="B6302" i="1"/>
  <c r="C6301" i="1"/>
  <c r="B6301" i="1"/>
  <c r="C6300" i="1"/>
  <c r="B6300" i="1"/>
  <c r="C6299" i="1"/>
  <c r="B6299" i="1"/>
  <c r="C6298" i="1"/>
  <c r="B6298" i="1"/>
  <c r="C6297" i="1"/>
  <c r="B6297" i="1"/>
  <c r="C6296" i="1"/>
  <c r="B6296" i="1"/>
  <c r="C6295" i="1"/>
  <c r="B6295" i="1"/>
  <c r="C6294" i="1"/>
  <c r="B6294" i="1"/>
  <c r="C6293" i="1"/>
  <c r="B6293" i="1"/>
  <c r="C6292" i="1"/>
  <c r="B6292" i="1"/>
  <c r="C6291" i="1"/>
  <c r="B6291" i="1"/>
  <c r="C6290" i="1"/>
  <c r="B6290" i="1"/>
  <c r="C6289" i="1"/>
  <c r="B6289" i="1"/>
  <c r="C6288" i="1"/>
  <c r="B6288" i="1"/>
  <c r="C6287" i="1"/>
  <c r="B6287" i="1"/>
  <c r="C6286" i="1"/>
  <c r="B6286" i="1"/>
  <c r="C6285" i="1"/>
  <c r="B6285" i="1"/>
  <c r="C6284" i="1"/>
  <c r="B6284" i="1"/>
  <c r="C6283" i="1"/>
  <c r="B6283" i="1"/>
  <c r="C6282" i="1"/>
  <c r="B6282" i="1"/>
  <c r="C6281" i="1"/>
  <c r="B6281" i="1"/>
  <c r="C6280" i="1"/>
  <c r="B6280" i="1"/>
  <c r="C6279" i="1"/>
  <c r="B6279" i="1"/>
  <c r="C6278" i="1"/>
  <c r="B6278" i="1"/>
  <c r="C6277" i="1"/>
  <c r="B6277" i="1"/>
  <c r="C6276" i="1"/>
  <c r="B6276" i="1"/>
  <c r="C6275" i="1"/>
  <c r="B6275" i="1"/>
  <c r="C6274" i="1"/>
  <c r="B6274" i="1"/>
  <c r="C6273" i="1"/>
  <c r="B6273" i="1"/>
  <c r="C6272" i="1"/>
  <c r="B6272" i="1"/>
  <c r="C6271" i="1"/>
  <c r="B6271" i="1"/>
  <c r="C6270" i="1"/>
  <c r="B6270" i="1"/>
  <c r="C6269" i="1"/>
  <c r="B6269" i="1"/>
  <c r="C6268" i="1"/>
  <c r="B6268" i="1"/>
  <c r="C6267" i="1"/>
  <c r="B6267" i="1"/>
  <c r="C6266" i="1"/>
  <c r="B6266" i="1"/>
  <c r="C6265" i="1"/>
  <c r="B6265" i="1"/>
  <c r="C6264" i="1"/>
  <c r="B6264" i="1"/>
  <c r="C6263" i="1"/>
  <c r="B6263" i="1"/>
  <c r="C6262" i="1"/>
  <c r="B6262" i="1"/>
  <c r="C6261" i="1"/>
  <c r="B6261" i="1"/>
  <c r="C6260" i="1"/>
  <c r="B6260" i="1"/>
  <c r="C6259" i="1"/>
  <c r="B6259" i="1"/>
  <c r="C6258" i="1"/>
  <c r="B6258" i="1"/>
  <c r="C6257" i="1"/>
  <c r="B6257" i="1"/>
  <c r="C6256" i="1"/>
  <c r="B6256" i="1"/>
  <c r="C6255" i="1"/>
  <c r="B6255" i="1"/>
  <c r="C6254" i="1"/>
  <c r="B6254" i="1"/>
  <c r="C6253" i="1"/>
  <c r="B6253" i="1"/>
  <c r="C6252" i="1"/>
  <c r="B6252" i="1"/>
  <c r="C6251" i="1"/>
  <c r="B6251" i="1"/>
  <c r="C6250" i="1"/>
  <c r="B6250" i="1"/>
  <c r="C6249" i="1"/>
  <c r="B6249" i="1"/>
  <c r="C6248" i="1"/>
  <c r="B6248" i="1"/>
  <c r="C6247" i="1"/>
  <c r="B6247" i="1"/>
  <c r="C6246" i="1"/>
  <c r="B6246" i="1"/>
  <c r="C6245" i="1"/>
  <c r="B6245" i="1"/>
  <c r="C6244" i="1"/>
  <c r="B6244" i="1"/>
  <c r="C6243" i="1"/>
  <c r="B6243" i="1"/>
  <c r="C6242" i="1"/>
  <c r="B6242" i="1"/>
  <c r="C6241" i="1"/>
  <c r="B6241" i="1"/>
  <c r="C6240" i="1"/>
  <c r="B6240" i="1"/>
  <c r="C6239" i="1"/>
  <c r="B6239" i="1"/>
  <c r="C6238" i="1"/>
  <c r="B6238" i="1"/>
  <c r="C6237" i="1"/>
  <c r="B6237" i="1"/>
  <c r="C6236" i="1"/>
  <c r="B6236" i="1"/>
  <c r="C6235" i="1"/>
  <c r="B6235" i="1"/>
  <c r="C6234" i="1"/>
  <c r="B6234" i="1"/>
  <c r="C6233" i="1"/>
  <c r="B6233" i="1"/>
  <c r="C6232" i="1"/>
  <c r="B6232" i="1"/>
  <c r="C6231" i="1"/>
  <c r="B6231" i="1"/>
  <c r="C6230" i="1"/>
  <c r="B6230" i="1"/>
  <c r="C6229" i="1"/>
  <c r="B6229" i="1"/>
  <c r="C6228" i="1"/>
  <c r="B6228" i="1"/>
  <c r="C6227" i="1"/>
  <c r="B6227" i="1"/>
  <c r="C6226" i="1"/>
  <c r="B6226" i="1"/>
  <c r="C6225" i="1"/>
  <c r="B6225" i="1"/>
  <c r="C6224" i="1"/>
  <c r="B6224" i="1"/>
  <c r="C6223" i="1"/>
  <c r="B6223" i="1"/>
  <c r="C6222" i="1"/>
  <c r="B6222" i="1"/>
  <c r="C6221" i="1"/>
  <c r="B6221" i="1"/>
  <c r="C6220" i="1"/>
  <c r="B6220" i="1"/>
  <c r="C6219" i="1"/>
  <c r="B6219" i="1"/>
  <c r="C6218" i="1"/>
  <c r="B6218" i="1"/>
  <c r="C6217" i="1"/>
  <c r="B6217" i="1"/>
  <c r="C6216" i="1"/>
  <c r="B6216" i="1"/>
  <c r="C6215" i="1"/>
  <c r="B6215" i="1"/>
  <c r="C6214" i="1"/>
  <c r="B6214" i="1"/>
  <c r="C6213" i="1"/>
  <c r="B6213" i="1"/>
  <c r="C6212" i="1"/>
  <c r="B6212" i="1"/>
  <c r="C6211" i="1"/>
  <c r="B6211" i="1"/>
  <c r="C6210" i="1"/>
  <c r="B6210" i="1"/>
  <c r="C6209" i="1"/>
  <c r="B6209" i="1"/>
  <c r="C6208" i="1"/>
  <c r="B6208" i="1"/>
  <c r="C6207" i="1"/>
  <c r="B6207" i="1"/>
  <c r="C6206" i="1"/>
  <c r="B6206" i="1"/>
  <c r="C6205" i="1"/>
  <c r="B6205" i="1"/>
  <c r="C6204" i="1"/>
  <c r="B6204" i="1"/>
  <c r="C6203" i="1"/>
  <c r="B6203" i="1"/>
  <c r="C6202" i="1"/>
  <c r="B6202" i="1"/>
  <c r="C6201" i="1"/>
  <c r="B6201" i="1"/>
  <c r="C6200" i="1"/>
  <c r="B6200" i="1"/>
  <c r="C6199" i="1"/>
  <c r="B6199" i="1"/>
  <c r="C6198" i="1"/>
  <c r="B6198" i="1"/>
  <c r="C6197" i="1"/>
  <c r="B6197" i="1"/>
  <c r="C6196" i="1"/>
  <c r="B6196" i="1"/>
  <c r="C6195" i="1"/>
  <c r="B6195" i="1"/>
  <c r="C6194" i="1"/>
  <c r="B6194" i="1"/>
  <c r="C6193" i="1"/>
  <c r="B6193" i="1"/>
  <c r="C6192" i="1"/>
  <c r="B6192" i="1"/>
  <c r="C6191" i="1"/>
  <c r="B6191" i="1"/>
  <c r="C6190" i="1"/>
  <c r="B6190" i="1"/>
  <c r="C6189" i="1"/>
  <c r="B6189" i="1"/>
  <c r="C6188" i="1"/>
  <c r="B6188" i="1"/>
  <c r="C6187" i="1"/>
  <c r="B6187" i="1"/>
  <c r="C6186" i="1"/>
  <c r="B6186" i="1"/>
  <c r="C6185" i="1"/>
  <c r="B6185" i="1"/>
  <c r="C6184" i="1"/>
  <c r="B6184" i="1"/>
  <c r="C6183" i="1"/>
  <c r="B6183" i="1"/>
  <c r="C6182" i="1"/>
  <c r="B6182" i="1"/>
  <c r="C6181" i="1"/>
  <c r="B6181" i="1"/>
  <c r="C6180" i="1"/>
  <c r="B6180" i="1"/>
  <c r="C6179" i="1"/>
  <c r="B6179" i="1"/>
  <c r="C6178" i="1"/>
  <c r="B6178" i="1"/>
  <c r="C6177" i="1"/>
  <c r="B6177" i="1"/>
  <c r="C6176" i="1"/>
  <c r="B6176" i="1"/>
  <c r="C6175" i="1"/>
  <c r="B6175" i="1"/>
  <c r="C6174" i="1"/>
  <c r="B6174" i="1"/>
  <c r="C6173" i="1"/>
  <c r="B6173" i="1"/>
  <c r="C6172" i="1"/>
  <c r="B6172" i="1"/>
  <c r="C6171" i="1"/>
  <c r="B6171" i="1"/>
  <c r="C6170" i="1"/>
  <c r="B6170" i="1"/>
  <c r="C6169" i="1"/>
  <c r="B6169" i="1"/>
  <c r="C6168" i="1"/>
  <c r="B6168" i="1"/>
  <c r="C6167" i="1"/>
  <c r="B6167" i="1"/>
  <c r="C6166" i="1"/>
  <c r="B6166" i="1"/>
  <c r="C6165" i="1"/>
  <c r="B6165" i="1"/>
  <c r="C6164" i="1"/>
  <c r="B6164" i="1"/>
  <c r="C6163" i="1"/>
  <c r="B6163" i="1"/>
  <c r="C6162" i="1"/>
  <c r="B6162" i="1"/>
  <c r="C6161" i="1"/>
  <c r="B6161" i="1"/>
  <c r="C6160" i="1"/>
  <c r="B6160" i="1"/>
  <c r="C6159" i="1"/>
  <c r="B6159" i="1"/>
  <c r="C6158" i="1"/>
  <c r="B6158" i="1"/>
  <c r="C6157" i="1"/>
  <c r="B6157" i="1"/>
  <c r="C6156" i="1"/>
  <c r="B6156" i="1"/>
  <c r="C6155" i="1"/>
  <c r="B6155" i="1"/>
  <c r="C6154" i="1"/>
  <c r="B6154" i="1"/>
  <c r="C6153" i="1"/>
  <c r="B6153" i="1"/>
  <c r="C6152" i="1"/>
  <c r="B6152" i="1"/>
  <c r="C6151" i="1"/>
  <c r="B6151" i="1"/>
  <c r="C6150" i="1"/>
  <c r="B6150" i="1"/>
  <c r="C6149" i="1"/>
  <c r="B6149" i="1"/>
  <c r="C6148" i="1"/>
  <c r="B6148" i="1"/>
  <c r="C6147" i="1"/>
  <c r="B6147" i="1"/>
  <c r="C6146" i="1"/>
  <c r="B6146" i="1"/>
  <c r="C6145" i="1"/>
  <c r="B6145" i="1"/>
  <c r="C6144" i="1"/>
  <c r="B6144" i="1"/>
  <c r="C6143" i="1"/>
  <c r="B6143" i="1"/>
  <c r="C6142" i="1"/>
  <c r="B6142" i="1"/>
  <c r="C6141" i="1"/>
  <c r="B6141" i="1"/>
  <c r="C6140" i="1"/>
  <c r="B6140" i="1"/>
  <c r="C6139" i="1"/>
  <c r="B6139" i="1"/>
  <c r="C6138" i="1"/>
  <c r="B6138" i="1"/>
  <c r="C6137" i="1"/>
  <c r="B6137" i="1"/>
  <c r="C6136" i="1"/>
  <c r="B6136" i="1"/>
  <c r="C6135" i="1"/>
  <c r="B6135" i="1"/>
  <c r="C6134" i="1"/>
  <c r="B6134" i="1"/>
  <c r="C6133" i="1"/>
  <c r="B6133" i="1"/>
  <c r="C6132" i="1"/>
  <c r="B6132" i="1"/>
  <c r="C6131" i="1"/>
  <c r="B6131" i="1"/>
  <c r="C6130" i="1"/>
  <c r="B6130" i="1"/>
  <c r="C6129" i="1"/>
  <c r="B6129" i="1"/>
  <c r="C6128" i="1"/>
  <c r="B6128" i="1"/>
  <c r="C6127" i="1"/>
  <c r="B6127" i="1"/>
  <c r="C6126" i="1"/>
  <c r="B6126" i="1"/>
  <c r="C6125" i="1"/>
  <c r="B6125" i="1"/>
  <c r="C6124" i="1"/>
  <c r="B6124" i="1"/>
  <c r="C6123" i="1"/>
  <c r="B6123" i="1"/>
  <c r="C6122" i="1"/>
  <c r="B6122" i="1"/>
  <c r="C6121" i="1"/>
  <c r="B6121" i="1"/>
  <c r="C6120" i="1"/>
  <c r="B6120" i="1"/>
  <c r="C6119" i="1"/>
  <c r="B6119" i="1"/>
  <c r="C6118" i="1"/>
  <c r="B6118" i="1"/>
  <c r="C6117" i="1"/>
  <c r="B6117" i="1"/>
  <c r="C6116" i="1"/>
  <c r="B6116" i="1"/>
  <c r="C6115" i="1"/>
  <c r="B6115" i="1"/>
  <c r="C6114" i="1"/>
  <c r="B6114" i="1"/>
  <c r="C6113" i="1"/>
  <c r="B6113" i="1"/>
  <c r="C6112" i="1"/>
  <c r="B6112" i="1"/>
  <c r="C6111" i="1"/>
  <c r="B6111" i="1"/>
  <c r="C6110" i="1"/>
  <c r="B6110" i="1"/>
  <c r="C6109" i="1"/>
  <c r="B6109" i="1"/>
  <c r="C6108" i="1"/>
  <c r="B6108" i="1"/>
  <c r="C6107" i="1"/>
  <c r="B6107" i="1"/>
  <c r="C6106" i="1"/>
  <c r="B6106" i="1"/>
  <c r="C6105" i="1"/>
  <c r="B6105" i="1"/>
  <c r="C6104" i="1"/>
  <c r="B6104" i="1"/>
  <c r="C6103" i="1"/>
  <c r="B6103" i="1"/>
  <c r="C6102" i="1"/>
  <c r="B6102" i="1"/>
  <c r="C6101" i="1"/>
  <c r="B6101" i="1"/>
  <c r="C6100" i="1"/>
  <c r="B6100" i="1"/>
  <c r="C6099" i="1"/>
  <c r="B6099" i="1"/>
  <c r="C6098" i="1"/>
  <c r="B6098" i="1"/>
  <c r="C6097" i="1"/>
  <c r="B6097" i="1"/>
  <c r="C6096" i="1"/>
  <c r="B6096" i="1"/>
  <c r="C6095" i="1"/>
  <c r="B6095" i="1"/>
  <c r="C6094" i="1"/>
  <c r="B6094" i="1"/>
  <c r="C6093" i="1"/>
  <c r="B6093" i="1"/>
  <c r="C6092" i="1"/>
  <c r="B6092" i="1"/>
  <c r="C6091" i="1"/>
  <c r="B6091" i="1"/>
  <c r="C6090" i="1"/>
  <c r="B6090" i="1"/>
  <c r="C6089" i="1"/>
  <c r="B6089" i="1"/>
  <c r="C6088" i="1"/>
  <c r="B6088" i="1"/>
  <c r="C6087" i="1"/>
  <c r="B6087" i="1"/>
  <c r="C6086" i="1"/>
  <c r="B6086" i="1"/>
  <c r="C6085" i="1"/>
  <c r="B6085" i="1"/>
  <c r="C6084" i="1"/>
  <c r="B6084" i="1"/>
  <c r="C6083" i="1"/>
  <c r="B6083" i="1"/>
  <c r="C6082" i="1"/>
  <c r="B6082" i="1"/>
  <c r="C6081" i="1"/>
  <c r="B6081" i="1"/>
  <c r="C6080" i="1"/>
  <c r="B6080" i="1"/>
  <c r="C6079" i="1"/>
  <c r="B6079" i="1"/>
  <c r="C6078" i="1"/>
  <c r="B6078" i="1"/>
  <c r="C6077" i="1"/>
  <c r="B6077" i="1"/>
  <c r="C6076" i="1"/>
  <c r="B6076" i="1"/>
  <c r="C6075" i="1"/>
  <c r="B6075" i="1"/>
  <c r="C6074" i="1"/>
  <c r="B6074" i="1"/>
  <c r="C6073" i="1"/>
  <c r="B6073" i="1"/>
  <c r="C6072" i="1"/>
  <c r="B6072" i="1"/>
  <c r="C6071" i="1"/>
  <c r="B6071" i="1"/>
  <c r="C6070" i="1"/>
  <c r="B6070" i="1"/>
  <c r="C6069" i="1"/>
  <c r="B6069" i="1"/>
  <c r="C6068" i="1"/>
  <c r="B6068" i="1"/>
  <c r="C6067" i="1"/>
  <c r="B6067" i="1"/>
  <c r="C6066" i="1"/>
  <c r="B6066" i="1"/>
  <c r="C6065" i="1"/>
  <c r="B6065" i="1"/>
  <c r="C6064" i="1"/>
  <c r="B6064" i="1"/>
  <c r="C6063" i="1"/>
  <c r="B6063" i="1"/>
  <c r="C6062" i="1"/>
  <c r="B6062" i="1"/>
  <c r="C6061" i="1"/>
  <c r="B6061" i="1"/>
  <c r="C6060" i="1"/>
  <c r="B6060" i="1"/>
  <c r="C6059" i="1"/>
  <c r="B6059" i="1"/>
  <c r="C6058" i="1"/>
  <c r="B6058" i="1"/>
  <c r="C6057" i="1"/>
  <c r="B6057" i="1"/>
  <c r="C6056" i="1"/>
  <c r="B6056" i="1"/>
  <c r="C6055" i="1"/>
  <c r="B6055" i="1"/>
  <c r="C6054" i="1"/>
  <c r="B6054" i="1"/>
  <c r="C6053" i="1"/>
  <c r="B6053" i="1"/>
  <c r="C6052" i="1"/>
  <c r="B6052" i="1"/>
  <c r="C6051" i="1"/>
  <c r="B6051" i="1"/>
  <c r="C6050" i="1"/>
  <c r="B6050" i="1"/>
  <c r="C6049" i="1"/>
  <c r="B6049" i="1"/>
  <c r="C6048" i="1"/>
  <c r="B6048" i="1"/>
  <c r="C6047" i="1"/>
  <c r="B6047" i="1"/>
  <c r="C6046" i="1"/>
  <c r="B6046" i="1"/>
  <c r="C6045" i="1"/>
  <c r="B6045" i="1"/>
  <c r="C6044" i="1"/>
  <c r="B6044" i="1"/>
  <c r="C6043" i="1"/>
  <c r="B6043" i="1"/>
  <c r="C6042" i="1"/>
  <c r="B6042" i="1"/>
  <c r="C6041" i="1"/>
  <c r="B6041" i="1"/>
  <c r="C6040" i="1"/>
  <c r="B6040" i="1"/>
  <c r="C6039" i="1"/>
  <c r="B6039" i="1"/>
  <c r="C6038" i="1"/>
  <c r="B6038" i="1"/>
  <c r="C6037" i="1"/>
  <c r="B6037" i="1"/>
  <c r="C6036" i="1"/>
  <c r="B6036" i="1"/>
  <c r="C6035" i="1"/>
  <c r="B6035" i="1"/>
  <c r="C6034" i="1"/>
  <c r="B6034" i="1"/>
  <c r="C6033" i="1"/>
  <c r="B6033" i="1"/>
  <c r="C6032" i="1"/>
  <c r="B6032" i="1"/>
  <c r="C6031" i="1"/>
  <c r="B6031" i="1"/>
  <c r="C6030" i="1"/>
  <c r="B6030" i="1"/>
  <c r="C6029" i="1"/>
  <c r="B6029" i="1"/>
  <c r="C6028" i="1"/>
  <c r="B6028" i="1"/>
  <c r="C6027" i="1"/>
  <c r="B6027" i="1"/>
  <c r="C6026" i="1"/>
  <c r="B6026" i="1"/>
  <c r="C6025" i="1"/>
  <c r="B6025" i="1"/>
  <c r="C6024" i="1"/>
  <c r="B6024" i="1"/>
  <c r="C6023" i="1"/>
  <c r="B6023" i="1"/>
  <c r="C6022" i="1"/>
  <c r="B6022" i="1"/>
  <c r="C6021" i="1"/>
  <c r="B6021" i="1"/>
  <c r="C6020" i="1"/>
  <c r="B6020" i="1"/>
  <c r="C6019" i="1"/>
  <c r="B6019" i="1"/>
  <c r="C6018" i="1"/>
  <c r="B6018" i="1"/>
  <c r="C6017" i="1"/>
  <c r="B6017" i="1"/>
  <c r="C6016" i="1"/>
  <c r="B6016" i="1"/>
  <c r="C6015" i="1"/>
  <c r="B6015" i="1"/>
  <c r="C6014" i="1"/>
  <c r="B6014" i="1"/>
  <c r="C6013" i="1"/>
  <c r="B6013" i="1"/>
  <c r="C6012" i="1"/>
  <c r="B6012" i="1"/>
  <c r="C6011" i="1"/>
  <c r="B6011" i="1"/>
  <c r="C6010" i="1"/>
  <c r="B6010" i="1"/>
  <c r="C6009" i="1"/>
  <c r="B6009" i="1"/>
  <c r="C6008" i="1"/>
  <c r="B6008" i="1"/>
  <c r="C6007" i="1"/>
  <c r="B6007" i="1"/>
  <c r="C6006" i="1"/>
  <c r="B6006" i="1"/>
  <c r="C6005" i="1"/>
  <c r="B6005" i="1"/>
  <c r="C6004" i="1"/>
  <c r="B6004" i="1"/>
  <c r="C6003" i="1"/>
  <c r="B6003" i="1"/>
  <c r="C6002" i="1"/>
  <c r="B6002" i="1"/>
  <c r="C6001" i="1"/>
  <c r="B6001" i="1"/>
  <c r="C6000" i="1"/>
  <c r="B6000" i="1"/>
  <c r="C5999" i="1"/>
  <c r="B5999" i="1"/>
  <c r="C5998" i="1"/>
  <c r="B5998" i="1"/>
  <c r="C5997" i="1"/>
  <c r="B5997" i="1"/>
  <c r="C5996" i="1"/>
  <c r="B5996" i="1"/>
  <c r="C5995" i="1"/>
  <c r="B5995" i="1"/>
  <c r="C5994" i="1"/>
  <c r="B5994" i="1"/>
  <c r="C5993" i="1"/>
  <c r="B5993" i="1"/>
  <c r="C5992" i="1"/>
  <c r="B5992" i="1"/>
  <c r="C5991" i="1"/>
  <c r="B5991" i="1"/>
  <c r="C5990" i="1"/>
  <c r="B5990" i="1"/>
  <c r="C5989" i="1"/>
  <c r="B5989" i="1"/>
  <c r="C5988" i="1"/>
  <c r="B5988" i="1"/>
  <c r="C5987" i="1"/>
  <c r="B5987" i="1"/>
  <c r="C5986" i="1"/>
  <c r="B5986" i="1"/>
  <c r="C5985" i="1"/>
  <c r="B5985" i="1"/>
  <c r="C5984" i="1"/>
  <c r="B5984" i="1"/>
  <c r="C5983" i="1"/>
  <c r="B5983" i="1"/>
  <c r="C5982" i="1"/>
  <c r="B5982" i="1"/>
  <c r="C5981" i="1"/>
  <c r="B5981" i="1"/>
  <c r="C5980" i="1"/>
  <c r="B5980" i="1"/>
  <c r="C5979" i="1"/>
  <c r="B5979" i="1"/>
  <c r="C5978" i="1"/>
  <c r="B5978" i="1"/>
  <c r="C5977" i="1"/>
  <c r="B5977" i="1"/>
  <c r="C5976" i="1"/>
  <c r="B5976" i="1"/>
  <c r="C5975" i="1"/>
  <c r="B5975" i="1"/>
  <c r="C5974" i="1"/>
  <c r="B5974" i="1"/>
  <c r="C5973" i="1"/>
  <c r="B5973" i="1"/>
  <c r="C5972" i="1"/>
  <c r="B5972" i="1"/>
  <c r="C5971" i="1"/>
  <c r="B5971" i="1"/>
  <c r="C5970" i="1"/>
  <c r="B5970" i="1"/>
  <c r="C5969" i="1"/>
  <c r="B5969" i="1"/>
  <c r="C5968" i="1"/>
  <c r="B5968" i="1"/>
  <c r="C5967" i="1"/>
  <c r="B5967" i="1"/>
  <c r="C5966" i="1"/>
  <c r="B5966" i="1"/>
  <c r="C5965" i="1"/>
  <c r="B5965" i="1"/>
  <c r="C5964" i="1"/>
  <c r="B5964" i="1"/>
  <c r="C5963" i="1"/>
  <c r="B5963" i="1"/>
  <c r="C5962" i="1"/>
  <c r="B5962" i="1"/>
  <c r="C5961" i="1"/>
  <c r="B5961" i="1"/>
  <c r="C5960" i="1"/>
  <c r="B5960" i="1"/>
  <c r="C5959" i="1"/>
  <c r="B5959" i="1"/>
  <c r="C5958" i="1"/>
  <c r="B5958" i="1"/>
  <c r="C5957" i="1"/>
  <c r="B5957" i="1"/>
  <c r="C5956" i="1"/>
  <c r="B5956" i="1"/>
  <c r="C5955" i="1"/>
  <c r="B5955" i="1"/>
  <c r="C5954" i="1"/>
  <c r="B5954" i="1"/>
  <c r="C5953" i="1"/>
  <c r="B5953" i="1"/>
  <c r="C5952" i="1"/>
  <c r="B5952" i="1"/>
  <c r="C5951" i="1"/>
  <c r="B5951" i="1"/>
  <c r="C5950" i="1"/>
  <c r="B5950" i="1"/>
  <c r="C5949" i="1"/>
  <c r="B5949" i="1"/>
  <c r="C5948" i="1"/>
  <c r="B5948" i="1"/>
  <c r="C5947" i="1"/>
  <c r="B5947" i="1"/>
  <c r="C5946" i="1"/>
  <c r="B5946" i="1"/>
  <c r="C5945" i="1"/>
  <c r="B5945" i="1"/>
  <c r="C5944" i="1"/>
  <c r="B5944" i="1"/>
  <c r="C5943" i="1"/>
  <c r="B5943" i="1"/>
  <c r="C5942" i="1"/>
  <c r="B5942" i="1"/>
  <c r="C5941" i="1"/>
  <c r="B5941" i="1"/>
  <c r="C5940" i="1"/>
  <c r="B5940" i="1"/>
  <c r="C5939" i="1"/>
  <c r="B5939" i="1"/>
  <c r="C5938" i="1"/>
  <c r="B5938" i="1"/>
  <c r="C5937" i="1"/>
  <c r="B5937" i="1"/>
  <c r="C5936" i="1"/>
  <c r="B5936" i="1"/>
  <c r="C5935" i="1"/>
  <c r="B5935" i="1"/>
  <c r="C5934" i="1"/>
  <c r="B5934" i="1"/>
  <c r="C5933" i="1"/>
  <c r="B5933" i="1"/>
  <c r="C5932" i="1"/>
  <c r="B5932" i="1"/>
  <c r="C5931" i="1"/>
  <c r="B5931" i="1"/>
  <c r="C5930" i="1"/>
  <c r="B5930" i="1"/>
  <c r="C5929" i="1"/>
  <c r="B5929" i="1"/>
  <c r="C5928" i="1"/>
  <c r="B5928" i="1"/>
  <c r="C5927" i="1"/>
  <c r="B5927" i="1"/>
  <c r="C5926" i="1"/>
  <c r="B5926" i="1"/>
  <c r="C5925" i="1"/>
  <c r="B5925" i="1"/>
  <c r="C5924" i="1"/>
  <c r="B5924" i="1"/>
  <c r="C5923" i="1"/>
  <c r="B5923" i="1"/>
  <c r="C5922" i="1"/>
  <c r="B5922" i="1"/>
  <c r="C5921" i="1"/>
  <c r="B5921" i="1"/>
  <c r="C5920" i="1"/>
  <c r="B5920" i="1"/>
  <c r="C5919" i="1"/>
  <c r="B5919" i="1"/>
  <c r="C5918" i="1"/>
  <c r="B5918" i="1"/>
  <c r="C5917" i="1"/>
  <c r="B5917" i="1"/>
  <c r="C5916" i="1"/>
  <c r="B5916" i="1"/>
  <c r="C5915" i="1"/>
  <c r="B5915" i="1"/>
  <c r="C5914" i="1"/>
  <c r="B5914" i="1"/>
  <c r="C5913" i="1"/>
  <c r="B5913" i="1"/>
  <c r="C5912" i="1"/>
  <c r="B5912" i="1"/>
  <c r="C5911" i="1"/>
  <c r="B5911" i="1"/>
  <c r="C5910" i="1"/>
  <c r="B5910" i="1"/>
  <c r="C5909" i="1"/>
  <c r="B5909" i="1"/>
  <c r="C5908" i="1"/>
  <c r="B5908" i="1"/>
  <c r="C5907" i="1"/>
  <c r="B5907" i="1"/>
  <c r="C5906" i="1"/>
  <c r="B5906" i="1"/>
  <c r="C5905" i="1"/>
  <c r="B5905" i="1"/>
  <c r="C5904" i="1"/>
  <c r="B5904" i="1"/>
  <c r="C5903" i="1"/>
  <c r="B5903" i="1"/>
  <c r="C5902" i="1"/>
  <c r="B5902" i="1"/>
  <c r="C5901" i="1"/>
  <c r="B5901" i="1"/>
  <c r="C5900" i="1"/>
  <c r="B5900" i="1"/>
  <c r="C5899" i="1"/>
  <c r="B5899" i="1"/>
  <c r="C5898" i="1"/>
  <c r="B5898" i="1"/>
  <c r="C5897" i="1"/>
  <c r="B5897" i="1"/>
  <c r="C5896" i="1"/>
  <c r="B5896" i="1"/>
  <c r="C5895" i="1"/>
  <c r="B5895" i="1"/>
  <c r="C5894" i="1"/>
  <c r="B5894" i="1"/>
  <c r="C5893" i="1"/>
  <c r="B5893" i="1"/>
  <c r="C5892" i="1"/>
  <c r="B5892" i="1"/>
  <c r="C5891" i="1"/>
  <c r="B5891" i="1"/>
  <c r="C5890" i="1"/>
  <c r="B5890" i="1"/>
  <c r="C5889" i="1"/>
  <c r="B5889" i="1"/>
  <c r="C5888" i="1"/>
  <c r="B5888" i="1"/>
  <c r="C5887" i="1"/>
  <c r="B5887" i="1"/>
  <c r="C5886" i="1"/>
  <c r="B5886" i="1"/>
  <c r="C5885" i="1"/>
  <c r="B5885" i="1"/>
  <c r="C5884" i="1"/>
  <c r="B5884" i="1"/>
  <c r="C5883" i="1"/>
  <c r="B5883" i="1"/>
  <c r="C5882" i="1"/>
  <c r="B5882" i="1"/>
  <c r="C5881" i="1"/>
  <c r="B5881" i="1"/>
  <c r="C5880" i="1"/>
  <c r="B5880" i="1"/>
  <c r="C5879" i="1"/>
  <c r="B5879" i="1"/>
  <c r="C5878" i="1"/>
  <c r="B5878" i="1"/>
  <c r="C5877" i="1"/>
  <c r="B5877" i="1"/>
  <c r="C5876" i="1"/>
  <c r="B5876" i="1"/>
  <c r="C5875" i="1"/>
  <c r="B5875" i="1"/>
  <c r="C5874" i="1"/>
  <c r="B5874" i="1"/>
  <c r="C5873" i="1"/>
  <c r="B5873" i="1"/>
  <c r="C5872" i="1"/>
  <c r="B5872" i="1"/>
  <c r="C5871" i="1"/>
  <c r="B5871" i="1"/>
  <c r="C5870" i="1"/>
  <c r="B5870" i="1"/>
  <c r="C5869" i="1"/>
  <c r="B5869" i="1"/>
  <c r="C5868" i="1"/>
  <c r="B5868" i="1"/>
  <c r="C5867" i="1"/>
  <c r="B5867" i="1"/>
  <c r="C5866" i="1"/>
  <c r="B5866" i="1"/>
  <c r="C5865" i="1"/>
  <c r="B5865" i="1"/>
  <c r="C5864" i="1"/>
  <c r="B5864" i="1"/>
  <c r="C5863" i="1"/>
  <c r="B5863" i="1"/>
  <c r="C5862" i="1"/>
  <c r="B5862" i="1"/>
  <c r="C5861" i="1"/>
  <c r="B5861" i="1"/>
  <c r="C5860" i="1"/>
  <c r="B5860" i="1"/>
  <c r="C5859" i="1"/>
  <c r="B5859" i="1"/>
  <c r="C5858" i="1"/>
  <c r="B5858" i="1"/>
  <c r="C5857" i="1"/>
  <c r="B5857" i="1"/>
  <c r="C5856" i="1"/>
  <c r="B5856" i="1"/>
  <c r="C5855" i="1"/>
  <c r="B5855" i="1"/>
  <c r="C5854" i="1"/>
  <c r="B5854" i="1"/>
  <c r="C5853" i="1"/>
  <c r="B5853" i="1"/>
  <c r="C5852" i="1"/>
  <c r="B5852" i="1"/>
  <c r="C5851" i="1"/>
  <c r="B5851" i="1"/>
  <c r="C5850" i="1"/>
  <c r="B5850" i="1"/>
  <c r="C5849" i="1"/>
  <c r="B5849" i="1"/>
  <c r="C5848" i="1"/>
  <c r="B5848" i="1"/>
  <c r="C5847" i="1"/>
  <c r="B5847" i="1"/>
  <c r="C5846" i="1"/>
  <c r="B5846" i="1"/>
  <c r="C5845" i="1"/>
  <c r="B5845" i="1"/>
  <c r="C5844" i="1"/>
  <c r="B5844" i="1"/>
  <c r="C5843" i="1"/>
  <c r="B5843" i="1"/>
  <c r="C5842" i="1"/>
  <c r="B5842" i="1"/>
  <c r="C5841" i="1"/>
  <c r="B5841" i="1"/>
  <c r="C5840" i="1"/>
  <c r="B5840" i="1"/>
  <c r="C5839" i="1"/>
  <c r="B5839" i="1"/>
  <c r="C5838" i="1"/>
  <c r="B5838" i="1"/>
  <c r="C5837" i="1"/>
  <c r="B5837" i="1"/>
  <c r="C5836" i="1"/>
  <c r="B5836" i="1"/>
  <c r="C5835" i="1"/>
  <c r="B5835" i="1"/>
  <c r="C5834" i="1"/>
  <c r="B5834" i="1"/>
  <c r="C5833" i="1"/>
  <c r="B5833" i="1"/>
  <c r="C5832" i="1"/>
  <c r="B5832" i="1"/>
  <c r="C5831" i="1"/>
  <c r="B5831" i="1"/>
  <c r="C5830" i="1"/>
  <c r="B5830" i="1"/>
  <c r="C5829" i="1"/>
  <c r="B5829" i="1"/>
  <c r="C5828" i="1"/>
  <c r="B5828" i="1"/>
  <c r="C5827" i="1"/>
  <c r="B5827" i="1"/>
  <c r="C5826" i="1"/>
  <c r="B5826" i="1"/>
  <c r="C5825" i="1"/>
  <c r="B5825" i="1"/>
  <c r="C5824" i="1"/>
  <c r="B5824" i="1"/>
  <c r="C5823" i="1"/>
  <c r="B5823" i="1"/>
  <c r="C5822" i="1"/>
  <c r="B5822" i="1"/>
  <c r="C5821" i="1"/>
  <c r="B5821" i="1"/>
  <c r="C5820" i="1"/>
  <c r="B5820" i="1"/>
  <c r="C5819" i="1"/>
  <c r="B5819" i="1"/>
  <c r="C5818" i="1"/>
  <c r="B5818" i="1"/>
  <c r="C5817" i="1"/>
  <c r="B5817" i="1"/>
  <c r="C5816" i="1"/>
  <c r="B5816" i="1"/>
  <c r="C5815" i="1"/>
  <c r="B5815" i="1"/>
  <c r="C5814" i="1"/>
  <c r="B5814" i="1"/>
  <c r="C5813" i="1"/>
  <c r="B5813" i="1"/>
  <c r="C5812" i="1"/>
  <c r="B5812" i="1"/>
  <c r="C5811" i="1"/>
  <c r="B5811" i="1"/>
  <c r="C5810" i="1"/>
  <c r="B5810" i="1"/>
  <c r="C5809" i="1"/>
  <c r="B5809" i="1"/>
  <c r="C5808" i="1"/>
  <c r="B5808" i="1"/>
  <c r="C5807" i="1"/>
  <c r="B5807" i="1"/>
  <c r="C5806" i="1"/>
  <c r="B5806" i="1"/>
  <c r="C5805" i="1"/>
  <c r="B5805" i="1"/>
  <c r="C5804" i="1"/>
  <c r="B5804" i="1"/>
  <c r="C5803" i="1"/>
  <c r="B5803" i="1"/>
  <c r="C5802" i="1"/>
  <c r="B5802" i="1"/>
  <c r="C5801" i="1"/>
  <c r="B5801" i="1"/>
  <c r="C5800" i="1"/>
  <c r="B5800" i="1"/>
  <c r="C5799" i="1"/>
  <c r="B5799" i="1"/>
  <c r="C5798" i="1"/>
  <c r="B5798" i="1"/>
  <c r="C5797" i="1"/>
  <c r="B5797" i="1"/>
  <c r="C5796" i="1"/>
  <c r="B5796" i="1"/>
  <c r="C5795" i="1"/>
  <c r="B5795" i="1"/>
  <c r="C5794" i="1"/>
  <c r="B5794" i="1"/>
  <c r="C5793" i="1"/>
  <c r="B5793" i="1"/>
  <c r="C5792" i="1"/>
  <c r="B5792" i="1"/>
  <c r="C5791" i="1"/>
  <c r="B5791" i="1"/>
  <c r="C5790" i="1"/>
  <c r="B5790" i="1"/>
  <c r="C5789" i="1"/>
  <c r="B5789" i="1"/>
  <c r="C5788" i="1"/>
  <c r="B5788" i="1"/>
  <c r="C5787" i="1"/>
  <c r="B5787" i="1"/>
  <c r="C5786" i="1"/>
  <c r="B5786" i="1"/>
  <c r="C5785" i="1"/>
  <c r="B5785" i="1"/>
  <c r="C5784" i="1"/>
  <c r="B5784" i="1"/>
  <c r="C5783" i="1"/>
  <c r="B5783" i="1"/>
  <c r="C5782" i="1"/>
  <c r="B5782" i="1"/>
  <c r="C5781" i="1"/>
  <c r="B5781" i="1"/>
  <c r="C5780" i="1"/>
  <c r="B5780" i="1"/>
  <c r="C5779" i="1"/>
  <c r="B5779" i="1"/>
  <c r="C5778" i="1"/>
  <c r="B5778" i="1"/>
  <c r="C5777" i="1"/>
  <c r="B5777" i="1"/>
  <c r="C5776" i="1"/>
  <c r="B5776" i="1"/>
  <c r="C5775" i="1"/>
  <c r="B5775" i="1"/>
  <c r="C5774" i="1"/>
  <c r="B5774" i="1"/>
  <c r="C5773" i="1"/>
  <c r="B5773" i="1"/>
  <c r="C5772" i="1"/>
  <c r="B5772" i="1"/>
  <c r="C5771" i="1"/>
  <c r="B5771" i="1"/>
  <c r="C5770" i="1"/>
  <c r="B5770" i="1"/>
  <c r="C5769" i="1"/>
  <c r="B5769" i="1"/>
  <c r="C5768" i="1"/>
  <c r="B5768" i="1"/>
  <c r="C5767" i="1"/>
  <c r="B5767" i="1"/>
  <c r="C5766" i="1"/>
  <c r="B5766" i="1"/>
  <c r="C5765" i="1"/>
  <c r="B5765" i="1"/>
  <c r="C5764" i="1"/>
  <c r="B5764" i="1"/>
  <c r="C5763" i="1"/>
  <c r="B5763" i="1"/>
  <c r="C5762" i="1"/>
  <c r="B5762" i="1"/>
  <c r="C5761" i="1"/>
  <c r="B5761" i="1"/>
  <c r="C5760" i="1"/>
  <c r="B5760" i="1"/>
  <c r="C5759" i="1"/>
  <c r="B5759" i="1"/>
  <c r="C5758" i="1"/>
  <c r="B5758" i="1"/>
  <c r="C5757" i="1"/>
  <c r="B5757" i="1"/>
  <c r="C5756" i="1"/>
  <c r="B5756" i="1"/>
  <c r="C5755" i="1"/>
  <c r="B5755" i="1"/>
  <c r="C5754" i="1"/>
  <c r="B5754" i="1"/>
  <c r="C5753" i="1"/>
  <c r="B5753" i="1"/>
  <c r="C5752" i="1"/>
  <c r="B5752" i="1"/>
  <c r="C5751" i="1"/>
  <c r="B5751" i="1"/>
  <c r="C5750" i="1"/>
  <c r="B5750" i="1"/>
  <c r="C5749" i="1"/>
  <c r="B5749" i="1"/>
  <c r="C5748" i="1"/>
  <c r="B5748" i="1"/>
  <c r="C5747" i="1"/>
  <c r="B5747" i="1"/>
  <c r="C5746" i="1"/>
  <c r="B5746" i="1"/>
  <c r="C5745" i="1"/>
  <c r="B5745" i="1"/>
  <c r="C5744" i="1"/>
  <c r="B5744" i="1"/>
  <c r="C5743" i="1"/>
  <c r="B5743" i="1"/>
  <c r="C5742" i="1"/>
  <c r="B5742" i="1"/>
  <c r="C5741" i="1"/>
  <c r="B5741" i="1"/>
  <c r="C5740" i="1"/>
  <c r="B5740" i="1"/>
  <c r="C5739" i="1"/>
  <c r="B5739" i="1"/>
  <c r="C5738" i="1"/>
  <c r="B5738" i="1"/>
  <c r="C5737" i="1"/>
  <c r="B5737" i="1"/>
  <c r="C5736" i="1"/>
  <c r="B5736" i="1"/>
  <c r="C5735" i="1"/>
  <c r="B5735" i="1"/>
  <c r="C5734" i="1"/>
  <c r="B5734" i="1"/>
  <c r="C5733" i="1"/>
  <c r="B5733" i="1"/>
  <c r="C5732" i="1"/>
  <c r="B5732" i="1"/>
  <c r="C5731" i="1"/>
  <c r="B5731" i="1"/>
  <c r="C5730" i="1"/>
  <c r="B5730" i="1"/>
  <c r="C5729" i="1"/>
  <c r="B5729" i="1"/>
  <c r="C5728" i="1"/>
  <c r="B5728" i="1"/>
  <c r="C5727" i="1"/>
  <c r="B5727" i="1"/>
  <c r="C5726" i="1"/>
  <c r="B5726" i="1"/>
  <c r="C5725" i="1"/>
  <c r="B5725" i="1"/>
  <c r="C5724" i="1"/>
  <c r="B5724" i="1"/>
  <c r="C5723" i="1"/>
  <c r="B5723" i="1"/>
  <c r="C5722" i="1"/>
  <c r="B5722" i="1"/>
  <c r="C5721" i="1"/>
  <c r="B5721" i="1"/>
  <c r="C5720" i="1"/>
  <c r="B5720" i="1"/>
  <c r="C5719" i="1"/>
  <c r="B5719" i="1"/>
  <c r="C5718" i="1"/>
  <c r="B5718" i="1"/>
  <c r="C5717" i="1"/>
  <c r="B5717" i="1"/>
  <c r="C5716" i="1"/>
  <c r="B5716" i="1"/>
  <c r="C5715" i="1"/>
  <c r="B5715" i="1"/>
  <c r="C5714" i="1"/>
  <c r="B5714" i="1"/>
  <c r="C5713" i="1"/>
  <c r="B5713" i="1"/>
  <c r="C5712" i="1"/>
  <c r="B5712" i="1"/>
  <c r="C5711" i="1"/>
  <c r="B5711" i="1"/>
  <c r="C5710" i="1"/>
  <c r="B5710" i="1"/>
  <c r="C5709" i="1"/>
  <c r="B5709" i="1"/>
  <c r="C5708" i="1"/>
  <c r="B5708" i="1"/>
  <c r="C5707" i="1"/>
  <c r="B5707" i="1"/>
  <c r="C5706" i="1"/>
  <c r="B5706" i="1"/>
  <c r="C5705" i="1"/>
  <c r="B5705" i="1"/>
  <c r="C5704" i="1"/>
  <c r="B5704" i="1"/>
  <c r="C5703" i="1"/>
  <c r="B5703" i="1"/>
  <c r="C5702" i="1"/>
  <c r="B5702" i="1"/>
  <c r="C5701" i="1"/>
  <c r="B5701" i="1"/>
  <c r="C5700" i="1"/>
  <c r="B5700" i="1"/>
  <c r="C5699" i="1"/>
  <c r="B5699" i="1"/>
  <c r="C5698" i="1"/>
  <c r="B5698" i="1"/>
  <c r="C5697" i="1"/>
  <c r="B5697" i="1"/>
  <c r="C5696" i="1"/>
  <c r="B5696" i="1"/>
  <c r="C5695" i="1"/>
  <c r="B5695" i="1"/>
  <c r="C5694" i="1"/>
  <c r="B5694" i="1"/>
  <c r="C5693" i="1"/>
  <c r="B5693" i="1"/>
  <c r="C5692" i="1"/>
  <c r="B5692" i="1"/>
  <c r="C5691" i="1"/>
  <c r="B5691" i="1"/>
  <c r="C5690" i="1"/>
  <c r="B5690" i="1"/>
  <c r="C5689" i="1"/>
  <c r="B5689" i="1"/>
  <c r="C5688" i="1"/>
  <c r="B5688" i="1"/>
  <c r="C5687" i="1"/>
  <c r="B5687" i="1"/>
  <c r="C5686" i="1"/>
  <c r="B5686" i="1"/>
  <c r="C5685" i="1"/>
  <c r="B5685" i="1"/>
  <c r="C5684" i="1"/>
  <c r="B5684" i="1"/>
  <c r="C5683" i="1"/>
  <c r="B5683" i="1"/>
  <c r="C5682" i="1"/>
  <c r="B5682" i="1"/>
  <c r="C5681" i="1"/>
  <c r="B5681" i="1"/>
  <c r="C5680" i="1"/>
  <c r="B5680" i="1"/>
  <c r="C5679" i="1"/>
  <c r="B5679" i="1"/>
  <c r="C5678" i="1"/>
  <c r="B5678" i="1"/>
  <c r="C5677" i="1"/>
  <c r="B5677" i="1"/>
  <c r="C5676" i="1"/>
  <c r="B5676" i="1"/>
  <c r="C5675" i="1"/>
  <c r="B5675" i="1"/>
  <c r="C5674" i="1"/>
  <c r="B5674" i="1"/>
  <c r="C5673" i="1"/>
  <c r="B5673" i="1"/>
  <c r="C5672" i="1"/>
  <c r="B5672" i="1"/>
  <c r="C5671" i="1"/>
  <c r="B5671" i="1"/>
  <c r="C5670" i="1"/>
  <c r="B5670" i="1"/>
  <c r="C5669" i="1"/>
  <c r="B5669" i="1"/>
  <c r="C5668" i="1"/>
  <c r="B5668" i="1"/>
  <c r="C5667" i="1"/>
  <c r="B5667" i="1"/>
  <c r="C5666" i="1"/>
  <c r="B5666" i="1"/>
  <c r="C5665" i="1"/>
  <c r="B5665" i="1"/>
  <c r="C5664" i="1"/>
  <c r="B5664" i="1"/>
  <c r="C5663" i="1"/>
  <c r="B5663" i="1"/>
  <c r="C5662" i="1"/>
  <c r="B5662" i="1"/>
  <c r="C5661" i="1"/>
  <c r="B5661" i="1"/>
  <c r="C5660" i="1"/>
  <c r="B5660" i="1"/>
  <c r="C5659" i="1"/>
  <c r="B5659" i="1"/>
  <c r="C5658" i="1"/>
  <c r="B5658" i="1"/>
  <c r="C5657" i="1"/>
  <c r="B5657" i="1"/>
  <c r="C5656" i="1"/>
  <c r="B5656" i="1"/>
  <c r="C5655" i="1"/>
  <c r="B5655" i="1"/>
  <c r="C5654" i="1"/>
  <c r="B5654" i="1"/>
  <c r="C5653" i="1"/>
  <c r="B5653" i="1"/>
  <c r="C5652" i="1"/>
  <c r="B5652" i="1"/>
  <c r="C5651" i="1"/>
  <c r="B5651" i="1"/>
  <c r="C5650" i="1"/>
  <c r="B5650" i="1"/>
  <c r="C5649" i="1"/>
  <c r="B5649" i="1"/>
  <c r="C5648" i="1"/>
  <c r="B5648" i="1"/>
  <c r="C5647" i="1"/>
  <c r="B5647" i="1"/>
  <c r="C5646" i="1"/>
  <c r="B5646" i="1"/>
  <c r="C5645" i="1"/>
  <c r="B5645" i="1"/>
  <c r="C5644" i="1"/>
  <c r="B5644" i="1"/>
  <c r="C5643" i="1"/>
  <c r="B5643" i="1"/>
  <c r="C5642" i="1"/>
  <c r="B5642" i="1"/>
  <c r="C5641" i="1"/>
  <c r="B5641" i="1"/>
  <c r="C5640" i="1"/>
  <c r="B5640" i="1"/>
  <c r="C5639" i="1"/>
  <c r="B5639" i="1"/>
  <c r="C5638" i="1"/>
  <c r="B5638" i="1"/>
  <c r="C5637" i="1"/>
  <c r="B5637" i="1"/>
  <c r="C5636" i="1"/>
  <c r="B5636" i="1"/>
  <c r="C5635" i="1"/>
  <c r="B5635" i="1"/>
  <c r="C5634" i="1"/>
  <c r="B5634" i="1"/>
  <c r="C5633" i="1"/>
  <c r="B5633" i="1"/>
  <c r="C5632" i="1"/>
  <c r="B5632" i="1"/>
  <c r="C5631" i="1"/>
  <c r="B5631" i="1"/>
  <c r="C5630" i="1"/>
  <c r="B5630" i="1"/>
  <c r="C5629" i="1"/>
  <c r="B5629" i="1"/>
  <c r="C5628" i="1"/>
  <c r="B5628" i="1"/>
  <c r="C5627" i="1"/>
  <c r="B5627" i="1"/>
  <c r="C5626" i="1"/>
  <c r="B5626" i="1"/>
  <c r="C5625" i="1"/>
  <c r="B5625" i="1"/>
  <c r="C5624" i="1"/>
  <c r="B5624" i="1"/>
  <c r="C5623" i="1"/>
  <c r="B5623" i="1"/>
  <c r="C5622" i="1"/>
  <c r="B5622" i="1"/>
  <c r="C5621" i="1"/>
  <c r="B5621" i="1"/>
  <c r="C5620" i="1"/>
  <c r="B5620" i="1"/>
  <c r="C5619" i="1"/>
  <c r="B5619" i="1"/>
  <c r="C5618" i="1"/>
  <c r="B5618" i="1"/>
  <c r="C5617" i="1"/>
  <c r="B5617" i="1"/>
  <c r="C5616" i="1"/>
  <c r="B5616" i="1"/>
  <c r="C5615" i="1"/>
  <c r="B5615" i="1"/>
  <c r="C5614" i="1"/>
  <c r="B5614" i="1"/>
  <c r="C5613" i="1"/>
  <c r="B5613" i="1"/>
  <c r="C5612" i="1"/>
  <c r="B5612" i="1"/>
  <c r="C5611" i="1"/>
  <c r="B5611" i="1"/>
  <c r="C5610" i="1"/>
  <c r="B5610" i="1"/>
  <c r="C5609" i="1"/>
  <c r="B5609" i="1"/>
  <c r="C5608" i="1"/>
  <c r="B5608" i="1"/>
  <c r="C5607" i="1"/>
  <c r="B5607" i="1"/>
  <c r="C5606" i="1"/>
  <c r="B5606" i="1"/>
  <c r="C5605" i="1"/>
  <c r="B5605" i="1"/>
  <c r="C5604" i="1"/>
  <c r="B5604" i="1"/>
  <c r="C5603" i="1"/>
  <c r="B5603" i="1"/>
  <c r="C5602" i="1"/>
  <c r="B5602" i="1"/>
  <c r="C5601" i="1"/>
  <c r="B5601" i="1"/>
  <c r="C5600" i="1"/>
  <c r="B5600" i="1"/>
  <c r="C5599" i="1"/>
  <c r="B5599" i="1"/>
  <c r="C5598" i="1"/>
  <c r="B5598" i="1"/>
  <c r="C5597" i="1"/>
  <c r="B5597" i="1"/>
  <c r="C5596" i="1"/>
  <c r="B5596" i="1"/>
  <c r="C5595" i="1"/>
  <c r="B5595" i="1"/>
  <c r="C5594" i="1"/>
  <c r="B5594" i="1"/>
  <c r="C5593" i="1"/>
  <c r="B5593" i="1"/>
  <c r="C5592" i="1"/>
  <c r="B5592" i="1"/>
  <c r="C5591" i="1"/>
  <c r="B5591" i="1"/>
  <c r="C5590" i="1"/>
  <c r="B5590" i="1"/>
  <c r="C5589" i="1"/>
  <c r="B5589" i="1"/>
  <c r="C5588" i="1"/>
  <c r="B5588" i="1"/>
  <c r="C5587" i="1"/>
  <c r="B5587" i="1"/>
  <c r="C5586" i="1"/>
  <c r="B5586" i="1"/>
  <c r="C5585" i="1"/>
  <c r="B5585" i="1"/>
  <c r="C5584" i="1"/>
  <c r="B5584" i="1"/>
  <c r="C5583" i="1"/>
  <c r="B5583" i="1"/>
  <c r="C5582" i="1"/>
  <c r="B5582" i="1"/>
  <c r="C5581" i="1"/>
  <c r="B5581" i="1"/>
  <c r="C5580" i="1"/>
  <c r="B5580" i="1"/>
  <c r="C5579" i="1"/>
  <c r="B5579" i="1"/>
  <c r="C5578" i="1"/>
  <c r="B5578" i="1"/>
  <c r="C5577" i="1"/>
  <c r="B5577" i="1"/>
  <c r="C5576" i="1"/>
  <c r="B5576" i="1"/>
  <c r="C5575" i="1"/>
  <c r="B5575" i="1"/>
  <c r="C5574" i="1"/>
  <c r="B5574" i="1"/>
  <c r="C5573" i="1"/>
  <c r="B5573" i="1"/>
  <c r="C5572" i="1"/>
  <c r="B5572" i="1"/>
  <c r="C5571" i="1"/>
  <c r="B5571" i="1"/>
  <c r="C5570" i="1"/>
  <c r="B5570" i="1"/>
  <c r="C5569" i="1"/>
  <c r="B5569" i="1"/>
  <c r="C5568" i="1"/>
  <c r="B5568" i="1"/>
  <c r="C5567" i="1"/>
  <c r="B5567" i="1"/>
  <c r="C5566" i="1"/>
  <c r="B5566" i="1"/>
  <c r="C5565" i="1"/>
  <c r="B5565" i="1"/>
  <c r="C5564" i="1"/>
  <c r="B5564" i="1"/>
  <c r="C5563" i="1"/>
  <c r="B5563" i="1"/>
  <c r="C5562" i="1"/>
  <c r="B5562" i="1"/>
  <c r="C5561" i="1"/>
  <c r="B5561" i="1"/>
  <c r="C5560" i="1"/>
  <c r="B5560" i="1"/>
  <c r="C5559" i="1"/>
  <c r="B5559" i="1"/>
  <c r="C5558" i="1"/>
  <c r="B5558" i="1"/>
  <c r="C5557" i="1"/>
  <c r="B5557" i="1"/>
  <c r="C5556" i="1"/>
  <c r="B5556" i="1"/>
  <c r="C5555" i="1"/>
  <c r="B5555" i="1"/>
  <c r="C5554" i="1"/>
  <c r="B5554" i="1"/>
  <c r="C5553" i="1"/>
  <c r="B5553" i="1"/>
  <c r="C5552" i="1"/>
  <c r="B5552" i="1"/>
  <c r="C5551" i="1"/>
  <c r="B5551" i="1"/>
  <c r="C5550" i="1"/>
  <c r="B5550" i="1"/>
  <c r="C5549" i="1"/>
  <c r="B5549" i="1"/>
  <c r="C5548" i="1"/>
  <c r="B5548" i="1"/>
  <c r="C5547" i="1"/>
  <c r="B5547" i="1"/>
  <c r="C5546" i="1"/>
  <c r="B5546" i="1"/>
  <c r="C5545" i="1"/>
  <c r="B5545" i="1"/>
  <c r="C5544" i="1"/>
  <c r="B5544" i="1"/>
  <c r="C5543" i="1"/>
  <c r="B5543" i="1"/>
  <c r="C5542" i="1"/>
  <c r="B5542" i="1"/>
  <c r="C5541" i="1"/>
  <c r="B5541" i="1"/>
  <c r="C5540" i="1"/>
  <c r="B5540" i="1"/>
  <c r="C5539" i="1"/>
  <c r="B5539" i="1"/>
  <c r="C5538" i="1"/>
  <c r="B5538" i="1"/>
  <c r="C5537" i="1"/>
  <c r="B5537" i="1"/>
  <c r="C5536" i="1"/>
  <c r="B5536" i="1"/>
  <c r="C5535" i="1"/>
  <c r="B5535" i="1"/>
  <c r="C5534" i="1"/>
  <c r="B5534" i="1"/>
  <c r="C5533" i="1"/>
  <c r="B5533" i="1"/>
  <c r="C5532" i="1"/>
  <c r="B5532" i="1"/>
  <c r="C5531" i="1"/>
  <c r="B5531" i="1"/>
  <c r="C5530" i="1"/>
  <c r="B5530" i="1"/>
  <c r="C5529" i="1"/>
  <c r="B5529" i="1"/>
  <c r="C5528" i="1"/>
  <c r="B5528" i="1"/>
  <c r="C5527" i="1"/>
  <c r="B5527" i="1"/>
  <c r="C5526" i="1"/>
  <c r="B5526" i="1"/>
  <c r="C5525" i="1"/>
  <c r="B5525" i="1"/>
  <c r="C5524" i="1"/>
  <c r="B5524" i="1"/>
  <c r="C5523" i="1"/>
  <c r="B5523" i="1"/>
  <c r="C5522" i="1"/>
  <c r="B5522" i="1"/>
  <c r="C5521" i="1"/>
  <c r="B5521" i="1"/>
  <c r="C5520" i="1"/>
  <c r="B5520" i="1"/>
  <c r="C5519" i="1"/>
  <c r="B5519" i="1"/>
  <c r="C5518" i="1"/>
  <c r="B5518" i="1"/>
  <c r="C5517" i="1"/>
  <c r="B5517" i="1"/>
  <c r="C5516" i="1"/>
  <c r="B5516" i="1"/>
  <c r="C5515" i="1"/>
  <c r="B5515" i="1"/>
  <c r="C5514" i="1"/>
  <c r="B5514" i="1"/>
  <c r="C5513" i="1"/>
  <c r="B5513" i="1"/>
  <c r="C5512" i="1"/>
  <c r="B5512" i="1"/>
  <c r="C5511" i="1"/>
  <c r="B5511" i="1"/>
  <c r="C5510" i="1"/>
  <c r="B5510" i="1"/>
  <c r="C5509" i="1"/>
  <c r="B5509" i="1"/>
  <c r="C5508" i="1"/>
  <c r="B5508" i="1"/>
  <c r="C5507" i="1"/>
  <c r="B5507" i="1"/>
  <c r="C5506" i="1"/>
  <c r="B5506" i="1"/>
  <c r="C5505" i="1"/>
  <c r="B5505" i="1"/>
  <c r="C5504" i="1"/>
  <c r="B5504" i="1"/>
  <c r="C5503" i="1"/>
  <c r="B5503" i="1"/>
  <c r="C5502" i="1"/>
  <c r="B5502" i="1"/>
  <c r="C5501" i="1"/>
  <c r="B5501" i="1"/>
  <c r="C5500" i="1"/>
  <c r="B5500" i="1"/>
  <c r="C5499" i="1"/>
  <c r="B5499" i="1"/>
  <c r="C5498" i="1"/>
  <c r="B5498" i="1"/>
  <c r="C5497" i="1"/>
  <c r="B5497" i="1"/>
  <c r="C5496" i="1"/>
  <c r="B5496" i="1"/>
  <c r="C5495" i="1"/>
  <c r="B5495" i="1"/>
  <c r="C5494" i="1"/>
  <c r="B5494" i="1"/>
  <c r="C5493" i="1"/>
  <c r="B5493" i="1"/>
  <c r="C5492" i="1"/>
  <c r="B5492" i="1"/>
  <c r="C5491" i="1"/>
  <c r="B5491" i="1"/>
  <c r="C5490" i="1"/>
  <c r="B5490" i="1"/>
  <c r="C5489" i="1"/>
  <c r="B5489" i="1"/>
  <c r="C5488" i="1"/>
  <c r="B5488" i="1"/>
  <c r="C5487" i="1"/>
  <c r="B5487" i="1"/>
  <c r="C5486" i="1"/>
  <c r="B5486" i="1"/>
  <c r="C5485" i="1"/>
  <c r="B5485" i="1"/>
  <c r="C5484" i="1"/>
  <c r="B5484" i="1"/>
  <c r="C5483" i="1"/>
  <c r="B5483" i="1"/>
  <c r="C5482" i="1"/>
  <c r="B5482" i="1"/>
  <c r="C5481" i="1"/>
  <c r="B5481" i="1"/>
  <c r="C5480" i="1"/>
  <c r="B5480" i="1"/>
  <c r="C5479" i="1"/>
  <c r="B5479" i="1"/>
  <c r="C5478" i="1"/>
  <c r="B5478" i="1"/>
  <c r="C5477" i="1"/>
  <c r="B5477" i="1"/>
  <c r="C5476" i="1"/>
  <c r="B5476" i="1"/>
  <c r="C5475" i="1"/>
  <c r="B5475" i="1"/>
  <c r="C5474" i="1"/>
  <c r="B5474" i="1"/>
  <c r="C5473" i="1"/>
  <c r="B5473" i="1"/>
  <c r="C5472" i="1"/>
  <c r="B5472" i="1"/>
  <c r="C5471" i="1"/>
  <c r="B5471" i="1"/>
  <c r="C5470" i="1"/>
  <c r="B5470" i="1"/>
  <c r="C5469" i="1"/>
  <c r="B5469" i="1"/>
  <c r="C5468" i="1"/>
  <c r="B5468" i="1"/>
  <c r="C5467" i="1"/>
  <c r="B5467" i="1"/>
  <c r="C5466" i="1"/>
  <c r="B5466" i="1"/>
  <c r="C5465" i="1"/>
  <c r="B5465" i="1"/>
  <c r="C5464" i="1"/>
  <c r="B5464" i="1"/>
  <c r="C5463" i="1"/>
  <c r="B5463" i="1"/>
  <c r="C5462" i="1"/>
  <c r="B5462" i="1"/>
  <c r="C5461" i="1"/>
  <c r="B5461" i="1"/>
  <c r="C5460" i="1"/>
  <c r="B5460" i="1"/>
  <c r="C5459" i="1"/>
  <c r="B5459" i="1"/>
  <c r="C5458" i="1"/>
  <c r="B5458" i="1"/>
  <c r="C5457" i="1"/>
  <c r="B5457" i="1"/>
  <c r="C5456" i="1"/>
  <c r="B5456" i="1"/>
  <c r="C5455" i="1"/>
  <c r="B5455" i="1"/>
  <c r="C5454" i="1"/>
  <c r="B5454" i="1"/>
  <c r="C5453" i="1"/>
  <c r="B5453" i="1"/>
  <c r="C5452" i="1"/>
  <c r="B5452" i="1"/>
  <c r="C5451" i="1"/>
  <c r="B5451" i="1"/>
  <c r="C5450" i="1"/>
  <c r="B5450" i="1"/>
  <c r="C5449" i="1"/>
  <c r="B5449" i="1"/>
  <c r="C5448" i="1"/>
  <c r="B5448" i="1"/>
  <c r="C5447" i="1"/>
  <c r="B5447" i="1"/>
  <c r="C5446" i="1"/>
  <c r="B5446" i="1"/>
  <c r="C5445" i="1"/>
  <c r="B5445" i="1"/>
  <c r="C5444" i="1"/>
  <c r="B5444" i="1"/>
  <c r="C5443" i="1"/>
  <c r="B5443" i="1"/>
  <c r="C5442" i="1"/>
  <c r="B5442" i="1"/>
  <c r="C5441" i="1"/>
  <c r="B5441" i="1"/>
  <c r="C5440" i="1"/>
  <c r="B5440" i="1"/>
  <c r="C5439" i="1"/>
  <c r="B5439" i="1"/>
  <c r="C5438" i="1"/>
  <c r="B5438" i="1"/>
  <c r="C5437" i="1"/>
  <c r="B5437" i="1"/>
  <c r="C5436" i="1"/>
  <c r="B5436" i="1"/>
  <c r="C5435" i="1"/>
  <c r="B5435" i="1"/>
  <c r="C5434" i="1"/>
  <c r="B5434" i="1"/>
  <c r="C5433" i="1"/>
  <c r="B5433" i="1"/>
  <c r="C5432" i="1"/>
  <c r="B5432" i="1"/>
  <c r="C5431" i="1"/>
  <c r="B5431" i="1"/>
  <c r="C5430" i="1"/>
  <c r="B5430" i="1"/>
  <c r="C5429" i="1"/>
  <c r="B5429" i="1"/>
  <c r="C5428" i="1"/>
  <c r="B5428" i="1"/>
  <c r="C5427" i="1"/>
  <c r="B5427" i="1"/>
  <c r="C5426" i="1"/>
  <c r="B5426" i="1"/>
  <c r="C5425" i="1"/>
  <c r="B5425" i="1"/>
  <c r="C5424" i="1"/>
  <c r="B5424" i="1"/>
  <c r="C5423" i="1"/>
  <c r="B5423" i="1"/>
  <c r="C5422" i="1"/>
  <c r="B5422" i="1"/>
  <c r="C5421" i="1"/>
  <c r="B5421" i="1"/>
  <c r="C5420" i="1"/>
  <c r="B5420" i="1"/>
  <c r="C5419" i="1"/>
  <c r="B5419" i="1"/>
  <c r="C5418" i="1"/>
  <c r="B5418" i="1"/>
  <c r="C5417" i="1"/>
  <c r="B5417" i="1"/>
  <c r="C5416" i="1"/>
  <c r="B5416" i="1"/>
  <c r="C5415" i="1"/>
  <c r="B5415" i="1"/>
  <c r="C5414" i="1"/>
  <c r="B5414" i="1"/>
  <c r="C5413" i="1"/>
  <c r="B5413" i="1"/>
  <c r="C5412" i="1"/>
  <c r="B5412" i="1"/>
  <c r="C5411" i="1"/>
  <c r="B5411" i="1"/>
  <c r="C5410" i="1"/>
  <c r="B5410" i="1"/>
  <c r="C5409" i="1"/>
  <c r="B5409" i="1"/>
  <c r="C5408" i="1"/>
  <c r="B5408" i="1"/>
  <c r="C5407" i="1"/>
  <c r="B5407" i="1"/>
  <c r="C5406" i="1"/>
  <c r="B5406" i="1"/>
  <c r="C5405" i="1"/>
  <c r="B5405" i="1"/>
  <c r="C5404" i="1"/>
  <c r="B5404" i="1"/>
  <c r="C5403" i="1"/>
  <c r="B5403" i="1"/>
  <c r="C5402" i="1"/>
  <c r="B5402" i="1"/>
  <c r="C5401" i="1"/>
  <c r="B5401" i="1"/>
  <c r="C5400" i="1"/>
  <c r="B5400" i="1"/>
  <c r="C5399" i="1"/>
  <c r="B5399" i="1"/>
  <c r="C5398" i="1"/>
  <c r="B5398" i="1"/>
  <c r="C5397" i="1"/>
  <c r="B5397" i="1"/>
  <c r="C5396" i="1"/>
  <c r="B5396" i="1"/>
  <c r="C5395" i="1"/>
  <c r="B5395" i="1"/>
  <c r="C5394" i="1"/>
  <c r="B5394" i="1"/>
  <c r="C5393" i="1"/>
  <c r="B5393" i="1"/>
  <c r="C5392" i="1"/>
  <c r="B5392" i="1"/>
  <c r="C5391" i="1"/>
  <c r="B5391" i="1"/>
  <c r="C5390" i="1"/>
  <c r="B5390" i="1"/>
  <c r="C5389" i="1"/>
  <c r="B5389" i="1"/>
  <c r="C5388" i="1"/>
  <c r="B5388" i="1"/>
  <c r="C5387" i="1"/>
  <c r="B5387" i="1"/>
  <c r="C5386" i="1"/>
  <c r="B5386" i="1"/>
  <c r="C5385" i="1"/>
  <c r="B5385" i="1"/>
  <c r="C5384" i="1"/>
  <c r="B5384" i="1"/>
  <c r="C5383" i="1"/>
  <c r="B5383" i="1"/>
  <c r="C5382" i="1"/>
  <c r="B5382" i="1"/>
  <c r="C5381" i="1"/>
  <c r="B5381" i="1"/>
  <c r="C5380" i="1"/>
  <c r="B5380" i="1"/>
  <c r="C5379" i="1"/>
  <c r="B5379" i="1"/>
  <c r="C5378" i="1"/>
  <c r="B5378" i="1"/>
  <c r="C5377" i="1"/>
  <c r="B5377" i="1"/>
  <c r="C5376" i="1"/>
  <c r="B5376" i="1"/>
  <c r="C5375" i="1"/>
  <c r="B5375" i="1"/>
  <c r="C5374" i="1"/>
  <c r="B5374" i="1"/>
  <c r="C5373" i="1"/>
  <c r="B5373" i="1"/>
  <c r="C5372" i="1"/>
  <c r="B5372" i="1"/>
  <c r="C5371" i="1"/>
  <c r="B5371" i="1"/>
  <c r="C5370" i="1"/>
  <c r="B5370" i="1"/>
  <c r="C5369" i="1"/>
  <c r="B5369" i="1"/>
  <c r="C5368" i="1"/>
  <c r="B5368" i="1"/>
  <c r="C5367" i="1"/>
  <c r="B5367" i="1"/>
  <c r="C5366" i="1"/>
  <c r="B5366" i="1"/>
  <c r="C5365" i="1"/>
  <c r="B5365" i="1"/>
  <c r="C5364" i="1"/>
  <c r="B5364" i="1"/>
  <c r="C5363" i="1"/>
  <c r="B5363" i="1"/>
  <c r="C5362" i="1"/>
  <c r="B5362" i="1"/>
  <c r="C5361" i="1"/>
  <c r="B5361" i="1"/>
  <c r="C5360" i="1"/>
  <c r="B5360" i="1"/>
  <c r="C5359" i="1"/>
  <c r="B5359" i="1"/>
  <c r="C5358" i="1"/>
  <c r="B5358" i="1"/>
  <c r="C5357" i="1"/>
  <c r="B5357" i="1"/>
  <c r="C5356" i="1"/>
  <c r="B5356" i="1"/>
  <c r="C5355" i="1"/>
  <c r="B5355" i="1"/>
  <c r="C5354" i="1"/>
  <c r="B5354" i="1"/>
  <c r="C5353" i="1"/>
  <c r="B5353" i="1"/>
  <c r="C5352" i="1"/>
  <c r="B5352" i="1"/>
  <c r="C5351" i="1"/>
  <c r="B5351" i="1"/>
  <c r="C5350" i="1"/>
  <c r="B5350" i="1"/>
  <c r="C5349" i="1"/>
  <c r="B5349" i="1"/>
  <c r="C5348" i="1"/>
  <c r="B5348" i="1"/>
  <c r="C5347" i="1"/>
  <c r="B5347" i="1"/>
  <c r="C5346" i="1"/>
  <c r="B5346" i="1"/>
  <c r="C5345" i="1"/>
  <c r="B5345" i="1"/>
  <c r="C5344" i="1"/>
  <c r="B5344" i="1"/>
  <c r="C5343" i="1"/>
  <c r="B5343" i="1"/>
  <c r="C5342" i="1"/>
  <c r="B5342" i="1"/>
  <c r="C5341" i="1"/>
  <c r="B5341" i="1"/>
  <c r="C5340" i="1"/>
  <c r="B5340" i="1"/>
  <c r="C5339" i="1"/>
  <c r="B5339" i="1"/>
  <c r="C5338" i="1"/>
  <c r="B5338" i="1"/>
  <c r="C5337" i="1"/>
  <c r="B5337" i="1"/>
  <c r="C5336" i="1"/>
  <c r="B5336" i="1"/>
  <c r="C5335" i="1"/>
  <c r="B5335" i="1"/>
  <c r="C5334" i="1"/>
  <c r="B5334" i="1"/>
  <c r="C5333" i="1"/>
  <c r="B5333" i="1"/>
  <c r="C5332" i="1"/>
  <c r="B5332" i="1"/>
  <c r="C5331" i="1"/>
  <c r="B5331" i="1"/>
  <c r="C5330" i="1"/>
  <c r="B5330" i="1"/>
  <c r="C5329" i="1"/>
  <c r="B5329" i="1"/>
  <c r="C5328" i="1"/>
  <c r="B5328" i="1"/>
  <c r="C5327" i="1"/>
  <c r="B5327" i="1"/>
  <c r="C5326" i="1"/>
  <c r="B5326" i="1"/>
  <c r="C5325" i="1"/>
  <c r="B5325" i="1"/>
  <c r="C5324" i="1"/>
  <c r="B5324" i="1"/>
  <c r="C5323" i="1"/>
  <c r="B5323" i="1"/>
  <c r="C5322" i="1"/>
  <c r="B5322" i="1"/>
  <c r="C5321" i="1"/>
  <c r="B5321" i="1"/>
  <c r="C5320" i="1"/>
  <c r="B5320" i="1"/>
  <c r="C5319" i="1"/>
  <c r="B5319" i="1"/>
  <c r="C5318" i="1"/>
  <c r="B5318" i="1"/>
  <c r="C5317" i="1"/>
  <c r="B5317" i="1"/>
  <c r="C5316" i="1"/>
  <c r="B5316" i="1"/>
  <c r="C5315" i="1"/>
  <c r="B5315" i="1"/>
  <c r="C5314" i="1"/>
  <c r="B5314" i="1"/>
  <c r="C5313" i="1"/>
  <c r="B5313" i="1"/>
  <c r="C5312" i="1"/>
  <c r="B5312" i="1"/>
  <c r="C5311" i="1"/>
  <c r="B5311" i="1"/>
  <c r="C5310" i="1"/>
  <c r="B5310" i="1"/>
  <c r="C5309" i="1"/>
  <c r="B5309" i="1"/>
  <c r="C5308" i="1"/>
  <c r="B5308" i="1"/>
  <c r="C5307" i="1"/>
  <c r="B5307" i="1"/>
  <c r="C5306" i="1"/>
  <c r="B5306" i="1"/>
  <c r="C5305" i="1"/>
  <c r="B5305" i="1"/>
  <c r="C5304" i="1"/>
  <c r="B5304" i="1"/>
  <c r="C5303" i="1"/>
  <c r="B5303" i="1"/>
  <c r="C5302" i="1"/>
  <c r="B5302" i="1"/>
  <c r="C5301" i="1"/>
  <c r="B5301" i="1"/>
  <c r="C5300" i="1"/>
  <c r="B5300" i="1"/>
  <c r="C5299" i="1"/>
  <c r="B5299" i="1"/>
  <c r="C5298" i="1"/>
  <c r="B5298" i="1"/>
  <c r="C5297" i="1"/>
  <c r="B5297" i="1"/>
  <c r="C5296" i="1"/>
  <c r="B5296" i="1"/>
  <c r="C5295" i="1"/>
  <c r="B5295" i="1"/>
  <c r="C5294" i="1"/>
  <c r="B5294" i="1"/>
  <c r="C5293" i="1"/>
  <c r="B5293" i="1"/>
  <c r="C5292" i="1"/>
  <c r="B5292" i="1"/>
  <c r="C5291" i="1"/>
  <c r="B5291" i="1"/>
  <c r="C5290" i="1"/>
  <c r="B5290" i="1"/>
  <c r="C5289" i="1"/>
  <c r="B5289" i="1"/>
  <c r="C5288" i="1"/>
  <c r="B5288" i="1"/>
  <c r="C5287" i="1"/>
  <c r="B5287" i="1"/>
  <c r="C5286" i="1"/>
  <c r="B5286" i="1"/>
  <c r="C5285" i="1"/>
  <c r="B5285" i="1"/>
  <c r="C5284" i="1"/>
  <c r="B5284" i="1"/>
  <c r="C5283" i="1"/>
  <c r="B5283" i="1"/>
  <c r="C5282" i="1"/>
  <c r="B5282" i="1"/>
  <c r="C5281" i="1"/>
  <c r="B5281" i="1"/>
  <c r="C5280" i="1"/>
  <c r="B5280" i="1"/>
  <c r="C5279" i="1"/>
  <c r="B5279" i="1"/>
  <c r="C5278" i="1"/>
  <c r="B5278" i="1"/>
  <c r="C5277" i="1"/>
  <c r="B5277" i="1"/>
  <c r="C5276" i="1"/>
  <c r="B5276" i="1"/>
  <c r="C5275" i="1"/>
  <c r="B5275" i="1"/>
  <c r="C5274" i="1"/>
  <c r="B5274" i="1"/>
  <c r="C5273" i="1"/>
  <c r="B5273" i="1"/>
  <c r="C5272" i="1"/>
  <c r="B5272" i="1"/>
  <c r="C5271" i="1"/>
  <c r="B5271" i="1"/>
  <c r="C5270" i="1"/>
  <c r="B5270" i="1"/>
  <c r="C5269" i="1"/>
  <c r="B5269" i="1"/>
  <c r="C5268" i="1"/>
  <c r="B5268" i="1"/>
  <c r="C5267" i="1"/>
  <c r="B5267" i="1"/>
  <c r="C5266" i="1"/>
  <c r="B5266" i="1"/>
  <c r="C5265" i="1"/>
  <c r="B5265" i="1"/>
  <c r="C5264" i="1"/>
  <c r="B5264" i="1"/>
  <c r="C5263" i="1"/>
  <c r="B5263" i="1"/>
  <c r="C5262" i="1"/>
  <c r="B5262" i="1"/>
  <c r="C5261" i="1"/>
  <c r="B5261" i="1"/>
  <c r="C5260" i="1"/>
  <c r="B5260" i="1"/>
  <c r="C5259" i="1"/>
  <c r="B5259" i="1"/>
  <c r="C5258" i="1"/>
  <c r="B5258" i="1"/>
  <c r="C5257" i="1"/>
  <c r="B5257" i="1"/>
  <c r="C5256" i="1"/>
  <c r="B5256" i="1"/>
  <c r="C5255" i="1"/>
  <c r="B5255" i="1"/>
  <c r="C5254" i="1"/>
  <c r="B5254" i="1"/>
  <c r="C5253" i="1"/>
  <c r="B5253" i="1"/>
  <c r="C5252" i="1"/>
  <c r="B5252" i="1"/>
  <c r="C5251" i="1"/>
  <c r="B5251" i="1"/>
  <c r="C5250" i="1"/>
  <c r="B5250" i="1"/>
  <c r="C5249" i="1"/>
  <c r="B5249" i="1"/>
  <c r="C5248" i="1"/>
  <c r="B5248" i="1"/>
  <c r="C5247" i="1"/>
  <c r="B5247" i="1"/>
  <c r="C5246" i="1"/>
  <c r="B5246" i="1"/>
  <c r="C5245" i="1"/>
  <c r="B5245" i="1"/>
  <c r="C5244" i="1"/>
  <c r="B5244" i="1"/>
  <c r="C5243" i="1"/>
  <c r="B5243" i="1"/>
  <c r="C5242" i="1"/>
  <c r="B5242" i="1"/>
  <c r="C5241" i="1"/>
  <c r="B5241" i="1"/>
  <c r="C5240" i="1"/>
  <c r="B5240" i="1"/>
  <c r="C5239" i="1"/>
  <c r="B5239" i="1"/>
  <c r="C5238" i="1"/>
  <c r="B5238" i="1"/>
  <c r="C5237" i="1"/>
  <c r="B5237" i="1"/>
  <c r="C5236" i="1"/>
  <c r="B5236" i="1"/>
  <c r="C5235" i="1"/>
  <c r="B5235" i="1"/>
  <c r="C5234" i="1"/>
  <c r="B5234" i="1"/>
  <c r="C5233" i="1"/>
  <c r="B5233" i="1"/>
  <c r="C5232" i="1"/>
  <c r="B5232" i="1"/>
  <c r="C5231" i="1"/>
  <c r="B5231" i="1"/>
  <c r="C5230" i="1"/>
  <c r="B5230" i="1"/>
  <c r="C5229" i="1"/>
  <c r="B5229" i="1"/>
  <c r="C5228" i="1"/>
  <c r="B5228" i="1"/>
  <c r="C5227" i="1"/>
  <c r="B5227" i="1"/>
  <c r="C5226" i="1"/>
  <c r="B5226" i="1"/>
  <c r="C5225" i="1"/>
  <c r="B5225" i="1"/>
  <c r="C5224" i="1"/>
  <c r="B5224" i="1"/>
  <c r="C5223" i="1"/>
  <c r="B5223" i="1"/>
  <c r="C5222" i="1"/>
  <c r="B5222" i="1"/>
  <c r="C5221" i="1"/>
  <c r="B5221" i="1"/>
  <c r="C5220" i="1"/>
  <c r="B5220" i="1"/>
  <c r="C5219" i="1"/>
  <c r="B5219" i="1"/>
  <c r="C5218" i="1"/>
  <c r="B5218" i="1"/>
  <c r="C5217" i="1"/>
  <c r="B5217" i="1"/>
  <c r="C5216" i="1"/>
  <c r="B5216" i="1"/>
  <c r="C5215" i="1"/>
  <c r="B5215" i="1"/>
  <c r="C5214" i="1"/>
  <c r="B5214" i="1"/>
  <c r="C5213" i="1"/>
  <c r="B5213" i="1"/>
  <c r="C5212" i="1"/>
  <c r="B5212" i="1"/>
  <c r="C5211" i="1"/>
  <c r="B5211" i="1"/>
  <c r="C5210" i="1"/>
  <c r="B5210" i="1"/>
  <c r="C5209" i="1"/>
  <c r="B5209" i="1"/>
  <c r="C5208" i="1"/>
  <c r="B5208" i="1"/>
  <c r="C5207" i="1"/>
  <c r="B5207" i="1"/>
  <c r="C5206" i="1"/>
  <c r="B5206" i="1"/>
  <c r="C5205" i="1"/>
  <c r="B5205" i="1"/>
  <c r="C5204" i="1"/>
  <c r="B5204" i="1"/>
  <c r="C5203" i="1"/>
  <c r="B5203" i="1"/>
  <c r="C5202" i="1"/>
  <c r="B5202" i="1"/>
  <c r="C5201" i="1"/>
  <c r="B5201" i="1"/>
  <c r="C5200" i="1"/>
  <c r="B5200" i="1"/>
  <c r="C5199" i="1"/>
  <c r="B5199" i="1"/>
  <c r="C5198" i="1"/>
  <c r="B5198" i="1"/>
  <c r="C5197" i="1"/>
  <c r="B5197" i="1"/>
  <c r="C5196" i="1"/>
  <c r="B5196" i="1"/>
  <c r="C5195" i="1"/>
  <c r="B5195" i="1"/>
  <c r="C5194" i="1"/>
  <c r="B5194" i="1"/>
  <c r="C5193" i="1"/>
  <c r="B5193" i="1"/>
  <c r="C5192" i="1"/>
  <c r="B5192" i="1"/>
  <c r="C5191" i="1"/>
  <c r="B5191" i="1"/>
  <c r="C5190" i="1"/>
  <c r="B5190" i="1"/>
  <c r="C5189" i="1"/>
  <c r="B5189" i="1"/>
  <c r="C5188" i="1"/>
  <c r="B5188" i="1"/>
  <c r="C5187" i="1"/>
  <c r="B5187" i="1"/>
  <c r="C5186" i="1"/>
  <c r="B5186" i="1"/>
  <c r="C5185" i="1"/>
  <c r="B5185" i="1"/>
  <c r="C5184" i="1"/>
  <c r="B5184" i="1"/>
  <c r="C5183" i="1"/>
  <c r="B5183" i="1"/>
  <c r="C5182" i="1"/>
  <c r="B5182" i="1"/>
  <c r="C5181" i="1"/>
  <c r="B5181" i="1"/>
  <c r="C5180" i="1"/>
  <c r="B5180" i="1"/>
  <c r="C5179" i="1"/>
  <c r="B5179" i="1"/>
  <c r="C5178" i="1"/>
  <c r="B5178" i="1"/>
  <c r="C5177" i="1"/>
  <c r="B5177" i="1"/>
  <c r="C5176" i="1"/>
  <c r="B5176" i="1"/>
  <c r="C5175" i="1"/>
  <c r="B5175" i="1"/>
  <c r="C5174" i="1"/>
  <c r="B5174" i="1"/>
  <c r="C5173" i="1"/>
  <c r="B5173" i="1"/>
  <c r="C5172" i="1"/>
  <c r="B5172" i="1"/>
  <c r="C5171" i="1"/>
  <c r="B5171" i="1"/>
  <c r="C5170" i="1"/>
  <c r="B5170" i="1"/>
  <c r="C5169" i="1"/>
  <c r="B5169" i="1"/>
  <c r="C5168" i="1"/>
  <c r="B5168" i="1"/>
  <c r="C5167" i="1"/>
  <c r="B5167" i="1"/>
  <c r="C5166" i="1"/>
  <c r="B5166" i="1"/>
  <c r="C5165" i="1"/>
  <c r="B5165" i="1"/>
  <c r="C5164" i="1"/>
  <c r="B5164" i="1"/>
  <c r="C5163" i="1"/>
  <c r="B5163" i="1"/>
  <c r="C5162" i="1"/>
  <c r="B5162" i="1"/>
  <c r="C5161" i="1"/>
  <c r="B5161" i="1"/>
  <c r="C5160" i="1"/>
  <c r="B5160" i="1"/>
  <c r="C5159" i="1"/>
  <c r="B5159" i="1"/>
  <c r="C5158" i="1"/>
  <c r="B5158" i="1"/>
  <c r="C5157" i="1"/>
  <c r="B5157" i="1"/>
  <c r="C5156" i="1"/>
  <c r="B5156" i="1"/>
  <c r="C5155" i="1"/>
  <c r="B5155" i="1"/>
  <c r="C5154" i="1"/>
  <c r="B5154" i="1"/>
  <c r="C5153" i="1"/>
  <c r="B5153" i="1"/>
  <c r="C5152" i="1"/>
  <c r="B5152" i="1"/>
  <c r="C5151" i="1"/>
  <c r="B5151" i="1"/>
  <c r="C5150" i="1"/>
  <c r="B5150" i="1"/>
  <c r="C5149" i="1"/>
  <c r="B5149" i="1"/>
  <c r="C5148" i="1"/>
  <c r="B5148" i="1"/>
  <c r="C5147" i="1"/>
  <c r="B5147" i="1"/>
  <c r="C5146" i="1"/>
  <c r="B5146" i="1"/>
  <c r="C5145" i="1"/>
  <c r="B5145" i="1"/>
  <c r="C5144" i="1"/>
  <c r="B5144" i="1"/>
  <c r="C5143" i="1"/>
  <c r="B5143" i="1"/>
  <c r="C5142" i="1"/>
  <c r="B5142" i="1"/>
  <c r="C5141" i="1"/>
  <c r="B5141" i="1"/>
  <c r="C5140" i="1"/>
  <c r="B5140" i="1"/>
  <c r="C5139" i="1"/>
  <c r="B5139" i="1"/>
  <c r="C5138" i="1"/>
  <c r="B5138" i="1"/>
  <c r="C5137" i="1"/>
  <c r="B5137" i="1"/>
  <c r="C5136" i="1"/>
  <c r="B5136" i="1"/>
  <c r="C5135" i="1"/>
  <c r="B5135" i="1"/>
  <c r="C5134" i="1"/>
  <c r="B5134" i="1"/>
  <c r="C5133" i="1"/>
  <c r="B5133" i="1"/>
  <c r="C5132" i="1"/>
  <c r="B5132" i="1"/>
  <c r="C5131" i="1"/>
  <c r="B5131" i="1"/>
  <c r="C5130" i="1"/>
  <c r="B5130" i="1"/>
  <c r="C5129" i="1"/>
  <c r="B5129" i="1"/>
  <c r="C5128" i="1"/>
  <c r="B5128" i="1"/>
  <c r="C5127" i="1"/>
  <c r="B5127" i="1"/>
  <c r="C5126" i="1"/>
  <c r="B5126" i="1"/>
  <c r="C5125" i="1"/>
  <c r="B5125" i="1"/>
  <c r="C5124" i="1"/>
  <c r="B5124" i="1"/>
  <c r="C5123" i="1"/>
  <c r="B5123" i="1"/>
  <c r="C5122" i="1"/>
  <c r="B5122" i="1"/>
  <c r="C5121" i="1"/>
  <c r="B5121" i="1"/>
  <c r="C5120" i="1"/>
  <c r="B5120" i="1"/>
  <c r="C5119" i="1"/>
  <c r="B5119" i="1"/>
  <c r="C5118" i="1"/>
  <c r="B5118" i="1"/>
  <c r="C5117" i="1"/>
  <c r="B5117" i="1"/>
  <c r="C5116" i="1"/>
  <c r="B5116" i="1"/>
  <c r="C5115" i="1"/>
  <c r="B5115" i="1"/>
  <c r="C5114" i="1"/>
  <c r="B5114" i="1"/>
  <c r="C5113" i="1"/>
  <c r="B5113" i="1"/>
  <c r="C5112" i="1"/>
  <c r="B5112" i="1"/>
  <c r="C5111" i="1"/>
  <c r="B5111" i="1"/>
  <c r="C5110" i="1"/>
  <c r="B5110" i="1"/>
  <c r="C5109" i="1"/>
  <c r="B5109" i="1"/>
  <c r="C5108" i="1"/>
  <c r="B5108" i="1"/>
  <c r="C5107" i="1"/>
  <c r="B5107" i="1"/>
  <c r="C5106" i="1"/>
  <c r="B5106" i="1"/>
  <c r="C5105" i="1"/>
  <c r="B5105" i="1"/>
  <c r="C5104" i="1"/>
  <c r="B5104" i="1"/>
  <c r="C5103" i="1"/>
  <c r="B5103" i="1"/>
  <c r="C5102" i="1"/>
  <c r="B5102" i="1"/>
  <c r="C5101" i="1"/>
  <c r="B5101" i="1"/>
  <c r="C5100" i="1"/>
  <c r="B5100" i="1"/>
  <c r="C5099" i="1"/>
  <c r="B5099" i="1"/>
  <c r="C5098" i="1"/>
  <c r="B5098" i="1"/>
  <c r="C5097" i="1"/>
  <c r="B5097" i="1"/>
  <c r="C5096" i="1"/>
  <c r="B5096" i="1"/>
  <c r="C5095" i="1"/>
  <c r="B5095" i="1"/>
  <c r="C5094" i="1"/>
  <c r="B5094" i="1"/>
  <c r="C5093" i="1"/>
  <c r="B5093" i="1"/>
  <c r="C5092" i="1"/>
  <c r="B5092" i="1"/>
  <c r="C5091" i="1"/>
  <c r="B5091" i="1"/>
  <c r="C5090" i="1"/>
  <c r="B5090" i="1"/>
  <c r="C5089" i="1"/>
  <c r="B5089" i="1"/>
  <c r="C5088" i="1"/>
  <c r="B5088" i="1"/>
  <c r="C5087" i="1"/>
  <c r="B5087" i="1"/>
  <c r="C5086" i="1"/>
  <c r="B5086" i="1"/>
  <c r="C5085" i="1"/>
  <c r="B5085" i="1"/>
  <c r="C5084" i="1"/>
  <c r="B5084" i="1"/>
  <c r="C5083" i="1"/>
  <c r="B5083" i="1"/>
  <c r="C5082" i="1"/>
  <c r="B5082" i="1"/>
  <c r="C5081" i="1"/>
  <c r="B5081" i="1"/>
  <c r="C5080" i="1"/>
  <c r="B5080" i="1"/>
  <c r="C5079" i="1"/>
  <c r="B5079" i="1"/>
  <c r="C5078" i="1"/>
  <c r="B5078" i="1"/>
  <c r="C5077" i="1"/>
  <c r="B5077" i="1"/>
  <c r="C5076" i="1"/>
  <c r="B5076" i="1"/>
  <c r="C5075" i="1"/>
  <c r="B5075" i="1"/>
  <c r="C5074" i="1"/>
  <c r="B5074" i="1"/>
  <c r="C5073" i="1"/>
  <c r="B5073" i="1"/>
  <c r="C5072" i="1"/>
  <c r="B5072" i="1"/>
  <c r="C5071" i="1"/>
  <c r="B5071" i="1"/>
  <c r="C5070" i="1"/>
  <c r="B5070" i="1"/>
  <c r="C5069" i="1"/>
  <c r="B5069" i="1"/>
  <c r="C5068" i="1"/>
  <c r="B5068" i="1"/>
  <c r="C5067" i="1"/>
  <c r="B5067" i="1"/>
  <c r="C5066" i="1"/>
  <c r="B5066" i="1"/>
  <c r="C5065" i="1"/>
  <c r="B5065" i="1"/>
  <c r="C5064" i="1"/>
  <c r="B5064" i="1"/>
  <c r="C5063" i="1"/>
  <c r="B5063" i="1"/>
  <c r="C5062" i="1"/>
  <c r="B5062" i="1"/>
  <c r="C5061" i="1"/>
  <c r="B5061" i="1"/>
  <c r="C5060" i="1"/>
  <c r="B5060" i="1"/>
  <c r="C5059" i="1"/>
  <c r="B5059" i="1"/>
  <c r="C5058" i="1"/>
  <c r="B5058" i="1"/>
  <c r="C5057" i="1"/>
  <c r="B5057" i="1"/>
  <c r="C5056" i="1"/>
  <c r="B5056" i="1"/>
  <c r="C5055" i="1"/>
  <c r="B5055" i="1"/>
  <c r="C5054" i="1"/>
  <c r="B5054" i="1"/>
  <c r="C5053" i="1"/>
  <c r="B5053" i="1"/>
  <c r="C5052" i="1"/>
  <c r="B5052" i="1"/>
  <c r="C5051" i="1"/>
  <c r="B5051" i="1"/>
  <c r="C5050" i="1"/>
  <c r="B5050" i="1"/>
  <c r="C5049" i="1"/>
  <c r="B5049" i="1"/>
  <c r="C5048" i="1"/>
  <c r="B5048" i="1"/>
  <c r="C5047" i="1"/>
  <c r="B5047" i="1"/>
  <c r="C5046" i="1"/>
  <c r="B5046" i="1"/>
  <c r="C5045" i="1"/>
  <c r="B5045" i="1"/>
  <c r="C5044" i="1"/>
  <c r="B5044" i="1"/>
  <c r="C5043" i="1"/>
  <c r="B5043" i="1"/>
  <c r="C5042" i="1"/>
  <c r="B5042" i="1"/>
  <c r="C5041" i="1"/>
  <c r="B5041" i="1"/>
  <c r="C5040" i="1"/>
  <c r="B5040" i="1"/>
  <c r="C5039" i="1"/>
  <c r="B5039" i="1"/>
  <c r="C5038" i="1"/>
  <c r="B5038" i="1"/>
  <c r="C5037" i="1"/>
  <c r="B5037" i="1"/>
  <c r="C5036" i="1"/>
  <c r="B5036" i="1"/>
  <c r="C5035" i="1"/>
  <c r="B5035" i="1"/>
  <c r="C5034" i="1"/>
  <c r="B5034" i="1"/>
  <c r="C5033" i="1"/>
  <c r="B5033" i="1"/>
  <c r="C5032" i="1"/>
  <c r="B5032" i="1"/>
  <c r="C5031" i="1"/>
  <c r="B5031" i="1"/>
  <c r="C5030" i="1"/>
  <c r="B5030" i="1"/>
  <c r="C5029" i="1"/>
  <c r="B5029" i="1"/>
  <c r="C5028" i="1"/>
  <c r="B5028" i="1"/>
  <c r="C5027" i="1"/>
  <c r="B5027" i="1"/>
  <c r="C5026" i="1"/>
  <c r="B5026" i="1"/>
  <c r="C5025" i="1"/>
  <c r="B5025" i="1"/>
  <c r="C5024" i="1"/>
  <c r="B5024" i="1"/>
  <c r="C5023" i="1"/>
  <c r="B5023" i="1"/>
  <c r="C5022" i="1"/>
  <c r="B5022" i="1"/>
  <c r="C5021" i="1"/>
  <c r="B5021" i="1"/>
  <c r="C5020" i="1"/>
  <c r="B5020" i="1"/>
  <c r="C5019" i="1"/>
  <c r="B5019" i="1"/>
  <c r="C5018" i="1"/>
  <c r="B5018" i="1"/>
  <c r="C5017" i="1"/>
  <c r="B5017" i="1"/>
  <c r="C5016" i="1"/>
  <c r="B5016" i="1"/>
  <c r="C5015" i="1"/>
  <c r="B5015" i="1"/>
  <c r="C5014" i="1"/>
  <c r="B5014" i="1"/>
  <c r="C5013" i="1"/>
  <c r="B5013" i="1"/>
  <c r="C5012" i="1"/>
  <c r="B5012" i="1"/>
  <c r="C5011" i="1"/>
  <c r="B5011" i="1"/>
  <c r="C5010" i="1"/>
  <c r="B5010" i="1"/>
  <c r="C5009" i="1"/>
  <c r="B5009" i="1"/>
  <c r="C5008" i="1"/>
  <c r="B5008" i="1"/>
  <c r="C5007" i="1"/>
  <c r="B5007" i="1"/>
  <c r="C5006" i="1"/>
  <c r="B5006" i="1"/>
  <c r="C5005" i="1"/>
  <c r="B5005" i="1"/>
  <c r="C5004" i="1"/>
  <c r="B5004" i="1"/>
  <c r="C5003" i="1"/>
  <c r="B5003" i="1"/>
  <c r="C5002" i="1"/>
  <c r="B5002" i="1"/>
  <c r="C5001" i="1"/>
  <c r="B5001" i="1"/>
  <c r="C5000" i="1"/>
  <c r="B5000" i="1"/>
  <c r="C4999" i="1"/>
  <c r="B4999" i="1"/>
  <c r="C4998" i="1"/>
  <c r="B4998" i="1"/>
  <c r="C4997" i="1"/>
  <c r="B4997" i="1"/>
  <c r="C4996" i="1"/>
  <c r="B4996" i="1"/>
  <c r="C4995" i="1"/>
  <c r="B4995" i="1"/>
  <c r="C4994" i="1"/>
  <c r="B4994" i="1"/>
  <c r="C4993" i="1"/>
  <c r="B4993" i="1"/>
  <c r="C4992" i="1"/>
  <c r="B4992" i="1"/>
  <c r="C4991" i="1"/>
  <c r="B4991" i="1"/>
  <c r="C4990" i="1"/>
  <c r="B4990" i="1"/>
  <c r="C4989" i="1"/>
  <c r="B4989" i="1"/>
  <c r="C4988" i="1"/>
  <c r="B4988" i="1"/>
  <c r="C4987" i="1"/>
  <c r="B4987" i="1"/>
  <c r="C4986" i="1"/>
  <c r="B4986" i="1"/>
  <c r="C4985" i="1"/>
  <c r="B4985" i="1"/>
  <c r="C4984" i="1"/>
  <c r="B4984" i="1"/>
  <c r="C4983" i="1"/>
  <c r="B4983" i="1"/>
  <c r="C4982" i="1"/>
  <c r="B4982" i="1"/>
  <c r="C4981" i="1"/>
  <c r="B4981" i="1"/>
  <c r="C4980" i="1"/>
  <c r="B4980" i="1"/>
  <c r="C4979" i="1"/>
  <c r="B4979" i="1"/>
  <c r="C4978" i="1"/>
  <c r="B4978" i="1"/>
  <c r="C4977" i="1"/>
  <c r="B4977" i="1"/>
  <c r="C4976" i="1"/>
  <c r="B4976" i="1"/>
  <c r="C4975" i="1"/>
  <c r="B4975" i="1"/>
  <c r="C4974" i="1"/>
  <c r="B4974" i="1"/>
  <c r="C4973" i="1"/>
  <c r="B4973" i="1"/>
  <c r="C4972" i="1"/>
  <c r="B4972" i="1"/>
  <c r="C4971" i="1"/>
  <c r="B4971" i="1"/>
  <c r="C4970" i="1"/>
  <c r="B4970" i="1"/>
  <c r="C4969" i="1"/>
  <c r="B4969" i="1"/>
  <c r="C4968" i="1"/>
  <c r="B4968" i="1"/>
  <c r="C4967" i="1"/>
  <c r="B4967" i="1"/>
  <c r="C4966" i="1"/>
  <c r="B4966" i="1"/>
  <c r="C4965" i="1"/>
  <c r="B4965" i="1"/>
  <c r="C4964" i="1"/>
  <c r="B4964" i="1"/>
  <c r="C4963" i="1"/>
  <c r="B4963" i="1"/>
  <c r="C4962" i="1"/>
  <c r="B4962" i="1"/>
  <c r="C4961" i="1"/>
  <c r="B4961" i="1"/>
  <c r="C4960" i="1"/>
  <c r="B4960" i="1"/>
  <c r="C4959" i="1"/>
  <c r="B4959" i="1"/>
  <c r="C4958" i="1"/>
  <c r="B4958" i="1"/>
  <c r="C4957" i="1"/>
  <c r="B4957" i="1"/>
  <c r="C4956" i="1"/>
  <c r="B4956" i="1"/>
  <c r="C4955" i="1"/>
  <c r="B4955" i="1"/>
  <c r="C4954" i="1"/>
  <c r="B4954" i="1"/>
  <c r="C4953" i="1"/>
  <c r="B4953" i="1"/>
  <c r="C4952" i="1"/>
  <c r="B4952" i="1"/>
  <c r="C4951" i="1"/>
  <c r="B4951" i="1"/>
  <c r="C4950" i="1"/>
  <c r="B4950" i="1"/>
  <c r="C4949" i="1"/>
  <c r="B4949" i="1"/>
  <c r="C4948" i="1"/>
  <c r="B4948" i="1"/>
  <c r="C4947" i="1"/>
  <c r="B4947" i="1"/>
  <c r="C4946" i="1"/>
  <c r="B4946" i="1"/>
  <c r="C4945" i="1"/>
  <c r="B4945" i="1"/>
  <c r="C4944" i="1"/>
  <c r="B4944" i="1"/>
  <c r="C4943" i="1"/>
  <c r="B4943" i="1"/>
  <c r="C4942" i="1"/>
  <c r="B4942" i="1"/>
  <c r="C4941" i="1"/>
  <c r="B4941" i="1"/>
  <c r="C4940" i="1"/>
  <c r="B4940" i="1"/>
  <c r="C4939" i="1"/>
  <c r="B4939" i="1"/>
  <c r="C4938" i="1"/>
  <c r="B4938" i="1"/>
  <c r="C4937" i="1"/>
  <c r="B4937" i="1"/>
  <c r="C4936" i="1"/>
  <c r="B4936" i="1"/>
  <c r="C4935" i="1"/>
  <c r="B4935" i="1"/>
  <c r="C4934" i="1"/>
  <c r="B4934" i="1"/>
  <c r="C4933" i="1"/>
  <c r="B4933" i="1"/>
  <c r="C4932" i="1"/>
  <c r="B4932" i="1"/>
  <c r="C4931" i="1"/>
  <c r="B4931" i="1"/>
  <c r="C4930" i="1"/>
  <c r="B4930" i="1"/>
  <c r="C4929" i="1"/>
  <c r="B4929" i="1"/>
  <c r="C4928" i="1"/>
  <c r="B4928" i="1"/>
  <c r="C4927" i="1"/>
  <c r="B4927" i="1"/>
  <c r="C4926" i="1"/>
  <c r="B4926" i="1"/>
  <c r="C4925" i="1"/>
  <c r="B4925" i="1"/>
  <c r="C4924" i="1"/>
  <c r="B4924" i="1"/>
  <c r="C4923" i="1"/>
  <c r="B4923" i="1"/>
  <c r="C4922" i="1"/>
  <c r="B4922" i="1"/>
  <c r="C4921" i="1"/>
  <c r="B4921" i="1"/>
  <c r="C4920" i="1"/>
  <c r="B4920" i="1"/>
  <c r="C4919" i="1"/>
  <c r="B4919" i="1"/>
  <c r="C4918" i="1"/>
  <c r="B4918" i="1"/>
  <c r="C4917" i="1"/>
  <c r="B4917" i="1"/>
  <c r="C4916" i="1"/>
  <c r="B4916" i="1"/>
  <c r="C4915" i="1"/>
  <c r="B4915" i="1"/>
  <c r="C4914" i="1"/>
  <c r="B4914" i="1"/>
  <c r="C4913" i="1"/>
  <c r="B4913" i="1"/>
  <c r="C4912" i="1"/>
  <c r="B4912" i="1"/>
  <c r="C4911" i="1"/>
  <c r="B4911" i="1"/>
  <c r="C4910" i="1"/>
  <c r="B4910" i="1"/>
  <c r="C4909" i="1"/>
  <c r="B4909" i="1"/>
  <c r="C4908" i="1"/>
  <c r="B4908" i="1"/>
  <c r="C4907" i="1"/>
  <c r="B4907" i="1"/>
  <c r="C4906" i="1"/>
  <c r="B4906" i="1"/>
  <c r="C4905" i="1"/>
  <c r="B4905" i="1"/>
  <c r="C4904" i="1"/>
  <c r="B4904" i="1"/>
  <c r="C4903" i="1"/>
  <c r="B4903" i="1"/>
  <c r="C4902" i="1"/>
  <c r="B4902" i="1"/>
  <c r="C4901" i="1"/>
  <c r="B4901" i="1"/>
  <c r="C4900" i="1"/>
  <c r="B4900" i="1"/>
  <c r="C4899" i="1"/>
  <c r="B4899" i="1"/>
  <c r="C4898" i="1"/>
  <c r="B4898" i="1"/>
  <c r="C4897" i="1"/>
  <c r="B4897" i="1"/>
  <c r="C4896" i="1"/>
  <c r="B4896" i="1"/>
  <c r="C4895" i="1"/>
  <c r="B4895" i="1"/>
  <c r="C4894" i="1"/>
  <c r="B4894" i="1"/>
  <c r="C4893" i="1"/>
  <c r="B4893" i="1"/>
  <c r="C4892" i="1"/>
  <c r="B4892" i="1"/>
  <c r="C4891" i="1"/>
  <c r="B4891" i="1"/>
  <c r="C4890" i="1"/>
  <c r="B4890" i="1"/>
  <c r="C4889" i="1"/>
  <c r="B4889" i="1"/>
  <c r="C4888" i="1"/>
  <c r="B4888" i="1"/>
  <c r="C4887" i="1"/>
  <c r="B4887" i="1"/>
  <c r="C4886" i="1"/>
  <c r="B4886" i="1"/>
  <c r="C4885" i="1"/>
  <c r="B4885" i="1"/>
  <c r="C4884" i="1"/>
  <c r="B4884" i="1"/>
  <c r="C4883" i="1"/>
  <c r="B4883" i="1"/>
  <c r="C4882" i="1"/>
  <c r="B4882" i="1"/>
  <c r="C4881" i="1"/>
  <c r="B4881" i="1"/>
  <c r="C4880" i="1"/>
  <c r="B4880" i="1"/>
  <c r="C4879" i="1"/>
  <c r="B4879" i="1"/>
  <c r="C4878" i="1"/>
  <c r="B4878" i="1"/>
  <c r="C4877" i="1"/>
  <c r="B4877" i="1"/>
  <c r="C4876" i="1"/>
  <c r="B4876" i="1"/>
  <c r="C4875" i="1"/>
  <c r="B4875" i="1"/>
  <c r="C4874" i="1"/>
  <c r="B4874" i="1"/>
  <c r="C4873" i="1"/>
  <c r="B4873" i="1"/>
  <c r="C4872" i="1"/>
  <c r="B4872" i="1"/>
  <c r="C4871" i="1"/>
  <c r="B4871" i="1"/>
  <c r="C4870" i="1"/>
  <c r="B4870" i="1"/>
  <c r="C4869" i="1"/>
  <c r="B4869" i="1"/>
  <c r="C4868" i="1"/>
  <c r="B4868" i="1"/>
  <c r="C4867" i="1"/>
  <c r="B4867" i="1"/>
  <c r="C4866" i="1"/>
  <c r="B4866" i="1"/>
  <c r="C4865" i="1"/>
  <c r="B4865" i="1"/>
  <c r="C4864" i="1"/>
  <c r="B4864" i="1"/>
  <c r="C4863" i="1"/>
  <c r="B4863" i="1"/>
  <c r="C4862" i="1"/>
  <c r="B4862" i="1"/>
  <c r="C4861" i="1"/>
  <c r="B4861" i="1"/>
  <c r="C4860" i="1"/>
  <c r="B4860" i="1"/>
  <c r="C4859" i="1"/>
  <c r="B4859" i="1"/>
  <c r="C4858" i="1"/>
  <c r="B4858" i="1"/>
  <c r="C4857" i="1"/>
  <c r="B4857" i="1"/>
  <c r="C4856" i="1"/>
  <c r="B4856" i="1"/>
  <c r="C4855" i="1"/>
  <c r="B4855" i="1"/>
  <c r="C4854" i="1"/>
  <c r="B4854" i="1"/>
  <c r="C4853" i="1"/>
  <c r="B4853" i="1"/>
  <c r="C4852" i="1"/>
  <c r="B4852" i="1"/>
  <c r="C4851" i="1"/>
  <c r="B4851" i="1"/>
  <c r="C4850" i="1"/>
  <c r="B4850" i="1"/>
  <c r="C4849" i="1"/>
  <c r="B4849" i="1"/>
  <c r="C4848" i="1"/>
  <c r="B4848" i="1"/>
  <c r="C4847" i="1"/>
  <c r="B4847" i="1"/>
  <c r="C4846" i="1"/>
  <c r="B4846" i="1"/>
  <c r="C4845" i="1"/>
  <c r="B4845" i="1"/>
  <c r="C4844" i="1"/>
  <c r="B4844" i="1"/>
  <c r="C4843" i="1"/>
  <c r="B4843" i="1"/>
  <c r="C4842" i="1"/>
  <c r="B4842" i="1"/>
  <c r="C4841" i="1"/>
  <c r="B4841" i="1"/>
  <c r="C4840" i="1"/>
  <c r="B4840" i="1"/>
  <c r="C4839" i="1"/>
  <c r="B4839" i="1"/>
  <c r="C4838" i="1"/>
  <c r="B4838" i="1"/>
  <c r="C4837" i="1"/>
  <c r="B4837" i="1"/>
  <c r="C4836" i="1"/>
  <c r="B4836" i="1"/>
  <c r="C4835" i="1"/>
  <c r="B4835" i="1"/>
  <c r="C4834" i="1"/>
  <c r="B4834" i="1"/>
  <c r="C4833" i="1"/>
  <c r="B4833" i="1"/>
  <c r="C4832" i="1"/>
  <c r="B4832" i="1"/>
  <c r="C4831" i="1"/>
  <c r="B4831" i="1"/>
  <c r="C4830" i="1"/>
  <c r="B4830" i="1"/>
  <c r="C4829" i="1"/>
  <c r="B4829" i="1"/>
  <c r="C4828" i="1"/>
  <c r="B4828" i="1"/>
  <c r="C4827" i="1"/>
  <c r="B4827" i="1"/>
  <c r="C4826" i="1"/>
  <c r="B4826" i="1"/>
  <c r="C4825" i="1"/>
  <c r="B4825" i="1"/>
  <c r="C4824" i="1"/>
  <c r="B4824" i="1"/>
  <c r="C4823" i="1"/>
  <c r="B4823" i="1"/>
  <c r="C4822" i="1"/>
  <c r="B4822" i="1"/>
  <c r="C4821" i="1"/>
  <c r="B4821" i="1"/>
  <c r="C4820" i="1"/>
  <c r="B4820" i="1"/>
  <c r="C4819" i="1"/>
  <c r="B4819" i="1"/>
  <c r="C4818" i="1"/>
  <c r="B4818" i="1"/>
  <c r="C4817" i="1"/>
  <c r="B4817" i="1"/>
  <c r="C4816" i="1"/>
  <c r="B4816" i="1"/>
  <c r="C4815" i="1"/>
  <c r="B4815" i="1"/>
  <c r="C4814" i="1"/>
  <c r="B4814" i="1"/>
  <c r="C4813" i="1"/>
  <c r="B4813" i="1"/>
  <c r="C4812" i="1"/>
  <c r="B4812" i="1"/>
  <c r="C4811" i="1"/>
  <c r="B4811" i="1"/>
  <c r="C4810" i="1"/>
  <c r="B4810" i="1"/>
  <c r="C4809" i="1"/>
  <c r="B4809" i="1"/>
  <c r="C4808" i="1"/>
  <c r="B4808" i="1"/>
  <c r="C4807" i="1"/>
  <c r="B4807" i="1"/>
  <c r="C4806" i="1"/>
  <c r="B4806" i="1"/>
  <c r="C4805" i="1"/>
  <c r="B4805" i="1"/>
  <c r="C4804" i="1"/>
  <c r="B4804" i="1"/>
  <c r="C4803" i="1"/>
  <c r="B4803" i="1"/>
  <c r="C4802" i="1"/>
  <c r="B4802" i="1"/>
  <c r="C4801" i="1"/>
  <c r="B4801" i="1"/>
  <c r="C4800" i="1"/>
  <c r="B4800" i="1"/>
  <c r="C4799" i="1"/>
  <c r="B4799" i="1"/>
  <c r="C4798" i="1"/>
  <c r="B4798" i="1"/>
  <c r="C4797" i="1"/>
  <c r="B4797" i="1"/>
  <c r="C4796" i="1"/>
  <c r="B4796" i="1"/>
  <c r="C4795" i="1"/>
  <c r="B4795" i="1"/>
  <c r="C4794" i="1"/>
  <c r="B4794" i="1"/>
  <c r="C4793" i="1"/>
  <c r="B4793" i="1"/>
  <c r="C4792" i="1"/>
  <c r="B4792" i="1"/>
  <c r="C4791" i="1"/>
  <c r="B4791" i="1"/>
  <c r="C4790" i="1"/>
  <c r="B4790" i="1"/>
  <c r="C4789" i="1"/>
  <c r="B4789" i="1"/>
  <c r="C4788" i="1"/>
  <c r="B4788" i="1"/>
  <c r="C4787" i="1"/>
  <c r="B4787" i="1"/>
  <c r="C4786" i="1"/>
  <c r="B4786" i="1"/>
  <c r="C4785" i="1"/>
  <c r="B4785" i="1"/>
  <c r="C4784" i="1"/>
  <c r="B4784" i="1"/>
  <c r="C4783" i="1"/>
  <c r="B4783" i="1"/>
  <c r="C4782" i="1"/>
  <c r="B4782" i="1"/>
  <c r="C4781" i="1"/>
  <c r="B4781" i="1"/>
  <c r="C4780" i="1"/>
  <c r="B4780" i="1"/>
  <c r="C4779" i="1"/>
  <c r="B4779" i="1"/>
  <c r="C4778" i="1"/>
  <c r="B4778" i="1"/>
  <c r="C4777" i="1"/>
  <c r="B4777" i="1"/>
  <c r="C4776" i="1"/>
  <c r="B4776" i="1"/>
  <c r="C4775" i="1"/>
  <c r="B4775" i="1"/>
  <c r="C4774" i="1"/>
  <c r="B4774" i="1"/>
  <c r="C4773" i="1"/>
  <c r="B4773" i="1"/>
  <c r="C4772" i="1"/>
  <c r="B4772" i="1"/>
  <c r="C4771" i="1"/>
  <c r="B4771" i="1"/>
  <c r="C4770" i="1"/>
  <c r="B4770" i="1"/>
  <c r="C4769" i="1"/>
  <c r="B4769" i="1"/>
  <c r="C4768" i="1"/>
  <c r="B4768" i="1"/>
  <c r="C4767" i="1"/>
  <c r="B4767" i="1"/>
  <c r="C4766" i="1"/>
  <c r="B4766" i="1"/>
  <c r="C4765" i="1"/>
  <c r="B4765" i="1"/>
  <c r="C4764" i="1"/>
  <c r="B4764" i="1"/>
  <c r="C4763" i="1"/>
  <c r="B4763" i="1"/>
  <c r="C4762" i="1"/>
  <c r="B4762" i="1"/>
  <c r="C4761" i="1"/>
  <c r="B4761" i="1"/>
  <c r="C4760" i="1"/>
  <c r="B4760" i="1"/>
  <c r="C4759" i="1"/>
  <c r="B4759" i="1"/>
  <c r="C4758" i="1"/>
  <c r="B4758" i="1"/>
  <c r="C4757" i="1"/>
  <c r="B4757" i="1"/>
  <c r="C4756" i="1"/>
  <c r="B4756" i="1"/>
  <c r="C4755" i="1"/>
  <c r="B4755" i="1"/>
  <c r="C4754" i="1"/>
  <c r="B4754" i="1"/>
  <c r="C4753" i="1"/>
  <c r="B4753" i="1"/>
  <c r="C4752" i="1"/>
  <c r="B4752" i="1"/>
  <c r="C4751" i="1"/>
  <c r="B4751" i="1"/>
  <c r="C4750" i="1"/>
  <c r="B4750" i="1"/>
  <c r="C4749" i="1"/>
  <c r="B4749" i="1"/>
  <c r="C4748" i="1"/>
  <c r="B4748" i="1"/>
  <c r="C4747" i="1"/>
  <c r="B4747" i="1"/>
  <c r="C4746" i="1"/>
  <c r="B4746" i="1"/>
  <c r="C4745" i="1"/>
  <c r="B4745" i="1"/>
  <c r="C4744" i="1"/>
  <c r="B4744" i="1"/>
  <c r="C4743" i="1"/>
  <c r="B4743" i="1"/>
  <c r="C4742" i="1"/>
  <c r="B4742" i="1"/>
  <c r="C4741" i="1"/>
  <c r="B4741" i="1"/>
  <c r="C4740" i="1"/>
  <c r="B4740" i="1"/>
  <c r="C4739" i="1"/>
  <c r="B4739" i="1"/>
  <c r="C4738" i="1"/>
  <c r="B4738" i="1"/>
  <c r="C4737" i="1"/>
  <c r="B4737" i="1"/>
  <c r="C4736" i="1"/>
  <c r="B4736" i="1"/>
  <c r="C4735" i="1"/>
  <c r="B4735" i="1"/>
  <c r="C4734" i="1"/>
  <c r="B4734" i="1"/>
  <c r="C4733" i="1"/>
  <c r="B4733" i="1"/>
  <c r="C4732" i="1"/>
  <c r="B4732" i="1"/>
  <c r="C4731" i="1"/>
  <c r="B4731" i="1"/>
  <c r="C4730" i="1"/>
  <c r="B4730" i="1"/>
  <c r="C4729" i="1"/>
  <c r="B4729" i="1"/>
  <c r="C4728" i="1"/>
  <c r="B4728" i="1"/>
  <c r="C4727" i="1"/>
  <c r="B4727" i="1"/>
  <c r="C4726" i="1"/>
  <c r="B4726" i="1"/>
  <c r="C4725" i="1"/>
  <c r="B4725" i="1"/>
  <c r="C4724" i="1"/>
  <c r="B4724" i="1"/>
  <c r="C4723" i="1"/>
  <c r="B4723" i="1"/>
  <c r="C4722" i="1"/>
  <c r="B4722" i="1"/>
  <c r="C4721" i="1"/>
  <c r="B4721" i="1"/>
  <c r="C4720" i="1"/>
  <c r="B4720" i="1"/>
  <c r="C4719" i="1"/>
  <c r="B4719" i="1"/>
  <c r="C4718" i="1"/>
  <c r="B4718" i="1"/>
  <c r="C4717" i="1"/>
  <c r="B4717" i="1"/>
  <c r="C4716" i="1"/>
  <c r="B4716" i="1"/>
  <c r="C4715" i="1"/>
  <c r="B4715" i="1"/>
  <c r="C4714" i="1"/>
  <c r="B4714" i="1"/>
  <c r="C4713" i="1"/>
  <c r="B4713" i="1"/>
  <c r="C4712" i="1"/>
  <c r="B4712" i="1"/>
  <c r="C4711" i="1"/>
  <c r="B4711" i="1"/>
  <c r="C4710" i="1"/>
  <c r="B4710" i="1"/>
  <c r="C4709" i="1"/>
  <c r="B4709" i="1"/>
  <c r="C4708" i="1"/>
  <c r="B4708" i="1"/>
  <c r="C4707" i="1"/>
  <c r="B4707" i="1"/>
  <c r="C4706" i="1"/>
  <c r="B4706" i="1"/>
  <c r="C4705" i="1"/>
  <c r="B4705" i="1"/>
  <c r="C4704" i="1"/>
  <c r="B4704" i="1"/>
  <c r="C4703" i="1"/>
  <c r="B4703" i="1"/>
  <c r="C4702" i="1"/>
  <c r="B4702" i="1"/>
  <c r="C4701" i="1"/>
  <c r="B4701" i="1"/>
  <c r="C4700" i="1"/>
  <c r="B4700" i="1"/>
  <c r="C4699" i="1"/>
  <c r="B4699" i="1"/>
  <c r="C4698" i="1"/>
  <c r="B4698" i="1"/>
  <c r="C4697" i="1"/>
  <c r="B4697" i="1"/>
  <c r="C4696" i="1"/>
  <c r="B4696" i="1"/>
  <c r="C4695" i="1"/>
  <c r="B4695" i="1"/>
  <c r="C4694" i="1"/>
  <c r="B4694" i="1"/>
  <c r="C4693" i="1"/>
  <c r="B4693" i="1"/>
  <c r="C4692" i="1"/>
  <c r="B4692" i="1"/>
  <c r="C4691" i="1"/>
  <c r="B4691" i="1"/>
  <c r="C4690" i="1"/>
  <c r="B4690" i="1"/>
  <c r="C4689" i="1"/>
  <c r="B4689" i="1"/>
  <c r="C4688" i="1"/>
  <c r="B4688" i="1"/>
  <c r="C4687" i="1"/>
  <c r="B4687" i="1"/>
  <c r="C4686" i="1"/>
  <c r="B4686" i="1"/>
  <c r="C4685" i="1"/>
  <c r="B4685" i="1"/>
  <c r="C4684" i="1"/>
  <c r="B4684" i="1"/>
  <c r="C4683" i="1"/>
  <c r="B4683" i="1"/>
  <c r="C4682" i="1"/>
  <c r="B4682" i="1"/>
  <c r="C4681" i="1"/>
  <c r="B4681" i="1"/>
  <c r="C4680" i="1"/>
  <c r="B4680" i="1"/>
  <c r="C4679" i="1"/>
  <c r="B4679" i="1"/>
  <c r="C4678" i="1"/>
  <c r="B4678" i="1"/>
  <c r="C4677" i="1"/>
  <c r="B4677" i="1"/>
  <c r="C4676" i="1"/>
  <c r="B4676" i="1"/>
  <c r="C4675" i="1"/>
  <c r="B4675" i="1"/>
  <c r="C4674" i="1"/>
  <c r="B4674" i="1"/>
  <c r="C4673" i="1"/>
  <c r="B4673" i="1"/>
  <c r="C4672" i="1"/>
  <c r="B4672" i="1"/>
  <c r="C4671" i="1"/>
  <c r="B4671" i="1"/>
  <c r="C4670" i="1"/>
  <c r="B4670" i="1"/>
  <c r="C4669" i="1"/>
  <c r="B4669" i="1"/>
  <c r="C4668" i="1"/>
  <c r="B4668" i="1"/>
  <c r="C4667" i="1"/>
  <c r="B4667" i="1"/>
  <c r="C4666" i="1"/>
  <c r="B4666" i="1"/>
  <c r="C4665" i="1"/>
  <c r="B4665" i="1"/>
  <c r="C4664" i="1"/>
  <c r="B4664" i="1"/>
  <c r="C4663" i="1"/>
  <c r="B4663" i="1"/>
  <c r="C4662" i="1"/>
  <c r="B4662" i="1"/>
  <c r="C4661" i="1"/>
  <c r="B4661" i="1"/>
  <c r="C4660" i="1"/>
  <c r="B4660" i="1"/>
  <c r="C4659" i="1"/>
  <c r="B4659" i="1"/>
  <c r="C4658" i="1"/>
  <c r="B4658" i="1"/>
  <c r="C4657" i="1"/>
  <c r="B4657" i="1"/>
  <c r="C4656" i="1"/>
  <c r="B4656" i="1"/>
  <c r="C4655" i="1"/>
  <c r="B4655" i="1"/>
  <c r="C4654" i="1"/>
  <c r="B4654" i="1"/>
  <c r="C4653" i="1"/>
  <c r="B4653" i="1"/>
  <c r="C4652" i="1"/>
  <c r="B4652" i="1"/>
  <c r="C4651" i="1"/>
  <c r="B4651" i="1"/>
  <c r="C4650" i="1"/>
  <c r="B4650" i="1"/>
  <c r="C4649" i="1"/>
  <c r="B4649" i="1"/>
  <c r="C4648" i="1"/>
  <c r="B4648" i="1"/>
  <c r="C4647" i="1"/>
  <c r="B4647" i="1"/>
  <c r="C4646" i="1"/>
  <c r="B4646" i="1"/>
  <c r="C4645" i="1"/>
  <c r="B4645" i="1"/>
  <c r="C4644" i="1"/>
  <c r="B4644" i="1"/>
  <c r="C4643" i="1"/>
  <c r="B4643" i="1"/>
  <c r="C4642" i="1"/>
  <c r="B4642" i="1"/>
  <c r="C4641" i="1"/>
  <c r="B4641" i="1"/>
  <c r="C4640" i="1"/>
  <c r="B4640" i="1"/>
  <c r="C4639" i="1"/>
  <c r="B4639" i="1"/>
  <c r="C4638" i="1"/>
  <c r="B4638" i="1"/>
  <c r="C4637" i="1"/>
  <c r="B4637" i="1"/>
  <c r="C4636" i="1"/>
  <c r="B4636" i="1"/>
  <c r="C4635" i="1"/>
  <c r="B4635" i="1"/>
  <c r="C4634" i="1"/>
  <c r="B4634" i="1"/>
  <c r="C4633" i="1"/>
  <c r="B4633" i="1"/>
  <c r="C4632" i="1"/>
  <c r="B4632" i="1"/>
  <c r="C4631" i="1"/>
  <c r="B4631" i="1"/>
  <c r="C4630" i="1"/>
  <c r="B4630" i="1"/>
  <c r="C4629" i="1"/>
  <c r="B4629" i="1"/>
  <c r="C4628" i="1"/>
  <c r="B4628" i="1"/>
  <c r="C4627" i="1"/>
  <c r="B4627" i="1"/>
  <c r="C4626" i="1"/>
  <c r="B4626" i="1"/>
  <c r="C4625" i="1"/>
  <c r="B4625" i="1"/>
  <c r="C4624" i="1"/>
  <c r="B4624" i="1"/>
  <c r="C4623" i="1"/>
  <c r="B4623" i="1"/>
  <c r="C4622" i="1"/>
  <c r="B4622" i="1"/>
  <c r="C4621" i="1"/>
  <c r="B4621" i="1"/>
  <c r="C4620" i="1"/>
  <c r="B4620" i="1"/>
  <c r="C4619" i="1"/>
  <c r="B4619" i="1"/>
  <c r="C4618" i="1"/>
  <c r="B4618" i="1"/>
  <c r="C4617" i="1"/>
  <c r="B4617" i="1"/>
  <c r="C4616" i="1"/>
  <c r="B4616" i="1"/>
  <c r="C4615" i="1"/>
  <c r="B4615" i="1"/>
  <c r="C4614" i="1"/>
  <c r="B4614" i="1"/>
  <c r="C4613" i="1"/>
  <c r="B4613" i="1"/>
  <c r="C4612" i="1"/>
  <c r="B4612" i="1"/>
  <c r="C4611" i="1"/>
  <c r="B4611" i="1"/>
  <c r="C4610" i="1"/>
  <c r="B4610" i="1"/>
  <c r="C4609" i="1"/>
  <c r="B4609" i="1"/>
  <c r="C4608" i="1"/>
  <c r="B4608" i="1"/>
  <c r="C4607" i="1"/>
  <c r="B4607" i="1"/>
  <c r="C4606" i="1"/>
  <c r="B4606" i="1"/>
  <c r="C4605" i="1"/>
  <c r="B4605" i="1"/>
  <c r="C4604" i="1"/>
  <c r="B4604" i="1"/>
  <c r="C4603" i="1"/>
  <c r="B4603" i="1"/>
  <c r="C4602" i="1"/>
  <c r="B4602" i="1"/>
  <c r="C4601" i="1"/>
  <c r="B4601" i="1"/>
  <c r="C4600" i="1"/>
  <c r="B4600" i="1"/>
  <c r="C4599" i="1"/>
  <c r="B4599" i="1"/>
  <c r="C4598" i="1"/>
  <c r="B4598" i="1"/>
  <c r="C4597" i="1"/>
  <c r="B4597" i="1"/>
  <c r="C4596" i="1"/>
  <c r="B4596" i="1"/>
  <c r="C4595" i="1"/>
  <c r="B4595" i="1"/>
  <c r="C4594" i="1"/>
  <c r="B4594" i="1"/>
  <c r="C4593" i="1"/>
  <c r="B4593" i="1"/>
  <c r="C4592" i="1"/>
  <c r="B4592" i="1"/>
  <c r="C4591" i="1"/>
  <c r="B4591" i="1"/>
  <c r="C4590" i="1"/>
  <c r="B4590" i="1"/>
  <c r="C4589" i="1"/>
  <c r="B4589" i="1"/>
  <c r="C4588" i="1"/>
  <c r="B4588" i="1"/>
  <c r="C4587" i="1"/>
  <c r="B4587" i="1"/>
  <c r="C4586" i="1"/>
  <c r="B4586" i="1"/>
  <c r="C4585" i="1"/>
  <c r="B4585" i="1"/>
  <c r="C4584" i="1"/>
  <c r="B4584" i="1"/>
  <c r="C4583" i="1"/>
  <c r="B4583" i="1"/>
  <c r="C4582" i="1"/>
  <c r="B4582" i="1"/>
  <c r="C4581" i="1"/>
  <c r="B4581" i="1"/>
  <c r="C4580" i="1"/>
  <c r="B4580" i="1"/>
  <c r="C4579" i="1"/>
  <c r="B4579" i="1"/>
  <c r="C4578" i="1"/>
  <c r="B4578" i="1"/>
  <c r="C4577" i="1"/>
  <c r="B4577" i="1"/>
  <c r="C4576" i="1"/>
  <c r="B4576" i="1"/>
  <c r="C4575" i="1"/>
  <c r="B4575" i="1"/>
  <c r="C4574" i="1"/>
  <c r="B4574" i="1"/>
  <c r="C4573" i="1"/>
  <c r="B4573" i="1"/>
  <c r="C4572" i="1"/>
  <c r="B4572" i="1"/>
  <c r="C4571" i="1"/>
  <c r="B4571" i="1"/>
  <c r="C4570" i="1"/>
  <c r="B4570" i="1"/>
  <c r="C4569" i="1"/>
  <c r="B4569" i="1"/>
  <c r="C4568" i="1"/>
  <c r="B4568" i="1"/>
  <c r="C4567" i="1"/>
  <c r="B4567" i="1"/>
  <c r="C4566" i="1"/>
  <c r="B4566" i="1"/>
  <c r="C4565" i="1"/>
  <c r="B4565" i="1"/>
  <c r="C4564" i="1"/>
  <c r="B4564" i="1"/>
  <c r="C4563" i="1"/>
  <c r="B4563" i="1"/>
  <c r="C4562" i="1"/>
  <c r="B4562" i="1"/>
  <c r="C4561" i="1"/>
  <c r="B4561" i="1"/>
  <c r="C4560" i="1"/>
  <c r="B4560" i="1"/>
  <c r="C4559" i="1"/>
  <c r="B4559" i="1"/>
  <c r="C4558" i="1"/>
  <c r="B4558" i="1"/>
  <c r="C4557" i="1"/>
  <c r="B4557" i="1"/>
  <c r="C4556" i="1"/>
  <c r="B4556" i="1"/>
  <c r="C4555" i="1"/>
  <c r="B4555" i="1"/>
  <c r="C4554" i="1"/>
  <c r="B4554" i="1"/>
  <c r="C4553" i="1"/>
  <c r="B4553" i="1"/>
  <c r="C4552" i="1"/>
  <c r="B4552" i="1"/>
  <c r="C4551" i="1"/>
  <c r="B4551" i="1"/>
  <c r="C4550" i="1"/>
  <c r="B4550" i="1"/>
  <c r="C4549" i="1"/>
  <c r="B4549" i="1"/>
  <c r="C4548" i="1"/>
  <c r="B4548" i="1"/>
  <c r="C4547" i="1"/>
  <c r="B4547" i="1"/>
  <c r="C4546" i="1"/>
  <c r="B4546" i="1"/>
  <c r="C4545" i="1"/>
  <c r="B4545" i="1"/>
  <c r="C4544" i="1"/>
  <c r="B4544" i="1"/>
  <c r="C4543" i="1"/>
  <c r="B4543" i="1"/>
  <c r="C4542" i="1"/>
  <c r="B4542" i="1"/>
  <c r="C4541" i="1"/>
  <c r="B4541" i="1"/>
  <c r="C4540" i="1"/>
  <c r="B4540" i="1"/>
  <c r="C4539" i="1"/>
  <c r="B4539" i="1"/>
  <c r="C4538" i="1"/>
  <c r="B4538" i="1"/>
  <c r="C4537" i="1"/>
  <c r="B4537" i="1"/>
  <c r="C4536" i="1"/>
  <c r="B4536" i="1"/>
  <c r="C4535" i="1"/>
  <c r="B4535" i="1"/>
  <c r="C4534" i="1"/>
  <c r="B4534" i="1"/>
  <c r="C4533" i="1"/>
  <c r="B4533" i="1"/>
  <c r="C4532" i="1"/>
  <c r="B4532" i="1"/>
  <c r="C4531" i="1"/>
  <c r="B4531" i="1"/>
  <c r="C4530" i="1"/>
  <c r="B4530" i="1"/>
  <c r="C4529" i="1"/>
  <c r="B4529" i="1"/>
  <c r="C4528" i="1"/>
  <c r="B4528" i="1"/>
  <c r="C4527" i="1"/>
  <c r="B4527" i="1"/>
  <c r="C4526" i="1"/>
  <c r="B4526" i="1"/>
  <c r="C4525" i="1"/>
  <c r="B4525" i="1"/>
  <c r="C4524" i="1"/>
  <c r="B4524" i="1"/>
  <c r="C4523" i="1"/>
  <c r="B4523" i="1"/>
  <c r="C4522" i="1"/>
  <c r="B4522" i="1"/>
  <c r="C4521" i="1"/>
  <c r="B4521" i="1"/>
  <c r="C4520" i="1"/>
  <c r="B4520" i="1"/>
  <c r="C4519" i="1"/>
  <c r="B4519" i="1"/>
  <c r="C4518" i="1"/>
  <c r="B4518" i="1"/>
  <c r="C4517" i="1"/>
  <c r="B4517" i="1"/>
  <c r="C4516" i="1"/>
  <c r="B4516" i="1"/>
  <c r="C4515" i="1"/>
  <c r="B4515" i="1"/>
  <c r="C4514" i="1"/>
  <c r="B4514" i="1"/>
  <c r="C4513" i="1"/>
  <c r="B4513" i="1"/>
  <c r="C4512" i="1"/>
  <c r="B4512" i="1"/>
  <c r="C4511" i="1"/>
  <c r="B4511" i="1"/>
  <c r="C4510" i="1"/>
  <c r="B4510" i="1"/>
  <c r="C4509" i="1"/>
  <c r="B4509" i="1"/>
  <c r="C4508" i="1"/>
  <c r="B4508" i="1"/>
  <c r="C4507" i="1"/>
  <c r="B4507" i="1"/>
  <c r="C4506" i="1"/>
  <c r="B4506" i="1"/>
  <c r="C4505" i="1"/>
  <c r="B4505" i="1"/>
  <c r="C4504" i="1"/>
  <c r="B4504" i="1"/>
  <c r="C4503" i="1"/>
  <c r="B4503" i="1"/>
  <c r="C4502" i="1"/>
  <c r="B4502" i="1"/>
  <c r="C4501" i="1"/>
  <c r="B4501" i="1"/>
  <c r="C4500" i="1"/>
  <c r="B4500" i="1"/>
  <c r="C4499" i="1"/>
  <c r="B4499" i="1"/>
  <c r="C4498" i="1"/>
  <c r="B4498" i="1"/>
  <c r="C4497" i="1"/>
  <c r="B4497" i="1"/>
  <c r="C4496" i="1"/>
  <c r="B4496" i="1"/>
  <c r="C4495" i="1"/>
  <c r="B4495" i="1"/>
  <c r="C4494" i="1"/>
  <c r="B4494" i="1"/>
  <c r="C4493" i="1"/>
  <c r="B4493" i="1"/>
  <c r="C4492" i="1"/>
  <c r="B4492" i="1"/>
  <c r="C4491" i="1"/>
  <c r="B4491" i="1"/>
  <c r="C4490" i="1"/>
  <c r="B4490" i="1"/>
  <c r="C4489" i="1"/>
  <c r="B4489" i="1"/>
  <c r="C4488" i="1"/>
  <c r="B4488" i="1"/>
  <c r="C4487" i="1"/>
  <c r="B4487" i="1"/>
  <c r="C4486" i="1"/>
  <c r="B4486" i="1"/>
  <c r="C4485" i="1"/>
  <c r="B4485" i="1"/>
  <c r="C4484" i="1"/>
  <c r="B4484" i="1"/>
  <c r="C4483" i="1"/>
  <c r="B4483" i="1"/>
  <c r="C4482" i="1"/>
  <c r="B4482" i="1"/>
  <c r="C4481" i="1"/>
  <c r="B4481" i="1"/>
  <c r="C4480" i="1"/>
  <c r="B4480" i="1"/>
  <c r="C4479" i="1"/>
  <c r="B4479" i="1"/>
  <c r="C4478" i="1"/>
  <c r="B4478" i="1"/>
  <c r="C4477" i="1"/>
  <c r="B4477" i="1"/>
  <c r="C4476" i="1"/>
  <c r="B4476" i="1"/>
  <c r="C4475" i="1"/>
  <c r="B4475" i="1"/>
  <c r="C4474" i="1"/>
  <c r="B4474" i="1"/>
  <c r="C4473" i="1"/>
  <c r="B4473" i="1"/>
  <c r="C4472" i="1"/>
  <c r="B4472" i="1"/>
  <c r="C4471" i="1"/>
  <c r="B4471" i="1"/>
  <c r="C4470" i="1"/>
  <c r="B4470" i="1"/>
  <c r="C4469" i="1"/>
  <c r="B4469" i="1"/>
  <c r="C4468" i="1"/>
  <c r="B4468" i="1"/>
  <c r="C4467" i="1"/>
  <c r="B4467" i="1"/>
  <c r="C4466" i="1"/>
  <c r="B4466" i="1"/>
  <c r="C4465" i="1"/>
  <c r="B4465" i="1"/>
  <c r="C4464" i="1"/>
  <c r="B4464" i="1"/>
  <c r="C4463" i="1"/>
  <c r="B4463" i="1"/>
  <c r="C4462" i="1"/>
  <c r="B4462" i="1"/>
  <c r="C4461" i="1"/>
  <c r="B4461" i="1"/>
  <c r="C4460" i="1"/>
  <c r="B4460" i="1"/>
  <c r="C4459" i="1"/>
  <c r="B4459" i="1"/>
  <c r="C4458" i="1"/>
  <c r="B4458" i="1"/>
  <c r="C4457" i="1"/>
  <c r="B4457" i="1"/>
  <c r="C4456" i="1"/>
  <c r="B4456" i="1"/>
  <c r="C4455" i="1"/>
  <c r="B4455" i="1"/>
  <c r="C4454" i="1"/>
  <c r="B4454" i="1"/>
  <c r="C4453" i="1"/>
  <c r="B4453" i="1"/>
  <c r="C4452" i="1"/>
  <c r="B4452" i="1"/>
  <c r="C4451" i="1"/>
  <c r="B4451" i="1"/>
  <c r="C4450" i="1"/>
  <c r="B4450" i="1"/>
  <c r="C4449" i="1"/>
  <c r="B4449" i="1"/>
  <c r="C4448" i="1"/>
  <c r="B4448" i="1"/>
  <c r="C4447" i="1"/>
  <c r="B4447" i="1"/>
  <c r="C4446" i="1"/>
  <c r="B4446" i="1"/>
  <c r="C4445" i="1"/>
  <c r="B4445" i="1"/>
  <c r="C4444" i="1"/>
  <c r="B4444" i="1"/>
  <c r="C4443" i="1"/>
  <c r="B4443" i="1"/>
  <c r="C4442" i="1"/>
  <c r="B4442" i="1"/>
  <c r="C4441" i="1"/>
  <c r="B4441" i="1"/>
  <c r="C4440" i="1"/>
  <c r="B4440" i="1"/>
  <c r="C4439" i="1"/>
  <c r="B4439" i="1"/>
  <c r="C4438" i="1"/>
  <c r="B4438" i="1"/>
  <c r="C4437" i="1"/>
  <c r="B4437" i="1"/>
  <c r="C4436" i="1"/>
  <c r="B4436" i="1"/>
  <c r="C4435" i="1"/>
  <c r="B4435" i="1"/>
  <c r="C4434" i="1"/>
  <c r="B4434" i="1"/>
  <c r="C4433" i="1"/>
  <c r="B4433" i="1"/>
  <c r="C4432" i="1"/>
  <c r="B4432" i="1"/>
  <c r="C4431" i="1"/>
  <c r="B4431" i="1"/>
  <c r="C4430" i="1"/>
  <c r="B4430" i="1"/>
  <c r="C4429" i="1"/>
  <c r="B4429" i="1"/>
  <c r="C4428" i="1"/>
  <c r="B4428" i="1"/>
  <c r="C4427" i="1"/>
  <c r="B4427" i="1"/>
  <c r="C4426" i="1"/>
  <c r="B4426" i="1"/>
  <c r="C4425" i="1"/>
  <c r="B4425" i="1"/>
  <c r="C4424" i="1"/>
  <c r="B4424" i="1"/>
  <c r="C4423" i="1"/>
  <c r="B4423" i="1"/>
  <c r="C4422" i="1"/>
  <c r="B4422" i="1"/>
  <c r="C4421" i="1"/>
  <c r="B4421" i="1"/>
  <c r="C4420" i="1"/>
  <c r="B4420" i="1"/>
  <c r="C4419" i="1"/>
  <c r="B4419" i="1"/>
  <c r="C4418" i="1"/>
  <c r="B4418" i="1"/>
  <c r="C4417" i="1"/>
  <c r="B4417" i="1"/>
  <c r="C4416" i="1"/>
  <c r="B4416" i="1"/>
  <c r="C4415" i="1"/>
  <c r="B4415" i="1"/>
  <c r="C4414" i="1"/>
  <c r="B4414" i="1"/>
  <c r="C4413" i="1"/>
  <c r="B4413" i="1"/>
  <c r="C4412" i="1"/>
  <c r="B4412" i="1"/>
  <c r="C4411" i="1"/>
  <c r="B4411" i="1"/>
  <c r="C4410" i="1"/>
  <c r="B4410" i="1"/>
  <c r="C4409" i="1"/>
  <c r="B4409" i="1"/>
  <c r="C4408" i="1"/>
  <c r="B4408" i="1"/>
  <c r="C4407" i="1"/>
  <c r="B4407" i="1"/>
  <c r="C4406" i="1"/>
  <c r="B4406" i="1"/>
  <c r="C4405" i="1"/>
  <c r="B4405" i="1"/>
  <c r="C4404" i="1"/>
  <c r="B4404" i="1"/>
  <c r="C4403" i="1"/>
  <c r="B4403" i="1"/>
  <c r="C4402" i="1"/>
  <c r="B4402" i="1"/>
  <c r="C4401" i="1"/>
  <c r="B4401" i="1"/>
  <c r="C4400" i="1"/>
  <c r="B4400" i="1"/>
  <c r="C4399" i="1"/>
  <c r="B4399" i="1"/>
  <c r="C4398" i="1"/>
  <c r="B4398" i="1"/>
  <c r="C4397" i="1"/>
  <c r="B4397" i="1"/>
  <c r="C4396" i="1"/>
  <c r="B4396" i="1"/>
  <c r="C4395" i="1"/>
  <c r="B4395" i="1"/>
  <c r="C4394" i="1"/>
  <c r="B4394" i="1"/>
  <c r="C4393" i="1"/>
  <c r="B4393" i="1"/>
  <c r="C4392" i="1"/>
  <c r="B4392" i="1"/>
  <c r="C4391" i="1"/>
  <c r="B4391" i="1"/>
  <c r="C4390" i="1"/>
  <c r="B4390" i="1"/>
  <c r="C4389" i="1"/>
  <c r="B4389" i="1"/>
  <c r="C4388" i="1"/>
  <c r="B4388" i="1"/>
  <c r="C4387" i="1"/>
  <c r="B4387" i="1"/>
  <c r="C4386" i="1"/>
  <c r="B4386" i="1"/>
  <c r="C4385" i="1"/>
  <c r="B4385" i="1"/>
  <c r="C4384" i="1"/>
  <c r="B4384" i="1"/>
  <c r="C4383" i="1"/>
  <c r="B4383" i="1"/>
  <c r="C4382" i="1"/>
  <c r="B4382" i="1"/>
  <c r="C4381" i="1"/>
  <c r="B4381" i="1"/>
  <c r="C4380" i="1"/>
  <c r="B4380" i="1"/>
  <c r="C4379" i="1"/>
  <c r="B4379" i="1"/>
  <c r="C4378" i="1"/>
  <c r="B4378" i="1"/>
  <c r="C4377" i="1"/>
  <c r="B4377" i="1"/>
  <c r="C4376" i="1"/>
  <c r="B4376" i="1"/>
  <c r="C4375" i="1"/>
  <c r="B4375" i="1"/>
  <c r="C4374" i="1"/>
  <c r="B4374" i="1"/>
  <c r="C4373" i="1"/>
  <c r="B4373" i="1"/>
  <c r="C4372" i="1"/>
  <c r="B4372" i="1"/>
  <c r="C4371" i="1"/>
  <c r="B4371" i="1"/>
  <c r="C4370" i="1"/>
  <c r="B4370" i="1"/>
  <c r="C4369" i="1"/>
  <c r="B4369" i="1"/>
  <c r="C4368" i="1"/>
  <c r="B4368" i="1"/>
  <c r="C4367" i="1"/>
  <c r="B4367" i="1"/>
  <c r="C4366" i="1"/>
  <c r="B4366" i="1"/>
  <c r="C4365" i="1"/>
  <c r="B4365" i="1"/>
  <c r="C4364" i="1"/>
  <c r="B4364" i="1"/>
  <c r="C4363" i="1"/>
  <c r="B4363" i="1"/>
  <c r="C4362" i="1"/>
  <c r="B4362" i="1"/>
  <c r="C4361" i="1"/>
  <c r="B4361" i="1"/>
  <c r="C4360" i="1"/>
  <c r="B4360" i="1"/>
  <c r="C4359" i="1"/>
  <c r="B4359" i="1"/>
  <c r="C4358" i="1"/>
  <c r="B4358" i="1"/>
  <c r="C4357" i="1"/>
  <c r="B4357" i="1"/>
  <c r="C4356" i="1"/>
  <c r="B4356" i="1"/>
  <c r="C4355" i="1"/>
  <c r="B4355" i="1"/>
  <c r="C4354" i="1"/>
  <c r="B4354" i="1"/>
  <c r="C4353" i="1"/>
  <c r="B4353" i="1"/>
  <c r="C4352" i="1"/>
  <c r="B4352" i="1"/>
  <c r="C4351" i="1"/>
  <c r="B4351" i="1"/>
  <c r="C4350" i="1"/>
  <c r="B4350" i="1"/>
  <c r="C4349" i="1"/>
  <c r="B4349" i="1"/>
  <c r="C4348" i="1"/>
  <c r="B4348" i="1"/>
  <c r="C4347" i="1"/>
  <c r="B4347" i="1"/>
  <c r="C4346" i="1"/>
  <c r="B4346" i="1"/>
  <c r="C4345" i="1"/>
  <c r="B4345" i="1"/>
  <c r="C4344" i="1"/>
  <c r="B4344" i="1"/>
  <c r="C4343" i="1"/>
  <c r="B4343" i="1"/>
  <c r="C4342" i="1"/>
  <c r="B4342" i="1"/>
  <c r="C4341" i="1"/>
  <c r="B4341" i="1"/>
  <c r="C4340" i="1"/>
  <c r="B4340" i="1"/>
  <c r="C4339" i="1"/>
  <c r="B4339" i="1"/>
  <c r="C4338" i="1"/>
  <c r="B4338" i="1"/>
  <c r="C4337" i="1"/>
  <c r="B4337" i="1"/>
  <c r="C4336" i="1"/>
  <c r="B4336" i="1"/>
  <c r="C4335" i="1"/>
  <c r="B4335" i="1"/>
  <c r="C4334" i="1"/>
  <c r="B4334" i="1"/>
  <c r="C4333" i="1"/>
  <c r="B4333" i="1"/>
  <c r="C4332" i="1"/>
  <c r="B4332" i="1"/>
  <c r="C4331" i="1"/>
  <c r="B4331" i="1"/>
  <c r="C4330" i="1"/>
  <c r="B4330" i="1"/>
  <c r="C4329" i="1"/>
  <c r="B4329" i="1"/>
  <c r="C4328" i="1"/>
  <c r="B4328" i="1"/>
  <c r="C4327" i="1"/>
  <c r="B4327" i="1"/>
  <c r="C4326" i="1"/>
  <c r="B4326" i="1"/>
  <c r="C4325" i="1"/>
  <c r="B4325" i="1"/>
  <c r="C4324" i="1"/>
  <c r="B4324" i="1"/>
  <c r="C4323" i="1"/>
  <c r="B4323" i="1"/>
  <c r="C4322" i="1"/>
  <c r="B4322" i="1"/>
  <c r="C4321" i="1"/>
  <c r="B4321" i="1"/>
  <c r="C4320" i="1"/>
  <c r="B4320" i="1"/>
  <c r="C4319" i="1"/>
  <c r="B4319" i="1"/>
  <c r="C4318" i="1"/>
  <c r="B4318" i="1"/>
  <c r="C4317" i="1"/>
  <c r="B4317" i="1"/>
  <c r="C4316" i="1"/>
  <c r="B4316" i="1"/>
  <c r="C4315" i="1"/>
  <c r="B4315" i="1"/>
  <c r="C4314" i="1"/>
  <c r="B4314" i="1"/>
  <c r="C4313" i="1"/>
  <c r="B4313" i="1"/>
  <c r="C4312" i="1"/>
  <c r="B4312" i="1"/>
  <c r="C4311" i="1"/>
  <c r="B4311" i="1"/>
  <c r="C4310" i="1"/>
  <c r="B4310" i="1"/>
  <c r="C4309" i="1"/>
  <c r="B4309" i="1"/>
  <c r="C4308" i="1"/>
  <c r="B4308" i="1"/>
  <c r="C4307" i="1"/>
  <c r="B4307" i="1"/>
  <c r="C4306" i="1"/>
  <c r="B4306" i="1"/>
  <c r="C4305" i="1"/>
  <c r="B4305" i="1"/>
  <c r="C4304" i="1"/>
  <c r="B4304" i="1"/>
  <c r="C4303" i="1"/>
  <c r="B4303" i="1"/>
  <c r="C4302" i="1"/>
  <c r="B4302" i="1"/>
  <c r="C4301" i="1"/>
  <c r="B4301" i="1"/>
  <c r="C4300" i="1"/>
  <c r="B4300" i="1"/>
  <c r="C4299" i="1"/>
  <c r="B4299" i="1"/>
  <c r="C4298" i="1"/>
  <c r="B4298" i="1"/>
  <c r="C4297" i="1"/>
  <c r="B4297" i="1"/>
  <c r="C4296" i="1"/>
  <c r="B4296" i="1"/>
  <c r="C4295" i="1"/>
  <c r="B4295" i="1"/>
  <c r="C4294" i="1"/>
  <c r="B4294" i="1"/>
  <c r="C4293" i="1"/>
  <c r="B4293" i="1"/>
  <c r="C4292" i="1"/>
  <c r="B4292" i="1"/>
  <c r="C4291" i="1"/>
  <c r="B4291" i="1"/>
  <c r="C4290" i="1"/>
  <c r="B4290" i="1"/>
  <c r="C4289" i="1"/>
  <c r="B4289" i="1"/>
  <c r="C4288" i="1"/>
  <c r="B4288" i="1"/>
  <c r="C4287" i="1"/>
  <c r="B4287" i="1"/>
  <c r="C4286" i="1"/>
  <c r="B4286" i="1"/>
  <c r="C4285" i="1"/>
  <c r="B4285" i="1"/>
  <c r="C4284" i="1"/>
  <c r="B4284" i="1"/>
  <c r="C4283" i="1"/>
  <c r="B4283" i="1"/>
  <c r="C4282" i="1"/>
  <c r="B4282" i="1"/>
  <c r="C4281" i="1"/>
  <c r="B4281" i="1"/>
  <c r="C4280" i="1"/>
  <c r="B4280" i="1"/>
  <c r="C4279" i="1"/>
  <c r="B4279" i="1"/>
  <c r="C4278" i="1"/>
  <c r="B4278" i="1"/>
  <c r="C4277" i="1"/>
  <c r="B4277" i="1"/>
  <c r="C4276" i="1"/>
  <c r="B4276" i="1"/>
  <c r="C4275" i="1"/>
  <c r="B4275" i="1"/>
  <c r="C4274" i="1"/>
  <c r="B4274" i="1"/>
  <c r="C4273" i="1"/>
  <c r="B4273" i="1"/>
  <c r="C4272" i="1"/>
  <c r="B4272" i="1"/>
  <c r="C4271" i="1"/>
  <c r="B4271" i="1"/>
  <c r="C4270" i="1"/>
  <c r="B4270" i="1"/>
  <c r="C4269" i="1"/>
  <c r="B4269" i="1"/>
  <c r="C4268" i="1"/>
  <c r="B4268" i="1"/>
  <c r="C4267" i="1"/>
  <c r="B4267" i="1"/>
  <c r="C4266" i="1"/>
  <c r="B4266" i="1"/>
  <c r="C4265" i="1"/>
  <c r="B4265" i="1"/>
  <c r="C4264" i="1"/>
  <c r="B4264" i="1"/>
  <c r="C4263" i="1"/>
  <c r="B4263" i="1"/>
  <c r="C4262" i="1"/>
  <c r="B4262" i="1"/>
  <c r="C4261" i="1"/>
  <c r="B4261" i="1"/>
  <c r="C4260" i="1"/>
  <c r="B4260" i="1"/>
  <c r="C4259" i="1"/>
  <c r="B4259" i="1"/>
  <c r="C4258" i="1"/>
  <c r="B4258" i="1"/>
  <c r="C4257" i="1"/>
  <c r="B4257" i="1"/>
  <c r="C4256" i="1"/>
  <c r="B4256" i="1"/>
  <c r="C4255" i="1"/>
  <c r="B4255" i="1"/>
  <c r="C4254" i="1"/>
  <c r="B4254" i="1"/>
  <c r="C4253" i="1"/>
  <c r="B4253" i="1"/>
  <c r="C4252" i="1"/>
  <c r="B4252" i="1"/>
  <c r="C4251" i="1"/>
  <c r="B4251" i="1"/>
  <c r="C4250" i="1"/>
  <c r="B4250" i="1"/>
  <c r="C4249" i="1"/>
  <c r="B4249" i="1"/>
  <c r="C4248" i="1"/>
  <c r="B4248" i="1"/>
  <c r="C4247" i="1"/>
  <c r="B4247" i="1"/>
  <c r="C4246" i="1"/>
  <c r="B4246" i="1"/>
  <c r="C4245" i="1"/>
  <c r="B4245" i="1"/>
  <c r="C4244" i="1"/>
  <c r="B4244" i="1"/>
  <c r="C4243" i="1"/>
  <c r="B4243" i="1"/>
  <c r="C4242" i="1"/>
  <c r="B4242" i="1"/>
  <c r="C4241" i="1"/>
  <c r="B4241" i="1"/>
  <c r="C4240" i="1"/>
  <c r="B4240" i="1"/>
  <c r="C4239" i="1"/>
  <c r="B4239" i="1"/>
  <c r="C4238" i="1"/>
  <c r="B4238" i="1"/>
  <c r="C4237" i="1"/>
  <c r="B4237" i="1"/>
  <c r="C4236" i="1"/>
  <c r="B4236" i="1"/>
  <c r="C4235" i="1"/>
  <c r="B4235" i="1"/>
  <c r="C4234" i="1"/>
  <c r="B4234" i="1"/>
  <c r="C4233" i="1"/>
  <c r="B4233" i="1"/>
  <c r="C4232" i="1"/>
  <c r="B4232" i="1"/>
  <c r="C4231" i="1"/>
  <c r="B4231" i="1"/>
  <c r="C4230" i="1"/>
  <c r="B4230" i="1"/>
  <c r="C4229" i="1"/>
  <c r="B4229" i="1"/>
  <c r="C4228" i="1"/>
  <c r="B4228" i="1"/>
  <c r="C4227" i="1"/>
  <c r="B4227" i="1"/>
  <c r="C4226" i="1"/>
  <c r="B4226" i="1"/>
  <c r="C4225" i="1"/>
  <c r="B4225" i="1"/>
  <c r="C4224" i="1"/>
  <c r="B4224" i="1"/>
  <c r="C4223" i="1"/>
  <c r="B4223" i="1"/>
  <c r="C4222" i="1"/>
  <c r="B4222" i="1"/>
  <c r="C4221" i="1"/>
  <c r="B4221" i="1"/>
  <c r="C4220" i="1"/>
  <c r="B4220" i="1"/>
  <c r="C4219" i="1"/>
  <c r="B4219" i="1"/>
  <c r="C4218" i="1"/>
  <c r="B4218" i="1"/>
  <c r="C4217" i="1"/>
  <c r="B4217" i="1"/>
  <c r="C4216" i="1"/>
  <c r="B4216" i="1"/>
  <c r="C4215" i="1"/>
  <c r="B4215" i="1"/>
  <c r="C4214" i="1"/>
  <c r="B4214" i="1"/>
  <c r="C4213" i="1"/>
  <c r="B4213" i="1"/>
  <c r="C4212" i="1"/>
  <c r="B4212" i="1"/>
  <c r="C4211" i="1"/>
  <c r="B4211" i="1"/>
  <c r="C4210" i="1"/>
  <c r="B4210" i="1"/>
  <c r="C4209" i="1"/>
  <c r="B4209" i="1"/>
  <c r="C4208" i="1"/>
  <c r="B4208" i="1"/>
  <c r="C4207" i="1"/>
  <c r="B4207" i="1"/>
  <c r="C4206" i="1"/>
  <c r="B4206" i="1"/>
  <c r="C4205" i="1"/>
  <c r="B4205" i="1"/>
  <c r="C4204" i="1"/>
  <c r="B4204" i="1"/>
  <c r="C4203" i="1"/>
  <c r="B4203" i="1"/>
  <c r="C4202" i="1"/>
  <c r="B4202" i="1"/>
  <c r="C4201" i="1"/>
  <c r="B4201" i="1"/>
  <c r="C4200" i="1"/>
  <c r="B4200" i="1"/>
  <c r="C4199" i="1"/>
  <c r="B4199" i="1"/>
  <c r="C4198" i="1"/>
  <c r="B4198" i="1"/>
  <c r="C4197" i="1"/>
  <c r="B4197" i="1"/>
  <c r="C4196" i="1"/>
  <c r="B4196" i="1"/>
  <c r="C4195" i="1"/>
  <c r="B4195" i="1"/>
  <c r="C4194" i="1"/>
  <c r="B4194" i="1"/>
  <c r="C4193" i="1"/>
  <c r="B4193" i="1"/>
  <c r="C4192" i="1"/>
  <c r="B4192" i="1"/>
  <c r="C4191" i="1"/>
  <c r="B4191" i="1"/>
  <c r="C4190" i="1"/>
  <c r="B4190" i="1"/>
  <c r="C4189" i="1"/>
  <c r="B4189" i="1"/>
  <c r="C4188" i="1"/>
  <c r="B4188" i="1"/>
  <c r="C4187" i="1"/>
  <c r="B4187" i="1"/>
  <c r="C4186" i="1"/>
  <c r="B4186" i="1"/>
  <c r="C4185" i="1"/>
  <c r="B4185" i="1"/>
  <c r="C4184" i="1"/>
  <c r="B4184" i="1"/>
  <c r="C4183" i="1"/>
  <c r="B4183" i="1"/>
  <c r="C4182" i="1"/>
  <c r="B4182" i="1"/>
  <c r="C4181" i="1"/>
  <c r="B4181" i="1"/>
  <c r="C4180" i="1"/>
  <c r="B4180" i="1"/>
  <c r="C4179" i="1"/>
  <c r="B4179" i="1"/>
  <c r="C4178" i="1"/>
  <c r="B4178" i="1"/>
  <c r="C4177" i="1"/>
  <c r="B4177" i="1"/>
  <c r="C4176" i="1"/>
  <c r="B4176" i="1"/>
  <c r="C4175" i="1"/>
  <c r="B4175" i="1"/>
  <c r="C4174" i="1"/>
  <c r="B4174" i="1"/>
  <c r="C4173" i="1"/>
  <c r="B4173" i="1"/>
  <c r="C4172" i="1"/>
  <c r="B4172" i="1"/>
  <c r="C4171" i="1"/>
  <c r="B4171" i="1"/>
  <c r="C4170" i="1"/>
  <c r="B4170" i="1"/>
  <c r="C4169" i="1"/>
  <c r="B4169" i="1"/>
  <c r="C4168" i="1"/>
  <c r="B4168" i="1"/>
  <c r="C4167" i="1"/>
  <c r="B4167" i="1"/>
  <c r="C4166" i="1"/>
  <c r="B4166" i="1"/>
  <c r="C4165" i="1"/>
  <c r="B4165" i="1"/>
  <c r="C4164" i="1"/>
  <c r="B4164" i="1"/>
  <c r="C4163" i="1"/>
  <c r="B4163" i="1"/>
  <c r="C4162" i="1"/>
  <c r="B4162" i="1"/>
  <c r="C4161" i="1"/>
  <c r="B4161" i="1"/>
  <c r="C4160" i="1"/>
  <c r="B4160" i="1"/>
  <c r="C4159" i="1"/>
  <c r="B4159" i="1"/>
  <c r="C4158" i="1"/>
  <c r="B4158" i="1"/>
  <c r="C4157" i="1"/>
  <c r="B4157" i="1"/>
  <c r="C4156" i="1"/>
  <c r="B4156" i="1"/>
  <c r="C4155" i="1"/>
  <c r="B4155" i="1"/>
  <c r="C4154" i="1"/>
  <c r="B4154" i="1"/>
  <c r="C4153" i="1"/>
  <c r="B4153" i="1"/>
  <c r="C4152" i="1"/>
  <c r="B4152" i="1"/>
  <c r="C4151" i="1"/>
  <c r="B4151" i="1"/>
  <c r="C4150" i="1"/>
  <c r="B4150" i="1"/>
  <c r="C4149" i="1"/>
  <c r="B4149" i="1"/>
  <c r="C4148" i="1"/>
  <c r="B4148" i="1"/>
  <c r="C4147" i="1"/>
  <c r="B4147" i="1"/>
  <c r="C4146" i="1"/>
  <c r="B4146" i="1"/>
  <c r="C4145" i="1"/>
  <c r="B4145" i="1"/>
  <c r="C4144" i="1"/>
  <c r="B4144" i="1"/>
  <c r="C4143" i="1"/>
  <c r="B4143" i="1"/>
  <c r="C4142" i="1"/>
  <c r="B4142" i="1"/>
  <c r="C4141" i="1"/>
  <c r="B4141" i="1"/>
  <c r="C4140" i="1"/>
  <c r="B4140" i="1"/>
  <c r="C4139" i="1"/>
  <c r="B4139" i="1"/>
  <c r="C4138" i="1"/>
  <c r="B4138" i="1"/>
  <c r="C4137" i="1"/>
  <c r="B4137" i="1"/>
  <c r="C4136" i="1"/>
  <c r="B4136" i="1"/>
  <c r="C4135" i="1"/>
  <c r="B4135" i="1"/>
  <c r="C4134" i="1"/>
  <c r="B4134" i="1"/>
  <c r="C4133" i="1"/>
  <c r="B4133" i="1"/>
  <c r="C4132" i="1"/>
  <c r="B4132" i="1"/>
  <c r="C4131" i="1"/>
  <c r="B4131" i="1"/>
  <c r="C4130" i="1"/>
  <c r="B4130" i="1"/>
  <c r="C4129" i="1"/>
  <c r="B4129" i="1"/>
  <c r="C4128" i="1"/>
  <c r="B4128" i="1"/>
  <c r="C4127" i="1"/>
  <c r="B4127" i="1"/>
  <c r="C4126" i="1"/>
  <c r="B4126" i="1"/>
  <c r="C4125" i="1"/>
  <c r="B4125" i="1"/>
  <c r="C4124" i="1"/>
  <c r="B4124" i="1"/>
  <c r="C4123" i="1"/>
  <c r="B4123" i="1"/>
  <c r="C4122" i="1"/>
  <c r="B4122" i="1"/>
  <c r="C4121" i="1"/>
  <c r="B4121" i="1"/>
  <c r="C4120" i="1"/>
  <c r="B4120" i="1"/>
  <c r="C4119" i="1"/>
  <c r="B4119" i="1"/>
  <c r="C4118" i="1"/>
  <c r="B4118" i="1"/>
  <c r="C4117" i="1"/>
  <c r="B4117" i="1"/>
  <c r="C4116" i="1"/>
  <c r="B4116" i="1"/>
  <c r="C4115" i="1"/>
  <c r="B4115" i="1"/>
  <c r="C4114" i="1"/>
  <c r="B4114" i="1"/>
  <c r="C4113" i="1"/>
  <c r="B4113" i="1"/>
  <c r="C4112" i="1"/>
  <c r="B4112" i="1"/>
  <c r="C4111" i="1"/>
  <c r="B4111" i="1"/>
  <c r="C4110" i="1"/>
  <c r="B4110" i="1"/>
  <c r="C4109" i="1"/>
  <c r="B4109" i="1"/>
  <c r="C4108" i="1"/>
  <c r="B4108" i="1"/>
  <c r="C4107" i="1"/>
  <c r="B4107" i="1"/>
  <c r="C4106" i="1"/>
  <c r="B4106" i="1"/>
  <c r="C4105" i="1"/>
  <c r="B4105" i="1"/>
  <c r="C4104" i="1"/>
  <c r="B4104" i="1"/>
  <c r="C4103" i="1"/>
  <c r="B4103" i="1"/>
  <c r="C4102" i="1"/>
  <c r="B4102" i="1"/>
  <c r="C4101" i="1"/>
  <c r="B4101" i="1"/>
  <c r="C4100" i="1"/>
  <c r="B4100" i="1"/>
  <c r="C4099" i="1"/>
  <c r="B4099" i="1"/>
  <c r="C4098" i="1"/>
  <c r="B4098" i="1"/>
  <c r="C4097" i="1"/>
  <c r="B4097" i="1"/>
  <c r="C4096" i="1"/>
  <c r="B4096" i="1"/>
  <c r="C4095" i="1"/>
  <c r="B4095" i="1"/>
  <c r="C4094" i="1"/>
  <c r="B4094" i="1"/>
  <c r="C4093" i="1"/>
  <c r="B4093" i="1"/>
  <c r="C4092" i="1"/>
  <c r="B4092" i="1"/>
  <c r="C4091" i="1"/>
  <c r="B4091" i="1"/>
  <c r="C4090" i="1"/>
  <c r="B4090" i="1"/>
  <c r="C4089" i="1"/>
  <c r="B4089" i="1"/>
  <c r="C4088" i="1"/>
  <c r="B4088" i="1"/>
  <c r="C4087" i="1"/>
  <c r="B4087" i="1"/>
  <c r="C4086" i="1"/>
  <c r="B4086" i="1"/>
  <c r="C4085" i="1"/>
  <c r="B4085" i="1"/>
  <c r="C4084" i="1"/>
  <c r="B4084" i="1"/>
  <c r="C4083" i="1"/>
  <c r="B4083" i="1"/>
  <c r="C4082" i="1"/>
  <c r="B4082" i="1"/>
  <c r="C4081" i="1"/>
  <c r="B4081" i="1"/>
  <c r="C4080" i="1"/>
  <c r="B4080" i="1"/>
  <c r="C4079" i="1"/>
  <c r="B4079" i="1"/>
  <c r="C4078" i="1"/>
  <c r="B4078" i="1"/>
  <c r="C4077" i="1"/>
  <c r="B4077" i="1"/>
  <c r="C4076" i="1"/>
  <c r="B4076" i="1"/>
  <c r="C4075" i="1"/>
  <c r="B4075" i="1"/>
  <c r="C4074" i="1"/>
  <c r="B4074" i="1"/>
  <c r="C4073" i="1"/>
  <c r="B4073" i="1"/>
  <c r="C4072" i="1"/>
  <c r="B4072" i="1"/>
  <c r="C4071" i="1"/>
  <c r="B4071" i="1"/>
  <c r="C4070" i="1"/>
  <c r="B4070" i="1"/>
  <c r="C4069" i="1"/>
  <c r="B4069" i="1"/>
  <c r="C4068" i="1"/>
  <c r="B4068" i="1"/>
  <c r="C4067" i="1"/>
  <c r="B4067" i="1"/>
  <c r="C4066" i="1"/>
  <c r="B4066" i="1"/>
  <c r="C4065" i="1"/>
  <c r="B4065" i="1"/>
  <c r="C4064" i="1"/>
  <c r="B4064" i="1"/>
  <c r="C4063" i="1"/>
  <c r="B4063" i="1"/>
  <c r="C4062" i="1"/>
  <c r="B4062" i="1"/>
  <c r="C4061" i="1"/>
  <c r="B4061" i="1"/>
  <c r="C4060" i="1"/>
  <c r="B4060" i="1"/>
  <c r="C4059" i="1"/>
  <c r="B4059" i="1"/>
  <c r="C4058" i="1"/>
  <c r="B4058" i="1"/>
  <c r="C4057" i="1"/>
  <c r="B4057" i="1"/>
  <c r="C4056" i="1"/>
  <c r="B4056" i="1"/>
  <c r="C4055" i="1"/>
  <c r="B4055" i="1"/>
  <c r="C4054" i="1"/>
  <c r="B4054" i="1"/>
  <c r="C4053" i="1"/>
  <c r="B4053" i="1"/>
  <c r="C4052" i="1"/>
  <c r="B4052" i="1"/>
  <c r="C4051" i="1"/>
  <c r="B4051" i="1"/>
  <c r="C4050" i="1"/>
  <c r="B4050" i="1"/>
  <c r="C4049" i="1"/>
  <c r="B4049" i="1"/>
  <c r="C4048" i="1"/>
  <c r="B4048" i="1"/>
  <c r="C4047" i="1"/>
  <c r="B4047" i="1"/>
  <c r="C4046" i="1"/>
  <c r="B4046" i="1"/>
  <c r="C4045" i="1"/>
  <c r="B4045" i="1"/>
  <c r="C4044" i="1"/>
  <c r="B4044" i="1"/>
  <c r="C4043" i="1"/>
  <c r="B4043" i="1"/>
  <c r="C4042" i="1"/>
  <c r="B4042" i="1"/>
  <c r="C4041" i="1"/>
  <c r="B4041" i="1"/>
  <c r="C4040" i="1"/>
  <c r="B4040" i="1"/>
  <c r="C4039" i="1"/>
  <c r="B4039" i="1"/>
  <c r="C4038" i="1"/>
  <c r="B4038" i="1"/>
  <c r="C4037" i="1"/>
  <c r="B4037" i="1"/>
  <c r="C4036" i="1"/>
  <c r="B4036" i="1"/>
  <c r="C4035" i="1"/>
  <c r="B4035" i="1"/>
  <c r="C4034" i="1"/>
  <c r="B4034" i="1"/>
  <c r="C4033" i="1"/>
  <c r="B4033" i="1"/>
  <c r="C4032" i="1"/>
  <c r="B4032" i="1"/>
  <c r="C4031" i="1"/>
  <c r="B4031" i="1"/>
  <c r="C4030" i="1"/>
  <c r="B4030" i="1"/>
  <c r="C4029" i="1"/>
  <c r="B4029" i="1"/>
  <c r="C4028" i="1"/>
  <c r="B4028" i="1"/>
  <c r="C4027" i="1"/>
  <c r="B4027" i="1"/>
  <c r="C4026" i="1"/>
  <c r="B4026" i="1"/>
  <c r="C4025" i="1"/>
  <c r="B4025" i="1"/>
  <c r="C4024" i="1"/>
  <c r="B4024" i="1"/>
  <c r="C4023" i="1"/>
  <c r="B4023" i="1"/>
  <c r="C4022" i="1"/>
  <c r="B4022" i="1"/>
  <c r="C4021" i="1"/>
  <c r="B4021" i="1"/>
  <c r="C4020" i="1"/>
  <c r="B4020" i="1"/>
  <c r="C4019" i="1"/>
  <c r="B4019" i="1"/>
  <c r="C4018" i="1"/>
  <c r="B4018" i="1"/>
  <c r="C4017" i="1"/>
  <c r="B4017" i="1"/>
  <c r="C4016" i="1"/>
  <c r="B4016" i="1"/>
  <c r="C4015" i="1"/>
  <c r="B4015" i="1"/>
  <c r="C4014" i="1"/>
  <c r="B4014" i="1"/>
  <c r="C4013" i="1"/>
  <c r="B4013" i="1"/>
  <c r="C4012" i="1"/>
  <c r="B4012" i="1"/>
  <c r="C4011" i="1"/>
  <c r="B4011" i="1"/>
  <c r="C4010" i="1"/>
  <c r="B4010" i="1"/>
  <c r="C4009" i="1"/>
  <c r="B4009" i="1"/>
  <c r="C4008" i="1"/>
  <c r="B4008" i="1"/>
  <c r="C4007" i="1"/>
  <c r="B4007" i="1"/>
  <c r="C4006" i="1"/>
  <c r="B4006" i="1"/>
  <c r="C4005" i="1"/>
  <c r="B4005" i="1"/>
  <c r="C4004" i="1"/>
  <c r="B4004" i="1"/>
  <c r="C4003" i="1"/>
  <c r="B4003" i="1"/>
  <c r="C4002" i="1"/>
  <c r="B4002" i="1"/>
  <c r="C4001" i="1"/>
  <c r="B4001" i="1"/>
  <c r="C4000" i="1"/>
  <c r="B4000" i="1"/>
  <c r="C3999" i="1"/>
  <c r="B3999" i="1"/>
  <c r="C3998" i="1"/>
  <c r="B3998" i="1"/>
  <c r="C3997" i="1"/>
  <c r="B3997" i="1"/>
  <c r="C3996" i="1"/>
  <c r="B3996" i="1"/>
  <c r="C3995" i="1"/>
  <c r="B3995" i="1"/>
  <c r="C3994" i="1"/>
  <c r="B3994" i="1"/>
  <c r="C3993" i="1"/>
  <c r="B3993" i="1"/>
  <c r="C3992" i="1"/>
  <c r="B3992" i="1"/>
  <c r="C3991" i="1"/>
  <c r="B3991" i="1"/>
  <c r="C3990" i="1"/>
  <c r="B3990" i="1"/>
  <c r="C3989" i="1"/>
  <c r="B3989" i="1"/>
  <c r="C3988" i="1"/>
  <c r="B3988" i="1"/>
  <c r="C3987" i="1"/>
  <c r="B3987" i="1"/>
  <c r="C3986" i="1"/>
  <c r="B3986" i="1"/>
  <c r="C3985" i="1"/>
  <c r="B3985" i="1"/>
  <c r="C3984" i="1"/>
  <c r="B3984" i="1"/>
  <c r="C3983" i="1"/>
  <c r="B3983" i="1"/>
  <c r="C3982" i="1"/>
  <c r="B3982" i="1"/>
  <c r="C3981" i="1"/>
  <c r="B3981" i="1"/>
  <c r="C3980" i="1"/>
  <c r="B3980" i="1"/>
  <c r="C3979" i="1"/>
  <c r="B3979" i="1"/>
  <c r="C3978" i="1"/>
  <c r="B3978" i="1"/>
  <c r="C3977" i="1"/>
  <c r="B3977" i="1"/>
  <c r="C3976" i="1"/>
  <c r="B3976" i="1"/>
  <c r="C3975" i="1"/>
  <c r="B3975" i="1"/>
  <c r="C3974" i="1"/>
  <c r="B3974" i="1"/>
  <c r="C3973" i="1"/>
  <c r="B3973" i="1"/>
  <c r="C3972" i="1"/>
  <c r="B3972" i="1"/>
  <c r="C3971" i="1"/>
  <c r="B3971" i="1"/>
  <c r="C3970" i="1"/>
  <c r="B3970" i="1"/>
  <c r="C3969" i="1"/>
  <c r="B3969" i="1"/>
  <c r="C3968" i="1"/>
  <c r="B3968" i="1"/>
  <c r="C3967" i="1"/>
  <c r="B3967" i="1"/>
  <c r="C3966" i="1"/>
  <c r="B3966" i="1"/>
  <c r="C3965" i="1"/>
  <c r="B3965" i="1"/>
  <c r="C3964" i="1"/>
  <c r="B3964" i="1"/>
  <c r="C3963" i="1"/>
  <c r="B3963" i="1"/>
  <c r="C3962" i="1"/>
  <c r="B3962" i="1"/>
  <c r="C3961" i="1"/>
  <c r="B3961" i="1"/>
  <c r="C3960" i="1"/>
  <c r="B3960" i="1"/>
  <c r="C3959" i="1"/>
  <c r="B3959" i="1"/>
  <c r="C3958" i="1"/>
  <c r="B3958" i="1"/>
  <c r="C3957" i="1"/>
  <c r="B3957" i="1"/>
  <c r="C3956" i="1"/>
  <c r="B3956" i="1"/>
  <c r="C3955" i="1"/>
  <c r="B3955" i="1"/>
  <c r="C3954" i="1"/>
  <c r="B3954" i="1"/>
  <c r="C3953" i="1"/>
  <c r="B3953" i="1"/>
  <c r="C3952" i="1"/>
  <c r="B3952" i="1"/>
  <c r="C3951" i="1"/>
  <c r="B3951" i="1"/>
  <c r="C3950" i="1"/>
  <c r="B3950" i="1"/>
  <c r="C3949" i="1"/>
  <c r="B3949" i="1"/>
  <c r="C3948" i="1"/>
  <c r="B3948" i="1"/>
  <c r="C3947" i="1"/>
  <c r="B3947" i="1"/>
  <c r="C3946" i="1"/>
  <c r="B3946" i="1"/>
  <c r="C3945" i="1"/>
  <c r="B3945" i="1"/>
  <c r="C3944" i="1"/>
  <c r="B3944" i="1"/>
  <c r="C3943" i="1"/>
  <c r="B3943" i="1"/>
  <c r="C3942" i="1"/>
  <c r="B3942" i="1"/>
  <c r="C3941" i="1"/>
  <c r="B3941" i="1"/>
  <c r="C3940" i="1"/>
  <c r="B3940" i="1"/>
  <c r="C3939" i="1"/>
  <c r="B3939" i="1"/>
  <c r="C3938" i="1"/>
  <c r="B3938" i="1"/>
  <c r="C3937" i="1"/>
  <c r="B3937" i="1"/>
  <c r="C3936" i="1"/>
  <c r="B3936" i="1"/>
  <c r="C3935" i="1"/>
  <c r="B3935" i="1"/>
  <c r="C3934" i="1"/>
  <c r="B3934" i="1"/>
  <c r="C3933" i="1"/>
  <c r="B3933" i="1"/>
  <c r="C3932" i="1"/>
  <c r="B3932" i="1"/>
  <c r="C3931" i="1"/>
  <c r="B3931" i="1"/>
  <c r="C3930" i="1"/>
  <c r="B3930" i="1"/>
  <c r="C3929" i="1"/>
  <c r="B3929" i="1"/>
  <c r="C3928" i="1"/>
  <c r="B3928" i="1"/>
  <c r="C3927" i="1"/>
  <c r="B3927" i="1"/>
  <c r="C3926" i="1"/>
  <c r="B3926" i="1"/>
  <c r="C3925" i="1"/>
  <c r="B3925" i="1"/>
  <c r="C3924" i="1"/>
  <c r="B3924" i="1"/>
  <c r="C3923" i="1"/>
  <c r="B3923" i="1"/>
  <c r="C3922" i="1"/>
  <c r="B3922" i="1"/>
  <c r="C3921" i="1"/>
  <c r="B3921" i="1"/>
  <c r="C3920" i="1"/>
  <c r="B3920" i="1"/>
  <c r="C3919" i="1"/>
  <c r="B3919" i="1"/>
  <c r="C3918" i="1"/>
  <c r="B3918" i="1"/>
  <c r="C3917" i="1"/>
  <c r="B3917" i="1"/>
  <c r="C3916" i="1"/>
  <c r="B3916" i="1"/>
  <c r="C3915" i="1"/>
  <c r="B3915" i="1"/>
  <c r="C3914" i="1"/>
  <c r="B3914" i="1"/>
  <c r="C3913" i="1"/>
  <c r="B3913" i="1"/>
  <c r="C3912" i="1"/>
  <c r="B3912" i="1"/>
  <c r="C3911" i="1"/>
  <c r="B3911" i="1"/>
  <c r="C3910" i="1"/>
  <c r="B3910" i="1"/>
  <c r="C3909" i="1"/>
  <c r="B3909" i="1"/>
  <c r="C3908" i="1"/>
  <c r="B3908" i="1"/>
  <c r="C3907" i="1"/>
  <c r="B3907" i="1"/>
  <c r="C3906" i="1"/>
  <c r="B3906" i="1"/>
  <c r="C3905" i="1"/>
  <c r="B3905" i="1"/>
  <c r="C3904" i="1"/>
  <c r="B3904" i="1"/>
  <c r="C3903" i="1"/>
  <c r="B3903" i="1"/>
  <c r="C3902" i="1"/>
  <c r="B3902" i="1"/>
  <c r="C3901" i="1"/>
  <c r="B3901" i="1"/>
  <c r="C3900" i="1"/>
  <c r="B3900" i="1"/>
  <c r="C3899" i="1"/>
  <c r="B3899" i="1"/>
  <c r="C3898" i="1"/>
  <c r="B3898" i="1"/>
  <c r="C3897" i="1"/>
  <c r="B3897" i="1"/>
  <c r="C3896" i="1"/>
  <c r="B3896" i="1"/>
  <c r="C3895" i="1"/>
  <c r="B3895" i="1"/>
  <c r="C3894" i="1"/>
  <c r="B3894" i="1"/>
  <c r="C3893" i="1"/>
  <c r="B3893" i="1"/>
  <c r="C3892" i="1"/>
  <c r="B3892" i="1"/>
  <c r="C3891" i="1"/>
  <c r="B3891" i="1"/>
  <c r="C3890" i="1"/>
  <c r="B3890" i="1"/>
  <c r="C3889" i="1"/>
  <c r="B3889" i="1"/>
  <c r="C3888" i="1"/>
  <c r="B3888" i="1"/>
  <c r="C3887" i="1"/>
  <c r="B3887" i="1"/>
  <c r="C3886" i="1"/>
  <c r="B3886" i="1"/>
  <c r="C3885" i="1"/>
  <c r="B3885" i="1"/>
  <c r="C3884" i="1"/>
  <c r="B3884" i="1"/>
  <c r="C3883" i="1"/>
  <c r="B3883" i="1"/>
  <c r="C3882" i="1"/>
  <c r="B3882" i="1"/>
  <c r="C3881" i="1"/>
  <c r="B3881" i="1"/>
  <c r="C3880" i="1"/>
  <c r="B3880" i="1"/>
  <c r="C3879" i="1"/>
  <c r="B3879" i="1"/>
  <c r="C3878" i="1"/>
  <c r="B3878" i="1"/>
  <c r="C3877" i="1"/>
  <c r="B3877" i="1"/>
  <c r="C3876" i="1"/>
  <c r="B3876" i="1"/>
  <c r="C3875" i="1"/>
  <c r="B3875" i="1"/>
  <c r="C3874" i="1"/>
  <c r="B3874" i="1"/>
  <c r="C3873" i="1"/>
  <c r="B3873" i="1"/>
  <c r="C3872" i="1"/>
  <c r="B3872" i="1"/>
  <c r="C3871" i="1"/>
  <c r="B3871" i="1"/>
  <c r="C3870" i="1"/>
  <c r="B3870" i="1"/>
  <c r="C3869" i="1"/>
  <c r="B3869" i="1"/>
  <c r="C3868" i="1"/>
  <c r="B3868" i="1"/>
  <c r="C3867" i="1"/>
  <c r="B3867" i="1"/>
  <c r="C3866" i="1"/>
  <c r="B3866" i="1"/>
  <c r="C3865" i="1"/>
  <c r="B3865" i="1"/>
  <c r="C3864" i="1"/>
  <c r="B3864" i="1"/>
  <c r="C3863" i="1"/>
  <c r="B3863" i="1"/>
  <c r="C3862" i="1"/>
  <c r="B3862" i="1"/>
  <c r="C3861" i="1"/>
  <c r="B3861" i="1"/>
  <c r="C3860" i="1"/>
  <c r="B3860" i="1"/>
  <c r="C3859" i="1"/>
  <c r="B3859" i="1"/>
  <c r="C3858" i="1"/>
  <c r="B3858" i="1"/>
  <c r="C3857" i="1"/>
  <c r="B3857" i="1"/>
  <c r="C3856" i="1"/>
  <c r="B3856" i="1"/>
  <c r="C3855" i="1"/>
  <c r="B3855" i="1"/>
  <c r="C3854" i="1"/>
  <c r="B3854" i="1"/>
  <c r="C3853" i="1"/>
  <c r="B3853" i="1"/>
  <c r="C3852" i="1"/>
  <c r="B3852" i="1"/>
  <c r="C3851" i="1"/>
  <c r="B3851" i="1"/>
  <c r="C3850" i="1"/>
  <c r="B3850" i="1"/>
  <c r="C3849" i="1"/>
  <c r="B3849" i="1"/>
  <c r="C3848" i="1"/>
  <c r="B3848" i="1"/>
  <c r="C3847" i="1"/>
  <c r="B3847" i="1"/>
  <c r="C3846" i="1"/>
  <c r="B3846" i="1"/>
  <c r="C3845" i="1"/>
  <c r="B3845" i="1"/>
  <c r="C3844" i="1"/>
  <c r="B3844" i="1"/>
  <c r="C3843" i="1"/>
  <c r="B3843" i="1"/>
  <c r="C3842" i="1"/>
  <c r="B3842" i="1"/>
  <c r="C3841" i="1"/>
  <c r="B3841" i="1"/>
  <c r="C3840" i="1"/>
  <c r="B3840" i="1"/>
  <c r="C3839" i="1"/>
  <c r="B3839" i="1"/>
  <c r="C3838" i="1"/>
  <c r="B3838" i="1"/>
  <c r="C3837" i="1"/>
  <c r="B3837" i="1"/>
  <c r="C3836" i="1"/>
  <c r="B3836" i="1"/>
  <c r="C3835" i="1"/>
  <c r="B3835" i="1"/>
  <c r="C3834" i="1"/>
  <c r="B3834" i="1"/>
  <c r="C3833" i="1"/>
  <c r="B3833" i="1"/>
  <c r="C3832" i="1"/>
  <c r="B3832" i="1"/>
  <c r="C3831" i="1"/>
  <c r="B3831" i="1"/>
  <c r="C3830" i="1"/>
  <c r="B3830" i="1"/>
  <c r="C3829" i="1"/>
  <c r="B3829" i="1"/>
  <c r="C3828" i="1"/>
  <c r="B3828" i="1"/>
  <c r="C3827" i="1"/>
  <c r="B3827" i="1"/>
  <c r="C3826" i="1"/>
  <c r="B3826" i="1"/>
  <c r="C3825" i="1"/>
  <c r="B3825" i="1"/>
  <c r="C3824" i="1"/>
  <c r="B3824" i="1"/>
  <c r="C3823" i="1"/>
  <c r="B3823" i="1"/>
  <c r="C3822" i="1"/>
  <c r="B3822" i="1"/>
  <c r="C3821" i="1"/>
  <c r="B3821" i="1"/>
  <c r="C3820" i="1"/>
  <c r="B3820" i="1"/>
  <c r="C3819" i="1"/>
  <c r="B3819" i="1"/>
  <c r="C3818" i="1"/>
  <c r="B3818" i="1"/>
  <c r="C3817" i="1"/>
  <c r="B3817" i="1"/>
  <c r="C3816" i="1"/>
  <c r="B3816" i="1"/>
  <c r="C3815" i="1"/>
  <c r="B3815" i="1"/>
  <c r="C3814" i="1"/>
  <c r="B3814" i="1"/>
  <c r="C3813" i="1"/>
  <c r="B3813" i="1"/>
  <c r="C3812" i="1"/>
  <c r="B3812" i="1"/>
  <c r="C3811" i="1"/>
  <c r="B3811" i="1"/>
  <c r="C3810" i="1"/>
  <c r="B3810" i="1"/>
  <c r="C3809" i="1"/>
  <c r="B3809" i="1"/>
  <c r="C3808" i="1"/>
  <c r="B3808" i="1"/>
  <c r="C3807" i="1"/>
  <c r="B3807" i="1"/>
  <c r="C3806" i="1"/>
  <c r="B3806" i="1"/>
  <c r="C3805" i="1"/>
  <c r="B3805" i="1"/>
  <c r="C3804" i="1"/>
  <c r="B3804" i="1"/>
  <c r="C3803" i="1"/>
  <c r="B3803" i="1"/>
  <c r="C3802" i="1"/>
  <c r="B3802" i="1"/>
  <c r="C3801" i="1"/>
  <c r="B3801" i="1"/>
  <c r="C3800" i="1"/>
  <c r="B3800" i="1"/>
  <c r="C3799" i="1"/>
  <c r="B3799" i="1"/>
  <c r="C3798" i="1"/>
  <c r="B3798" i="1"/>
  <c r="C3797" i="1"/>
  <c r="B3797" i="1"/>
  <c r="C3796" i="1"/>
  <c r="B3796" i="1"/>
  <c r="C3795" i="1"/>
  <c r="B3795" i="1"/>
  <c r="C3794" i="1"/>
  <c r="B3794" i="1"/>
  <c r="C3793" i="1"/>
  <c r="B3793" i="1"/>
  <c r="C3792" i="1"/>
  <c r="B3792" i="1"/>
  <c r="C3791" i="1"/>
  <c r="B3791" i="1"/>
  <c r="C3790" i="1"/>
  <c r="B3790" i="1"/>
  <c r="C3789" i="1"/>
  <c r="B3789" i="1"/>
  <c r="C3788" i="1"/>
  <c r="B3788" i="1"/>
  <c r="C3787" i="1"/>
  <c r="B3787" i="1"/>
  <c r="C3786" i="1"/>
  <c r="B3786" i="1"/>
  <c r="C3785" i="1"/>
  <c r="B3785" i="1"/>
  <c r="C3784" i="1"/>
  <c r="B3784" i="1"/>
  <c r="C3783" i="1"/>
  <c r="B3783" i="1"/>
  <c r="C3782" i="1"/>
  <c r="B3782" i="1"/>
  <c r="C3781" i="1"/>
  <c r="B3781" i="1"/>
  <c r="C3780" i="1"/>
  <c r="B3780" i="1"/>
  <c r="C3779" i="1"/>
  <c r="B3779" i="1"/>
  <c r="C3778" i="1"/>
  <c r="B3778" i="1"/>
  <c r="C3777" i="1"/>
  <c r="B3777" i="1"/>
  <c r="C3776" i="1"/>
  <c r="B3776" i="1"/>
  <c r="C3775" i="1"/>
  <c r="B3775" i="1"/>
  <c r="C3774" i="1"/>
  <c r="B3774" i="1"/>
  <c r="C3773" i="1"/>
  <c r="B3773" i="1"/>
  <c r="C3772" i="1"/>
  <c r="B3772" i="1"/>
  <c r="C3771" i="1"/>
  <c r="B3771" i="1"/>
  <c r="C3770" i="1"/>
  <c r="B3770" i="1"/>
  <c r="C3769" i="1"/>
  <c r="B3769" i="1"/>
  <c r="C3768" i="1"/>
  <c r="B3768" i="1"/>
  <c r="C3767" i="1"/>
  <c r="B3767" i="1"/>
  <c r="C3766" i="1"/>
  <c r="B3766" i="1"/>
  <c r="C3765" i="1"/>
  <c r="B3765" i="1"/>
  <c r="C3764" i="1"/>
  <c r="B3764" i="1"/>
  <c r="C3763" i="1"/>
  <c r="B3763" i="1"/>
  <c r="C3762" i="1"/>
  <c r="B3762" i="1"/>
  <c r="C3761" i="1"/>
  <c r="B3761" i="1"/>
  <c r="C3760" i="1"/>
  <c r="B3760" i="1"/>
  <c r="C3759" i="1"/>
  <c r="B3759" i="1"/>
  <c r="C3758" i="1"/>
  <c r="B3758" i="1"/>
  <c r="C3757" i="1"/>
  <c r="B3757" i="1"/>
  <c r="C3756" i="1"/>
  <c r="B3756" i="1"/>
  <c r="C3755" i="1"/>
  <c r="B3755" i="1"/>
  <c r="C3754" i="1"/>
  <c r="B3754" i="1"/>
  <c r="C3753" i="1"/>
  <c r="B3753" i="1"/>
  <c r="C3752" i="1"/>
  <c r="B3752" i="1"/>
  <c r="C3751" i="1"/>
  <c r="B3751" i="1"/>
  <c r="C3750" i="1"/>
  <c r="B3750" i="1"/>
  <c r="C3749" i="1"/>
  <c r="B3749" i="1"/>
  <c r="C3748" i="1"/>
  <c r="B3748" i="1"/>
  <c r="C3747" i="1"/>
  <c r="B3747" i="1"/>
  <c r="C3746" i="1"/>
  <c r="B3746" i="1"/>
  <c r="C3745" i="1"/>
  <c r="B3745" i="1"/>
  <c r="C3744" i="1"/>
  <c r="B3744" i="1"/>
  <c r="C3743" i="1"/>
  <c r="B3743" i="1"/>
  <c r="C3742" i="1"/>
  <c r="B3742" i="1"/>
  <c r="C3741" i="1"/>
  <c r="B3741" i="1"/>
  <c r="C3740" i="1"/>
  <c r="B3740" i="1"/>
  <c r="C3739" i="1"/>
  <c r="B3739" i="1"/>
  <c r="C3738" i="1"/>
  <c r="B3738" i="1"/>
  <c r="C3737" i="1"/>
  <c r="B3737" i="1"/>
  <c r="C3736" i="1"/>
  <c r="B3736" i="1"/>
  <c r="C3735" i="1"/>
  <c r="B3735" i="1"/>
  <c r="C3734" i="1"/>
  <c r="B3734" i="1"/>
  <c r="C3733" i="1"/>
  <c r="B3733" i="1"/>
  <c r="C3732" i="1"/>
  <c r="B3732" i="1"/>
  <c r="C3731" i="1"/>
  <c r="B3731" i="1"/>
  <c r="C3730" i="1"/>
  <c r="B3730" i="1"/>
  <c r="C3729" i="1"/>
  <c r="B3729" i="1"/>
  <c r="C3728" i="1"/>
  <c r="B3728" i="1"/>
  <c r="C3727" i="1"/>
  <c r="B3727" i="1"/>
  <c r="C3726" i="1"/>
  <c r="B3726" i="1"/>
  <c r="C3725" i="1"/>
  <c r="B3725" i="1"/>
  <c r="C3724" i="1"/>
  <c r="B3724" i="1"/>
  <c r="C3723" i="1"/>
  <c r="B3723" i="1"/>
  <c r="C3722" i="1"/>
  <c r="B3722" i="1"/>
  <c r="C3721" i="1"/>
  <c r="B3721" i="1"/>
  <c r="C3720" i="1"/>
  <c r="B3720" i="1"/>
  <c r="C3719" i="1"/>
  <c r="B3719" i="1"/>
  <c r="C3718" i="1"/>
  <c r="B3718" i="1"/>
  <c r="C3717" i="1"/>
  <c r="B3717" i="1"/>
  <c r="C3716" i="1"/>
  <c r="B3716" i="1"/>
  <c r="C3715" i="1"/>
  <c r="B3715" i="1"/>
  <c r="C3714" i="1"/>
  <c r="B3714" i="1"/>
  <c r="C3713" i="1"/>
  <c r="B3713" i="1"/>
  <c r="C3712" i="1"/>
  <c r="B3712" i="1"/>
  <c r="C3711" i="1"/>
  <c r="B3711" i="1"/>
  <c r="C3710" i="1"/>
  <c r="B3710" i="1"/>
  <c r="C3709" i="1"/>
  <c r="B3709" i="1"/>
  <c r="C3708" i="1"/>
  <c r="B3708" i="1"/>
  <c r="C3707" i="1"/>
  <c r="B3707" i="1"/>
  <c r="C3706" i="1"/>
  <c r="B3706" i="1"/>
  <c r="C3705" i="1"/>
  <c r="B3705" i="1"/>
  <c r="C3704" i="1"/>
  <c r="B3704" i="1"/>
  <c r="C3703" i="1"/>
  <c r="B3703" i="1"/>
  <c r="C3702" i="1"/>
  <c r="B3702" i="1"/>
  <c r="C3701" i="1"/>
  <c r="B3701" i="1"/>
  <c r="C3700" i="1"/>
  <c r="B3700" i="1"/>
  <c r="C3699" i="1"/>
  <c r="B3699" i="1"/>
  <c r="C3698" i="1"/>
  <c r="B3698" i="1"/>
  <c r="C3697" i="1"/>
  <c r="B3697" i="1"/>
  <c r="C3696" i="1"/>
  <c r="B3696" i="1"/>
  <c r="C3695" i="1"/>
  <c r="B3695" i="1"/>
  <c r="C3694" i="1"/>
  <c r="B3694" i="1"/>
  <c r="C3693" i="1"/>
  <c r="B3693" i="1"/>
  <c r="C3692" i="1"/>
  <c r="B3692" i="1"/>
  <c r="C3691" i="1"/>
  <c r="B3691" i="1"/>
  <c r="C3690" i="1"/>
  <c r="B3690" i="1"/>
  <c r="C3689" i="1"/>
  <c r="B3689" i="1"/>
  <c r="C3688" i="1"/>
  <c r="B3688" i="1"/>
  <c r="C3687" i="1"/>
  <c r="B3687" i="1"/>
  <c r="C3686" i="1"/>
  <c r="B3686" i="1"/>
  <c r="C3685" i="1"/>
  <c r="B3685" i="1"/>
  <c r="C3684" i="1"/>
  <c r="B3684" i="1"/>
  <c r="C3683" i="1"/>
  <c r="B3683" i="1"/>
  <c r="C3682" i="1"/>
  <c r="B3682" i="1"/>
  <c r="C3681" i="1"/>
  <c r="B3681" i="1"/>
  <c r="C3680" i="1"/>
  <c r="B3680" i="1"/>
  <c r="C3679" i="1"/>
  <c r="B3679" i="1"/>
  <c r="C3678" i="1"/>
  <c r="B3678" i="1"/>
  <c r="C3677" i="1"/>
  <c r="B3677" i="1"/>
  <c r="C3676" i="1"/>
  <c r="B3676" i="1"/>
  <c r="C3675" i="1"/>
  <c r="B3675" i="1"/>
  <c r="C3674" i="1"/>
  <c r="B3674" i="1"/>
  <c r="C3673" i="1"/>
  <c r="B3673" i="1"/>
  <c r="C3672" i="1"/>
  <c r="B3672" i="1"/>
  <c r="C3671" i="1"/>
  <c r="B3671" i="1"/>
  <c r="C3670" i="1"/>
  <c r="B3670" i="1"/>
  <c r="C3669" i="1"/>
  <c r="B3669" i="1"/>
  <c r="C3668" i="1"/>
  <c r="B3668" i="1"/>
  <c r="C3667" i="1"/>
  <c r="B3667" i="1"/>
  <c r="C3666" i="1"/>
  <c r="B3666" i="1"/>
  <c r="C3665" i="1"/>
  <c r="B3665" i="1"/>
  <c r="C3664" i="1"/>
  <c r="B3664" i="1"/>
  <c r="C3663" i="1"/>
  <c r="B3663" i="1"/>
  <c r="C3662" i="1"/>
  <c r="B3662" i="1"/>
  <c r="C3661" i="1"/>
  <c r="B3661" i="1"/>
  <c r="C3660" i="1"/>
  <c r="B3660" i="1"/>
  <c r="C3659" i="1"/>
  <c r="B3659" i="1"/>
  <c r="C3658" i="1"/>
  <c r="B3658" i="1"/>
  <c r="C3657" i="1"/>
  <c r="B3657" i="1"/>
  <c r="C3656" i="1"/>
  <c r="B3656" i="1"/>
  <c r="C3655" i="1"/>
  <c r="B3655" i="1"/>
  <c r="C3654" i="1"/>
  <c r="B3654" i="1"/>
  <c r="C3653" i="1"/>
  <c r="B3653" i="1"/>
  <c r="C3652" i="1"/>
  <c r="B3652" i="1"/>
  <c r="C3651" i="1"/>
  <c r="B3651" i="1"/>
  <c r="C3650" i="1"/>
  <c r="B3650" i="1"/>
  <c r="C3649" i="1"/>
  <c r="B3649" i="1"/>
  <c r="C3648" i="1"/>
  <c r="B3648" i="1"/>
  <c r="C3647" i="1"/>
  <c r="B3647" i="1"/>
  <c r="C3646" i="1"/>
  <c r="B3646" i="1"/>
  <c r="C3645" i="1"/>
  <c r="B3645" i="1"/>
  <c r="C3644" i="1"/>
  <c r="B3644" i="1"/>
  <c r="C3643" i="1"/>
  <c r="B3643" i="1"/>
  <c r="C3642" i="1"/>
  <c r="B3642" i="1"/>
  <c r="C3641" i="1"/>
  <c r="B3641" i="1"/>
  <c r="C3640" i="1"/>
  <c r="B3640" i="1"/>
  <c r="C3639" i="1"/>
  <c r="B3639" i="1"/>
  <c r="C3638" i="1"/>
  <c r="B3638" i="1"/>
  <c r="C3637" i="1"/>
  <c r="B3637" i="1"/>
  <c r="C3636" i="1"/>
  <c r="B3636" i="1"/>
  <c r="C3635" i="1"/>
  <c r="B3635" i="1"/>
  <c r="C3634" i="1"/>
  <c r="B3634" i="1"/>
  <c r="C3633" i="1"/>
  <c r="B3633" i="1"/>
  <c r="C3632" i="1"/>
  <c r="B3632" i="1"/>
  <c r="C3631" i="1"/>
  <c r="B3631" i="1"/>
  <c r="C3630" i="1"/>
  <c r="B3630" i="1"/>
  <c r="C3629" i="1"/>
  <c r="B3629" i="1"/>
  <c r="C3628" i="1"/>
  <c r="B3628" i="1"/>
  <c r="C3627" i="1"/>
  <c r="B3627" i="1"/>
  <c r="C3626" i="1"/>
  <c r="B3626" i="1"/>
  <c r="C3625" i="1"/>
  <c r="B3625" i="1"/>
  <c r="C3624" i="1"/>
  <c r="B3624" i="1"/>
  <c r="C3623" i="1"/>
  <c r="B3623" i="1"/>
  <c r="C3622" i="1"/>
  <c r="B3622" i="1"/>
  <c r="C3621" i="1"/>
  <c r="B3621" i="1"/>
  <c r="C3620" i="1"/>
  <c r="B3620" i="1"/>
  <c r="C3619" i="1"/>
  <c r="B3619" i="1"/>
  <c r="C3618" i="1"/>
  <c r="B3618" i="1"/>
  <c r="C3617" i="1"/>
  <c r="B3617" i="1"/>
  <c r="C3616" i="1"/>
  <c r="B3616" i="1"/>
  <c r="C3615" i="1"/>
  <c r="B3615" i="1"/>
  <c r="C3614" i="1"/>
  <c r="B3614" i="1"/>
  <c r="C3613" i="1"/>
  <c r="B3613" i="1"/>
  <c r="C3612" i="1"/>
  <c r="B3612" i="1"/>
  <c r="C3611" i="1"/>
  <c r="B3611" i="1"/>
  <c r="C3610" i="1"/>
  <c r="B3610" i="1"/>
  <c r="C3609" i="1"/>
  <c r="B3609" i="1"/>
  <c r="C3608" i="1"/>
  <c r="B3608" i="1"/>
  <c r="C3607" i="1"/>
  <c r="B3607" i="1"/>
  <c r="C3606" i="1"/>
  <c r="B3606" i="1"/>
  <c r="C3605" i="1"/>
  <c r="B3605" i="1"/>
  <c r="C3604" i="1"/>
  <c r="B3604" i="1"/>
  <c r="C3603" i="1"/>
  <c r="B3603" i="1"/>
  <c r="C3602" i="1"/>
  <c r="B3602" i="1"/>
  <c r="C3601" i="1"/>
  <c r="B3601" i="1"/>
  <c r="C3600" i="1"/>
  <c r="B3600" i="1"/>
  <c r="C3599" i="1"/>
  <c r="B3599" i="1"/>
  <c r="C3598" i="1"/>
  <c r="B3598" i="1"/>
  <c r="C3597" i="1"/>
  <c r="B3597" i="1"/>
  <c r="C3596" i="1"/>
  <c r="B3596" i="1"/>
  <c r="C3595" i="1"/>
  <c r="B3595" i="1"/>
  <c r="C3594" i="1"/>
  <c r="B3594" i="1"/>
  <c r="C3593" i="1"/>
  <c r="B3593" i="1"/>
  <c r="C3592" i="1"/>
  <c r="B3592" i="1"/>
  <c r="C3591" i="1"/>
  <c r="B3591" i="1"/>
  <c r="C3590" i="1"/>
  <c r="B3590" i="1"/>
  <c r="C3589" i="1"/>
  <c r="B3589" i="1"/>
  <c r="C3588" i="1"/>
  <c r="B3588" i="1"/>
  <c r="C3587" i="1"/>
  <c r="B3587" i="1"/>
  <c r="C3586" i="1"/>
  <c r="B3586" i="1"/>
  <c r="C3585" i="1"/>
  <c r="B3585" i="1"/>
  <c r="C3584" i="1"/>
  <c r="B3584" i="1"/>
  <c r="C3583" i="1"/>
  <c r="B3583" i="1"/>
  <c r="C3582" i="1"/>
  <c r="B3582" i="1"/>
  <c r="C3581" i="1"/>
  <c r="B3581" i="1"/>
  <c r="C3580" i="1"/>
  <c r="B3580" i="1"/>
  <c r="C3579" i="1"/>
  <c r="B3579" i="1"/>
  <c r="C3578" i="1"/>
  <c r="B3578" i="1"/>
  <c r="C3577" i="1"/>
  <c r="B3577" i="1"/>
  <c r="C3576" i="1"/>
  <c r="B3576" i="1"/>
  <c r="C3575" i="1"/>
  <c r="B3575" i="1"/>
  <c r="C3574" i="1"/>
  <c r="B3574" i="1"/>
  <c r="C3573" i="1"/>
  <c r="B3573" i="1"/>
  <c r="C3572" i="1"/>
  <c r="B3572" i="1"/>
  <c r="C3571" i="1"/>
  <c r="B3571" i="1"/>
  <c r="C3570" i="1"/>
  <c r="B3570" i="1"/>
  <c r="C3569" i="1"/>
  <c r="B3569" i="1"/>
  <c r="C3568" i="1"/>
  <c r="B3568" i="1"/>
  <c r="C3567" i="1"/>
  <c r="B3567" i="1"/>
  <c r="C3566" i="1"/>
  <c r="B3566" i="1"/>
  <c r="C3565" i="1"/>
  <c r="B3565" i="1"/>
  <c r="C3564" i="1"/>
  <c r="B3564" i="1"/>
  <c r="C3563" i="1"/>
  <c r="B3563" i="1"/>
  <c r="C3562" i="1"/>
  <c r="B3562" i="1"/>
  <c r="C3561" i="1"/>
  <c r="B3561" i="1"/>
  <c r="C3560" i="1"/>
  <c r="B3560" i="1"/>
  <c r="C3559" i="1"/>
  <c r="B3559" i="1"/>
  <c r="C3558" i="1"/>
  <c r="B3558" i="1"/>
  <c r="C3557" i="1"/>
  <c r="B3557" i="1"/>
  <c r="C3556" i="1"/>
  <c r="B3556" i="1"/>
  <c r="C3555" i="1"/>
  <c r="B3555" i="1"/>
  <c r="C3554" i="1"/>
  <c r="B3554" i="1"/>
  <c r="C3553" i="1"/>
  <c r="B3553" i="1"/>
  <c r="C3552" i="1"/>
  <c r="B3552" i="1"/>
  <c r="C3551" i="1"/>
  <c r="B3551" i="1"/>
  <c r="C3550" i="1"/>
  <c r="B3550" i="1"/>
  <c r="C3549" i="1"/>
  <c r="B3549" i="1"/>
  <c r="C3548" i="1"/>
  <c r="B3548" i="1"/>
  <c r="C3547" i="1"/>
  <c r="B3547" i="1"/>
  <c r="C3546" i="1"/>
  <c r="B3546" i="1"/>
  <c r="C3545" i="1"/>
  <c r="B3545" i="1"/>
  <c r="C3544" i="1"/>
  <c r="B3544" i="1"/>
  <c r="C3543" i="1"/>
  <c r="B3543" i="1"/>
  <c r="C3542" i="1"/>
  <c r="B3542" i="1"/>
  <c r="C3541" i="1"/>
  <c r="B3541" i="1"/>
  <c r="C3540" i="1"/>
  <c r="B3540" i="1"/>
  <c r="C3539" i="1"/>
  <c r="B3539" i="1"/>
  <c r="C3538" i="1"/>
  <c r="B3538" i="1"/>
  <c r="C3537" i="1"/>
  <c r="B3537" i="1"/>
  <c r="C3536" i="1"/>
  <c r="B3536" i="1"/>
  <c r="C3535" i="1"/>
  <c r="B3535" i="1"/>
  <c r="C3534" i="1"/>
  <c r="B3534" i="1"/>
  <c r="C3533" i="1"/>
  <c r="B3533" i="1"/>
  <c r="C3532" i="1"/>
  <c r="B3532" i="1"/>
  <c r="C3531" i="1"/>
  <c r="B3531" i="1"/>
  <c r="C3530" i="1"/>
  <c r="B3530" i="1"/>
  <c r="C3529" i="1"/>
  <c r="B3529" i="1"/>
  <c r="C3528" i="1"/>
  <c r="B3528" i="1"/>
  <c r="C3527" i="1"/>
  <c r="B3527" i="1"/>
  <c r="C3526" i="1"/>
  <c r="B3526" i="1"/>
  <c r="C3525" i="1"/>
  <c r="B3525" i="1"/>
  <c r="C3524" i="1"/>
  <c r="B3524" i="1"/>
  <c r="C3523" i="1"/>
  <c r="B3523" i="1"/>
  <c r="C3522" i="1"/>
  <c r="B3522" i="1"/>
  <c r="C3521" i="1"/>
  <c r="B3521" i="1"/>
  <c r="C3520" i="1"/>
  <c r="B3520" i="1"/>
  <c r="C3519" i="1"/>
  <c r="B3519" i="1"/>
  <c r="C3518" i="1"/>
  <c r="B3518" i="1"/>
  <c r="C3517" i="1"/>
  <c r="B3517" i="1"/>
  <c r="C3516" i="1"/>
  <c r="B3516" i="1"/>
  <c r="C3515" i="1"/>
  <c r="B3515" i="1"/>
  <c r="C3514" i="1"/>
  <c r="B3514" i="1"/>
  <c r="C3513" i="1"/>
  <c r="B3513" i="1"/>
  <c r="C3512" i="1"/>
  <c r="B3512" i="1"/>
  <c r="C3511" i="1"/>
  <c r="B3511" i="1"/>
  <c r="C3510" i="1"/>
  <c r="B3510" i="1"/>
  <c r="C3509" i="1"/>
  <c r="B3509" i="1"/>
  <c r="C3508" i="1"/>
  <c r="B3508" i="1"/>
  <c r="C3507" i="1"/>
  <c r="B3507" i="1"/>
  <c r="C3506" i="1"/>
  <c r="B3506" i="1"/>
  <c r="C3505" i="1"/>
  <c r="B3505" i="1"/>
  <c r="C3504" i="1"/>
  <c r="B3504" i="1"/>
  <c r="C3503" i="1"/>
  <c r="B3503" i="1"/>
  <c r="C3502" i="1"/>
  <c r="B3502" i="1"/>
  <c r="C3501" i="1"/>
  <c r="B3501" i="1"/>
  <c r="C3500" i="1"/>
  <c r="B3500" i="1"/>
  <c r="C3499" i="1"/>
  <c r="B3499" i="1"/>
  <c r="C3498" i="1"/>
  <c r="B3498" i="1"/>
  <c r="C3497" i="1"/>
  <c r="B3497" i="1"/>
  <c r="C3496" i="1"/>
  <c r="B3496" i="1"/>
  <c r="C3495" i="1"/>
  <c r="B3495" i="1"/>
  <c r="C3494" i="1"/>
  <c r="B3494" i="1"/>
  <c r="C3493" i="1"/>
  <c r="B3493" i="1"/>
  <c r="C3492" i="1"/>
  <c r="B3492" i="1"/>
  <c r="C3491" i="1"/>
  <c r="B3491" i="1"/>
  <c r="C3490" i="1"/>
  <c r="B3490" i="1"/>
  <c r="C3489" i="1"/>
  <c r="B3489" i="1"/>
  <c r="C3488" i="1"/>
  <c r="B3488" i="1"/>
  <c r="C3487" i="1"/>
  <c r="B3487" i="1"/>
  <c r="C3486" i="1"/>
  <c r="B3486" i="1"/>
  <c r="C3485" i="1"/>
  <c r="B3485" i="1"/>
  <c r="C3484" i="1"/>
  <c r="B3484" i="1"/>
  <c r="C3483" i="1"/>
  <c r="B3483" i="1"/>
  <c r="C3482" i="1"/>
  <c r="B3482" i="1"/>
  <c r="C3481" i="1"/>
  <c r="B3481" i="1"/>
  <c r="C3480" i="1"/>
  <c r="B3480" i="1"/>
  <c r="C3479" i="1"/>
  <c r="B3479" i="1"/>
  <c r="C3478" i="1"/>
  <c r="B3478" i="1"/>
  <c r="C3477" i="1"/>
  <c r="B3477" i="1"/>
  <c r="C3476" i="1"/>
  <c r="B3476" i="1"/>
  <c r="C3475" i="1"/>
  <c r="B3475" i="1"/>
  <c r="C3474" i="1"/>
  <c r="B3474" i="1"/>
  <c r="C3473" i="1"/>
  <c r="B3473" i="1"/>
  <c r="C3472" i="1"/>
  <c r="B3472" i="1"/>
  <c r="C3471" i="1"/>
  <c r="B3471" i="1"/>
  <c r="C3470" i="1"/>
  <c r="B3470" i="1"/>
  <c r="C3469" i="1"/>
  <c r="B3469" i="1"/>
  <c r="C3468" i="1"/>
  <c r="B3468" i="1"/>
  <c r="C3467" i="1"/>
  <c r="B3467" i="1"/>
  <c r="C3466" i="1"/>
  <c r="B3466" i="1"/>
  <c r="C3465" i="1"/>
  <c r="B3465" i="1"/>
  <c r="C3464" i="1"/>
  <c r="B3464" i="1"/>
  <c r="C3463" i="1"/>
  <c r="B3463" i="1"/>
  <c r="C3462" i="1"/>
  <c r="B3462" i="1"/>
  <c r="C3461" i="1"/>
  <c r="B3461" i="1"/>
  <c r="C3460" i="1"/>
  <c r="B3460" i="1"/>
  <c r="C3459" i="1"/>
  <c r="B3459" i="1"/>
  <c r="C3458" i="1"/>
  <c r="B3458" i="1"/>
  <c r="C3457" i="1"/>
  <c r="B3457" i="1"/>
  <c r="C3456" i="1"/>
  <c r="B3456" i="1"/>
  <c r="C3455" i="1"/>
  <c r="B3455" i="1"/>
  <c r="C3454" i="1"/>
  <c r="B3454" i="1"/>
  <c r="C3453" i="1"/>
  <c r="B3453" i="1"/>
  <c r="C3452" i="1"/>
  <c r="B3452" i="1"/>
  <c r="C3451" i="1"/>
  <c r="B3451" i="1"/>
  <c r="C3450" i="1"/>
  <c r="B3450" i="1"/>
  <c r="C3449" i="1"/>
  <c r="B3449" i="1"/>
  <c r="C3448" i="1"/>
  <c r="B3448" i="1"/>
  <c r="C3447" i="1"/>
  <c r="B3447" i="1"/>
  <c r="C3446" i="1"/>
  <c r="B3446" i="1"/>
  <c r="C3445" i="1"/>
  <c r="B3445" i="1"/>
  <c r="C3444" i="1"/>
  <c r="B3444" i="1"/>
  <c r="C3443" i="1"/>
  <c r="B3443" i="1"/>
  <c r="C3442" i="1"/>
  <c r="B3442" i="1"/>
  <c r="C3441" i="1"/>
  <c r="B3441" i="1"/>
  <c r="C3440" i="1"/>
  <c r="B3440" i="1"/>
  <c r="C3439" i="1"/>
  <c r="B3439" i="1"/>
  <c r="C3438" i="1"/>
  <c r="B3438" i="1"/>
  <c r="C3437" i="1"/>
  <c r="B3437" i="1"/>
  <c r="C3436" i="1"/>
  <c r="B3436" i="1"/>
  <c r="C3435" i="1"/>
  <c r="B3435" i="1"/>
  <c r="C3434" i="1"/>
  <c r="B3434" i="1"/>
  <c r="C3433" i="1"/>
  <c r="B3433" i="1"/>
  <c r="C3432" i="1"/>
  <c r="B3432" i="1"/>
  <c r="C3431" i="1"/>
  <c r="B3431" i="1"/>
  <c r="C3430" i="1"/>
  <c r="B3430" i="1"/>
  <c r="C3429" i="1"/>
  <c r="B3429" i="1"/>
  <c r="C3428" i="1"/>
  <c r="B3428" i="1"/>
  <c r="C3427" i="1"/>
  <c r="B3427" i="1"/>
  <c r="C3426" i="1"/>
  <c r="B3426" i="1"/>
  <c r="C3425" i="1"/>
  <c r="B3425" i="1"/>
  <c r="C3424" i="1"/>
  <c r="B3424" i="1"/>
  <c r="C3423" i="1"/>
  <c r="B3423" i="1"/>
  <c r="C3422" i="1"/>
  <c r="B3422" i="1"/>
  <c r="C3421" i="1"/>
  <c r="B3421" i="1"/>
  <c r="C3420" i="1"/>
  <c r="B3420" i="1"/>
  <c r="C3419" i="1"/>
  <c r="B3419" i="1"/>
  <c r="C3418" i="1"/>
  <c r="B3418" i="1"/>
  <c r="C3417" i="1"/>
  <c r="B3417" i="1"/>
  <c r="C3416" i="1"/>
  <c r="B3416" i="1"/>
  <c r="C3415" i="1"/>
  <c r="B3415" i="1"/>
  <c r="C3414" i="1"/>
  <c r="B3414" i="1"/>
  <c r="C3413" i="1"/>
  <c r="B3413" i="1"/>
  <c r="C3412" i="1"/>
  <c r="B3412" i="1"/>
  <c r="C3411" i="1"/>
  <c r="B3411" i="1"/>
  <c r="C3410" i="1"/>
  <c r="B3410" i="1"/>
  <c r="C3409" i="1"/>
  <c r="B3409" i="1"/>
  <c r="C3408" i="1"/>
  <c r="B3408" i="1"/>
  <c r="C3407" i="1"/>
  <c r="B3407" i="1"/>
  <c r="C3406" i="1"/>
  <c r="B3406" i="1"/>
  <c r="C3405" i="1"/>
  <c r="B3405" i="1"/>
  <c r="C3404" i="1"/>
  <c r="B3404" i="1"/>
  <c r="C3403" i="1"/>
  <c r="B3403" i="1"/>
  <c r="C3402" i="1"/>
  <c r="B3402" i="1"/>
  <c r="C3401" i="1"/>
  <c r="B3401" i="1"/>
  <c r="C3400" i="1"/>
  <c r="B3400" i="1"/>
  <c r="C3399" i="1"/>
  <c r="B3399" i="1"/>
  <c r="C3398" i="1"/>
  <c r="B3398" i="1"/>
  <c r="C3397" i="1"/>
  <c r="B3397" i="1"/>
  <c r="C3396" i="1"/>
  <c r="B3396" i="1"/>
  <c r="C3395" i="1"/>
  <c r="B3395" i="1"/>
  <c r="C3394" i="1"/>
  <c r="B3394" i="1"/>
  <c r="C3393" i="1"/>
  <c r="B3393" i="1"/>
  <c r="C3392" i="1"/>
  <c r="B3392" i="1"/>
  <c r="C3391" i="1"/>
  <c r="B3391" i="1"/>
  <c r="C3390" i="1"/>
  <c r="B3390" i="1"/>
  <c r="C3389" i="1"/>
  <c r="B3389" i="1"/>
  <c r="C3388" i="1"/>
  <c r="B3388" i="1"/>
  <c r="C3387" i="1"/>
  <c r="B3387" i="1"/>
  <c r="C3386" i="1"/>
  <c r="B3386" i="1"/>
  <c r="C3385" i="1"/>
  <c r="B3385" i="1"/>
  <c r="C3384" i="1"/>
  <c r="B3384" i="1"/>
  <c r="C3383" i="1"/>
  <c r="B3383" i="1"/>
  <c r="C3382" i="1"/>
  <c r="B3382" i="1"/>
  <c r="C3381" i="1"/>
  <c r="B3381" i="1"/>
  <c r="C3380" i="1"/>
  <c r="B3380" i="1"/>
  <c r="C3379" i="1"/>
  <c r="B3379" i="1"/>
  <c r="C3378" i="1"/>
  <c r="B3378" i="1"/>
  <c r="C3377" i="1"/>
  <c r="B3377" i="1"/>
  <c r="C3376" i="1"/>
  <c r="B3376" i="1"/>
  <c r="C3375" i="1"/>
  <c r="B3375" i="1"/>
  <c r="C3374" i="1"/>
  <c r="B3374" i="1"/>
  <c r="C3373" i="1"/>
  <c r="B3373" i="1"/>
  <c r="C3372" i="1"/>
  <c r="B3372" i="1"/>
  <c r="C3371" i="1"/>
  <c r="B3371" i="1"/>
  <c r="C3370" i="1"/>
  <c r="B3370" i="1"/>
  <c r="C3369" i="1"/>
  <c r="B3369" i="1"/>
  <c r="C3368" i="1"/>
  <c r="B3368" i="1"/>
  <c r="C3367" i="1"/>
  <c r="B3367" i="1"/>
  <c r="C3366" i="1"/>
  <c r="B3366" i="1"/>
  <c r="C3365" i="1"/>
  <c r="B3365" i="1"/>
  <c r="C3364" i="1"/>
  <c r="B3364" i="1"/>
  <c r="C3363" i="1"/>
  <c r="B3363" i="1"/>
  <c r="C3362" i="1"/>
  <c r="B3362" i="1"/>
  <c r="C3361" i="1"/>
  <c r="B3361" i="1"/>
  <c r="C3360" i="1"/>
  <c r="B3360" i="1"/>
  <c r="C3359" i="1"/>
  <c r="B3359" i="1"/>
  <c r="C3358" i="1"/>
  <c r="B3358" i="1"/>
  <c r="C3357" i="1"/>
  <c r="B3357" i="1"/>
  <c r="C3356" i="1"/>
  <c r="B3356" i="1"/>
  <c r="C3355" i="1"/>
  <c r="B3355" i="1"/>
  <c r="C3354" i="1"/>
  <c r="B3354" i="1"/>
  <c r="C3353" i="1"/>
  <c r="B3353" i="1"/>
  <c r="C3352" i="1"/>
  <c r="B3352" i="1"/>
  <c r="C3351" i="1"/>
  <c r="B3351" i="1"/>
  <c r="C3350" i="1"/>
  <c r="B3350" i="1"/>
  <c r="C3349" i="1"/>
  <c r="B3349" i="1"/>
  <c r="C3348" i="1"/>
  <c r="B3348" i="1"/>
  <c r="C3347" i="1"/>
  <c r="B3347" i="1"/>
  <c r="C3346" i="1"/>
  <c r="B3346" i="1"/>
  <c r="C3345" i="1"/>
  <c r="B3345" i="1"/>
  <c r="C3344" i="1"/>
  <c r="B3344" i="1"/>
  <c r="C3343" i="1"/>
  <c r="B3343" i="1"/>
  <c r="C3342" i="1"/>
  <c r="B3342" i="1"/>
  <c r="C3341" i="1"/>
  <c r="B3341" i="1"/>
  <c r="C3340" i="1"/>
  <c r="B3340" i="1"/>
  <c r="C3339" i="1"/>
  <c r="B3339" i="1"/>
  <c r="C3338" i="1"/>
  <c r="B3338" i="1"/>
  <c r="C3337" i="1"/>
  <c r="B3337" i="1"/>
  <c r="C3336" i="1"/>
  <c r="B3336" i="1"/>
  <c r="C3335" i="1"/>
  <c r="B3335" i="1"/>
  <c r="C3334" i="1"/>
  <c r="B3334" i="1"/>
  <c r="C3333" i="1"/>
  <c r="B3333" i="1"/>
  <c r="C3332" i="1"/>
  <c r="B3332" i="1"/>
  <c r="C3331" i="1"/>
  <c r="B3331" i="1"/>
  <c r="C3330" i="1"/>
  <c r="B3330" i="1"/>
  <c r="C3329" i="1"/>
  <c r="B3329" i="1"/>
  <c r="C3328" i="1"/>
  <c r="B3328" i="1"/>
  <c r="C3327" i="1"/>
  <c r="B3327" i="1"/>
  <c r="C3326" i="1"/>
  <c r="B3326" i="1"/>
  <c r="C3325" i="1"/>
  <c r="B3325" i="1"/>
  <c r="C3324" i="1"/>
  <c r="B3324" i="1"/>
  <c r="C3323" i="1"/>
  <c r="B3323" i="1"/>
  <c r="C3322" i="1"/>
  <c r="B3322" i="1"/>
  <c r="C3321" i="1"/>
  <c r="B3321" i="1"/>
  <c r="C3320" i="1"/>
  <c r="B3320" i="1"/>
  <c r="C3319" i="1"/>
  <c r="B3319" i="1"/>
  <c r="C3318" i="1"/>
  <c r="B3318" i="1"/>
  <c r="C3317" i="1"/>
  <c r="B3317" i="1"/>
  <c r="C3316" i="1"/>
  <c r="B3316" i="1"/>
  <c r="C3315" i="1"/>
  <c r="B3315" i="1"/>
  <c r="C3314" i="1"/>
  <c r="B3314" i="1"/>
  <c r="C3313" i="1"/>
  <c r="B3313" i="1"/>
  <c r="C3312" i="1"/>
  <c r="B3312" i="1"/>
  <c r="C3311" i="1"/>
  <c r="B3311" i="1"/>
  <c r="C3310" i="1"/>
  <c r="B3310" i="1"/>
  <c r="C3309" i="1"/>
  <c r="B3309" i="1"/>
  <c r="C3308" i="1"/>
  <c r="B3308" i="1"/>
  <c r="C3307" i="1"/>
  <c r="B3307" i="1"/>
  <c r="C3306" i="1"/>
  <c r="B3306" i="1"/>
  <c r="C3305" i="1"/>
  <c r="B3305" i="1"/>
  <c r="C3304" i="1"/>
  <c r="B3304" i="1"/>
  <c r="C3303" i="1"/>
  <c r="B3303" i="1"/>
  <c r="C3302" i="1"/>
  <c r="B3302" i="1"/>
  <c r="C3301" i="1"/>
  <c r="B3301" i="1"/>
  <c r="C3300" i="1"/>
  <c r="B3300" i="1"/>
  <c r="C3299" i="1"/>
  <c r="B3299" i="1"/>
  <c r="C3298" i="1"/>
  <c r="B3298" i="1"/>
  <c r="C3297" i="1"/>
  <c r="B3297" i="1"/>
  <c r="C3296" i="1"/>
  <c r="B3296" i="1"/>
  <c r="C3295" i="1"/>
  <c r="B3295" i="1"/>
  <c r="C3294" i="1"/>
  <c r="B3294" i="1"/>
  <c r="C3293" i="1"/>
  <c r="B3293" i="1"/>
  <c r="C3292" i="1"/>
  <c r="B3292" i="1"/>
  <c r="C3291" i="1"/>
  <c r="B3291" i="1"/>
  <c r="C3290" i="1"/>
  <c r="B3290" i="1"/>
  <c r="C3289" i="1"/>
  <c r="B3289" i="1"/>
  <c r="C3288" i="1"/>
  <c r="B3288" i="1"/>
  <c r="C3287" i="1"/>
  <c r="B3287" i="1"/>
  <c r="C3286" i="1"/>
  <c r="B3286" i="1"/>
  <c r="C3285" i="1"/>
  <c r="B3285" i="1"/>
  <c r="C3284" i="1"/>
  <c r="B3284" i="1"/>
  <c r="C3283" i="1"/>
  <c r="B3283" i="1"/>
  <c r="C3282" i="1"/>
  <c r="B3282" i="1"/>
  <c r="C3281" i="1"/>
  <c r="B3281" i="1"/>
  <c r="C3280" i="1"/>
  <c r="B3280" i="1"/>
  <c r="C3279" i="1"/>
  <c r="B3279" i="1"/>
  <c r="C3278" i="1"/>
  <c r="B3278" i="1"/>
  <c r="C3277" i="1"/>
  <c r="B3277" i="1"/>
  <c r="C3276" i="1"/>
  <c r="B3276" i="1"/>
  <c r="C3275" i="1"/>
  <c r="B3275" i="1"/>
  <c r="C3274" i="1"/>
  <c r="B3274" i="1"/>
  <c r="C3273" i="1"/>
  <c r="B3273" i="1"/>
  <c r="C3272" i="1"/>
  <c r="B3272" i="1"/>
  <c r="C3271" i="1"/>
  <c r="B3271" i="1"/>
  <c r="C3270" i="1"/>
  <c r="B3270" i="1"/>
  <c r="C3269" i="1"/>
  <c r="B3269" i="1"/>
  <c r="C3268" i="1"/>
  <c r="B3268" i="1"/>
  <c r="C3267" i="1"/>
  <c r="B3267" i="1"/>
  <c r="C3266" i="1"/>
  <c r="B3266" i="1"/>
  <c r="C3265" i="1"/>
  <c r="B3265" i="1"/>
  <c r="C3264" i="1"/>
  <c r="B3264" i="1"/>
  <c r="C3263" i="1"/>
  <c r="B3263" i="1"/>
  <c r="C3262" i="1"/>
  <c r="B3262" i="1"/>
  <c r="C3261" i="1"/>
  <c r="B3261" i="1"/>
  <c r="C3260" i="1"/>
  <c r="B3260" i="1"/>
  <c r="C3259" i="1"/>
  <c r="B3259" i="1"/>
  <c r="C3258" i="1"/>
  <c r="B3258" i="1"/>
  <c r="C3257" i="1"/>
  <c r="B3257" i="1"/>
  <c r="C3256" i="1"/>
  <c r="B3256" i="1"/>
  <c r="C3255" i="1"/>
  <c r="B3255" i="1"/>
  <c r="C3254" i="1"/>
  <c r="B3254" i="1"/>
  <c r="C3253" i="1"/>
  <c r="B3253" i="1"/>
  <c r="C3252" i="1"/>
  <c r="B3252" i="1"/>
  <c r="C3251" i="1"/>
  <c r="B3251" i="1"/>
  <c r="C3250" i="1"/>
  <c r="B3250" i="1"/>
  <c r="C3249" i="1"/>
  <c r="B3249" i="1"/>
  <c r="C3248" i="1"/>
  <c r="B3248" i="1"/>
  <c r="C3247" i="1"/>
  <c r="B3247" i="1"/>
  <c r="C3246" i="1"/>
  <c r="B3246" i="1"/>
  <c r="C3245" i="1"/>
  <c r="B3245" i="1"/>
  <c r="C3244" i="1"/>
  <c r="B3244" i="1"/>
  <c r="C3243" i="1"/>
  <c r="B3243" i="1"/>
  <c r="C3242" i="1"/>
  <c r="B3242" i="1"/>
  <c r="C3241" i="1"/>
  <c r="B3241" i="1"/>
  <c r="C3240" i="1"/>
  <c r="B3240" i="1"/>
  <c r="C3239" i="1"/>
  <c r="B3239" i="1"/>
  <c r="C3238" i="1"/>
  <c r="B3238" i="1"/>
  <c r="C3237" i="1"/>
  <c r="B3237" i="1"/>
  <c r="C3236" i="1"/>
  <c r="B3236" i="1"/>
  <c r="C3235" i="1"/>
  <c r="B3235" i="1"/>
  <c r="C3234" i="1"/>
  <c r="B3234" i="1"/>
  <c r="C3233" i="1"/>
  <c r="B3233" i="1"/>
  <c r="C3232" i="1"/>
  <c r="B3232" i="1"/>
  <c r="C3231" i="1"/>
  <c r="B3231" i="1"/>
  <c r="C3230" i="1"/>
  <c r="B3230" i="1"/>
  <c r="C3229" i="1"/>
  <c r="B3229" i="1"/>
  <c r="C3228" i="1"/>
  <c r="B3228" i="1"/>
  <c r="C3227" i="1"/>
  <c r="B3227" i="1"/>
  <c r="C3226" i="1"/>
  <c r="B3226" i="1"/>
  <c r="C3225" i="1"/>
  <c r="B3225" i="1"/>
  <c r="C3224" i="1"/>
  <c r="B3224" i="1"/>
  <c r="C3223" i="1"/>
  <c r="B3223" i="1"/>
  <c r="C3222" i="1"/>
  <c r="B3222" i="1"/>
  <c r="C3221" i="1"/>
  <c r="B3221" i="1"/>
  <c r="C3220" i="1"/>
  <c r="B3220" i="1"/>
  <c r="C3219" i="1"/>
  <c r="B3219" i="1"/>
  <c r="C3218" i="1"/>
  <c r="B3218" i="1"/>
  <c r="C3217" i="1"/>
  <c r="B3217" i="1"/>
  <c r="C3216" i="1"/>
  <c r="B3216" i="1"/>
  <c r="C3215" i="1"/>
  <c r="B3215" i="1"/>
  <c r="C3214" i="1"/>
  <c r="B3214" i="1"/>
  <c r="C3213" i="1"/>
  <c r="B3213" i="1"/>
  <c r="C3212" i="1"/>
  <c r="B3212" i="1"/>
  <c r="C3211" i="1"/>
  <c r="B3211" i="1"/>
  <c r="C3210" i="1"/>
  <c r="B3210" i="1"/>
  <c r="C3209" i="1"/>
  <c r="B3209" i="1"/>
  <c r="C3208" i="1"/>
  <c r="B3208" i="1"/>
  <c r="C3207" i="1"/>
  <c r="B3207" i="1"/>
  <c r="C3206" i="1"/>
  <c r="B3206" i="1"/>
  <c r="C3205" i="1"/>
  <c r="B3205" i="1"/>
  <c r="C3204" i="1"/>
  <c r="B3204" i="1"/>
  <c r="C3203" i="1"/>
  <c r="B3203" i="1"/>
  <c r="C3202" i="1"/>
  <c r="B3202" i="1"/>
  <c r="C3201" i="1"/>
  <c r="B3201" i="1"/>
  <c r="C3200" i="1"/>
  <c r="B3200" i="1"/>
  <c r="C3199" i="1"/>
  <c r="B3199" i="1"/>
  <c r="C3198" i="1"/>
  <c r="B3198" i="1"/>
  <c r="C3197" i="1"/>
  <c r="B3197" i="1"/>
  <c r="C3196" i="1"/>
  <c r="B3196" i="1"/>
  <c r="C3195" i="1"/>
  <c r="B3195" i="1"/>
  <c r="C3194" i="1"/>
  <c r="B3194" i="1"/>
  <c r="C3193" i="1"/>
  <c r="B3193" i="1"/>
  <c r="C3192" i="1"/>
  <c r="B3192" i="1"/>
  <c r="C3191" i="1"/>
  <c r="B3191" i="1"/>
  <c r="C3190" i="1"/>
  <c r="B3190" i="1"/>
  <c r="C3189" i="1"/>
  <c r="B3189" i="1"/>
  <c r="C3188" i="1"/>
  <c r="B3188" i="1"/>
  <c r="C3187" i="1"/>
  <c r="B3187" i="1"/>
  <c r="C3186" i="1"/>
  <c r="B3186" i="1"/>
  <c r="C3185" i="1"/>
  <c r="B3185" i="1"/>
  <c r="C3184" i="1"/>
  <c r="B3184" i="1"/>
  <c r="C3183" i="1"/>
  <c r="B3183" i="1"/>
  <c r="C3182" i="1"/>
  <c r="B3182" i="1"/>
  <c r="C3181" i="1"/>
  <c r="B3181" i="1"/>
  <c r="C3180" i="1"/>
  <c r="B3180" i="1"/>
  <c r="C3179" i="1"/>
  <c r="B3179" i="1"/>
  <c r="C3178" i="1"/>
  <c r="B3178" i="1"/>
  <c r="C3177" i="1"/>
  <c r="B3177" i="1"/>
  <c r="C3176" i="1"/>
  <c r="B3176" i="1"/>
  <c r="C3175" i="1"/>
  <c r="B3175" i="1"/>
  <c r="C3174" i="1"/>
  <c r="B3174" i="1"/>
  <c r="C3173" i="1"/>
  <c r="B3173" i="1"/>
  <c r="C3172" i="1"/>
  <c r="B3172" i="1"/>
  <c r="C3171" i="1"/>
  <c r="B3171" i="1"/>
  <c r="C3170" i="1"/>
  <c r="B3170" i="1"/>
  <c r="C3169" i="1"/>
  <c r="B3169" i="1"/>
  <c r="C3168" i="1"/>
  <c r="B3168" i="1"/>
  <c r="C3167" i="1"/>
  <c r="B3167" i="1"/>
  <c r="C3166" i="1"/>
  <c r="B3166" i="1"/>
  <c r="C3165" i="1"/>
  <c r="B3165" i="1"/>
  <c r="C3164" i="1"/>
  <c r="B3164" i="1"/>
  <c r="C3163" i="1"/>
  <c r="B3163" i="1"/>
  <c r="C3162" i="1"/>
  <c r="B3162" i="1"/>
  <c r="C3161" i="1"/>
  <c r="B3161" i="1"/>
  <c r="C3160" i="1"/>
  <c r="B3160" i="1"/>
  <c r="C3159" i="1"/>
  <c r="B3159" i="1"/>
  <c r="C3158" i="1"/>
  <c r="B3158" i="1"/>
  <c r="C3157" i="1"/>
  <c r="B3157" i="1"/>
  <c r="C3156" i="1"/>
  <c r="B3156" i="1"/>
  <c r="C3155" i="1"/>
  <c r="B3155" i="1"/>
  <c r="C3154" i="1"/>
  <c r="B3154" i="1"/>
  <c r="C3153" i="1"/>
  <c r="B3153" i="1"/>
  <c r="C3152" i="1"/>
  <c r="B3152" i="1"/>
  <c r="C3151" i="1"/>
  <c r="B3151" i="1"/>
  <c r="C3150" i="1"/>
  <c r="B3150" i="1"/>
  <c r="C3149" i="1"/>
  <c r="B3149" i="1"/>
  <c r="C3148" i="1"/>
  <c r="B3148" i="1"/>
  <c r="C3147" i="1"/>
  <c r="B3147" i="1"/>
  <c r="C3146" i="1"/>
  <c r="B3146" i="1"/>
  <c r="C3145" i="1"/>
  <c r="B3145" i="1"/>
  <c r="C3144" i="1"/>
  <c r="B3144" i="1"/>
  <c r="C3143" i="1"/>
  <c r="B3143" i="1"/>
  <c r="C3142" i="1"/>
  <c r="B3142" i="1"/>
  <c r="C3141" i="1"/>
  <c r="B3141" i="1"/>
  <c r="C3140" i="1"/>
  <c r="B3140" i="1"/>
  <c r="C3139" i="1"/>
  <c r="B3139" i="1"/>
  <c r="C3138" i="1"/>
  <c r="B3138" i="1"/>
  <c r="C3137" i="1"/>
  <c r="B3137" i="1"/>
  <c r="C3136" i="1"/>
  <c r="B3136" i="1"/>
  <c r="C3135" i="1"/>
  <c r="B3135" i="1"/>
  <c r="C3134" i="1"/>
  <c r="B3134" i="1"/>
  <c r="C3133" i="1"/>
  <c r="B3133" i="1"/>
  <c r="C3132" i="1"/>
  <c r="B3132" i="1"/>
  <c r="C3131" i="1"/>
  <c r="B3131" i="1"/>
  <c r="C3130" i="1"/>
  <c r="B3130" i="1"/>
  <c r="C3129" i="1"/>
  <c r="B3129" i="1"/>
  <c r="C3128" i="1"/>
  <c r="B3128" i="1"/>
  <c r="C3127" i="1"/>
  <c r="B3127" i="1"/>
  <c r="C3126" i="1"/>
  <c r="B3126" i="1"/>
  <c r="C3125" i="1"/>
  <c r="B3125" i="1"/>
  <c r="C3124" i="1"/>
  <c r="B3124" i="1"/>
  <c r="C3123" i="1"/>
  <c r="B3123" i="1"/>
  <c r="C3122" i="1"/>
  <c r="B3122" i="1"/>
  <c r="C3121" i="1"/>
  <c r="B3121" i="1"/>
  <c r="C3120" i="1"/>
  <c r="B3120" i="1"/>
  <c r="C3119" i="1"/>
  <c r="B3119" i="1"/>
  <c r="C3118" i="1"/>
  <c r="B3118" i="1"/>
  <c r="C3117" i="1"/>
  <c r="B3117" i="1"/>
  <c r="C3116" i="1"/>
  <c r="B3116" i="1"/>
  <c r="C3115" i="1"/>
  <c r="B3115" i="1"/>
  <c r="C3114" i="1"/>
  <c r="B3114" i="1"/>
  <c r="C3113" i="1"/>
  <c r="B3113" i="1"/>
  <c r="C3112" i="1"/>
  <c r="B3112" i="1"/>
  <c r="C3111" i="1"/>
  <c r="B3111" i="1"/>
  <c r="C3110" i="1"/>
  <c r="B3110" i="1"/>
  <c r="C3109" i="1"/>
  <c r="B3109" i="1"/>
  <c r="C3108" i="1"/>
  <c r="B3108" i="1"/>
  <c r="C3107" i="1"/>
  <c r="B3107" i="1"/>
  <c r="C3106" i="1"/>
  <c r="B3106" i="1"/>
  <c r="C3105" i="1"/>
  <c r="B3105" i="1"/>
  <c r="C3104" i="1"/>
  <c r="B3104" i="1"/>
  <c r="C3103" i="1"/>
  <c r="B3103" i="1"/>
  <c r="C3102" i="1"/>
  <c r="B3102" i="1"/>
  <c r="C3101" i="1"/>
  <c r="B3101" i="1"/>
  <c r="C3100" i="1"/>
  <c r="B3100" i="1"/>
  <c r="C3099" i="1"/>
  <c r="B3099" i="1"/>
  <c r="C3098" i="1"/>
  <c r="B3098" i="1"/>
  <c r="C3097" i="1"/>
  <c r="B3097" i="1"/>
  <c r="C3096" i="1"/>
  <c r="B3096" i="1"/>
  <c r="C3095" i="1"/>
  <c r="B3095" i="1"/>
  <c r="C3094" i="1"/>
  <c r="B3094" i="1"/>
  <c r="C3093" i="1"/>
  <c r="B3093" i="1"/>
  <c r="C3092" i="1"/>
  <c r="B3092" i="1"/>
  <c r="C3091" i="1"/>
  <c r="B3091" i="1"/>
  <c r="C3090" i="1"/>
  <c r="B3090" i="1"/>
  <c r="C3089" i="1"/>
  <c r="B3089" i="1"/>
  <c r="C3088" i="1"/>
  <c r="B3088" i="1"/>
  <c r="C3087" i="1"/>
  <c r="B3087" i="1"/>
  <c r="C3086" i="1"/>
  <c r="B3086" i="1"/>
  <c r="C3085" i="1"/>
  <c r="B3085" i="1"/>
  <c r="C3084" i="1"/>
  <c r="B3084" i="1"/>
  <c r="C3083" i="1"/>
  <c r="B3083" i="1"/>
  <c r="C3082" i="1"/>
  <c r="B3082" i="1"/>
  <c r="C3081" i="1"/>
  <c r="B3081" i="1"/>
  <c r="C3080" i="1"/>
  <c r="B3080" i="1"/>
  <c r="C3079" i="1"/>
  <c r="B3079" i="1"/>
  <c r="C3078" i="1"/>
  <c r="B3078" i="1"/>
  <c r="C3077" i="1"/>
  <c r="B3077" i="1"/>
  <c r="C3076" i="1"/>
  <c r="B3076" i="1"/>
  <c r="C3075" i="1"/>
  <c r="B3075" i="1"/>
  <c r="C3074" i="1"/>
  <c r="B3074" i="1"/>
  <c r="C3073" i="1"/>
  <c r="B3073" i="1"/>
  <c r="C3072" i="1"/>
  <c r="B3072" i="1"/>
  <c r="C3071" i="1"/>
  <c r="B3071" i="1"/>
  <c r="C3070" i="1"/>
  <c r="B3070" i="1"/>
  <c r="C3069" i="1"/>
  <c r="B3069" i="1"/>
  <c r="C3068" i="1"/>
  <c r="B3068" i="1"/>
  <c r="C3067" i="1"/>
  <c r="B3067" i="1"/>
  <c r="C3066" i="1"/>
  <c r="B3066" i="1"/>
  <c r="C3065" i="1"/>
  <c r="B3065" i="1"/>
  <c r="C3064" i="1"/>
  <c r="B3064" i="1"/>
  <c r="C3063" i="1"/>
  <c r="B3063" i="1"/>
  <c r="C3062" i="1"/>
  <c r="B3062" i="1"/>
  <c r="C3061" i="1"/>
  <c r="B3061" i="1"/>
  <c r="C3060" i="1"/>
  <c r="B3060" i="1"/>
  <c r="C3059" i="1"/>
  <c r="B3059" i="1"/>
  <c r="C3058" i="1"/>
  <c r="B3058" i="1"/>
  <c r="C3057" i="1"/>
  <c r="B3057" i="1"/>
  <c r="C3056" i="1"/>
  <c r="B3056" i="1"/>
  <c r="C3055" i="1"/>
  <c r="B3055" i="1"/>
  <c r="C3054" i="1"/>
  <c r="B3054" i="1"/>
  <c r="C3053" i="1"/>
  <c r="B3053" i="1"/>
  <c r="C3052" i="1"/>
  <c r="B3052" i="1"/>
  <c r="C3051" i="1"/>
  <c r="B3051" i="1"/>
  <c r="C3050" i="1"/>
  <c r="B3050" i="1"/>
  <c r="C3049" i="1"/>
  <c r="B3049" i="1"/>
  <c r="C3048" i="1"/>
  <c r="B3048" i="1"/>
  <c r="C3047" i="1"/>
  <c r="B3047" i="1"/>
  <c r="C3046" i="1"/>
  <c r="B3046" i="1"/>
  <c r="C3045" i="1"/>
  <c r="B3045" i="1"/>
  <c r="C3044" i="1"/>
  <c r="B3044" i="1"/>
  <c r="C3043" i="1"/>
  <c r="B3043" i="1"/>
  <c r="C3042" i="1"/>
  <c r="B3042" i="1"/>
  <c r="C3041" i="1"/>
  <c r="B3041" i="1"/>
  <c r="C3040" i="1"/>
  <c r="B3040" i="1"/>
  <c r="C3039" i="1"/>
  <c r="B3039" i="1"/>
  <c r="C3038" i="1"/>
  <c r="B3038" i="1"/>
  <c r="C3037" i="1"/>
  <c r="B3037" i="1"/>
  <c r="C3036" i="1"/>
  <c r="B3036" i="1"/>
  <c r="C3035" i="1"/>
  <c r="B3035" i="1"/>
  <c r="C3034" i="1"/>
  <c r="B3034" i="1"/>
  <c r="C3033" i="1"/>
  <c r="B3033" i="1"/>
  <c r="C3032" i="1"/>
  <c r="B3032" i="1"/>
  <c r="C3031" i="1"/>
  <c r="B3031" i="1"/>
  <c r="C3030" i="1"/>
  <c r="B3030" i="1"/>
  <c r="C3029" i="1"/>
  <c r="B3029" i="1"/>
  <c r="C3028" i="1"/>
  <c r="B3028" i="1"/>
  <c r="C3027" i="1"/>
  <c r="B3027" i="1"/>
  <c r="C3026" i="1"/>
  <c r="B3026" i="1"/>
  <c r="C3025" i="1"/>
  <c r="B3025" i="1"/>
  <c r="C3024" i="1"/>
  <c r="B3024" i="1"/>
  <c r="C3023" i="1"/>
  <c r="B3023" i="1"/>
  <c r="C3022" i="1"/>
  <c r="B3022" i="1"/>
  <c r="C3021" i="1"/>
  <c r="B3021" i="1"/>
  <c r="C3020" i="1"/>
  <c r="B3020" i="1"/>
  <c r="C3019" i="1"/>
  <c r="B3019" i="1"/>
  <c r="C3018" i="1"/>
  <c r="B3018" i="1"/>
  <c r="C3017" i="1"/>
  <c r="B3017" i="1"/>
  <c r="C3016" i="1"/>
  <c r="B3016" i="1"/>
  <c r="C3015" i="1"/>
  <c r="B3015" i="1"/>
  <c r="C3014" i="1"/>
  <c r="B3014" i="1"/>
  <c r="C3013" i="1"/>
  <c r="B3013" i="1"/>
  <c r="C3012" i="1"/>
  <c r="B3012" i="1"/>
  <c r="C3011" i="1"/>
  <c r="B3011" i="1"/>
  <c r="C3010" i="1"/>
  <c r="B3010" i="1"/>
  <c r="C3009" i="1"/>
  <c r="B3009" i="1"/>
  <c r="C3008" i="1"/>
  <c r="B3008" i="1"/>
  <c r="C3007" i="1"/>
  <c r="B3007" i="1"/>
  <c r="C3006" i="1"/>
  <c r="B3006" i="1"/>
  <c r="C3005" i="1"/>
  <c r="B3005" i="1"/>
  <c r="C3004" i="1"/>
  <c r="B3004" i="1"/>
  <c r="C3003" i="1"/>
  <c r="B3003" i="1"/>
  <c r="C3002" i="1"/>
  <c r="B3002" i="1"/>
  <c r="C3001" i="1"/>
  <c r="B3001" i="1"/>
  <c r="C3000" i="1"/>
  <c r="B3000" i="1"/>
  <c r="C2999" i="1"/>
  <c r="B2999" i="1"/>
  <c r="C2998" i="1"/>
  <c r="B2998" i="1"/>
  <c r="C2997" i="1"/>
  <c r="B2997" i="1"/>
  <c r="C2996" i="1"/>
  <c r="B2996" i="1"/>
  <c r="C2995" i="1"/>
  <c r="B2995" i="1"/>
  <c r="C2994" i="1"/>
  <c r="B2994" i="1"/>
  <c r="C2993" i="1"/>
  <c r="B2993" i="1"/>
  <c r="C2992" i="1"/>
  <c r="B2992" i="1"/>
  <c r="C2991" i="1"/>
  <c r="B2991" i="1"/>
  <c r="C2990" i="1"/>
  <c r="B2990" i="1"/>
  <c r="C2989" i="1"/>
  <c r="B2989" i="1"/>
  <c r="C2988" i="1"/>
  <c r="B2988" i="1"/>
  <c r="C2987" i="1"/>
  <c r="B2987" i="1"/>
  <c r="C2986" i="1"/>
  <c r="B2986" i="1"/>
  <c r="C2985" i="1"/>
  <c r="B2985" i="1"/>
  <c r="C2984" i="1"/>
  <c r="B2984" i="1"/>
  <c r="C2983" i="1"/>
  <c r="B2983" i="1"/>
  <c r="C2982" i="1"/>
  <c r="B2982" i="1"/>
  <c r="C2981" i="1"/>
  <c r="B2981" i="1"/>
  <c r="C2980" i="1"/>
  <c r="B2980" i="1"/>
  <c r="C2979" i="1"/>
  <c r="B2979" i="1"/>
  <c r="C2978" i="1"/>
  <c r="B2978" i="1"/>
  <c r="C2977" i="1"/>
  <c r="B2977" i="1"/>
  <c r="C2976" i="1"/>
  <c r="B2976" i="1"/>
  <c r="C2975" i="1"/>
  <c r="B2975" i="1"/>
  <c r="C2974" i="1"/>
  <c r="B2974" i="1"/>
  <c r="C2973" i="1"/>
  <c r="B2973" i="1"/>
  <c r="C2972" i="1"/>
  <c r="B2972" i="1"/>
  <c r="C2971" i="1"/>
  <c r="B2971" i="1"/>
  <c r="C2970" i="1"/>
  <c r="B2970" i="1"/>
  <c r="C2969" i="1"/>
  <c r="B2969" i="1"/>
  <c r="C2968" i="1"/>
  <c r="B2968" i="1"/>
  <c r="C2967" i="1"/>
  <c r="B2967" i="1"/>
  <c r="C2966" i="1"/>
  <c r="B2966" i="1"/>
  <c r="C2965" i="1"/>
  <c r="B2965" i="1"/>
  <c r="C2964" i="1"/>
  <c r="B2964" i="1"/>
  <c r="C2963" i="1"/>
  <c r="B2963" i="1"/>
  <c r="C2962" i="1"/>
  <c r="B2962" i="1"/>
  <c r="C2961" i="1"/>
  <c r="B2961" i="1"/>
  <c r="C2960" i="1"/>
  <c r="B2960" i="1"/>
  <c r="C2959" i="1"/>
  <c r="B2959" i="1"/>
  <c r="C2958" i="1"/>
  <c r="B2958" i="1"/>
  <c r="C2957" i="1"/>
  <c r="B2957" i="1"/>
  <c r="C2956" i="1"/>
  <c r="B2956" i="1"/>
  <c r="C2955" i="1"/>
  <c r="B2955" i="1"/>
  <c r="C2954" i="1"/>
  <c r="B2954" i="1"/>
  <c r="C2953" i="1"/>
  <c r="B2953" i="1"/>
  <c r="C2952" i="1"/>
  <c r="B2952" i="1"/>
  <c r="C2951" i="1"/>
  <c r="B2951" i="1"/>
  <c r="C2950" i="1"/>
  <c r="B2950" i="1"/>
  <c r="C2949" i="1"/>
  <c r="B2949" i="1"/>
  <c r="C2948" i="1"/>
  <c r="B2948" i="1"/>
  <c r="C2947" i="1"/>
  <c r="B2947" i="1"/>
  <c r="C2946" i="1"/>
  <c r="B2946" i="1"/>
  <c r="C2945" i="1"/>
  <c r="B2945" i="1"/>
  <c r="C2944" i="1"/>
  <c r="B2944" i="1"/>
  <c r="C2943" i="1"/>
  <c r="B2943" i="1"/>
  <c r="C2942" i="1"/>
  <c r="B2942" i="1"/>
  <c r="C2941" i="1"/>
  <c r="B2941" i="1"/>
  <c r="C2940" i="1"/>
  <c r="B2940" i="1"/>
  <c r="C2939" i="1"/>
  <c r="B2939" i="1"/>
  <c r="C2938" i="1"/>
  <c r="B2938" i="1"/>
  <c r="C2937" i="1"/>
  <c r="B2937" i="1"/>
  <c r="C2936" i="1"/>
  <c r="B2936" i="1"/>
  <c r="C2935" i="1"/>
  <c r="B2935" i="1"/>
  <c r="C2934" i="1"/>
  <c r="B2934" i="1"/>
  <c r="C2933" i="1"/>
  <c r="B2933" i="1"/>
  <c r="C2932" i="1"/>
  <c r="B2932" i="1"/>
  <c r="C2931" i="1"/>
  <c r="B2931" i="1"/>
  <c r="C2930" i="1"/>
  <c r="B2930" i="1"/>
  <c r="C2929" i="1"/>
  <c r="B2929" i="1"/>
  <c r="C2928" i="1"/>
  <c r="B2928" i="1"/>
  <c r="C2927" i="1"/>
  <c r="B2927" i="1"/>
  <c r="C2926" i="1"/>
  <c r="B2926" i="1"/>
  <c r="C2925" i="1"/>
  <c r="B2925" i="1"/>
  <c r="C2924" i="1"/>
  <c r="B2924" i="1"/>
  <c r="C2923" i="1"/>
  <c r="B2923" i="1"/>
  <c r="C2922" i="1"/>
  <c r="B2922" i="1"/>
  <c r="C2921" i="1"/>
  <c r="B2921" i="1"/>
  <c r="C2920" i="1"/>
  <c r="B2920" i="1"/>
  <c r="C2919" i="1"/>
  <c r="B2919" i="1"/>
  <c r="C2918" i="1"/>
  <c r="B2918" i="1"/>
  <c r="C2917" i="1"/>
  <c r="B2917" i="1"/>
  <c r="C2916" i="1"/>
  <c r="B2916" i="1"/>
  <c r="C2915" i="1"/>
  <c r="B2915" i="1"/>
  <c r="C2914" i="1"/>
  <c r="B2914" i="1"/>
  <c r="C2913" i="1"/>
  <c r="B2913" i="1"/>
  <c r="C2912" i="1"/>
  <c r="B2912" i="1"/>
  <c r="C2911" i="1"/>
  <c r="B2911" i="1"/>
  <c r="C2910" i="1"/>
  <c r="B2910" i="1"/>
  <c r="C2909" i="1"/>
  <c r="B2909" i="1"/>
  <c r="C2908" i="1"/>
  <c r="B2908" i="1"/>
  <c r="C2907" i="1"/>
  <c r="B2907" i="1"/>
  <c r="C2906" i="1"/>
  <c r="B2906" i="1"/>
  <c r="C2905" i="1"/>
  <c r="B2905" i="1"/>
  <c r="C2904" i="1"/>
  <c r="B2904" i="1"/>
  <c r="C2903" i="1"/>
  <c r="B2903" i="1"/>
  <c r="C2902" i="1"/>
  <c r="B2902" i="1"/>
  <c r="C2901" i="1"/>
  <c r="B2901" i="1"/>
  <c r="C2900" i="1"/>
  <c r="B2900" i="1"/>
  <c r="C2899" i="1"/>
  <c r="B2899" i="1"/>
  <c r="C2898" i="1"/>
  <c r="B2898" i="1"/>
  <c r="C2897" i="1"/>
  <c r="B2897" i="1"/>
  <c r="C2896" i="1"/>
  <c r="B2896" i="1"/>
  <c r="C2895" i="1"/>
  <c r="B2895" i="1"/>
  <c r="C2894" i="1"/>
  <c r="B2894" i="1"/>
  <c r="C2893" i="1"/>
  <c r="B2893" i="1"/>
  <c r="C2892" i="1"/>
  <c r="B2892" i="1"/>
  <c r="C2891" i="1"/>
  <c r="B2891" i="1"/>
  <c r="C2890" i="1"/>
  <c r="B2890" i="1"/>
  <c r="C2889" i="1"/>
  <c r="B2889" i="1"/>
  <c r="C2888" i="1"/>
  <c r="B2888" i="1"/>
  <c r="C2887" i="1"/>
  <c r="B2887" i="1"/>
  <c r="C2886" i="1"/>
  <c r="B2886" i="1"/>
  <c r="C2885" i="1"/>
  <c r="B2885" i="1"/>
  <c r="C2884" i="1"/>
  <c r="B2884" i="1"/>
  <c r="C2883" i="1"/>
  <c r="B2883" i="1"/>
  <c r="C2882" i="1"/>
  <c r="B2882" i="1"/>
  <c r="C2881" i="1"/>
  <c r="B2881" i="1"/>
  <c r="C2880" i="1"/>
  <c r="B2880" i="1"/>
  <c r="C2879" i="1"/>
  <c r="B2879" i="1"/>
  <c r="C2878" i="1"/>
  <c r="B2878" i="1"/>
  <c r="C2877" i="1"/>
  <c r="B2877" i="1"/>
  <c r="C2876" i="1"/>
  <c r="B2876" i="1"/>
  <c r="C2875" i="1"/>
  <c r="B2875" i="1"/>
  <c r="C2874" i="1"/>
  <c r="B2874" i="1"/>
  <c r="C2873" i="1"/>
  <c r="B2873" i="1"/>
  <c r="C2872" i="1"/>
  <c r="B2872" i="1"/>
  <c r="C2871" i="1"/>
  <c r="B2871" i="1"/>
  <c r="C2870" i="1"/>
  <c r="B2870" i="1"/>
  <c r="C2869" i="1"/>
  <c r="B2869" i="1"/>
  <c r="C2868" i="1"/>
  <c r="B2868" i="1"/>
  <c r="C2867" i="1"/>
  <c r="B2867" i="1"/>
  <c r="C2866" i="1"/>
  <c r="B2866" i="1"/>
  <c r="C2865" i="1"/>
  <c r="B2865" i="1"/>
  <c r="C2864" i="1"/>
  <c r="B2864" i="1"/>
  <c r="C2863" i="1"/>
  <c r="B2863" i="1"/>
  <c r="C2862" i="1"/>
  <c r="B2862" i="1"/>
  <c r="C2861" i="1"/>
  <c r="B2861" i="1"/>
  <c r="C2860" i="1"/>
  <c r="B2860" i="1"/>
  <c r="C2859" i="1"/>
  <c r="B2859" i="1"/>
  <c r="C2858" i="1"/>
  <c r="B2858" i="1"/>
  <c r="C2857" i="1"/>
  <c r="B2857" i="1"/>
  <c r="C2856" i="1"/>
  <c r="B2856" i="1"/>
  <c r="C2855" i="1"/>
  <c r="B2855" i="1"/>
  <c r="C2854" i="1"/>
  <c r="B2854" i="1"/>
  <c r="C2853" i="1"/>
  <c r="B2853" i="1"/>
  <c r="C2852" i="1"/>
  <c r="B2852" i="1"/>
  <c r="C2851" i="1"/>
  <c r="B2851" i="1"/>
  <c r="C2850" i="1"/>
  <c r="B2850" i="1"/>
  <c r="C2849" i="1"/>
  <c r="B2849" i="1"/>
  <c r="C2848" i="1"/>
  <c r="B2848" i="1"/>
  <c r="C2847" i="1"/>
  <c r="B2847" i="1"/>
  <c r="C2846" i="1"/>
  <c r="B2846" i="1"/>
  <c r="C2845" i="1"/>
  <c r="B2845" i="1"/>
  <c r="C2844" i="1"/>
  <c r="B2844" i="1"/>
  <c r="C2843" i="1"/>
  <c r="B2843" i="1"/>
  <c r="C2842" i="1"/>
  <c r="B2842" i="1"/>
  <c r="C2841" i="1"/>
  <c r="B2841" i="1"/>
  <c r="C2840" i="1"/>
  <c r="B2840" i="1"/>
  <c r="C2839" i="1"/>
  <c r="B2839" i="1"/>
  <c r="C2838" i="1"/>
  <c r="B2838" i="1"/>
  <c r="C2837" i="1"/>
  <c r="B2837" i="1"/>
  <c r="C2836" i="1"/>
  <c r="B2836" i="1"/>
  <c r="C2835" i="1"/>
  <c r="B2835" i="1"/>
  <c r="C2834" i="1"/>
  <c r="B2834" i="1"/>
  <c r="C2833" i="1"/>
  <c r="B2833" i="1"/>
  <c r="C2832" i="1"/>
  <c r="B2832" i="1"/>
  <c r="C2831" i="1"/>
  <c r="B2831" i="1"/>
  <c r="C2830" i="1"/>
  <c r="B2830" i="1"/>
  <c r="C2829" i="1"/>
  <c r="B2829" i="1"/>
  <c r="C2828" i="1"/>
  <c r="B2828" i="1"/>
  <c r="C2827" i="1"/>
  <c r="B2827" i="1"/>
  <c r="C2826" i="1"/>
  <c r="B2826" i="1"/>
  <c r="C2825" i="1"/>
  <c r="B2825" i="1"/>
  <c r="C2824" i="1"/>
  <c r="B2824" i="1"/>
  <c r="C2823" i="1"/>
  <c r="B2823" i="1"/>
  <c r="C2822" i="1"/>
  <c r="B2822" i="1"/>
  <c r="C2821" i="1"/>
  <c r="B2821" i="1"/>
  <c r="C2820" i="1"/>
  <c r="B2820" i="1"/>
  <c r="C2819" i="1"/>
  <c r="B2819" i="1"/>
  <c r="C2818" i="1"/>
  <c r="B2818" i="1"/>
  <c r="C2817" i="1"/>
  <c r="B2817" i="1"/>
  <c r="C2816" i="1"/>
  <c r="B2816" i="1"/>
  <c r="C2815" i="1"/>
  <c r="B2815" i="1"/>
  <c r="C2814" i="1"/>
  <c r="B2814" i="1"/>
  <c r="C2813" i="1"/>
  <c r="B2813" i="1"/>
  <c r="C2812" i="1"/>
  <c r="B2812" i="1"/>
  <c r="C2811" i="1"/>
  <c r="B2811" i="1"/>
  <c r="C2810" i="1"/>
  <c r="B2810" i="1"/>
  <c r="C2809" i="1"/>
  <c r="B2809" i="1"/>
  <c r="C2808" i="1"/>
  <c r="B2808" i="1"/>
  <c r="C2807" i="1"/>
  <c r="B2807" i="1"/>
  <c r="C2806" i="1"/>
  <c r="B2806" i="1"/>
  <c r="C2805" i="1"/>
  <c r="B2805" i="1"/>
  <c r="C2804" i="1"/>
  <c r="B2804" i="1"/>
  <c r="C2803" i="1"/>
  <c r="B2803" i="1"/>
  <c r="C2802" i="1"/>
  <c r="B2802" i="1"/>
  <c r="C2801" i="1"/>
  <c r="B2801" i="1"/>
  <c r="C2800" i="1"/>
  <c r="B2800" i="1"/>
  <c r="C2799" i="1"/>
  <c r="B2799" i="1"/>
  <c r="C2798" i="1"/>
  <c r="B2798" i="1"/>
  <c r="C2797" i="1"/>
  <c r="B2797" i="1"/>
  <c r="C2796" i="1"/>
  <c r="B2796" i="1"/>
  <c r="C2795" i="1"/>
  <c r="B2795" i="1"/>
  <c r="C2794" i="1"/>
  <c r="B2794" i="1"/>
  <c r="C2793" i="1"/>
  <c r="B2793" i="1"/>
  <c r="C2792" i="1"/>
  <c r="B2792" i="1"/>
  <c r="C2791" i="1"/>
  <c r="B2791" i="1"/>
  <c r="C2790" i="1"/>
  <c r="B2790" i="1"/>
  <c r="C2789" i="1"/>
  <c r="B2789" i="1"/>
  <c r="C2788" i="1"/>
  <c r="B2788" i="1"/>
  <c r="C2787" i="1"/>
  <c r="B2787" i="1"/>
  <c r="C2786" i="1"/>
  <c r="B2786" i="1"/>
  <c r="C2785" i="1"/>
  <c r="B2785" i="1"/>
  <c r="C2784" i="1"/>
  <c r="B2784" i="1"/>
  <c r="C2783" i="1"/>
  <c r="B2783" i="1"/>
  <c r="C2782" i="1"/>
  <c r="B2782" i="1"/>
  <c r="C2781" i="1"/>
  <c r="B2781" i="1"/>
  <c r="C2780" i="1"/>
  <c r="B2780" i="1"/>
  <c r="C2779" i="1"/>
  <c r="B2779" i="1"/>
  <c r="C2778" i="1"/>
  <c r="B2778" i="1"/>
  <c r="C2777" i="1"/>
  <c r="B2777" i="1"/>
  <c r="C2776" i="1"/>
  <c r="B2776" i="1"/>
  <c r="C2775" i="1"/>
  <c r="B2775" i="1"/>
  <c r="C2774" i="1"/>
  <c r="B2774" i="1"/>
  <c r="C2773" i="1"/>
  <c r="B2773" i="1"/>
  <c r="C2772" i="1"/>
  <c r="B2772" i="1"/>
  <c r="C2771" i="1"/>
  <c r="B2771" i="1"/>
  <c r="C2770" i="1"/>
  <c r="B2770" i="1"/>
  <c r="C2769" i="1"/>
  <c r="B2769" i="1"/>
  <c r="C2768" i="1"/>
  <c r="B2768" i="1"/>
  <c r="C2767" i="1"/>
  <c r="B2767" i="1"/>
  <c r="C2766" i="1"/>
  <c r="B2766" i="1"/>
  <c r="C2765" i="1"/>
  <c r="B2765" i="1"/>
  <c r="C2764" i="1"/>
  <c r="B2764" i="1"/>
  <c r="C2763" i="1"/>
  <c r="B2763" i="1"/>
  <c r="C2762" i="1"/>
  <c r="B2762" i="1"/>
  <c r="C2761" i="1"/>
  <c r="B2761" i="1"/>
  <c r="C2760" i="1"/>
  <c r="B2760" i="1"/>
  <c r="C2759" i="1"/>
  <c r="B2759" i="1"/>
  <c r="C2758" i="1"/>
  <c r="B2758" i="1"/>
  <c r="C2757" i="1"/>
  <c r="B2757" i="1"/>
  <c r="C2756" i="1"/>
  <c r="B2756" i="1"/>
  <c r="C2755" i="1"/>
  <c r="B2755" i="1"/>
  <c r="C2754" i="1"/>
  <c r="B2754" i="1"/>
  <c r="C2753" i="1"/>
  <c r="B2753" i="1"/>
  <c r="C2752" i="1"/>
  <c r="B2752" i="1"/>
  <c r="C2751" i="1"/>
  <c r="B2751" i="1"/>
  <c r="C2750" i="1"/>
  <c r="B2750" i="1"/>
  <c r="C2749" i="1"/>
  <c r="B2749" i="1"/>
  <c r="C2748" i="1"/>
  <c r="B2748" i="1"/>
  <c r="C2747" i="1"/>
  <c r="B2747" i="1"/>
  <c r="C2746" i="1"/>
  <c r="B2746" i="1"/>
  <c r="C2745" i="1"/>
  <c r="B2745" i="1"/>
  <c r="C2744" i="1"/>
  <c r="B2744" i="1"/>
  <c r="C2743" i="1"/>
  <c r="B2743" i="1"/>
  <c r="C2742" i="1"/>
  <c r="B2742" i="1"/>
  <c r="C2741" i="1"/>
  <c r="B2741" i="1"/>
  <c r="C2740" i="1"/>
  <c r="B2740" i="1"/>
  <c r="C2739" i="1"/>
  <c r="B2739" i="1"/>
  <c r="C2738" i="1"/>
  <c r="B2738" i="1"/>
  <c r="C2737" i="1"/>
  <c r="B2737" i="1"/>
  <c r="C2736" i="1"/>
  <c r="B2736" i="1"/>
  <c r="C2735" i="1"/>
  <c r="B2735" i="1"/>
  <c r="C2734" i="1"/>
  <c r="B2734" i="1"/>
  <c r="C2733" i="1"/>
  <c r="B2733" i="1"/>
  <c r="C2732" i="1"/>
  <c r="B2732" i="1"/>
  <c r="C2731" i="1"/>
  <c r="B2731" i="1"/>
  <c r="C2730" i="1"/>
  <c r="B2730" i="1"/>
  <c r="C2729" i="1"/>
  <c r="B2729" i="1"/>
  <c r="C2728" i="1"/>
  <c r="B2728" i="1"/>
  <c r="C2727" i="1"/>
  <c r="B2727" i="1"/>
  <c r="C2726" i="1"/>
  <c r="B2726" i="1"/>
  <c r="C2725" i="1"/>
  <c r="B2725" i="1"/>
  <c r="C2724" i="1"/>
  <c r="B2724" i="1"/>
  <c r="C2723" i="1"/>
  <c r="B2723" i="1"/>
  <c r="C2722" i="1"/>
  <c r="B2722" i="1"/>
  <c r="C2721" i="1"/>
  <c r="B2721" i="1"/>
  <c r="C2720" i="1"/>
  <c r="B2720" i="1"/>
  <c r="C2719" i="1"/>
  <c r="B2719" i="1"/>
  <c r="C2718" i="1"/>
  <c r="B2718" i="1"/>
  <c r="C2717" i="1"/>
  <c r="B2717" i="1"/>
  <c r="C2716" i="1"/>
  <c r="B2716" i="1"/>
  <c r="C2715" i="1"/>
  <c r="B2715" i="1"/>
  <c r="C2714" i="1"/>
  <c r="B2714" i="1"/>
  <c r="C2713" i="1"/>
  <c r="B2713" i="1"/>
  <c r="C2712" i="1"/>
  <c r="B2712" i="1"/>
  <c r="C2711" i="1"/>
  <c r="B2711" i="1"/>
  <c r="C2710" i="1"/>
  <c r="B2710" i="1"/>
  <c r="C2709" i="1"/>
  <c r="B2709" i="1"/>
  <c r="C2708" i="1"/>
  <c r="B2708" i="1"/>
  <c r="C2707" i="1"/>
  <c r="B2707" i="1"/>
  <c r="C2706" i="1"/>
  <c r="B2706" i="1"/>
  <c r="C2705" i="1"/>
  <c r="B2705" i="1"/>
  <c r="C2704" i="1"/>
  <c r="B2704" i="1"/>
  <c r="C2703" i="1"/>
  <c r="B2703" i="1"/>
  <c r="C2702" i="1"/>
  <c r="B2702" i="1"/>
  <c r="C2701" i="1"/>
  <c r="B2701" i="1"/>
  <c r="C2700" i="1"/>
  <c r="B2700" i="1"/>
  <c r="C2699" i="1"/>
  <c r="B2699" i="1"/>
  <c r="C2698" i="1"/>
  <c r="B2698" i="1"/>
  <c r="C2697" i="1"/>
  <c r="B2697" i="1"/>
  <c r="C2696" i="1"/>
  <c r="B2696" i="1"/>
  <c r="C2695" i="1"/>
  <c r="B2695" i="1"/>
  <c r="C2694" i="1"/>
  <c r="B2694" i="1"/>
  <c r="C2693" i="1"/>
  <c r="B2693" i="1"/>
  <c r="C2692" i="1"/>
  <c r="B2692" i="1"/>
  <c r="C2691" i="1"/>
  <c r="B2691" i="1"/>
  <c r="C2690" i="1"/>
  <c r="B2690" i="1"/>
  <c r="C2689" i="1"/>
  <c r="B2689" i="1"/>
  <c r="C2688" i="1"/>
  <c r="B2688" i="1"/>
  <c r="C2687" i="1"/>
  <c r="B2687" i="1"/>
  <c r="C2686" i="1"/>
  <c r="B2686" i="1"/>
  <c r="C2685" i="1"/>
  <c r="B2685" i="1"/>
  <c r="C2684" i="1"/>
  <c r="B2684" i="1"/>
  <c r="C2683" i="1"/>
  <c r="B2683" i="1"/>
  <c r="C2682" i="1"/>
  <c r="B2682" i="1"/>
  <c r="C2681" i="1"/>
  <c r="B2681" i="1"/>
  <c r="C2680" i="1"/>
  <c r="B2680" i="1"/>
  <c r="C2679" i="1"/>
  <c r="B2679" i="1"/>
  <c r="C2678" i="1"/>
  <c r="B2678" i="1"/>
  <c r="C2677" i="1"/>
  <c r="B2677" i="1"/>
  <c r="C2676" i="1"/>
  <c r="B2676" i="1"/>
  <c r="C2675" i="1"/>
  <c r="B2675" i="1"/>
  <c r="C2674" i="1"/>
  <c r="B2674" i="1"/>
  <c r="C2673" i="1"/>
  <c r="B2673" i="1"/>
  <c r="C2672" i="1"/>
  <c r="B2672" i="1"/>
  <c r="C2671" i="1"/>
  <c r="B2671" i="1"/>
  <c r="C2670" i="1"/>
  <c r="B2670" i="1"/>
  <c r="C2669" i="1"/>
  <c r="B2669" i="1"/>
  <c r="C2668" i="1"/>
  <c r="B2668" i="1"/>
  <c r="C2667" i="1"/>
  <c r="B2667" i="1"/>
  <c r="C2666" i="1"/>
  <c r="B2666" i="1"/>
  <c r="C2665" i="1"/>
  <c r="B2665" i="1"/>
  <c r="C2664" i="1"/>
  <c r="B2664" i="1"/>
  <c r="C2663" i="1"/>
  <c r="B2663" i="1"/>
  <c r="C2662" i="1"/>
  <c r="B2662" i="1"/>
  <c r="C2661" i="1"/>
  <c r="B2661" i="1"/>
  <c r="C2660" i="1"/>
  <c r="B2660" i="1"/>
  <c r="C2659" i="1"/>
  <c r="B2659" i="1"/>
  <c r="C2658" i="1"/>
  <c r="B2658" i="1"/>
  <c r="C2657" i="1"/>
  <c r="B2657" i="1"/>
  <c r="C2656" i="1"/>
  <c r="B2656" i="1"/>
  <c r="C2655" i="1"/>
  <c r="B2655" i="1"/>
  <c r="C2654" i="1"/>
  <c r="B2654" i="1"/>
  <c r="C2653" i="1"/>
  <c r="B2653" i="1"/>
  <c r="C2652" i="1"/>
  <c r="B2652" i="1"/>
  <c r="C2651" i="1"/>
  <c r="B2651" i="1"/>
  <c r="C2650" i="1"/>
  <c r="B2650" i="1"/>
  <c r="C2649" i="1"/>
  <c r="B2649" i="1"/>
  <c r="C2648" i="1"/>
  <c r="B2648" i="1"/>
  <c r="C2647" i="1"/>
  <c r="B2647" i="1"/>
  <c r="C2646" i="1"/>
  <c r="B2646" i="1"/>
  <c r="C2645" i="1"/>
  <c r="B2645" i="1"/>
  <c r="C2644" i="1"/>
  <c r="B2644" i="1"/>
  <c r="C2643" i="1"/>
  <c r="B2643" i="1"/>
  <c r="C2642" i="1"/>
  <c r="B2642" i="1"/>
  <c r="C2641" i="1"/>
  <c r="B2641" i="1"/>
  <c r="C2640" i="1"/>
  <c r="B2640" i="1"/>
  <c r="C2639" i="1"/>
  <c r="B2639" i="1"/>
  <c r="C2638" i="1"/>
  <c r="B2638" i="1"/>
  <c r="C2637" i="1"/>
  <c r="B2637" i="1"/>
  <c r="C2636" i="1"/>
  <c r="B2636" i="1"/>
  <c r="C2635" i="1"/>
  <c r="B2635" i="1"/>
  <c r="C2634" i="1"/>
  <c r="B2634" i="1"/>
  <c r="C2633" i="1"/>
  <c r="B2633" i="1"/>
  <c r="C2632" i="1"/>
  <c r="B2632" i="1"/>
  <c r="C2631" i="1"/>
  <c r="B2631" i="1"/>
  <c r="C2630" i="1"/>
  <c r="B2630" i="1"/>
  <c r="C2629" i="1"/>
  <c r="B2629" i="1"/>
  <c r="C2628" i="1"/>
  <c r="B2628" i="1"/>
  <c r="C2627" i="1"/>
  <c r="B2627" i="1"/>
  <c r="C2626" i="1"/>
  <c r="B2626" i="1"/>
  <c r="C2625" i="1"/>
  <c r="B2625" i="1"/>
  <c r="C2624" i="1"/>
  <c r="B2624" i="1"/>
  <c r="C2623" i="1"/>
  <c r="B2623" i="1"/>
  <c r="C2622" i="1"/>
  <c r="B2622" i="1"/>
  <c r="C2621" i="1"/>
  <c r="B2621" i="1"/>
  <c r="C2620" i="1"/>
  <c r="B2620" i="1"/>
  <c r="C2619" i="1"/>
  <c r="B2619" i="1"/>
  <c r="C2618" i="1"/>
  <c r="B2618" i="1"/>
  <c r="C2617" i="1"/>
  <c r="B2617" i="1"/>
  <c r="C2616" i="1"/>
  <c r="B2616" i="1"/>
  <c r="C2615" i="1"/>
  <c r="B2615" i="1"/>
  <c r="C2614" i="1"/>
  <c r="B2614" i="1"/>
  <c r="C2613" i="1"/>
  <c r="B2613" i="1"/>
  <c r="C2612" i="1"/>
  <c r="B2612" i="1"/>
  <c r="C2611" i="1"/>
  <c r="B2611" i="1"/>
  <c r="C2610" i="1"/>
  <c r="B2610" i="1"/>
  <c r="C2609" i="1"/>
  <c r="B2609" i="1"/>
  <c r="C2608" i="1"/>
  <c r="B2608" i="1"/>
  <c r="C2607" i="1"/>
  <c r="B2607" i="1"/>
  <c r="C2606" i="1"/>
  <c r="B2606" i="1"/>
  <c r="C2605" i="1"/>
  <c r="B2605" i="1"/>
  <c r="C2604" i="1"/>
  <c r="B2604" i="1"/>
  <c r="C2603" i="1"/>
  <c r="B2603" i="1"/>
  <c r="C2602" i="1"/>
  <c r="B2602" i="1"/>
  <c r="C2601" i="1"/>
  <c r="B2601" i="1"/>
  <c r="C2600" i="1"/>
  <c r="B2600" i="1"/>
  <c r="C2599" i="1"/>
  <c r="B2599" i="1"/>
  <c r="C2598" i="1"/>
  <c r="B2598" i="1"/>
  <c r="C2597" i="1"/>
  <c r="B2597" i="1"/>
  <c r="C2596" i="1"/>
  <c r="B2596" i="1"/>
  <c r="C2595" i="1"/>
  <c r="B2595" i="1"/>
  <c r="C2594" i="1"/>
  <c r="B2594" i="1"/>
  <c r="C2593" i="1"/>
  <c r="B2593" i="1"/>
  <c r="C2592" i="1"/>
  <c r="B2592" i="1"/>
  <c r="C2591" i="1"/>
  <c r="B2591" i="1"/>
  <c r="C2590" i="1"/>
  <c r="B2590" i="1"/>
  <c r="C2589" i="1"/>
  <c r="B2589" i="1"/>
  <c r="C2588" i="1"/>
  <c r="B2588" i="1"/>
  <c r="C2587" i="1"/>
  <c r="B2587" i="1"/>
  <c r="C2586" i="1"/>
  <c r="B2586" i="1"/>
  <c r="C2585" i="1"/>
  <c r="B2585" i="1"/>
  <c r="C2584" i="1"/>
  <c r="B2584" i="1"/>
  <c r="C2583" i="1"/>
  <c r="B2583" i="1"/>
  <c r="C2582" i="1"/>
  <c r="B2582" i="1"/>
  <c r="C2581" i="1"/>
  <c r="B2581" i="1"/>
  <c r="C2580" i="1"/>
  <c r="B2580" i="1"/>
  <c r="C2579" i="1"/>
  <c r="B2579" i="1"/>
  <c r="C2578" i="1"/>
  <c r="B2578" i="1"/>
  <c r="C2577" i="1"/>
  <c r="B2577" i="1"/>
  <c r="C2576" i="1"/>
  <c r="B2576" i="1"/>
  <c r="C2575" i="1"/>
  <c r="B2575" i="1"/>
  <c r="C2574" i="1"/>
  <c r="B2574" i="1"/>
  <c r="C2573" i="1"/>
  <c r="B2573" i="1"/>
  <c r="C2572" i="1"/>
  <c r="B2572" i="1"/>
  <c r="C2571" i="1"/>
  <c r="B2571" i="1"/>
  <c r="C2570" i="1"/>
  <c r="B2570" i="1"/>
  <c r="C2569" i="1"/>
  <c r="B2569" i="1"/>
  <c r="C2568" i="1"/>
  <c r="B2568" i="1"/>
  <c r="C2567" i="1"/>
  <c r="B2567" i="1"/>
  <c r="C2566" i="1"/>
  <c r="B2566" i="1"/>
  <c r="C2565" i="1"/>
  <c r="B2565" i="1"/>
  <c r="C2564" i="1"/>
  <c r="B2564" i="1"/>
  <c r="C2563" i="1"/>
  <c r="B2563" i="1"/>
  <c r="C2562" i="1"/>
  <c r="B2562" i="1"/>
  <c r="C2561" i="1"/>
  <c r="B2561" i="1"/>
  <c r="C2560" i="1"/>
  <c r="B2560" i="1"/>
  <c r="C2559" i="1"/>
  <c r="B2559" i="1"/>
  <c r="C2558" i="1"/>
  <c r="B2558" i="1"/>
  <c r="C2557" i="1"/>
  <c r="B2557" i="1"/>
  <c r="C2556" i="1"/>
  <c r="B2556" i="1"/>
  <c r="C2555" i="1"/>
  <c r="B2555" i="1"/>
  <c r="C2554" i="1"/>
  <c r="B2554" i="1"/>
  <c r="C2553" i="1"/>
  <c r="B2553" i="1"/>
  <c r="C2552" i="1"/>
  <c r="B2552" i="1"/>
  <c r="C2551" i="1"/>
  <c r="B2551" i="1"/>
  <c r="C2550" i="1"/>
  <c r="B2550" i="1"/>
  <c r="C2549" i="1"/>
  <c r="B2549" i="1"/>
  <c r="C2548" i="1"/>
  <c r="B2548" i="1"/>
  <c r="C2547" i="1"/>
  <c r="B2547" i="1"/>
  <c r="C2546" i="1"/>
  <c r="B2546" i="1"/>
  <c r="C2545" i="1"/>
  <c r="B2545" i="1"/>
  <c r="C2544" i="1"/>
  <c r="B2544" i="1"/>
  <c r="C2543" i="1"/>
  <c r="B2543" i="1"/>
  <c r="C2542" i="1"/>
  <c r="B2542" i="1"/>
  <c r="C2541" i="1"/>
  <c r="B2541" i="1"/>
  <c r="C2540" i="1"/>
  <c r="B2540" i="1"/>
  <c r="C2539" i="1"/>
  <c r="B2539" i="1"/>
  <c r="C2538" i="1"/>
  <c r="B2538" i="1"/>
  <c r="C2537" i="1"/>
  <c r="B2537" i="1"/>
  <c r="C2536" i="1"/>
  <c r="B2536" i="1"/>
  <c r="C2535" i="1"/>
  <c r="B2535" i="1"/>
  <c r="C2534" i="1"/>
  <c r="B2534" i="1"/>
  <c r="C2533" i="1"/>
  <c r="B2533" i="1"/>
  <c r="C2532" i="1"/>
  <c r="B2532" i="1"/>
  <c r="C2531" i="1"/>
  <c r="B2531" i="1"/>
  <c r="C2530" i="1"/>
  <c r="B2530" i="1"/>
  <c r="C2529" i="1"/>
  <c r="B2529" i="1"/>
  <c r="C2528" i="1"/>
  <c r="B2528" i="1"/>
  <c r="C2527" i="1"/>
  <c r="B2527" i="1"/>
  <c r="C2526" i="1"/>
  <c r="B2526" i="1"/>
  <c r="C2525" i="1"/>
  <c r="B2525" i="1"/>
  <c r="C2524" i="1"/>
  <c r="B2524" i="1"/>
  <c r="C2523" i="1"/>
  <c r="B2523" i="1"/>
  <c r="C2522" i="1"/>
  <c r="B2522" i="1"/>
  <c r="C2521" i="1"/>
  <c r="B2521" i="1"/>
  <c r="C2520" i="1"/>
  <c r="B2520" i="1"/>
  <c r="C2519" i="1"/>
  <c r="B2519" i="1"/>
  <c r="C2518" i="1"/>
  <c r="B2518" i="1"/>
  <c r="C2517" i="1"/>
  <c r="B2517" i="1"/>
  <c r="C2516" i="1"/>
  <c r="B2516" i="1"/>
  <c r="C2515" i="1"/>
  <c r="B2515" i="1"/>
  <c r="C2514" i="1"/>
  <c r="B2514" i="1"/>
  <c r="C2513" i="1"/>
  <c r="B2513" i="1"/>
  <c r="C2512" i="1"/>
  <c r="B2512" i="1"/>
  <c r="C2511" i="1"/>
  <c r="B2511" i="1"/>
  <c r="C2510" i="1"/>
  <c r="B2510" i="1"/>
  <c r="C2509" i="1"/>
  <c r="B2509" i="1"/>
  <c r="C2508" i="1"/>
  <c r="B2508" i="1"/>
  <c r="C2507" i="1"/>
  <c r="B2507" i="1"/>
  <c r="C2506" i="1"/>
  <c r="B2506" i="1"/>
  <c r="C2505" i="1"/>
  <c r="B2505" i="1"/>
  <c r="C2504" i="1"/>
  <c r="B2504" i="1"/>
  <c r="C2503" i="1"/>
  <c r="B2503" i="1"/>
  <c r="C2502" i="1"/>
  <c r="B2502" i="1"/>
  <c r="C2501" i="1"/>
  <c r="B2501" i="1"/>
  <c r="C2500" i="1"/>
  <c r="B2500" i="1"/>
  <c r="C2499" i="1"/>
  <c r="B2499" i="1"/>
  <c r="C2498" i="1"/>
  <c r="B2498" i="1"/>
  <c r="C2497" i="1"/>
  <c r="B2497" i="1"/>
  <c r="C2496" i="1"/>
  <c r="B2496" i="1"/>
  <c r="C2495" i="1"/>
  <c r="B2495" i="1"/>
  <c r="C2494" i="1"/>
  <c r="B2494" i="1"/>
  <c r="C2493" i="1"/>
  <c r="B2493" i="1"/>
  <c r="C2492" i="1"/>
  <c r="B2492" i="1"/>
  <c r="C2491" i="1"/>
  <c r="B2491" i="1"/>
  <c r="C2490" i="1"/>
  <c r="B2490" i="1"/>
  <c r="C2489" i="1"/>
  <c r="B2489" i="1"/>
  <c r="C2488" i="1"/>
  <c r="B2488" i="1"/>
  <c r="C2487" i="1"/>
  <c r="B2487" i="1"/>
  <c r="C2486" i="1"/>
  <c r="B2486" i="1"/>
  <c r="C2485" i="1"/>
  <c r="B2485" i="1"/>
  <c r="C2484" i="1"/>
  <c r="B2484" i="1"/>
  <c r="C2483" i="1"/>
  <c r="B2483" i="1"/>
  <c r="C2482" i="1"/>
  <c r="B2482" i="1"/>
  <c r="C2481" i="1"/>
  <c r="B2481" i="1"/>
  <c r="C2480" i="1"/>
  <c r="B2480" i="1"/>
  <c r="C2479" i="1"/>
  <c r="B2479" i="1"/>
  <c r="C2478" i="1"/>
  <c r="B2478" i="1"/>
  <c r="C2477" i="1"/>
  <c r="B2477" i="1"/>
  <c r="C2476" i="1"/>
  <c r="B2476" i="1"/>
  <c r="C2475" i="1"/>
  <c r="B2475" i="1"/>
  <c r="C2474" i="1"/>
  <c r="B2474" i="1"/>
  <c r="C2473" i="1"/>
  <c r="B2473" i="1"/>
  <c r="C2472" i="1"/>
  <c r="B2472" i="1"/>
  <c r="C2471" i="1"/>
  <c r="B2471" i="1"/>
  <c r="C2470" i="1"/>
  <c r="B2470" i="1"/>
  <c r="C2469" i="1"/>
  <c r="B2469" i="1"/>
  <c r="C2468" i="1"/>
  <c r="B2468" i="1"/>
  <c r="C2467" i="1"/>
  <c r="B2467" i="1"/>
  <c r="C2466" i="1"/>
  <c r="B2466" i="1"/>
  <c r="C2465" i="1"/>
  <c r="B2465" i="1"/>
  <c r="C2464" i="1"/>
  <c r="B2464" i="1"/>
  <c r="C2463" i="1"/>
  <c r="B2463" i="1"/>
  <c r="C2462" i="1"/>
  <c r="B2462" i="1"/>
  <c r="C2461" i="1"/>
  <c r="B2461" i="1"/>
  <c r="C2460" i="1"/>
  <c r="B2460" i="1"/>
  <c r="C2459" i="1"/>
  <c r="B2459" i="1"/>
  <c r="C2458" i="1"/>
  <c r="B2458" i="1"/>
  <c r="C2457" i="1"/>
  <c r="B2457" i="1"/>
  <c r="C2456" i="1"/>
  <c r="B2456" i="1"/>
  <c r="C2455" i="1"/>
  <c r="B2455" i="1"/>
  <c r="C2454" i="1"/>
  <c r="B2454" i="1"/>
  <c r="C2453" i="1"/>
  <c r="B2453" i="1"/>
  <c r="C2452" i="1"/>
  <c r="B2452" i="1"/>
  <c r="C2451" i="1"/>
  <c r="B2451" i="1"/>
  <c r="C2450" i="1"/>
  <c r="B2450" i="1"/>
  <c r="C2449" i="1"/>
  <c r="B2449" i="1"/>
  <c r="C2448" i="1"/>
  <c r="B2448" i="1"/>
  <c r="C2447" i="1"/>
  <c r="B2447" i="1"/>
  <c r="C2446" i="1"/>
  <c r="B2446" i="1"/>
  <c r="C2445" i="1"/>
  <c r="B2445" i="1"/>
  <c r="C2444" i="1"/>
  <c r="B2444" i="1"/>
  <c r="C2443" i="1"/>
  <c r="B2443" i="1"/>
  <c r="C2442" i="1"/>
  <c r="B2442" i="1"/>
  <c r="C2441" i="1"/>
  <c r="B2441" i="1"/>
  <c r="C2440" i="1"/>
  <c r="B2440" i="1"/>
  <c r="C2439" i="1"/>
  <c r="B2439" i="1"/>
  <c r="C2438" i="1"/>
  <c r="B2438" i="1"/>
  <c r="C2437" i="1"/>
  <c r="B2437" i="1"/>
  <c r="C2436" i="1"/>
  <c r="B2436" i="1"/>
  <c r="C2435" i="1"/>
  <c r="B2435" i="1"/>
  <c r="C2434" i="1"/>
  <c r="B2434" i="1"/>
  <c r="C2433" i="1"/>
  <c r="B2433" i="1"/>
  <c r="C2432" i="1"/>
  <c r="B2432" i="1"/>
  <c r="C2431" i="1"/>
  <c r="B2431" i="1"/>
  <c r="C2430" i="1"/>
  <c r="B2430" i="1"/>
  <c r="C2429" i="1"/>
  <c r="B2429" i="1"/>
  <c r="C2428" i="1"/>
  <c r="B2428" i="1"/>
  <c r="C2427" i="1"/>
  <c r="B2427" i="1"/>
  <c r="C2426" i="1"/>
  <c r="B2426" i="1"/>
  <c r="C2425" i="1"/>
  <c r="B2425" i="1"/>
  <c r="C2424" i="1"/>
  <c r="B2424" i="1"/>
  <c r="C2423" i="1"/>
  <c r="B2423" i="1"/>
  <c r="C2422" i="1"/>
  <c r="B2422" i="1"/>
  <c r="C2421" i="1"/>
  <c r="B2421" i="1"/>
  <c r="C2420" i="1"/>
  <c r="B2420" i="1"/>
  <c r="C2419" i="1"/>
  <c r="B2419" i="1"/>
  <c r="C2418" i="1"/>
  <c r="B2418" i="1"/>
  <c r="C2417" i="1"/>
  <c r="B2417" i="1"/>
  <c r="C2416" i="1"/>
  <c r="B2416" i="1"/>
  <c r="C2415" i="1"/>
  <c r="B2415" i="1"/>
  <c r="C2414" i="1"/>
  <c r="B2414" i="1"/>
  <c r="C2413" i="1"/>
  <c r="B2413" i="1"/>
  <c r="C2412" i="1"/>
  <c r="B2412" i="1"/>
  <c r="C2411" i="1"/>
  <c r="B2411" i="1"/>
  <c r="C2410" i="1"/>
  <c r="B2410" i="1"/>
  <c r="C2409" i="1"/>
  <c r="B2409" i="1"/>
  <c r="C2408" i="1"/>
  <c r="B2408" i="1"/>
  <c r="C2407" i="1"/>
  <c r="B2407" i="1"/>
  <c r="C2406" i="1"/>
  <c r="B2406" i="1"/>
  <c r="C2405" i="1"/>
  <c r="B2405" i="1"/>
  <c r="C2404" i="1"/>
  <c r="B2404" i="1"/>
  <c r="C2403" i="1"/>
  <c r="B2403" i="1"/>
  <c r="C2402" i="1"/>
  <c r="B2402" i="1"/>
  <c r="C2401" i="1"/>
  <c r="B2401" i="1"/>
  <c r="C2400" i="1"/>
  <c r="B2400" i="1"/>
  <c r="C2399" i="1"/>
  <c r="B2399" i="1"/>
  <c r="C2398" i="1"/>
  <c r="B2398" i="1"/>
  <c r="C2397" i="1"/>
  <c r="B2397" i="1"/>
  <c r="C2396" i="1"/>
  <c r="B2396" i="1"/>
  <c r="C2395" i="1"/>
  <c r="B2395" i="1"/>
  <c r="C2394" i="1"/>
  <c r="B2394" i="1"/>
  <c r="C2393" i="1"/>
  <c r="B2393" i="1"/>
  <c r="C2392" i="1"/>
  <c r="B2392" i="1"/>
  <c r="C2391" i="1"/>
  <c r="B2391" i="1"/>
  <c r="C2390" i="1"/>
  <c r="B2390" i="1"/>
  <c r="C2389" i="1"/>
  <c r="B2389" i="1"/>
  <c r="C2388" i="1"/>
  <c r="B2388" i="1"/>
  <c r="C2387" i="1"/>
  <c r="B2387" i="1"/>
  <c r="C2386" i="1"/>
  <c r="B2386" i="1"/>
  <c r="C2385" i="1"/>
  <c r="B2385" i="1"/>
  <c r="C2384" i="1"/>
  <c r="B2384" i="1"/>
  <c r="C2383" i="1"/>
  <c r="B2383" i="1"/>
  <c r="C2382" i="1"/>
  <c r="B2382" i="1"/>
  <c r="C2381" i="1"/>
  <c r="B2381" i="1"/>
  <c r="C2380" i="1"/>
  <c r="B2380" i="1"/>
  <c r="C2379" i="1"/>
  <c r="B2379" i="1"/>
  <c r="C2378" i="1"/>
  <c r="B2378" i="1"/>
  <c r="C2377" i="1"/>
  <c r="B2377" i="1"/>
  <c r="C2376" i="1"/>
  <c r="B2376" i="1"/>
  <c r="C2375" i="1"/>
  <c r="B2375" i="1"/>
  <c r="C2374" i="1"/>
  <c r="B2374" i="1"/>
  <c r="C2373" i="1"/>
  <c r="B2373" i="1"/>
  <c r="C2372" i="1"/>
  <c r="B2372" i="1"/>
  <c r="C2371" i="1"/>
  <c r="B2371" i="1"/>
  <c r="C2370" i="1"/>
  <c r="B2370" i="1"/>
  <c r="C2369" i="1"/>
  <c r="B2369" i="1"/>
  <c r="C2368" i="1"/>
  <c r="B2368" i="1"/>
  <c r="C2367" i="1"/>
  <c r="B2367" i="1"/>
  <c r="C2366" i="1"/>
  <c r="B2366" i="1"/>
  <c r="C2365" i="1"/>
  <c r="B2365" i="1"/>
  <c r="C2364" i="1"/>
  <c r="B2364" i="1"/>
  <c r="C2363" i="1"/>
  <c r="B2363" i="1"/>
  <c r="C2362" i="1"/>
  <c r="B2362" i="1"/>
  <c r="C2361" i="1"/>
  <c r="B2361" i="1"/>
  <c r="C2360" i="1"/>
  <c r="B2360" i="1"/>
  <c r="C2359" i="1"/>
  <c r="B2359" i="1"/>
  <c r="C2358" i="1"/>
  <c r="B2358" i="1"/>
  <c r="C2357" i="1"/>
  <c r="B2357" i="1"/>
  <c r="C2356" i="1"/>
  <c r="B2356" i="1"/>
  <c r="C2355" i="1"/>
  <c r="B2355" i="1"/>
  <c r="C2354" i="1"/>
  <c r="B2354" i="1"/>
  <c r="C2353" i="1"/>
  <c r="B2353" i="1"/>
  <c r="C2352" i="1"/>
  <c r="B2352" i="1"/>
  <c r="C2351" i="1"/>
  <c r="B2351" i="1"/>
  <c r="C2350" i="1"/>
  <c r="B2350" i="1"/>
  <c r="C2349" i="1"/>
  <c r="B2349" i="1"/>
  <c r="C2348" i="1"/>
  <c r="B2348" i="1"/>
  <c r="C2347" i="1"/>
  <c r="B2347" i="1"/>
  <c r="C2346" i="1"/>
  <c r="B2346" i="1"/>
  <c r="C2345" i="1"/>
  <c r="B2345" i="1"/>
  <c r="C2344" i="1"/>
  <c r="B2344" i="1"/>
  <c r="C2343" i="1"/>
  <c r="B2343" i="1"/>
  <c r="C2342" i="1"/>
  <c r="B2342" i="1"/>
  <c r="C2341" i="1"/>
  <c r="B2341" i="1"/>
  <c r="C2340" i="1"/>
  <c r="B2340" i="1"/>
  <c r="C2339" i="1"/>
  <c r="B2339" i="1"/>
  <c r="C2338" i="1"/>
  <c r="B2338" i="1"/>
  <c r="C2337" i="1"/>
  <c r="B2337" i="1"/>
  <c r="C2336" i="1"/>
  <c r="B2336" i="1"/>
  <c r="C2335" i="1"/>
  <c r="B2335" i="1"/>
  <c r="C2334" i="1"/>
  <c r="B2334" i="1"/>
  <c r="C2333" i="1"/>
  <c r="B2333" i="1"/>
  <c r="C2332" i="1"/>
  <c r="B2332" i="1"/>
  <c r="C2331" i="1"/>
  <c r="B2331" i="1"/>
  <c r="C2330" i="1"/>
  <c r="B2330" i="1"/>
  <c r="C2329" i="1"/>
  <c r="B2329" i="1"/>
  <c r="C2328" i="1"/>
  <c r="B2328" i="1"/>
  <c r="C2327" i="1"/>
  <c r="B2327" i="1"/>
  <c r="C2326" i="1"/>
  <c r="B2326" i="1"/>
  <c r="C2325" i="1"/>
  <c r="B2325" i="1"/>
  <c r="C2324" i="1"/>
  <c r="B2324" i="1"/>
  <c r="C2323" i="1"/>
  <c r="B2323" i="1"/>
  <c r="C2322" i="1"/>
  <c r="B2322" i="1"/>
  <c r="C2321" i="1"/>
  <c r="B2321" i="1"/>
  <c r="C2320" i="1"/>
  <c r="B2320" i="1"/>
  <c r="C2319" i="1"/>
  <c r="B2319" i="1"/>
  <c r="C2318" i="1"/>
  <c r="B2318" i="1"/>
  <c r="C2317" i="1"/>
  <c r="B2317" i="1"/>
  <c r="C2316" i="1"/>
  <c r="B2316" i="1"/>
  <c r="C2315" i="1"/>
  <c r="B2315" i="1"/>
  <c r="C2314" i="1"/>
  <c r="B2314" i="1"/>
  <c r="C2313" i="1"/>
  <c r="B2313" i="1"/>
  <c r="C2312" i="1"/>
  <c r="B2312" i="1"/>
  <c r="C2311" i="1"/>
  <c r="B2311" i="1"/>
  <c r="C2310" i="1"/>
  <c r="B2310" i="1"/>
  <c r="C2309" i="1"/>
  <c r="B2309" i="1"/>
  <c r="C2308" i="1"/>
  <c r="B2308" i="1"/>
  <c r="C2307" i="1"/>
  <c r="B2307" i="1"/>
  <c r="C2306" i="1"/>
  <c r="B2306" i="1"/>
  <c r="C2305" i="1"/>
  <c r="B2305" i="1"/>
  <c r="C2304" i="1"/>
  <c r="B2304" i="1"/>
  <c r="C2303" i="1"/>
  <c r="B2303" i="1"/>
  <c r="C2302" i="1"/>
  <c r="B2302" i="1"/>
  <c r="C2301" i="1"/>
  <c r="B2301" i="1"/>
  <c r="C2300" i="1"/>
  <c r="B2300" i="1"/>
  <c r="C2299" i="1"/>
  <c r="B2299" i="1"/>
  <c r="C2298" i="1"/>
  <c r="B2298" i="1"/>
  <c r="C2297" i="1"/>
  <c r="B2297" i="1"/>
  <c r="C2296" i="1"/>
  <c r="B2296" i="1"/>
  <c r="C2295" i="1"/>
  <c r="B2295" i="1"/>
  <c r="C2294" i="1"/>
  <c r="B2294" i="1"/>
  <c r="C2293" i="1"/>
  <c r="B2293" i="1"/>
  <c r="C2292" i="1"/>
  <c r="B2292" i="1"/>
  <c r="C2291" i="1"/>
  <c r="B2291" i="1"/>
  <c r="C2290" i="1"/>
  <c r="B2290" i="1"/>
  <c r="C2289" i="1"/>
  <c r="B2289" i="1"/>
  <c r="C2288" i="1"/>
  <c r="B2288" i="1"/>
  <c r="C2287" i="1"/>
  <c r="B2287" i="1"/>
  <c r="C2286" i="1"/>
  <c r="B2286" i="1"/>
  <c r="C2285" i="1"/>
  <c r="B2285" i="1"/>
  <c r="C2284" i="1"/>
  <c r="B2284" i="1"/>
  <c r="C2283" i="1"/>
  <c r="B2283" i="1"/>
  <c r="C2282" i="1"/>
  <c r="B2282" i="1"/>
  <c r="C2281" i="1"/>
  <c r="B2281" i="1"/>
  <c r="C2280" i="1"/>
  <c r="B2280" i="1"/>
  <c r="C2279" i="1"/>
  <c r="B2279" i="1"/>
  <c r="C2278" i="1"/>
  <c r="B2278" i="1"/>
  <c r="C2277" i="1"/>
  <c r="B2277" i="1"/>
  <c r="C2276" i="1"/>
  <c r="B2276" i="1"/>
  <c r="C2275" i="1"/>
  <c r="B2275" i="1"/>
  <c r="C2274" i="1"/>
  <c r="B2274" i="1"/>
  <c r="C2273" i="1"/>
  <c r="B2273" i="1"/>
  <c r="C2272" i="1"/>
  <c r="B2272" i="1"/>
  <c r="C2271" i="1"/>
  <c r="B2271" i="1"/>
  <c r="C2270" i="1"/>
  <c r="B2270" i="1"/>
  <c r="C2269" i="1"/>
  <c r="B2269" i="1"/>
  <c r="C2268" i="1"/>
  <c r="B2268" i="1"/>
  <c r="C2267" i="1"/>
  <c r="B2267" i="1"/>
  <c r="C2266" i="1"/>
  <c r="B2266" i="1"/>
  <c r="C2265" i="1"/>
  <c r="B2265" i="1"/>
  <c r="C2264" i="1"/>
  <c r="B2264" i="1"/>
  <c r="C2263" i="1"/>
  <c r="B2263" i="1"/>
  <c r="C2262" i="1"/>
  <c r="B2262" i="1"/>
  <c r="C2261" i="1"/>
  <c r="B2261" i="1"/>
  <c r="C2260" i="1"/>
  <c r="B2260" i="1"/>
  <c r="C2259" i="1"/>
  <c r="B2259" i="1"/>
  <c r="C2258" i="1"/>
  <c r="B2258" i="1"/>
  <c r="C2257" i="1"/>
  <c r="B2257" i="1"/>
  <c r="C2256" i="1"/>
  <c r="B2256" i="1"/>
  <c r="C2255" i="1"/>
  <c r="B2255" i="1"/>
  <c r="C2254" i="1"/>
  <c r="B2254" i="1"/>
  <c r="C2253" i="1"/>
  <c r="B2253" i="1"/>
  <c r="C2252" i="1"/>
  <c r="B2252" i="1"/>
  <c r="C2251" i="1"/>
  <c r="B2251" i="1"/>
  <c r="C2250" i="1"/>
  <c r="B2250" i="1"/>
  <c r="C2249" i="1"/>
  <c r="B2249" i="1"/>
  <c r="C2248" i="1"/>
  <c r="B2248" i="1"/>
  <c r="C2247" i="1"/>
  <c r="B2247" i="1"/>
  <c r="C2246" i="1"/>
  <c r="B2246" i="1"/>
  <c r="C2245" i="1"/>
  <c r="B2245" i="1"/>
  <c r="C2244" i="1"/>
  <c r="B2244" i="1"/>
  <c r="C2243" i="1"/>
  <c r="B2243" i="1"/>
  <c r="C2242" i="1"/>
  <c r="B2242" i="1"/>
  <c r="C2241" i="1"/>
  <c r="B2241" i="1"/>
  <c r="C2240" i="1"/>
  <c r="B2240" i="1"/>
  <c r="C2239" i="1"/>
  <c r="B2239" i="1"/>
  <c r="C2238" i="1"/>
  <c r="B2238" i="1"/>
  <c r="C2237" i="1"/>
  <c r="B2237" i="1"/>
  <c r="C2236" i="1"/>
  <c r="B2236" i="1"/>
  <c r="C2235" i="1"/>
  <c r="B2235" i="1"/>
  <c r="C2234" i="1"/>
  <c r="B2234" i="1"/>
  <c r="C2233" i="1"/>
  <c r="B2233" i="1"/>
  <c r="C2232" i="1"/>
  <c r="B2232" i="1"/>
  <c r="C2231" i="1"/>
  <c r="B2231" i="1"/>
  <c r="C2230" i="1"/>
  <c r="B2230" i="1"/>
  <c r="C2229" i="1"/>
  <c r="B2229" i="1"/>
  <c r="C2228" i="1"/>
  <c r="B2228" i="1"/>
  <c r="C2227" i="1"/>
  <c r="B2227" i="1"/>
  <c r="C2226" i="1"/>
  <c r="B2226" i="1"/>
  <c r="C2225" i="1"/>
  <c r="B2225" i="1"/>
  <c r="C2224" i="1"/>
  <c r="B2224" i="1"/>
  <c r="C2223" i="1"/>
  <c r="B2223" i="1"/>
  <c r="C2222" i="1"/>
  <c r="B2222" i="1"/>
  <c r="C2221" i="1"/>
  <c r="B2221" i="1"/>
  <c r="C2220" i="1"/>
  <c r="B2220" i="1"/>
  <c r="C2219" i="1"/>
  <c r="B2219" i="1"/>
  <c r="C2218" i="1"/>
  <c r="B2218" i="1"/>
  <c r="C2217" i="1"/>
  <c r="B2217" i="1"/>
  <c r="C2216" i="1"/>
  <c r="B2216" i="1"/>
  <c r="C2215" i="1"/>
  <c r="B2215" i="1"/>
  <c r="C2214" i="1"/>
  <c r="B2214" i="1"/>
  <c r="C2213" i="1"/>
  <c r="B2213" i="1"/>
  <c r="C2212" i="1"/>
  <c r="B2212" i="1"/>
  <c r="C2211" i="1"/>
  <c r="B2211" i="1"/>
  <c r="C2210" i="1"/>
  <c r="B2210" i="1"/>
  <c r="C2209" i="1"/>
  <c r="B2209" i="1"/>
  <c r="C2208" i="1"/>
  <c r="B2208" i="1"/>
  <c r="C2207" i="1"/>
  <c r="B2207" i="1"/>
  <c r="C2206" i="1"/>
  <c r="B2206" i="1"/>
  <c r="C2205" i="1"/>
  <c r="B2205" i="1"/>
  <c r="C2204" i="1"/>
  <c r="B2204" i="1"/>
  <c r="C2203" i="1"/>
  <c r="B2203" i="1"/>
  <c r="C2202" i="1"/>
  <c r="B2202" i="1"/>
  <c r="C2201" i="1"/>
  <c r="B2201" i="1"/>
  <c r="C2200" i="1"/>
  <c r="B2200" i="1"/>
  <c r="C2199" i="1"/>
  <c r="B2199" i="1"/>
  <c r="C2198" i="1"/>
  <c r="B2198" i="1"/>
  <c r="C2197" i="1"/>
  <c r="B2197" i="1"/>
  <c r="C2196" i="1"/>
  <c r="B2196" i="1"/>
  <c r="C2195" i="1"/>
  <c r="B2195" i="1"/>
  <c r="C2194" i="1"/>
  <c r="B2194" i="1"/>
  <c r="C2193" i="1"/>
  <c r="B2193" i="1"/>
  <c r="C2192" i="1"/>
  <c r="B2192" i="1"/>
  <c r="C2191" i="1"/>
  <c r="B2191" i="1"/>
  <c r="C2190" i="1"/>
  <c r="B2190" i="1"/>
  <c r="C2189" i="1"/>
  <c r="B2189" i="1"/>
  <c r="C2188" i="1"/>
  <c r="B2188" i="1"/>
  <c r="C2187" i="1"/>
  <c r="B2187" i="1"/>
  <c r="C2186" i="1"/>
  <c r="B2186" i="1"/>
  <c r="C2185" i="1"/>
  <c r="B2185" i="1"/>
  <c r="C2184" i="1"/>
  <c r="B2184" i="1"/>
  <c r="C2183" i="1"/>
  <c r="B2183" i="1"/>
  <c r="C2182" i="1"/>
  <c r="B2182" i="1"/>
  <c r="C2181" i="1"/>
  <c r="B2181" i="1"/>
  <c r="C2180" i="1"/>
  <c r="B2180" i="1"/>
  <c r="C2179" i="1"/>
  <c r="B2179" i="1"/>
  <c r="C2178" i="1"/>
  <c r="B2178" i="1"/>
  <c r="C2177" i="1"/>
  <c r="B2177" i="1"/>
  <c r="C2176" i="1"/>
  <c r="B2176" i="1"/>
  <c r="C2175" i="1"/>
  <c r="B2175" i="1"/>
  <c r="C2174" i="1"/>
  <c r="B2174" i="1"/>
  <c r="C2173" i="1"/>
  <c r="B2173" i="1"/>
  <c r="C2172" i="1"/>
  <c r="B2172" i="1"/>
  <c r="C2171" i="1"/>
  <c r="B2171" i="1"/>
  <c r="C2170" i="1"/>
  <c r="B2170" i="1"/>
  <c r="C2169" i="1"/>
  <c r="B2169" i="1"/>
  <c r="C2168" i="1"/>
  <c r="B2168" i="1"/>
  <c r="C2167" i="1"/>
  <c r="B2167" i="1"/>
  <c r="C2166" i="1"/>
  <c r="B2166" i="1"/>
  <c r="C2165" i="1"/>
  <c r="B2165" i="1"/>
  <c r="C2164" i="1"/>
  <c r="B2164" i="1"/>
  <c r="C2163" i="1"/>
  <c r="B2163" i="1"/>
  <c r="C2162" i="1"/>
  <c r="B2162" i="1"/>
  <c r="C2161" i="1"/>
  <c r="B2161" i="1"/>
  <c r="C2160" i="1"/>
  <c r="B2160" i="1"/>
  <c r="C2159" i="1"/>
  <c r="B2159" i="1"/>
  <c r="C2158" i="1"/>
  <c r="B2158" i="1"/>
  <c r="C2157" i="1"/>
  <c r="B2157" i="1"/>
  <c r="C2156" i="1"/>
  <c r="B2156" i="1"/>
  <c r="C2155" i="1"/>
  <c r="B2155" i="1"/>
  <c r="C2154" i="1"/>
  <c r="B2154" i="1"/>
  <c r="C2153" i="1"/>
  <c r="B2153" i="1"/>
  <c r="C2152" i="1"/>
  <c r="B2152" i="1"/>
  <c r="C2151" i="1"/>
  <c r="B2151" i="1"/>
  <c r="C2150" i="1"/>
  <c r="B2150" i="1"/>
  <c r="C2149" i="1"/>
  <c r="B2149" i="1"/>
  <c r="C2148" i="1"/>
  <c r="B2148" i="1"/>
  <c r="C2147" i="1"/>
  <c r="B2147" i="1"/>
  <c r="C2146" i="1"/>
  <c r="B2146" i="1"/>
  <c r="C2145" i="1"/>
  <c r="B2145" i="1"/>
  <c r="C2144" i="1"/>
  <c r="B2144" i="1"/>
  <c r="C2143" i="1"/>
  <c r="B2143" i="1"/>
  <c r="C2142" i="1"/>
  <c r="B2142" i="1"/>
  <c r="C2141" i="1"/>
  <c r="B2141" i="1"/>
  <c r="C2140" i="1"/>
  <c r="B2140" i="1"/>
  <c r="C2139" i="1"/>
  <c r="B2139" i="1"/>
  <c r="C2138" i="1"/>
  <c r="B2138" i="1"/>
  <c r="C2137" i="1"/>
  <c r="B2137" i="1"/>
  <c r="C2136" i="1"/>
  <c r="B2136" i="1"/>
  <c r="C2135" i="1"/>
  <c r="B2135" i="1"/>
  <c r="C2134" i="1"/>
  <c r="B2134" i="1"/>
  <c r="C2133" i="1"/>
  <c r="B2133" i="1"/>
  <c r="C2132" i="1"/>
  <c r="B2132" i="1"/>
  <c r="C2131" i="1"/>
  <c r="B2131" i="1"/>
  <c r="C2130" i="1"/>
  <c r="B2130" i="1"/>
  <c r="C2129" i="1"/>
  <c r="B2129" i="1"/>
  <c r="C2128" i="1"/>
  <c r="B2128" i="1"/>
  <c r="C2127" i="1"/>
  <c r="B2127" i="1"/>
  <c r="C2126" i="1"/>
  <c r="B2126" i="1"/>
  <c r="C2125" i="1"/>
  <c r="B2125" i="1"/>
  <c r="C2124" i="1"/>
  <c r="B2124" i="1"/>
  <c r="C2123" i="1"/>
  <c r="B2123" i="1"/>
  <c r="C2122" i="1"/>
  <c r="B2122" i="1"/>
  <c r="C2121" i="1"/>
  <c r="B2121" i="1"/>
  <c r="C2120" i="1"/>
  <c r="B2120" i="1"/>
  <c r="C2119" i="1"/>
  <c r="B2119" i="1"/>
  <c r="C2118" i="1"/>
  <c r="B2118" i="1"/>
  <c r="C2117" i="1"/>
  <c r="B2117" i="1"/>
  <c r="C2116" i="1"/>
  <c r="B2116" i="1"/>
  <c r="C2115" i="1"/>
  <c r="B2115" i="1"/>
  <c r="C2114" i="1"/>
  <c r="B2114" i="1"/>
  <c r="C2113" i="1"/>
  <c r="B2113" i="1"/>
  <c r="C2112" i="1"/>
  <c r="B2112" i="1"/>
  <c r="C2111" i="1"/>
  <c r="B2111" i="1"/>
  <c r="C2110" i="1"/>
  <c r="B2110" i="1"/>
  <c r="C2109" i="1"/>
  <c r="B2109" i="1"/>
  <c r="C2108" i="1"/>
  <c r="B2108" i="1"/>
  <c r="C2107" i="1"/>
  <c r="B2107" i="1"/>
  <c r="C2106" i="1"/>
  <c r="B2106" i="1"/>
  <c r="C2105" i="1"/>
  <c r="B2105" i="1"/>
  <c r="C2104" i="1"/>
  <c r="B2104" i="1"/>
  <c r="C2103" i="1"/>
  <c r="B2103" i="1"/>
  <c r="C2102" i="1"/>
  <c r="B2102" i="1"/>
  <c r="C2101" i="1"/>
  <c r="B2101" i="1"/>
  <c r="C2100" i="1"/>
  <c r="B2100" i="1"/>
  <c r="C2099" i="1"/>
  <c r="B2099" i="1"/>
  <c r="C2098" i="1"/>
  <c r="B2098" i="1"/>
  <c r="C2097" i="1"/>
  <c r="B2097" i="1"/>
  <c r="C2096" i="1"/>
  <c r="B2096" i="1"/>
  <c r="C2095" i="1"/>
  <c r="B2095" i="1"/>
  <c r="C2094" i="1"/>
  <c r="B2094" i="1"/>
  <c r="C2093" i="1"/>
  <c r="B2093" i="1"/>
  <c r="C2092" i="1"/>
  <c r="B2092" i="1"/>
  <c r="C2091" i="1"/>
  <c r="B2091" i="1"/>
  <c r="C2090" i="1"/>
  <c r="B2090" i="1"/>
  <c r="C2089" i="1"/>
  <c r="B2089" i="1"/>
  <c r="C2088" i="1"/>
  <c r="B2088" i="1"/>
  <c r="C2087" i="1"/>
  <c r="B2087" i="1"/>
  <c r="C2086" i="1"/>
  <c r="B2086" i="1"/>
  <c r="C2085" i="1"/>
  <c r="B2085" i="1"/>
  <c r="C2084" i="1"/>
  <c r="B2084" i="1"/>
  <c r="C2083" i="1"/>
  <c r="B2083" i="1"/>
  <c r="C2082" i="1"/>
  <c r="B2082" i="1"/>
  <c r="C2081" i="1"/>
  <c r="B2081" i="1"/>
  <c r="C2080" i="1"/>
  <c r="B2080" i="1"/>
  <c r="C2079" i="1"/>
  <c r="B2079" i="1"/>
  <c r="C2078" i="1"/>
  <c r="B2078" i="1"/>
  <c r="C2077" i="1"/>
  <c r="B2077" i="1"/>
  <c r="C2076" i="1"/>
  <c r="B2076" i="1"/>
  <c r="C2075" i="1"/>
  <c r="B2075" i="1"/>
  <c r="C2074" i="1"/>
  <c r="B2074" i="1"/>
  <c r="C2073" i="1"/>
  <c r="B2073" i="1"/>
  <c r="C2072" i="1"/>
  <c r="B2072" i="1"/>
  <c r="C2071" i="1"/>
  <c r="B2071" i="1"/>
  <c r="C2070" i="1"/>
  <c r="B2070" i="1"/>
  <c r="C2069" i="1"/>
  <c r="B2069" i="1"/>
  <c r="C2068" i="1"/>
  <c r="B2068" i="1"/>
  <c r="C2067" i="1"/>
  <c r="B2067" i="1"/>
  <c r="C2066" i="1"/>
  <c r="B2066" i="1"/>
  <c r="C2065" i="1"/>
  <c r="B2065" i="1"/>
  <c r="C2064" i="1"/>
  <c r="B2064" i="1"/>
  <c r="C2063" i="1"/>
  <c r="B2063" i="1"/>
  <c r="C2062" i="1"/>
  <c r="B2062" i="1"/>
  <c r="C2061" i="1"/>
  <c r="B2061" i="1"/>
  <c r="C2060" i="1"/>
  <c r="B2060" i="1"/>
  <c r="C2059" i="1"/>
  <c r="B2059" i="1"/>
  <c r="C2058" i="1"/>
  <c r="B2058" i="1"/>
  <c r="C2057" i="1"/>
  <c r="B2057" i="1"/>
  <c r="C2056" i="1"/>
  <c r="B2056" i="1"/>
  <c r="C2055" i="1"/>
  <c r="B2055" i="1"/>
  <c r="C2054" i="1"/>
  <c r="B2054" i="1"/>
  <c r="C2053" i="1"/>
  <c r="B2053" i="1"/>
  <c r="C2052" i="1"/>
  <c r="B2052" i="1"/>
  <c r="C2051" i="1"/>
  <c r="B2051" i="1"/>
  <c r="C2050" i="1"/>
  <c r="B2050" i="1"/>
  <c r="C2049" i="1"/>
  <c r="B2049" i="1"/>
  <c r="C2048" i="1"/>
  <c r="B2048" i="1"/>
  <c r="C2047" i="1"/>
  <c r="B2047" i="1"/>
  <c r="C2046" i="1"/>
  <c r="B2046" i="1"/>
  <c r="C2045" i="1"/>
  <c r="B2045" i="1"/>
  <c r="C2044" i="1"/>
  <c r="B2044" i="1"/>
  <c r="C2043" i="1"/>
  <c r="B2043" i="1"/>
  <c r="C2042" i="1"/>
  <c r="B2042" i="1"/>
  <c r="C2041" i="1"/>
  <c r="B2041" i="1"/>
  <c r="C2040" i="1"/>
  <c r="B2040" i="1"/>
  <c r="C2039" i="1"/>
  <c r="B2039" i="1"/>
  <c r="C2038" i="1"/>
  <c r="B2038" i="1"/>
  <c r="C2037" i="1"/>
  <c r="B2037" i="1"/>
  <c r="C2036" i="1"/>
  <c r="B2036" i="1"/>
  <c r="C2035" i="1"/>
  <c r="B2035" i="1"/>
  <c r="C2034" i="1"/>
  <c r="B2034" i="1"/>
  <c r="C2033" i="1"/>
  <c r="B2033" i="1"/>
  <c r="C2032" i="1"/>
  <c r="B2032" i="1"/>
  <c r="C2031" i="1"/>
  <c r="B2031" i="1"/>
  <c r="C2030" i="1"/>
  <c r="B2030" i="1"/>
  <c r="C2029" i="1"/>
  <c r="B2029" i="1"/>
  <c r="C2028" i="1"/>
  <c r="B2028" i="1"/>
  <c r="C2027" i="1"/>
  <c r="B2027" i="1"/>
  <c r="C2026" i="1"/>
  <c r="B2026" i="1"/>
  <c r="C2025" i="1"/>
  <c r="B2025" i="1"/>
  <c r="C2024" i="1"/>
  <c r="B2024" i="1"/>
  <c r="C2023" i="1"/>
  <c r="B2023" i="1"/>
  <c r="C2022" i="1"/>
  <c r="B2022" i="1"/>
  <c r="C2021" i="1"/>
  <c r="B2021" i="1"/>
  <c r="C2020" i="1"/>
  <c r="B2020" i="1"/>
  <c r="C2019" i="1"/>
  <c r="B2019" i="1"/>
  <c r="C2018" i="1"/>
  <c r="B2018" i="1"/>
  <c r="C2017" i="1"/>
  <c r="B2017" i="1"/>
  <c r="C2016" i="1"/>
  <c r="B2016" i="1"/>
  <c r="C2015" i="1"/>
  <c r="B2015" i="1"/>
  <c r="C2014" i="1"/>
  <c r="B2014" i="1"/>
  <c r="C2013" i="1"/>
  <c r="B2013" i="1"/>
  <c r="C2012" i="1"/>
  <c r="B2012" i="1"/>
  <c r="C2011" i="1"/>
  <c r="B2011" i="1"/>
  <c r="C2010" i="1"/>
  <c r="B2010" i="1"/>
  <c r="C2009" i="1"/>
  <c r="B2009" i="1"/>
  <c r="C2008" i="1"/>
  <c r="B2008" i="1"/>
  <c r="C2007" i="1"/>
  <c r="B2007" i="1"/>
  <c r="C2006" i="1"/>
  <c r="B2006" i="1"/>
  <c r="C2005" i="1"/>
  <c r="B2005" i="1"/>
  <c r="C2004" i="1"/>
  <c r="B2004" i="1"/>
  <c r="C2003" i="1"/>
  <c r="B2003" i="1"/>
  <c r="C2002" i="1"/>
  <c r="B2002" i="1"/>
  <c r="C2001" i="1"/>
  <c r="B2001" i="1"/>
  <c r="C2000" i="1"/>
  <c r="B2000" i="1"/>
  <c r="C1999" i="1"/>
  <c r="B1999" i="1"/>
  <c r="C1998" i="1"/>
  <c r="B1998" i="1"/>
  <c r="C1997" i="1"/>
  <c r="B1997" i="1"/>
  <c r="C1996" i="1"/>
  <c r="B1996" i="1"/>
  <c r="C1995" i="1"/>
  <c r="B1995" i="1"/>
  <c r="C1994" i="1"/>
  <c r="B1994" i="1"/>
  <c r="C1993" i="1"/>
  <c r="B1993" i="1"/>
  <c r="C1992" i="1"/>
  <c r="B1992" i="1"/>
  <c r="C1991" i="1"/>
  <c r="B1991" i="1"/>
  <c r="C1990" i="1"/>
  <c r="B1990" i="1"/>
  <c r="C1989" i="1"/>
  <c r="B1989" i="1"/>
  <c r="C1988" i="1"/>
  <c r="B1988" i="1"/>
  <c r="C1987" i="1"/>
  <c r="B1987" i="1"/>
  <c r="C1986" i="1"/>
  <c r="B1986" i="1"/>
  <c r="C1985" i="1"/>
  <c r="B1985" i="1"/>
  <c r="C1984" i="1"/>
  <c r="B1984" i="1"/>
  <c r="C1983" i="1"/>
  <c r="B1983" i="1"/>
  <c r="C1982" i="1"/>
  <c r="B1982" i="1"/>
  <c r="C1981" i="1"/>
  <c r="B1981" i="1"/>
  <c r="C1980" i="1"/>
  <c r="B1980" i="1"/>
  <c r="C1979" i="1"/>
  <c r="B1979" i="1"/>
  <c r="C1978" i="1"/>
  <c r="B1978" i="1"/>
  <c r="C1977" i="1"/>
  <c r="B1977" i="1"/>
  <c r="C1976" i="1"/>
  <c r="B1976" i="1"/>
  <c r="C1975" i="1"/>
  <c r="B1975" i="1"/>
  <c r="C1974" i="1"/>
  <c r="B1974" i="1"/>
  <c r="C1973" i="1"/>
  <c r="B1973" i="1"/>
  <c r="C1972" i="1"/>
  <c r="B1972" i="1"/>
  <c r="C1971" i="1"/>
  <c r="B1971" i="1"/>
  <c r="C1970" i="1"/>
  <c r="B1970" i="1"/>
  <c r="C1969" i="1"/>
  <c r="B1969" i="1"/>
  <c r="C1968" i="1"/>
  <c r="B1968" i="1"/>
  <c r="C1967" i="1"/>
  <c r="B1967" i="1"/>
  <c r="C1966" i="1"/>
  <c r="B1966" i="1"/>
  <c r="C1965" i="1"/>
  <c r="B1965" i="1"/>
  <c r="C1964" i="1"/>
  <c r="B1964" i="1"/>
  <c r="C1963" i="1"/>
  <c r="B1963" i="1"/>
  <c r="C1962" i="1"/>
  <c r="B1962" i="1"/>
  <c r="C1961" i="1"/>
  <c r="B1961" i="1"/>
  <c r="C1960" i="1"/>
  <c r="B1960" i="1"/>
  <c r="C1959" i="1"/>
  <c r="B1959" i="1"/>
  <c r="C1958" i="1"/>
  <c r="B1958" i="1"/>
  <c r="C1957" i="1"/>
  <c r="B1957" i="1"/>
  <c r="C1956" i="1"/>
  <c r="B1956" i="1"/>
  <c r="C1955" i="1"/>
  <c r="B1955" i="1"/>
  <c r="C1954" i="1"/>
  <c r="B1954" i="1"/>
  <c r="C1953" i="1"/>
  <c r="B1953" i="1"/>
  <c r="C1952" i="1"/>
  <c r="B1952" i="1"/>
  <c r="C1951" i="1"/>
  <c r="B1951" i="1"/>
  <c r="C1950" i="1"/>
  <c r="B1950" i="1"/>
  <c r="C1949" i="1"/>
  <c r="B1949" i="1"/>
  <c r="C1948" i="1"/>
  <c r="B1948" i="1"/>
  <c r="C1947" i="1"/>
  <c r="B1947" i="1"/>
  <c r="C1946" i="1"/>
  <c r="B1946" i="1"/>
  <c r="C1945" i="1"/>
  <c r="B1945" i="1"/>
  <c r="C1944" i="1"/>
  <c r="B1944" i="1"/>
  <c r="C1943" i="1"/>
  <c r="B1943" i="1"/>
  <c r="C1942" i="1"/>
  <c r="B1942" i="1"/>
  <c r="C1941" i="1"/>
  <c r="B1941" i="1"/>
  <c r="C1940" i="1"/>
  <c r="B1940" i="1"/>
  <c r="C1939" i="1"/>
  <c r="B1939" i="1"/>
  <c r="C1938" i="1"/>
  <c r="B1938" i="1"/>
  <c r="C1937" i="1"/>
  <c r="B1937" i="1"/>
  <c r="C1936" i="1"/>
  <c r="B1936" i="1"/>
  <c r="C1935" i="1"/>
  <c r="B1935" i="1"/>
  <c r="C1934" i="1"/>
  <c r="B1934" i="1"/>
  <c r="C1933" i="1"/>
  <c r="B1933" i="1"/>
  <c r="C1932" i="1"/>
  <c r="B1932" i="1"/>
  <c r="C1931" i="1"/>
  <c r="B1931" i="1"/>
  <c r="C1930" i="1"/>
  <c r="B1930" i="1"/>
  <c r="C1929" i="1"/>
  <c r="B1929" i="1"/>
  <c r="C1928" i="1"/>
  <c r="B1928" i="1"/>
  <c r="C1927" i="1"/>
  <c r="B1927" i="1"/>
  <c r="C1926" i="1"/>
  <c r="B1926" i="1"/>
  <c r="C1925" i="1"/>
  <c r="B1925" i="1"/>
  <c r="C1924" i="1"/>
  <c r="B1924" i="1"/>
  <c r="C1923" i="1"/>
  <c r="B1923" i="1"/>
  <c r="C1922" i="1"/>
  <c r="B1922" i="1"/>
  <c r="C1921" i="1"/>
  <c r="B1921" i="1"/>
  <c r="C1920" i="1"/>
  <c r="B1920" i="1"/>
  <c r="C1919" i="1"/>
  <c r="B1919" i="1"/>
  <c r="C1918" i="1"/>
  <c r="B1918" i="1"/>
  <c r="C1917" i="1"/>
  <c r="B1917" i="1"/>
  <c r="C1916" i="1"/>
  <c r="B1916" i="1"/>
  <c r="C1915" i="1"/>
  <c r="B1915" i="1"/>
  <c r="C1914" i="1"/>
  <c r="B1914" i="1"/>
  <c r="C1913" i="1"/>
  <c r="B1913" i="1"/>
  <c r="C1912" i="1"/>
  <c r="B1912" i="1"/>
  <c r="C1911" i="1"/>
  <c r="B1911" i="1"/>
  <c r="C1910" i="1"/>
  <c r="B1910" i="1"/>
  <c r="C1909" i="1"/>
  <c r="B1909" i="1"/>
  <c r="C1908" i="1"/>
  <c r="B1908" i="1"/>
  <c r="C1907" i="1"/>
  <c r="B1907" i="1"/>
  <c r="C1906" i="1"/>
  <c r="B1906" i="1"/>
  <c r="C1905" i="1"/>
  <c r="B1905" i="1"/>
  <c r="C1904" i="1"/>
  <c r="B1904" i="1"/>
  <c r="C1903" i="1"/>
  <c r="B1903" i="1"/>
  <c r="C1902" i="1"/>
  <c r="B1902" i="1"/>
  <c r="C1901" i="1"/>
  <c r="B1901" i="1"/>
  <c r="C1900" i="1"/>
  <c r="B1900" i="1"/>
  <c r="C1899" i="1"/>
  <c r="B1899" i="1"/>
  <c r="C1898" i="1"/>
  <c r="B1898" i="1"/>
  <c r="C1897" i="1"/>
  <c r="B1897" i="1"/>
  <c r="C1896" i="1"/>
  <c r="B1896" i="1"/>
  <c r="C1895" i="1"/>
  <c r="B1895" i="1"/>
  <c r="C1894" i="1"/>
  <c r="B1894" i="1"/>
  <c r="C1893" i="1"/>
  <c r="B1893" i="1"/>
  <c r="C1892" i="1"/>
  <c r="B1892" i="1"/>
  <c r="C1891" i="1"/>
  <c r="B1891" i="1"/>
  <c r="C1890" i="1"/>
  <c r="B1890" i="1"/>
  <c r="C1889" i="1"/>
  <c r="B1889" i="1"/>
  <c r="C1888" i="1"/>
  <c r="B1888" i="1"/>
  <c r="C1887" i="1"/>
  <c r="B1887" i="1"/>
  <c r="C1886" i="1"/>
  <c r="B1886" i="1"/>
  <c r="C1885" i="1"/>
  <c r="B1885" i="1"/>
  <c r="C1884" i="1"/>
  <c r="B1884" i="1"/>
  <c r="C1883" i="1"/>
  <c r="B1883" i="1"/>
  <c r="C1882" i="1"/>
  <c r="B1882" i="1"/>
  <c r="C1881" i="1"/>
  <c r="B1881" i="1"/>
  <c r="C1880" i="1"/>
  <c r="B1880" i="1"/>
  <c r="C1879" i="1"/>
  <c r="B1879" i="1"/>
  <c r="C1878" i="1"/>
  <c r="B1878" i="1"/>
  <c r="C1877" i="1"/>
  <c r="B1877" i="1"/>
  <c r="C1876" i="1"/>
  <c r="B1876" i="1"/>
  <c r="C1875" i="1"/>
  <c r="B1875" i="1"/>
  <c r="C1874" i="1"/>
  <c r="B1874" i="1"/>
  <c r="C1873" i="1"/>
  <c r="B1873" i="1"/>
  <c r="C1872" i="1"/>
  <c r="B1872" i="1"/>
  <c r="C1871" i="1"/>
  <c r="B1871" i="1"/>
  <c r="C1870" i="1"/>
  <c r="B1870" i="1"/>
  <c r="C1869" i="1"/>
  <c r="B1869" i="1"/>
  <c r="C1868" i="1"/>
  <c r="B1868" i="1"/>
  <c r="C1867" i="1"/>
  <c r="B1867" i="1"/>
  <c r="C1866" i="1"/>
  <c r="B1866" i="1"/>
  <c r="C1865" i="1"/>
  <c r="B1865" i="1"/>
  <c r="C1864" i="1"/>
  <c r="B1864" i="1"/>
  <c r="C1863" i="1"/>
  <c r="B1863" i="1"/>
  <c r="C1862" i="1"/>
  <c r="B1862" i="1"/>
  <c r="C1861" i="1"/>
  <c r="B1861" i="1"/>
  <c r="C1860" i="1"/>
  <c r="B1860" i="1"/>
  <c r="C1859" i="1"/>
  <c r="B1859" i="1"/>
  <c r="C1858" i="1"/>
  <c r="B1858" i="1"/>
  <c r="C1857" i="1"/>
  <c r="B1857" i="1"/>
  <c r="C1856" i="1"/>
  <c r="B1856" i="1"/>
  <c r="C1855" i="1"/>
  <c r="B1855" i="1"/>
  <c r="C1854" i="1"/>
  <c r="B1854" i="1"/>
  <c r="C1853" i="1"/>
  <c r="B1853" i="1"/>
  <c r="C1852" i="1"/>
  <c r="B1852" i="1"/>
  <c r="C1851" i="1"/>
  <c r="B1851" i="1"/>
  <c r="C1850" i="1"/>
  <c r="B1850" i="1"/>
  <c r="C1849" i="1"/>
  <c r="B1849" i="1"/>
  <c r="C1848" i="1"/>
  <c r="B1848" i="1"/>
  <c r="C1847" i="1"/>
  <c r="B1847" i="1"/>
  <c r="C1846" i="1"/>
  <c r="B1846" i="1"/>
  <c r="C1845" i="1"/>
  <c r="B1845" i="1"/>
  <c r="C1844" i="1"/>
  <c r="B1844" i="1"/>
  <c r="C1843" i="1"/>
  <c r="B1843" i="1"/>
  <c r="C1842" i="1"/>
  <c r="B1842" i="1"/>
  <c r="C1841" i="1"/>
  <c r="B1841" i="1"/>
  <c r="C1840" i="1"/>
  <c r="B1840" i="1"/>
  <c r="C1839" i="1"/>
  <c r="B1839" i="1"/>
  <c r="C1838" i="1"/>
  <c r="B1838" i="1"/>
  <c r="C1837" i="1"/>
  <c r="B1837" i="1"/>
  <c r="C1836" i="1"/>
  <c r="B1836" i="1"/>
  <c r="C1835" i="1"/>
  <c r="B1835" i="1"/>
  <c r="C1834" i="1"/>
  <c r="B1834" i="1"/>
  <c r="C1833" i="1"/>
  <c r="B1833" i="1"/>
  <c r="C1832" i="1"/>
  <c r="B1832" i="1"/>
  <c r="C1831" i="1"/>
  <c r="B1831" i="1"/>
  <c r="C1830" i="1"/>
  <c r="B1830" i="1"/>
  <c r="C1829" i="1"/>
  <c r="B1829" i="1"/>
  <c r="C1828" i="1"/>
  <c r="B1828" i="1"/>
  <c r="C1827" i="1"/>
  <c r="B1827" i="1"/>
  <c r="C1826" i="1"/>
  <c r="B1826" i="1"/>
  <c r="C1825" i="1"/>
  <c r="B1825" i="1"/>
  <c r="C1824" i="1"/>
  <c r="B1824" i="1"/>
  <c r="C1823" i="1"/>
  <c r="B1823" i="1"/>
  <c r="C1822" i="1"/>
  <c r="B1822" i="1"/>
  <c r="C1821" i="1"/>
  <c r="B1821" i="1"/>
  <c r="C1820" i="1"/>
  <c r="B1820" i="1"/>
  <c r="C1819" i="1"/>
  <c r="B1819" i="1"/>
  <c r="C1818" i="1"/>
  <c r="B1818" i="1"/>
  <c r="C1817" i="1"/>
  <c r="B1817" i="1"/>
  <c r="C1816" i="1"/>
  <c r="B1816" i="1"/>
  <c r="C1815" i="1"/>
  <c r="B1815" i="1"/>
  <c r="C1814" i="1"/>
  <c r="B1814" i="1"/>
  <c r="C1813" i="1"/>
  <c r="B1813" i="1"/>
  <c r="C1812" i="1"/>
  <c r="B1812" i="1"/>
  <c r="C1811" i="1"/>
  <c r="B1811" i="1"/>
  <c r="C1810" i="1"/>
  <c r="B1810" i="1"/>
  <c r="C1809" i="1"/>
  <c r="B1809" i="1"/>
  <c r="C1808" i="1"/>
  <c r="B1808" i="1"/>
  <c r="C1807" i="1"/>
  <c r="B1807" i="1"/>
  <c r="C1806" i="1"/>
  <c r="B1806" i="1"/>
  <c r="C1805" i="1"/>
  <c r="B1805" i="1"/>
  <c r="C1804" i="1"/>
  <c r="B1804" i="1"/>
  <c r="C1803" i="1"/>
  <c r="B1803" i="1"/>
  <c r="C1802" i="1"/>
  <c r="B1802" i="1"/>
  <c r="C1801" i="1"/>
  <c r="B1801" i="1"/>
  <c r="C1800" i="1"/>
  <c r="B1800" i="1"/>
  <c r="C1799" i="1"/>
  <c r="B1799" i="1"/>
  <c r="C1798" i="1"/>
  <c r="B1798" i="1"/>
  <c r="C1797" i="1"/>
  <c r="B1797" i="1"/>
  <c r="C1796" i="1"/>
  <c r="B1796" i="1"/>
  <c r="C1795" i="1"/>
  <c r="B1795" i="1"/>
  <c r="C1794" i="1"/>
  <c r="B1794" i="1"/>
  <c r="C1793" i="1"/>
  <c r="B1793" i="1"/>
  <c r="C1792" i="1"/>
  <c r="B1792" i="1"/>
  <c r="C1791" i="1"/>
  <c r="B1791" i="1"/>
  <c r="C1790" i="1"/>
  <c r="B1790" i="1"/>
  <c r="C1789" i="1"/>
  <c r="B1789" i="1"/>
  <c r="C1788" i="1"/>
  <c r="B1788" i="1"/>
  <c r="C1787" i="1"/>
  <c r="B1787" i="1"/>
  <c r="C1786" i="1"/>
  <c r="B1786" i="1"/>
  <c r="C1785" i="1"/>
  <c r="B1785" i="1"/>
  <c r="C1784" i="1"/>
  <c r="B1784" i="1"/>
  <c r="C1783" i="1"/>
  <c r="B1783" i="1"/>
  <c r="C1782" i="1"/>
  <c r="B1782" i="1"/>
  <c r="C1781" i="1"/>
  <c r="B1781" i="1"/>
  <c r="C1780" i="1"/>
  <c r="B1780" i="1"/>
  <c r="C1779" i="1"/>
  <c r="B1779" i="1"/>
  <c r="C1778" i="1"/>
  <c r="B1778" i="1"/>
  <c r="C1777" i="1"/>
  <c r="B1777" i="1"/>
  <c r="C1776" i="1"/>
  <c r="B1776" i="1"/>
  <c r="C1775" i="1"/>
  <c r="B1775" i="1"/>
  <c r="C1774" i="1"/>
  <c r="B1774" i="1"/>
  <c r="C1773" i="1"/>
  <c r="B1773" i="1"/>
  <c r="C1772" i="1"/>
  <c r="B1772" i="1"/>
  <c r="C1771" i="1"/>
  <c r="B1771" i="1"/>
  <c r="C1770" i="1"/>
  <c r="B1770" i="1"/>
  <c r="C1769" i="1"/>
  <c r="B1769" i="1"/>
  <c r="C1768" i="1"/>
  <c r="B1768" i="1"/>
  <c r="C1767" i="1"/>
  <c r="B1767" i="1"/>
  <c r="C1766" i="1"/>
  <c r="B1766" i="1"/>
  <c r="C1765" i="1"/>
  <c r="B1765" i="1"/>
  <c r="C1764" i="1"/>
  <c r="B1764" i="1"/>
  <c r="C1763" i="1"/>
  <c r="B1763" i="1"/>
  <c r="C1762" i="1"/>
  <c r="B1762" i="1"/>
  <c r="C1761" i="1"/>
  <c r="B1761" i="1"/>
  <c r="C1760" i="1"/>
  <c r="B1760" i="1"/>
  <c r="C1759" i="1"/>
  <c r="B1759" i="1"/>
  <c r="C1758" i="1"/>
  <c r="B1758" i="1"/>
  <c r="C1757" i="1"/>
  <c r="B1757" i="1"/>
  <c r="C1756" i="1"/>
  <c r="B1756" i="1"/>
  <c r="C1755" i="1"/>
  <c r="B1755" i="1"/>
  <c r="C1754" i="1"/>
  <c r="B1754" i="1"/>
  <c r="C1753" i="1"/>
  <c r="B1753" i="1"/>
  <c r="C1752" i="1"/>
  <c r="B1752" i="1"/>
  <c r="C1751" i="1"/>
  <c r="B1751" i="1"/>
  <c r="C1750" i="1"/>
  <c r="B1750" i="1"/>
  <c r="C1749" i="1"/>
  <c r="B1749" i="1"/>
  <c r="C1748" i="1"/>
  <c r="B1748" i="1"/>
  <c r="C1747" i="1"/>
  <c r="B1747" i="1"/>
  <c r="C1746" i="1"/>
  <c r="B1746" i="1"/>
  <c r="C1745" i="1"/>
  <c r="B1745" i="1"/>
  <c r="C1744" i="1"/>
  <c r="B1744" i="1"/>
  <c r="C1743" i="1"/>
  <c r="B1743" i="1"/>
  <c r="C1742" i="1"/>
  <c r="B1742" i="1"/>
  <c r="C1741" i="1"/>
  <c r="B1741" i="1"/>
  <c r="C1740" i="1"/>
  <c r="B1740" i="1"/>
  <c r="C1739" i="1"/>
  <c r="B1739" i="1"/>
  <c r="C1738" i="1"/>
  <c r="B1738" i="1"/>
  <c r="C1737" i="1"/>
  <c r="B1737" i="1"/>
  <c r="C1736" i="1"/>
  <c r="B1736" i="1"/>
  <c r="C1735" i="1"/>
  <c r="B1735" i="1"/>
  <c r="C1734" i="1"/>
  <c r="B1734" i="1"/>
  <c r="C1733" i="1"/>
  <c r="B1733" i="1"/>
  <c r="C1732" i="1"/>
  <c r="B1732" i="1"/>
  <c r="C1731" i="1"/>
  <c r="B1731" i="1"/>
  <c r="C1730" i="1"/>
  <c r="B1730" i="1"/>
  <c r="C1729" i="1"/>
  <c r="B1729" i="1"/>
  <c r="C1728" i="1"/>
  <c r="B1728" i="1"/>
  <c r="C1727" i="1"/>
  <c r="B1727" i="1"/>
  <c r="C1726" i="1"/>
  <c r="B1726" i="1"/>
  <c r="C1725" i="1"/>
  <c r="B1725" i="1"/>
  <c r="C1724" i="1"/>
  <c r="B1724" i="1"/>
  <c r="C1723" i="1"/>
  <c r="B1723" i="1"/>
  <c r="C1722" i="1"/>
  <c r="B1722" i="1"/>
  <c r="C1721" i="1"/>
  <c r="B1721" i="1"/>
  <c r="C1720" i="1"/>
  <c r="B1720" i="1"/>
  <c r="C1719" i="1"/>
  <c r="B1719" i="1"/>
  <c r="C1718" i="1"/>
  <c r="B1718" i="1"/>
  <c r="C1717" i="1"/>
  <c r="B1717" i="1"/>
  <c r="C1716" i="1"/>
  <c r="B1716" i="1"/>
  <c r="C1715" i="1"/>
  <c r="B1715" i="1"/>
  <c r="C1714" i="1"/>
  <c r="B1714" i="1"/>
  <c r="C1713" i="1"/>
  <c r="B1713" i="1"/>
  <c r="C1712" i="1"/>
  <c r="B1712" i="1"/>
  <c r="C1711" i="1"/>
  <c r="B1711" i="1"/>
  <c r="C1710" i="1"/>
  <c r="B1710" i="1"/>
  <c r="C1709" i="1"/>
  <c r="B1709" i="1"/>
  <c r="C1708" i="1"/>
  <c r="B1708" i="1"/>
  <c r="C1707" i="1"/>
  <c r="B1707" i="1"/>
  <c r="C1706" i="1"/>
  <c r="B1706" i="1"/>
  <c r="C1705" i="1"/>
  <c r="B1705" i="1"/>
  <c r="C1704" i="1"/>
  <c r="B1704" i="1"/>
  <c r="C1703" i="1"/>
  <c r="B1703" i="1"/>
  <c r="C1702" i="1"/>
  <c r="B1702" i="1"/>
  <c r="C1701" i="1"/>
  <c r="B1701" i="1"/>
  <c r="C1700" i="1"/>
  <c r="B1700" i="1"/>
  <c r="C1699" i="1"/>
  <c r="B1699" i="1"/>
  <c r="C1698" i="1"/>
  <c r="B1698" i="1"/>
  <c r="C1697" i="1"/>
  <c r="B1697" i="1"/>
  <c r="C1696" i="1"/>
  <c r="B1696" i="1"/>
  <c r="C1695" i="1"/>
  <c r="B1695" i="1"/>
  <c r="C1694" i="1"/>
  <c r="B1694" i="1"/>
  <c r="C1693" i="1"/>
  <c r="B1693" i="1"/>
  <c r="C1692" i="1"/>
  <c r="B1692" i="1"/>
  <c r="C1691" i="1"/>
  <c r="B1691" i="1"/>
  <c r="C1690" i="1"/>
  <c r="B1690" i="1"/>
  <c r="C1689" i="1"/>
  <c r="B1689" i="1"/>
  <c r="C1688" i="1"/>
  <c r="B1688" i="1"/>
  <c r="C1687" i="1"/>
  <c r="B1687" i="1"/>
  <c r="C1686" i="1"/>
  <c r="B1686" i="1"/>
  <c r="C1685" i="1"/>
  <c r="B1685" i="1"/>
  <c r="C1684" i="1"/>
  <c r="B1684" i="1"/>
  <c r="C1683" i="1"/>
  <c r="B1683" i="1"/>
  <c r="C1682" i="1"/>
  <c r="B1682" i="1"/>
  <c r="C1681" i="1"/>
  <c r="B1681" i="1"/>
  <c r="C1680" i="1"/>
  <c r="B1680" i="1"/>
  <c r="C1679" i="1"/>
  <c r="B1679" i="1"/>
  <c r="C1678" i="1"/>
  <c r="B1678" i="1"/>
  <c r="C1677" i="1"/>
  <c r="B1677" i="1"/>
  <c r="C1676" i="1"/>
  <c r="B1676" i="1"/>
  <c r="C1675" i="1"/>
  <c r="B1675" i="1"/>
  <c r="C1674" i="1"/>
  <c r="B1674" i="1"/>
  <c r="C1673" i="1"/>
  <c r="B1673" i="1"/>
  <c r="C1672" i="1"/>
  <c r="B1672" i="1"/>
  <c r="C1671" i="1"/>
  <c r="B1671" i="1"/>
  <c r="C1670" i="1"/>
  <c r="B1670" i="1"/>
  <c r="C1669" i="1"/>
  <c r="B1669" i="1"/>
  <c r="C1668" i="1"/>
  <c r="B1668" i="1"/>
  <c r="C1667" i="1"/>
  <c r="B1667" i="1"/>
  <c r="C1666" i="1"/>
  <c r="B1666" i="1"/>
  <c r="C1665" i="1"/>
  <c r="B1665" i="1"/>
  <c r="C1664" i="1"/>
  <c r="B1664" i="1"/>
  <c r="C1663" i="1"/>
  <c r="B1663" i="1"/>
  <c r="C1662" i="1"/>
  <c r="B1662" i="1"/>
  <c r="C1661" i="1"/>
  <c r="B1661" i="1"/>
  <c r="C1660" i="1"/>
  <c r="B1660" i="1"/>
  <c r="C1659" i="1"/>
  <c r="B1659" i="1"/>
  <c r="C1658" i="1"/>
  <c r="B1658" i="1"/>
  <c r="C1657" i="1"/>
  <c r="B1657" i="1"/>
  <c r="C1656" i="1"/>
  <c r="B1656" i="1"/>
  <c r="C1655" i="1"/>
  <c r="B1655" i="1"/>
  <c r="C1654" i="1"/>
  <c r="B1654" i="1"/>
  <c r="C1653" i="1"/>
  <c r="B1653" i="1"/>
  <c r="C1652" i="1"/>
  <c r="B1652" i="1"/>
  <c r="C1651" i="1"/>
  <c r="B1651" i="1"/>
  <c r="C1650" i="1"/>
  <c r="B1650" i="1"/>
  <c r="C1649" i="1"/>
  <c r="B1649" i="1"/>
  <c r="C1648" i="1"/>
  <c r="B1648" i="1"/>
  <c r="C1647" i="1"/>
  <c r="B1647" i="1"/>
  <c r="C1646" i="1"/>
  <c r="B1646" i="1"/>
  <c r="C1645" i="1"/>
  <c r="B1645" i="1"/>
  <c r="C1644" i="1"/>
  <c r="B1644" i="1"/>
  <c r="C1643" i="1"/>
  <c r="B1643" i="1"/>
  <c r="C1642" i="1"/>
  <c r="B1642" i="1"/>
  <c r="C1641" i="1"/>
  <c r="B1641" i="1"/>
  <c r="C1640" i="1"/>
  <c r="B1640" i="1"/>
  <c r="C1639" i="1"/>
  <c r="B1639" i="1"/>
  <c r="C1638" i="1"/>
  <c r="B1638" i="1"/>
  <c r="C1637" i="1"/>
  <c r="B1637" i="1"/>
  <c r="C1636" i="1"/>
  <c r="B1636" i="1"/>
  <c r="C1635" i="1"/>
  <c r="B1635" i="1"/>
  <c r="C1634" i="1"/>
  <c r="B1634" i="1"/>
  <c r="C1633" i="1"/>
  <c r="B1633" i="1"/>
  <c r="C1632" i="1"/>
  <c r="B1632" i="1"/>
  <c r="C1631" i="1"/>
  <c r="B1631" i="1"/>
  <c r="C1630" i="1"/>
  <c r="B1630" i="1"/>
  <c r="C1629" i="1"/>
  <c r="B1629" i="1"/>
  <c r="C1628" i="1"/>
  <c r="B1628" i="1"/>
  <c r="C1627" i="1"/>
  <c r="B1627" i="1"/>
  <c r="C1626" i="1"/>
  <c r="B1626" i="1"/>
  <c r="C1625" i="1"/>
  <c r="B1625" i="1"/>
  <c r="C1624" i="1"/>
  <c r="B1624" i="1"/>
  <c r="C1623" i="1"/>
  <c r="B1623" i="1"/>
  <c r="C1622" i="1"/>
  <c r="B1622" i="1"/>
  <c r="C1621" i="1"/>
  <c r="B1621" i="1"/>
  <c r="C1620" i="1"/>
  <c r="B1620" i="1"/>
  <c r="C1619" i="1"/>
  <c r="B1619" i="1"/>
  <c r="C1618" i="1"/>
  <c r="B1618" i="1"/>
  <c r="C1617" i="1"/>
  <c r="B1617" i="1"/>
  <c r="C1616" i="1"/>
  <c r="B1616" i="1"/>
  <c r="C1615" i="1"/>
  <c r="B1615" i="1"/>
  <c r="C1614" i="1"/>
  <c r="B1614" i="1"/>
  <c r="C1613" i="1"/>
  <c r="B1613" i="1"/>
  <c r="C1612" i="1"/>
  <c r="B1612" i="1"/>
  <c r="C1611" i="1"/>
  <c r="B1611" i="1"/>
  <c r="C1610" i="1"/>
  <c r="B1610" i="1"/>
  <c r="C1609" i="1"/>
  <c r="B1609" i="1"/>
  <c r="C1608" i="1"/>
  <c r="B1608" i="1"/>
  <c r="C1607" i="1"/>
  <c r="B1607" i="1"/>
  <c r="C1606" i="1"/>
  <c r="B1606" i="1"/>
  <c r="C1605" i="1"/>
  <c r="B1605" i="1"/>
  <c r="C1604" i="1"/>
  <c r="B1604" i="1"/>
  <c r="C1603" i="1"/>
  <c r="B1603" i="1"/>
  <c r="C1602" i="1"/>
  <c r="B1602" i="1"/>
  <c r="C1601" i="1"/>
  <c r="B1601" i="1"/>
  <c r="C1600" i="1"/>
  <c r="B1600" i="1"/>
  <c r="C1599" i="1"/>
  <c r="B1599" i="1"/>
  <c r="C1598" i="1"/>
  <c r="B1598" i="1"/>
  <c r="C1597" i="1"/>
  <c r="B1597" i="1"/>
  <c r="C1596" i="1"/>
  <c r="B1596" i="1"/>
  <c r="C1595" i="1"/>
  <c r="B1595" i="1"/>
  <c r="C1594" i="1"/>
  <c r="B1594" i="1"/>
  <c r="C1593" i="1"/>
  <c r="B1593" i="1"/>
  <c r="C1592" i="1"/>
  <c r="B1592" i="1"/>
  <c r="C1591" i="1"/>
  <c r="B1591" i="1"/>
  <c r="C1590" i="1"/>
  <c r="B1590" i="1"/>
  <c r="C1589" i="1"/>
  <c r="B1589" i="1"/>
  <c r="C1588" i="1"/>
  <c r="B1588" i="1"/>
  <c r="C1587" i="1"/>
  <c r="B1587" i="1"/>
  <c r="C1586" i="1"/>
  <c r="B1586" i="1"/>
  <c r="C1585" i="1"/>
  <c r="B1585" i="1"/>
  <c r="C1584" i="1"/>
  <c r="B1584" i="1"/>
  <c r="C1583" i="1"/>
  <c r="B1583" i="1"/>
  <c r="C1582" i="1"/>
  <c r="B1582" i="1"/>
  <c r="C1581" i="1"/>
  <c r="B1581" i="1"/>
  <c r="C1580" i="1"/>
  <c r="B1580" i="1"/>
  <c r="C1579" i="1"/>
  <c r="B1579" i="1"/>
  <c r="C1578" i="1"/>
  <c r="B1578" i="1"/>
  <c r="C1577" i="1"/>
  <c r="B1577" i="1"/>
  <c r="C1576" i="1"/>
  <c r="B1576" i="1"/>
  <c r="C1575" i="1"/>
  <c r="B1575" i="1"/>
  <c r="C1574" i="1"/>
  <c r="B1574" i="1"/>
  <c r="C1573" i="1"/>
  <c r="B1573" i="1"/>
  <c r="C1572" i="1"/>
  <c r="B1572" i="1"/>
  <c r="C1571" i="1"/>
  <c r="B1571" i="1"/>
  <c r="C1570" i="1"/>
  <c r="B1570" i="1"/>
  <c r="C1569" i="1"/>
  <c r="B1569" i="1"/>
  <c r="C1568" i="1"/>
  <c r="B1568" i="1"/>
  <c r="C1567" i="1"/>
  <c r="B1567" i="1"/>
  <c r="C1566" i="1"/>
  <c r="B1566" i="1"/>
  <c r="C1565" i="1"/>
  <c r="B1565" i="1"/>
  <c r="C1564" i="1"/>
  <c r="B1564" i="1"/>
  <c r="C1563" i="1"/>
  <c r="B1563" i="1"/>
  <c r="C1562" i="1"/>
  <c r="B1562" i="1"/>
  <c r="C1561" i="1"/>
  <c r="B1561" i="1"/>
  <c r="C1560" i="1"/>
  <c r="B1560" i="1"/>
  <c r="C1559" i="1"/>
  <c r="B1559" i="1"/>
  <c r="C1558" i="1"/>
  <c r="B1558" i="1"/>
  <c r="C1557" i="1"/>
  <c r="B1557" i="1"/>
  <c r="C1556" i="1"/>
  <c r="B1556" i="1"/>
  <c r="C1555" i="1"/>
  <c r="B1555" i="1"/>
  <c r="C1554" i="1"/>
  <c r="B1554" i="1"/>
  <c r="C1553" i="1"/>
  <c r="B1553" i="1"/>
  <c r="C1552" i="1"/>
  <c r="B1552" i="1"/>
  <c r="C1551" i="1"/>
  <c r="B1551" i="1"/>
  <c r="C1550" i="1"/>
  <c r="B1550" i="1"/>
  <c r="C1549" i="1"/>
  <c r="B1549" i="1"/>
  <c r="C1548" i="1"/>
  <c r="B1548" i="1"/>
  <c r="C1547" i="1"/>
  <c r="B1547" i="1"/>
  <c r="C1546" i="1"/>
  <c r="B1546" i="1"/>
  <c r="C1545" i="1"/>
  <c r="B1545" i="1"/>
  <c r="C1544" i="1"/>
  <c r="B1544" i="1"/>
  <c r="C1543" i="1"/>
  <c r="B1543" i="1"/>
  <c r="C1542" i="1"/>
  <c r="B1542" i="1"/>
  <c r="C1541" i="1"/>
  <c r="B1541" i="1"/>
  <c r="C1540" i="1"/>
  <c r="B1540" i="1"/>
  <c r="C1539" i="1"/>
  <c r="B1539" i="1"/>
  <c r="C1538" i="1"/>
  <c r="B1538" i="1"/>
  <c r="C1537" i="1"/>
  <c r="B1537" i="1"/>
  <c r="C1536" i="1"/>
  <c r="B1536" i="1"/>
  <c r="C1535" i="1"/>
  <c r="B1535" i="1"/>
  <c r="C1534" i="1"/>
  <c r="B1534" i="1"/>
  <c r="C1533" i="1"/>
  <c r="B1533" i="1"/>
  <c r="C1532" i="1"/>
  <c r="B1532" i="1"/>
  <c r="C1531" i="1"/>
  <c r="B1531" i="1"/>
  <c r="C1530" i="1"/>
  <c r="B1530" i="1"/>
  <c r="C1529" i="1"/>
  <c r="B1529" i="1"/>
  <c r="C1528" i="1"/>
  <c r="B1528" i="1"/>
  <c r="C1527" i="1"/>
  <c r="B1527" i="1"/>
  <c r="C1526" i="1"/>
  <c r="B1526" i="1"/>
  <c r="C1525" i="1"/>
  <c r="B1525" i="1"/>
  <c r="C1524" i="1"/>
  <c r="B1524" i="1"/>
  <c r="C1523" i="1"/>
  <c r="B1523" i="1"/>
  <c r="C1522" i="1"/>
  <c r="B1522" i="1"/>
  <c r="C1521" i="1"/>
  <c r="B1521" i="1"/>
  <c r="C1520" i="1"/>
  <c r="B1520" i="1"/>
  <c r="C1519" i="1"/>
  <c r="B1519" i="1"/>
  <c r="C1518" i="1"/>
  <c r="B1518" i="1"/>
  <c r="C1517" i="1"/>
  <c r="B1517" i="1"/>
  <c r="C1516" i="1"/>
  <c r="B1516" i="1"/>
  <c r="C1515" i="1"/>
  <c r="B1515" i="1"/>
  <c r="C1514" i="1"/>
  <c r="B1514" i="1"/>
  <c r="C1513" i="1"/>
  <c r="B1513" i="1"/>
  <c r="C1512" i="1"/>
  <c r="B1512" i="1"/>
  <c r="C1511" i="1"/>
  <c r="B1511" i="1"/>
  <c r="C1510" i="1"/>
  <c r="B1510" i="1"/>
  <c r="C1509" i="1"/>
  <c r="B1509" i="1"/>
  <c r="C1508" i="1"/>
  <c r="B1508" i="1"/>
  <c r="C1507" i="1"/>
  <c r="B1507" i="1"/>
  <c r="C1506" i="1"/>
  <c r="B1506" i="1"/>
  <c r="C1505" i="1"/>
  <c r="B1505" i="1"/>
  <c r="C1504" i="1"/>
  <c r="B1504" i="1"/>
  <c r="C1503" i="1"/>
  <c r="B1503" i="1"/>
  <c r="C1502" i="1"/>
  <c r="B1502" i="1"/>
  <c r="C1501" i="1"/>
  <c r="B1501" i="1"/>
  <c r="C1500" i="1"/>
  <c r="B1500" i="1"/>
  <c r="C1499" i="1"/>
  <c r="B1499" i="1"/>
  <c r="C1498" i="1"/>
  <c r="B1498" i="1"/>
  <c r="C1497" i="1"/>
  <c r="B1497" i="1"/>
  <c r="C1496" i="1"/>
  <c r="B1496" i="1"/>
  <c r="C1495" i="1"/>
  <c r="B1495" i="1"/>
  <c r="C1494" i="1"/>
  <c r="B1494" i="1"/>
  <c r="C1493" i="1"/>
  <c r="B1493" i="1"/>
  <c r="C1492" i="1"/>
  <c r="B1492" i="1"/>
  <c r="C1491" i="1"/>
  <c r="B1491" i="1"/>
  <c r="C1490" i="1"/>
  <c r="B1490" i="1"/>
  <c r="C1489" i="1"/>
  <c r="B1489" i="1"/>
  <c r="C1488" i="1"/>
  <c r="B1488" i="1"/>
  <c r="C1487" i="1"/>
  <c r="B1487" i="1"/>
  <c r="C1486" i="1"/>
  <c r="B1486" i="1"/>
  <c r="C1485" i="1"/>
  <c r="B1485" i="1"/>
  <c r="C1484" i="1"/>
  <c r="B1484" i="1"/>
  <c r="C1483" i="1"/>
  <c r="B1483" i="1"/>
  <c r="C1482" i="1"/>
  <c r="B1482" i="1"/>
  <c r="C1481" i="1"/>
  <c r="B1481" i="1"/>
  <c r="C1480" i="1"/>
  <c r="B1480" i="1"/>
  <c r="C1479" i="1"/>
  <c r="B1479" i="1"/>
  <c r="C1478" i="1"/>
  <c r="B1478" i="1"/>
  <c r="C1477" i="1"/>
  <c r="B1477" i="1"/>
  <c r="C1476" i="1"/>
  <c r="B1476" i="1"/>
  <c r="C1475" i="1"/>
  <c r="B1475" i="1"/>
  <c r="C1474" i="1"/>
  <c r="B1474" i="1"/>
  <c r="C1473" i="1"/>
  <c r="B1473" i="1"/>
  <c r="C1472" i="1"/>
  <c r="B1472" i="1"/>
  <c r="C1471" i="1"/>
  <c r="B1471" i="1"/>
  <c r="C1470" i="1"/>
  <c r="B1470" i="1"/>
  <c r="C1469" i="1"/>
  <c r="B1469" i="1"/>
  <c r="C1468" i="1"/>
  <c r="B1468" i="1"/>
  <c r="C1467" i="1"/>
  <c r="B1467" i="1"/>
  <c r="C1466" i="1"/>
  <c r="B1466" i="1"/>
  <c r="C1465" i="1"/>
  <c r="B1465" i="1"/>
  <c r="C1464" i="1"/>
  <c r="B1464" i="1"/>
  <c r="C1463" i="1"/>
  <c r="B1463" i="1"/>
  <c r="C1462" i="1"/>
  <c r="B1462" i="1"/>
  <c r="C1461" i="1"/>
  <c r="B1461" i="1"/>
  <c r="C1460" i="1"/>
  <c r="B1460" i="1"/>
  <c r="C1459" i="1"/>
  <c r="B1459" i="1"/>
  <c r="C1458" i="1"/>
  <c r="B1458" i="1"/>
  <c r="C1457" i="1"/>
  <c r="B1457" i="1"/>
  <c r="C1456" i="1"/>
  <c r="B1456" i="1"/>
  <c r="C1455" i="1"/>
  <c r="B1455" i="1"/>
  <c r="C1454" i="1"/>
  <c r="B1454" i="1"/>
  <c r="C1453" i="1"/>
  <c r="B1453" i="1"/>
  <c r="C1452" i="1"/>
  <c r="B1452" i="1"/>
  <c r="C1451" i="1"/>
  <c r="B1451" i="1"/>
  <c r="C1450" i="1"/>
  <c r="B1450" i="1"/>
  <c r="C1449" i="1"/>
  <c r="B1449" i="1"/>
  <c r="C1448" i="1"/>
  <c r="B1448" i="1"/>
  <c r="C1447" i="1"/>
  <c r="B1447" i="1"/>
  <c r="C1446" i="1"/>
  <c r="B1446" i="1"/>
  <c r="C1445" i="1"/>
  <c r="B1445" i="1"/>
  <c r="C1444" i="1"/>
  <c r="B1444" i="1"/>
  <c r="C1443" i="1"/>
  <c r="B1443" i="1"/>
  <c r="C1442" i="1"/>
  <c r="B1442" i="1"/>
  <c r="C1441" i="1"/>
  <c r="B1441" i="1"/>
  <c r="C1440" i="1"/>
  <c r="B1440" i="1"/>
  <c r="C1439" i="1"/>
  <c r="B1439" i="1"/>
  <c r="C1438" i="1"/>
  <c r="B1438" i="1"/>
  <c r="C1437" i="1"/>
  <c r="B1437" i="1"/>
  <c r="C1436" i="1"/>
  <c r="B1436" i="1"/>
  <c r="C1435" i="1"/>
  <c r="B1435" i="1"/>
  <c r="C1434" i="1"/>
  <c r="B1434" i="1"/>
  <c r="C1433" i="1"/>
  <c r="B1433" i="1"/>
  <c r="C1432" i="1"/>
  <c r="B1432" i="1"/>
  <c r="C1431" i="1"/>
  <c r="B1431" i="1"/>
  <c r="C1430" i="1"/>
  <c r="B1430" i="1"/>
  <c r="C1429" i="1"/>
  <c r="B1429" i="1"/>
  <c r="C1428" i="1"/>
  <c r="B1428" i="1"/>
  <c r="C1427" i="1"/>
  <c r="B1427" i="1"/>
  <c r="C1426" i="1"/>
  <c r="B1426" i="1"/>
  <c r="C1425" i="1"/>
  <c r="B1425" i="1"/>
  <c r="C1424" i="1"/>
  <c r="B1424" i="1"/>
  <c r="C1423" i="1"/>
  <c r="B1423" i="1"/>
  <c r="C1422" i="1"/>
  <c r="B1422" i="1"/>
  <c r="C1421" i="1"/>
  <c r="B1421" i="1"/>
  <c r="C1420" i="1"/>
  <c r="B1420" i="1"/>
  <c r="C1419" i="1"/>
  <c r="B1419" i="1"/>
  <c r="C1418" i="1"/>
  <c r="B1418" i="1"/>
  <c r="C1417" i="1"/>
  <c r="B1417" i="1"/>
  <c r="C1416" i="1"/>
  <c r="B1416" i="1"/>
  <c r="C1415" i="1"/>
  <c r="B1415" i="1"/>
  <c r="C1414" i="1"/>
  <c r="B1414" i="1"/>
  <c r="C1413" i="1"/>
  <c r="B1413" i="1"/>
  <c r="C1412" i="1"/>
  <c r="B1412" i="1"/>
  <c r="C1411" i="1"/>
  <c r="B1411" i="1"/>
  <c r="C1410" i="1"/>
  <c r="B1410" i="1"/>
  <c r="C1409" i="1"/>
  <c r="B1409" i="1"/>
  <c r="C1408" i="1"/>
  <c r="B1408" i="1"/>
  <c r="C1407" i="1"/>
  <c r="B1407" i="1"/>
  <c r="C1406" i="1"/>
  <c r="B1406" i="1"/>
  <c r="C1405" i="1"/>
  <c r="B1405" i="1"/>
  <c r="C1404" i="1"/>
  <c r="B1404" i="1"/>
  <c r="C1403" i="1"/>
  <c r="B1403" i="1"/>
  <c r="C1402" i="1"/>
  <c r="B1402" i="1"/>
  <c r="C1401" i="1"/>
  <c r="B1401" i="1"/>
  <c r="C1400" i="1"/>
  <c r="B1400" i="1"/>
  <c r="C1399" i="1"/>
  <c r="B1399" i="1"/>
  <c r="C1398" i="1"/>
  <c r="B1398" i="1"/>
  <c r="C1397" i="1"/>
  <c r="B1397" i="1"/>
  <c r="C1396" i="1"/>
  <c r="B1396" i="1"/>
  <c r="C1395" i="1"/>
  <c r="B1395" i="1"/>
  <c r="C1394" i="1"/>
  <c r="B1394" i="1"/>
  <c r="C1393" i="1"/>
  <c r="B1393" i="1"/>
  <c r="C1392" i="1"/>
  <c r="B1392" i="1"/>
  <c r="C1391" i="1"/>
  <c r="B1391" i="1"/>
  <c r="C1390" i="1"/>
  <c r="B1390" i="1"/>
  <c r="C1389" i="1"/>
  <c r="B1389" i="1"/>
  <c r="C1388" i="1"/>
  <c r="B1388" i="1"/>
  <c r="C1387" i="1"/>
  <c r="B1387" i="1"/>
  <c r="C1386" i="1"/>
  <c r="B1386" i="1"/>
  <c r="C1385" i="1"/>
  <c r="B1385" i="1"/>
  <c r="C1384" i="1"/>
  <c r="B1384" i="1"/>
  <c r="C1383" i="1"/>
  <c r="B1383" i="1"/>
  <c r="C1382" i="1"/>
  <c r="B1382" i="1"/>
  <c r="C1381" i="1"/>
  <c r="B1381" i="1"/>
  <c r="C1380" i="1"/>
  <c r="B1380" i="1"/>
  <c r="C1379" i="1"/>
  <c r="B1379" i="1"/>
  <c r="C1378" i="1"/>
  <c r="B1378" i="1"/>
  <c r="C1377" i="1"/>
  <c r="B1377" i="1"/>
  <c r="C1376" i="1"/>
  <c r="B1376" i="1"/>
  <c r="C1375" i="1"/>
  <c r="B1375" i="1"/>
  <c r="C1374" i="1"/>
  <c r="B1374" i="1"/>
  <c r="C1373" i="1"/>
  <c r="B1373" i="1"/>
  <c r="C1372" i="1"/>
  <c r="B1372" i="1"/>
  <c r="C1371" i="1"/>
  <c r="B1371" i="1"/>
  <c r="C1370" i="1"/>
  <c r="B1370" i="1"/>
  <c r="C1369" i="1"/>
  <c r="B1369" i="1"/>
  <c r="C1368" i="1"/>
  <c r="B1368" i="1"/>
  <c r="C1367" i="1"/>
  <c r="B1367" i="1"/>
  <c r="C1366" i="1"/>
  <c r="B1366" i="1"/>
  <c r="C1365" i="1"/>
  <c r="B1365" i="1"/>
  <c r="C1364" i="1"/>
  <c r="B1364" i="1"/>
  <c r="C1363" i="1"/>
  <c r="B1363" i="1"/>
  <c r="C1362" i="1"/>
  <c r="B1362" i="1"/>
  <c r="C1361" i="1"/>
  <c r="B1361" i="1"/>
  <c r="C1360" i="1"/>
  <c r="B1360" i="1"/>
  <c r="C1359" i="1"/>
  <c r="B1359" i="1"/>
  <c r="C1358" i="1"/>
  <c r="B1358" i="1"/>
  <c r="C1357" i="1"/>
  <c r="B1357" i="1"/>
  <c r="C1356" i="1"/>
  <c r="B1356" i="1"/>
  <c r="C1355" i="1"/>
  <c r="B1355" i="1"/>
  <c r="C1354" i="1"/>
  <c r="B1354" i="1"/>
  <c r="C1353" i="1"/>
  <c r="B1353" i="1"/>
  <c r="C1352" i="1"/>
  <c r="B1352" i="1"/>
  <c r="C1351" i="1"/>
  <c r="B1351" i="1"/>
  <c r="C1350" i="1"/>
  <c r="B1350" i="1"/>
  <c r="C1349" i="1"/>
  <c r="B1349" i="1"/>
  <c r="C1348" i="1"/>
  <c r="B1348" i="1"/>
  <c r="C1347" i="1"/>
  <c r="B1347" i="1"/>
  <c r="C1346" i="1"/>
  <c r="B1346" i="1"/>
  <c r="C1345" i="1"/>
  <c r="B1345" i="1"/>
  <c r="C1344" i="1"/>
  <c r="B1344" i="1"/>
  <c r="C1343" i="1"/>
  <c r="B1343" i="1"/>
  <c r="C1342" i="1"/>
  <c r="B1342" i="1"/>
  <c r="C1341" i="1"/>
  <c r="B1341" i="1"/>
  <c r="C1340" i="1"/>
  <c r="B1340" i="1"/>
  <c r="C1339" i="1"/>
  <c r="B1339" i="1"/>
  <c r="C1338" i="1"/>
  <c r="B1338" i="1"/>
  <c r="C1337" i="1"/>
  <c r="B1337" i="1"/>
  <c r="C1336" i="1"/>
  <c r="B1336" i="1"/>
  <c r="C1335" i="1"/>
  <c r="B1335" i="1"/>
  <c r="C1334" i="1"/>
  <c r="B1334" i="1"/>
  <c r="C1333" i="1"/>
  <c r="B1333" i="1"/>
  <c r="C1332" i="1"/>
  <c r="B1332" i="1"/>
  <c r="C1331" i="1"/>
  <c r="B1331" i="1"/>
  <c r="C1330" i="1"/>
  <c r="B1330" i="1"/>
  <c r="C1329" i="1"/>
  <c r="B1329" i="1"/>
  <c r="C1328" i="1"/>
  <c r="B1328" i="1"/>
  <c r="C1327" i="1"/>
  <c r="B1327" i="1"/>
  <c r="C1326" i="1"/>
  <c r="B1326" i="1"/>
  <c r="C1325" i="1"/>
  <c r="B1325" i="1"/>
  <c r="C1324" i="1"/>
  <c r="B1324" i="1"/>
  <c r="C1323" i="1"/>
  <c r="B1323" i="1"/>
  <c r="C1322" i="1"/>
  <c r="B1322" i="1"/>
  <c r="C1321" i="1"/>
  <c r="B1321" i="1"/>
  <c r="C1320" i="1"/>
  <c r="B1320" i="1"/>
  <c r="C1319" i="1"/>
  <c r="B1319" i="1"/>
  <c r="C1318" i="1"/>
  <c r="B1318" i="1"/>
  <c r="C1317" i="1"/>
  <c r="B1317" i="1"/>
  <c r="C1316" i="1"/>
  <c r="B1316" i="1"/>
  <c r="C1315" i="1"/>
  <c r="B1315" i="1"/>
  <c r="C1314" i="1"/>
  <c r="B1314" i="1"/>
  <c r="C1313" i="1"/>
  <c r="B1313" i="1"/>
  <c r="C1312" i="1"/>
  <c r="B1312" i="1"/>
  <c r="C1311" i="1"/>
  <c r="B1311" i="1"/>
  <c r="C1310" i="1"/>
  <c r="B1310" i="1"/>
  <c r="C1309" i="1"/>
  <c r="B1309" i="1"/>
  <c r="C1308" i="1"/>
  <c r="B1308" i="1"/>
  <c r="C1307" i="1"/>
  <c r="B1307" i="1"/>
  <c r="C1306" i="1"/>
  <c r="B1306" i="1"/>
  <c r="C1305" i="1"/>
  <c r="B1305" i="1"/>
  <c r="C1304" i="1"/>
  <c r="B1304" i="1"/>
  <c r="C1303" i="1"/>
  <c r="B1303" i="1"/>
  <c r="C1302" i="1"/>
  <c r="B1302" i="1"/>
  <c r="C1301" i="1"/>
  <c r="B1301" i="1"/>
  <c r="C1300" i="1"/>
  <c r="B1300" i="1"/>
  <c r="C1299" i="1"/>
  <c r="B1299" i="1"/>
  <c r="C1298" i="1"/>
  <c r="B1298" i="1"/>
  <c r="C1297" i="1"/>
  <c r="B1297" i="1"/>
  <c r="C1296" i="1"/>
  <c r="B1296" i="1"/>
  <c r="C1295" i="1"/>
  <c r="B1295" i="1"/>
  <c r="C1294" i="1"/>
  <c r="B1294" i="1"/>
  <c r="C1293" i="1"/>
  <c r="B1293" i="1"/>
  <c r="C1292" i="1"/>
  <c r="B1292" i="1"/>
  <c r="C1291" i="1"/>
  <c r="B1291" i="1"/>
  <c r="C1290" i="1"/>
  <c r="B1290" i="1"/>
  <c r="C1289" i="1"/>
  <c r="B1289" i="1"/>
  <c r="C1288" i="1"/>
  <c r="B1288" i="1"/>
  <c r="C1287" i="1"/>
  <c r="B1287" i="1"/>
  <c r="C1286" i="1"/>
  <c r="B1286" i="1"/>
  <c r="C1285" i="1"/>
  <c r="B1285" i="1"/>
  <c r="C1284" i="1"/>
  <c r="B1284" i="1"/>
  <c r="C1283" i="1"/>
  <c r="B1283" i="1"/>
  <c r="C1282" i="1"/>
  <c r="B1282" i="1"/>
  <c r="C1281" i="1"/>
  <c r="B1281" i="1"/>
  <c r="C1280" i="1"/>
  <c r="B1280" i="1"/>
  <c r="C1279" i="1"/>
  <c r="B1279" i="1"/>
  <c r="C1278" i="1"/>
  <c r="B1278" i="1"/>
  <c r="C1277" i="1"/>
  <c r="B1277" i="1"/>
  <c r="C1276" i="1"/>
  <c r="B1276" i="1"/>
  <c r="C1275" i="1"/>
  <c r="B1275" i="1"/>
  <c r="C1274" i="1"/>
  <c r="B1274" i="1"/>
  <c r="C1273" i="1"/>
  <c r="B1273" i="1"/>
  <c r="C1272" i="1"/>
  <c r="B1272" i="1"/>
  <c r="C1271" i="1"/>
  <c r="B1271" i="1"/>
  <c r="C1270" i="1"/>
  <c r="B1270" i="1"/>
  <c r="C1269" i="1"/>
  <c r="B1269" i="1"/>
  <c r="C1268" i="1"/>
  <c r="B1268" i="1"/>
  <c r="C1267" i="1"/>
  <c r="B1267" i="1"/>
  <c r="C1266" i="1"/>
  <c r="B1266" i="1"/>
  <c r="C1265" i="1"/>
  <c r="B1265" i="1"/>
  <c r="C1264" i="1"/>
  <c r="B1264" i="1"/>
  <c r="C1263" i="1"/>
  <c r="B1263" i="1"/>
  <c r="C1262" i="1"/>
  <c r="B1262" i="1"/>
  <c r="C1261" i="1"/>
  <c r="B1261" i="1"/>
  <c r="C1260" i="1"/>
  <c r="B1260" i="1"/>
  <c r="C1259" i="1"/>
  <c r="B1259" i="1"/>
  <c r="C1258" i="1"/>
  <c r="B1258" i="1"/>
  <c r="C1257" i="1"/>
  <c r="B1257" i="1"/>
  <c r="C1256" i="1"/>
  <c r="B1256" i="1"/>
  <c r="C1255" i="1"/>
  <c r="B1255" i="1"/>
  <c r="C1254" i="1"/>
  <c r="B1254" i="1"/>
  <c r="C1253" i="1"/>
  <c r="B1253" i="1"/>
  <c r="C1252" i="1"/>
  <c r="B1252" i="1"/>
  <c r="C1251" i="1"/>
  <c r="B1251" i="1"/>
  <c r="C1250" i="1"/>
  <c r="B1250" i="1"/>
  <c r="C1249" i="1"/>
  <c r="B1249" i="1"/>
  <c r="C1248" i="1"/>
  <c r="B1248" i="1"/>
  <c r="C1247" i="1"/>
  <c r="B1247" i="1"/>
  <c r="C1246" i="1"/>
  <c r="B1246" i="1"/>
  <c r="C1245" i="1"/>
  <c r="B1245" i="1"/>
  <c r="C1244" i="1"/>
  <c r="B1244" i="1"/>
  <c r="C1243" i="1"/>
  <c r="B1243" i="1"/>
  <c r="C1242" i="1"/>
  <c r="B1242" i="1"/>
  <c r="C1241" i="1"/>
  <c r="B1241" i="1"/>
  <c r="C1240" i="1"/>
  <c r="B1240" i="1"/>
  <c r="C1239" i="1"/>
  <c r="B1239" i="1"/>
  <c r="C1238" i="1"/>
  <c r="B1238" i="1"/>
  <c r="C1237" i="1"/>
  <c r="B1237" i="1"/>
  <c r="C1236" i="1"/>
  <c r="B1236" i="1"/>
  <c r="C1235" i="1"/>
  <c r="B1235" i="1"/>
  <c r="C1234" i="1"/>
  <c r="B1234" i="1"/>
  <c r="C1233" i="1"/>
  <c r="B1233" i="1"/>
  <c r="C1232" i="1"/>
  <c r="B1232" i="1"/>
  <c r="C1231" i="1"/>
  <c r="B1231" i="1"/>
  <c r="C1230" i="1"/>
  <c r="B1230" i="1"/>
  <c r="C1229" i="1"/>
  <c r="B1229" i="1"/>
  <c r="C1228" i="1"/>
  <c r="B1228" i="1"/>
  <c r="C1227" i="1"/>
  <c r="B1227" i="1"/>
  <c r="C1226" i="1"/>
  <c r="B1226" i="1"/>
  <c r="C1225" i="1"/>
  <c r="B1225" i="1"/>
  <c r="C1224" i="1"/>
  <c r="B1224" i="1"/>
  <c r="C1223" i="1"/>
  <c r="B1223" i="1"/>
  <c r="C1222" i="1"/>
  <c r="B1222" i="1"/>
  <c r="C1221" i="1"/>
  <c r="B1221" i="1"/>
  <c r="C1220" i="1"/>
  <c r="B1220" i="1"/>
  <c r="C1219" i="1"/>
  <c r="B1219" i="1"/>
  <c r="C1218" i="1"/>
  <c r="B1218" i="1"/>
  <c r="C1217" i="1"/>
  <c r="B1217" i="1"/>
  <c r="C1216" i="1"/>
  <c r="B1216" i="1"/>
  <c r="C1215" i="1"/>
  <c r="B1215" i="1"/>
  <c r="C1214" i="1"/>
  <c r="B1214" i="1"/>
  <c r="C1213" i="1"/>
  <c r="B1213" i="1"/>
  <c r="C1212" i="1"/>
  <c r="B1212" i="1"/>
  <c r="C1211" i="1"/>
  <c r="B1211" i="1"/>
  <c r="C1210" i="1"/>
  <c r="B1210" i="1"/>
  <c r="C1209" i="1"/>
  <c r="B1209" i="1"/>
  <c r="C1208" i="1"/>
  <c r="B1208" i="1"/>
  <c r="C1207" i="1"/>
  <c r="B1207" i="1"/>
  <c r="C1206" i="1"/>
  <c r="B1206" i="1"/>
  <c r="C1205" i="1"/>
  <c r="B1205" i="1"/>
  <c r="C1204" i="1"/>
  <c r="B1204" i="1"/>
  <c r="C1203" i="1"/>
  <c r="B1203" i="1"/>
  <c r="C1202" i="1"/>
  <c r="B1202" i="1"/>
  <c r="C1201" i="1"/>
  <c r="B1201" i="1"/>
  <c r="C1200" i="1"/>
  <c r="B1200" i="1"/>
  <c r="C1199" i="1"/>
  <c r="B1199" i="1"/>
  <c r="C1198" i="1"/>
  <c r="B1198" i="1"/>
  <c r="C1197" i="1"/>
  <c r="B1197" i="1"/>
  <c r="C1196" i="1"/>
  <c r="B1196" i="1"/>
  <c r="C1195" i="1"/>
  <c r="B1195" i="1"/>
  <c r="C1194" i="1"/>
  <c r="B1194" i="1"/>
  <c r="C1193" i="1"/>
  <c r="B1193" i="1"/>
  <c r="C1192" i="1"/>
  <c r="B1192" i="1"/>
  <c r="C1191" i="1"/>
  <c r="B1191" i="1"/>
  <c r="C1190" i="1"/>
  <c r="B1190" i="1"/>
  <c r="C1189" i="1"/>
  <c r="B1189" i="1"/>
  <c r="C1188" i="1"/>
  <c r="B1188" i="1"/>
  <c r="C1187" i="1"/>
  <c r="B1187" i="1"/>
  <c r="C1186" i="1"/>
  <c r="B1186" i="1"/>
  <c r="C1185" i="1"/>
  <c r="B1185" i="1"/>
  <c r="C1184" i="1"/>
  <c r="B1184" i="1"/>
  <c r="C1183" i="1"/>
  <c r="B1183" i="1"/>
  <c r="C1182" i="1"/>
  <c r="B1182" i="1"/>
  <c r="C1181" i="1"/>
  <c r="B1181" i="1"/>
  <c r="C1180" i="1"/>
  <c r="B1180" i="1"/>
  <c r="C1179" i="1"/>
  <c r="B1179" i="1"/>
  <c r="C1178" i="1"/>
  <c r="B1178" i="1"/>
  <c r="C1177" i="1"/>
  <c r="B1177" i="1"/>
  <c r="C1176" i="1"/>
  <c r="B1176" i="1"/>
  <c r="C1175" i="1"/>
  <c r="B1175" i="1"/>
  <c r="C1174" i="1"/>
  <c r="B1174" i="1"/>
  <c r="C1173" i="1"/>
  <c r="B1173" i="1"/>
  <c r="C1172" i="1"/>
  <c r="B1172" i="1"/>
  <c r="C1171" i="1"/>
  <c r="B1171" i="1"/>
  <c r="C1170" i="1"/>
  <c r="B1170" i="1"/>
  <c r="C1169" i="1"/>
  <c r="B1169" i="1"/>
  <c r="C1168" i="1"/>
  <c r="B1168" i="1"/>
  <c r="C1167" i="1"/>
  <c r="B1167" i="1"/>
  <c r="C1166" i="1"/>
  <c r="B1166" i="1"/>
  <c r="C1165" i="1"/>
  <c r="B1165" i="1"/>
  <c r="C1164" i="1"/>
  <c r="B1164" i="1"/>
  <c r="C1163" i="1"/>
  <c r="B1163" i="1"/>
  <c r="C1162" i="1"/>
  <c r="B1162" i="1"/>
  <c r="C1161" i="1"/>
  <c r="B1161" i="1"/>
  <c r="C1160" i="1"/>
  <c r="B1160" i="1"/>
  <c r="C1159" i="1"/>
  <c r="B1159" i="1"/>
  <c r="C1158" i="1"/>
  <c r="B1158" i="1"/>
  <c r="C1157" i="1"/>
  <c r="B1157" i="1"/>
  <c r="C1156" i="1"/>
  <c r="B1156" i="1"/>
  <c r="C1155" i="1"/>
  <c r="B1155" i="1"/>
  <c r="C1154" i="1"/>
  <c r="B1154" i="1"/>
  <c r="C1153" i="1"/>
  <c r="B1153" i="1"/>
  <c r="C1152" i="1"/>
  <c r="B1152" i="1"/>
  <c r="C1151" i="1"/>
  <c r="B1151" i="1"/>
  <c r="C1150" i="1"/>
  <c r="B1150" i="1"/>
  <c r="C1149" i="1"/>
  <c r="B1149" i="1"/>
  <c r="C1148" i="1"/>
  <c r="B1148" i="1"/>
  <c r="C1147" i="1"/>
  <c r="B1147" i="1"/>
  <c r="C1146" i="1"/>
  <c r="B1146" i="1"/>
  <c r="C1145" i="1"/>
  <c r="B1145" i="1"/>
  <c r="C1144" i="1"/>
  <c r="B1144" i="1"/>
  <c r="C1143" i="1"/>
  <c r="B1143" i="1"/>
  <c r="C1142" i="1"/>
  <c r="B1142" i="1"/>
  <c r="C1141" i="1"/>
  <c r="B1141" i="1"/>
  <c r="C1140" i="1"/>
  <c r="B1140" i="1"/>
  <c r="C1139" i="1"/>
  <c r="B1139" i="1"/>
  <c r="C1138" i="1"/>
  <c r="B1138" i="1"/>
  <c r="C1137" i="1"/>
  <c r="B1137" i="1"/>
  <c r="C1136" i="1"/>
  <c r="B1136" i="1"/>
  <c r="C1135" i="1"/>
  <c r="B1135" i="1"/>
  <c r="C1134" i="1"/>
  <c r="B1134" i="1"/>
  <c r="C1133" i="1"/>
  <c r="B1133" i="1"/>
  <c r="C1132" i="1"/>
  <c r="B1132" i="1"/>
  <c r="C1131" i="1"/>
  <c r="B1131" i="1"/>
  <c r="C1130" i="1"/>
  <c r="B1130" i="1"/>
  <c r="C1129" i="1"/>
  <c r="B1129" i="1"/>
  <c r="C1128" i="1"/>
  <c r="B1128" i="1"/>
  <c r="C1127" i="1"/>
  <c r="B1127" i="1"/>
  <c r="C1126" i="1"/>
  <c r="B1126" i="1"/>
  <c r="C1125" i="1"/>
  <c r="B1125" i="1"/>
  <c r="C1124" i="1"/>
  <c r="B1124" i="1"/>
  <c r="C1123" i="1"/>
  <c r="B1123" i="1"/>
  <c r="C1122" i="1"/>
  <c r="B1122" i="1"/>
  <c r="C1121" i="1"/>
  <c r="B1121" i="1"/>
  <c r="C1120" i="1"/>
  <c r="B1120" i="1"/>
  <c r="C1119" i="1"/>
  <c r="B1119" i="1"/>
  <c r="C1118" i="1"/>
  <c r="B1118" i="1"/>
  <c r="C1117" i="1"/>
  <c r="B1117" i="1"/>
  <c r="C1116" i="1"/>
  <c r="B1116" i="1"/>
  <c r="C1115" i="1"/>
  <c r="B1115" i="1"/>
  <c r="C1114" i="1"/>
  <c r="B1114" i="1"/>
  <c r="C1113" i="1"/>
  <c r="B1113" i="1"/>
  <c r="C1112" i="1"/>
  <c r="B1112" i="1"/>
  <c r="C1111" i="1"/>
  <c r="B1111" i="1"/>
  <c r="C1110" i="1"/>
  <c r="B1110" i="1"/>
  <c r="C1109" i="1"/>
  <c r="B1109" i="1"/>
  <c r="C1108" i="1"/>
  <c r="B1108" i="1"/>
  <c r="C1107" i="1"/>
  <c r="B1107" i="1"/>
  <c r="C1106" i="1"/>
  <c r="B1106" i="1"/>
  <c r="C1105" i="1"/>
  <c r="B1105" i="1"/>
  <c r="C1104" i="1"/>
  <c r="B1104" i="1"/>
  <c r="C1103" i="1"/>
  <c r="B1103" i="1"/>
  <c r="C1102" i="1"/>
  <c r="B1102" i="1"/>
  <c r="C1101" i="1"/>
  <c r="B1101" i="1"/>
  <c r="C1100" i="1"/>
  <c r="B1100" i="1"/>
  <c r="C1099" i="1"/>
  <c r="B1099" i="1"/>
  <c r="C1098" i="1"/>
  <c r="B1098" i="1"/>
  <c r="C1097" i="1"/>
  <c r="B1097" i="1"/>
  <c r="C1096" i="1"/>
  <c r="B1096" i="1"/>
  <c r="C1095" i="1"/>
  <c r="B1095" i="1"/>
  <c r="C1094" i="1"/>
  <c r="B1094" i="1"/>
  <c r="C1093" i="1"/>
  <c r="B1093" i="1"/>
  <c r="C1092" i="1"/>
  <c r="B1092" i="1"/>
  <c r="C1091" i="1"/>
  <c r="B1091" i="1"/>
  <c r="C1090" i="1"/>
  <c r="B1090" i="1"/>
  <c r="C1089" i="1"/>
  <c r="B1089" i="1"/>
  <c r="C1088" i="1"/>
  <c r="B1088" i="1"/>
  <c r="C1087" i="1"/>
  <c r="B1087" i="1"/>
  <c r="C1086" i="1"/>
  <c r="B1086" i="1"/>
  <c r="C1085" i="1"/>
  <c r="B1085" i="1"/>
  <c r="C1084" i="1"/>
  <c r="B1084" i="1"/>
  <c r="C1083" i="1"/>
  <c r="B1083" i="1"/>
  <c r="C1082" i="1"/>
  <c r="B1082" i="1"/>
  <c r="C1081" i="1"/>
  <c r="B1081" i="1"/>
  <c r="C1080" i="1"/>
  <c r="B1080" i="1"/>
  <c r="C1079" i="1"/>
  <c r="B1079" i="1"/>
  <c r="C1078" i="1"/>
  <c r="B1078" i="1"/>
  <c r="C1077" i="1"/>
  <c r="B1077" i="1"/>
  <c r="C1076" i="1"/>
  <c r="B1076" i="1"/>
  <c r="C1075" i="1"/>
  <c r="B1075" i="1"/>
  <c r="C1074" i="1"/>
  <c r="B1074" i="1"/>
  <c r="C1073" i="1"/>
  <c r="B1073" i="1"/>
  <c r="C1072" i="1"/>
  <c r="B1072" i="1"/>
  <c r="C1071" i="1"/>
  <c r="B1071" i="1"/>
  <c r="C1070" i="1"/>
  <c r="B1070" i="1"/>
  <c r="C1069" i="1"/>
  <c r="B1069" i="1"/>
  <c r="C1068" i="1"/>
  <c r="B1068" i="1"/>
  <c r="C1067" i="1"/>
  <c r="B1067" i="1"/>
  <c r="C1066" i="1"/>
  <c r="B1066" i="1"/>
  <c r="C1065" i="1"/>
  <c r="B1065" i="1"/>
  <c r="C1064" i="1"/>
  <c r="B1064" i="1"/>
  <c r="C1063" i="1"/>
  <c r="B1063" i="1"/>
  <c r="C1062" i="1"/>
  <c r="B1062" i="1"/>
  <c r="C1061" i="1"/>
  <c r="B1061" i="1"/>
  <c r="C1060" i="1"/>
  <c r="B1060" i="1"/>
  <c r="C1059" i="1"/>
  <c r="B1059" i="1"/>
  <c r="C1058" i="1"/>
  <c r="B1058" i="1"/>
  <c r="C1057" i="1"/>
  <c r="B1057" i="1"/>
  <c r="C1056" i="1"/>
  <c r="B1056" i="1"/>
  <c r="C1055" i="1"/>
  <c r="B1055" i="1"/>
  <c r="C1054" i="1"/>
  <c r="B1054" i="1"/>
  <c r="C1053" i="1"/>
  <c r="B1053" i="1"/>
  <c r="C1052" i="1"/>
  <c r="B1052" i="1"/>
  <c r="C1051" i="1"/>
  <c r="B1051" i="1"/>
  <c r="C1050" i="1"/>
  <c r="B1050" i="1"/>
  <c r="C1049" i="1"/>
  <c r="B1049" i="1"/>
  <c r="C1048" i="1"/>
  <c r="B1048" i="1"/>
  <c r="C1047" i="1"/>
  <c r="B1047" i="1"/>
  <c r="C1046" i="1"/>
  <c r="B1046" i="1"/>
  <c r="C1045" i="1"/>
  <c r="B1045" i="1"/>
  <c r="C1044" i="1"/>
  <c r="B1044" i="1"/>
  <c r="C1043" i="1"/>
  <c r="B1043" i="1"/>
  <c r="C1042" i="1"/>
  <c r="B1042" i="1"/>
  <c r="C1041" i="1"/>
  <c r="B1041" i="1"/>
  <c r="C1040" i="1"/>
  <c r="B1040" i="1"/>
  <c r="C1039" i="1"/>
  <c r="B1039" i="1"/>
  <c r="C1038" i="1"/>
  <c r="B1038" i="1"/>
  <c r="C1037" i="1"/>
  <c r="B1037" i="1"/>
  <c r="C1036" i="1"/>
  <c r="B1036" i="1"/>
  <c r="C1035" i="1"/>
  <c r="B1035" i="1"/>
  <c r="C1034" i="1"/>
  <c r="B1034" i="1"/>
  <c r="C1033" i="1"/>
  <c r="B1033" i="1"/>
  <c r="C1032" i="1"/>
  <c r="B1032" i="1"/>
  <c r="C1031" i="1"/>
  <c r="B1031" i="1"/>
  <c r="C1030" i="1"/>
  <c r="B1030" i="1"/>
  <c r="C1029" i="1"/>
  <c r="B1029" i="1"/>
  <c r="C1028" i="1"/>
  <c r="B1028" i="1"/>
  <c r="C1027" i="1"/>
  <c r="B1027" i="1"/>
  <c r="C1026" i="1"/>
  <c r="B1026" i="1"/>
  <c r="C1025" i="1"/>
  <c r="B1025" i="1"/>
  <c r="C1024" i="1"/>
  <c r="B1024" i="1"/>
  <c r="C1023" i="1"/>
  <c r="B1023" i="1"/>
  <c r="C1022" i="1"/>
  <c r="B1022" i="1"/>
  <c r="C1021" i="1"/>
  <c r="B1021" i="1"/>
  <c r="C1020" i="1"/>
  <c r="B1020" i="1"/>
  <c r="C1019" i="1"/>
  <c r="B1019" i="1"/>
  <c r="C1018" i="1"/>
  <c r="B1018" i="1"/>
  <c r="C1017" i="1"/>
  <c r="B1017" i="1"/>
  <c r="C1016" i="1"/>
  <c r="B1016" i="1"/>
  <c r="C1015" i="1"/>
  <c r="B1015" i="1"/>
  <c r="C1014" i="1"/>
  <c r="B1014" i="1"/>
  <c r="C1013" i="1"/>
  <c r="B1013" i="1"/>
  <c r="C1012" i="1"/>
  <c r="B1012" i="1"/>
  <c r="C1011" i="1"/>
  <c r="B1011" i="1"/>
  <c r="C1010" i="1"/>
  <c r="B1010" i="1"/>
  <c r="C1009" i="1"/>
  <c r="B1009" i="1"/>
  <c r="C1008" i="1"/>
  <c r="B1008" i="1"/>
  <c r="C1007" i="1"/>
  <c r="B1007" i="1"/>
  <c r="C1006" i="1"/>
  <c r="B1006" i="1"/>
  <c r="C1005" i="1"/>
  <c r="B1005" i="1"/>
  <c r="C1004" i="1"/>
  <c r="B1004" i="1"/>
  <c r="C1003" i="1"/>
  <c r="B1003" i="1"/>
  <c r="C1002" i="1"/>
  <c r="B1002" i="1"/>
  <c r="C1001" i="1"/>
  <c r="B1001" i="1"/>
  <c r="C1000" i="1"/>
  <c r="B1000" i="1"/>
  <c r="C999" i="1"/>
  <c r="B999" i="1"/>
  <c r="C998" i="1"/>
  <c r="B998" i="1"/>
  <c r="C997" i="1"/>
  <c r="B997" i="1"/>
  <c r="C996" i="1"/>
  <c r="B996" i="1"/>
  <c r="C995" i="1"/>
  <c r="B995" i="1"/>
  <c r="C994" i="1"/>
  <c r="B994" i="1"/>
  <c r="C993" i="1"/>
  <c r="B993" i="1"/>
  <c r="C992" i="1"/>
  <c r="B992" i="1"/>
  <c r="C991" i="1"/>
  <c r="B991" i="1"/>
  <c r="C990" i="1"/>
  <c r="B990" i="1"/>
  <c r="C989" i="1"/>
  <c r="B989" i="1"/>
  <c r="C988" i="1"/>
  <c r="B988" i="1"/>
  <c r="C987" i="1"/>
  <c r="B987" i="1"/>
  <c r="C986" i="1"/>
  <c r="B986" i="1"/>
  <c r="C985" i="1"/>
  <c r="B985" i="1"/>
  <c r="C984" i="1"/>
  <c r="B984" i="1"/>
  <c r="C983" i="1"/>
  <c r="B983" i="1"/>
  <c r="C982" i="1"/>
  <c r="B982" i="1"/>
  <c r="C981" i="1"/>
  <c r="B981" i="1"/>
  <c r="C980" i="1"/>
  <c r="B980" i="1"/>
  <c r="C979" i="1"/>
  <c r="B979" i="1"/>
  <c r="C978" i="1"/>
  <c r="B978" i="1"/>
  <c r="C977" i="1"/>
  <c r="B977" i="1"/>
  <c r="C976" i="1"/>
  <c r="B976" i="1"/>
  <c r="C975" i="1"/>
  <c r="B975" i="1"/>
  <c r="C974" i="1"/>
  <c r="B974" i="1"/>
  <c r="C973" i="1"/>
  <c r="B973" i="1"/>
  <c r="C972" i="1"/>
  <c r="B972" i="1"/>
  <c r="C971" i="1"/>
  <c r="B971" i="1"/>
  <c r="C970" i="1"/>
  <c r="B970" i="1"/>
  <c r="C969" i="1"/>
  <c r="B969" i="1"/>
  <c r="C968" i="1"/>
  <c r="B968" i="1"/>
  <c r="C967" i="1"/>
  <c r="B967" i="1"/>
  <c r="C966" i="1"/>
  <c r="B966" i="1"/>
  <c r="C965" i="1"/>
  <c r="B965" i="1"/>
  <c r="C964" i="1"/>
  <c r="B964" i="1"/>
  <c r="C963" i="1"/>
  <c r="B963" i="1"/>
  <c r="C962" i="1"/>
  <c r="B962" i="1"/>
  <c r="C961" i="1"/>
  <c r="B961" i="1"/>
  <c r="C960" i="1"/>
  <c r="B960" i="1"/>
  <c r="C959" i="1"/>
  <c r="B959" i="1"/>
  <c r="C958" i="1"/>
  <c r="B958" i="1"/>
  <c r="C957" i="1"/>
  <c r="B957" i="1"/>
  <c r="C956" i="1"/>
  <c r="B956" i="1"/>
  <c r="C955" i="1"/>
  <c r="B955" i="1"/>
  <c r="C954" i="1"/>
  <c r="B954" i="1"/>
  <c r="C953" i="1"/>
  <c r="B953" i="1"/>
  <c r="C952" i="1"/>
  <c r="B952" i="1"/>
  <c r="C951" i="1"/>
  <c r="B951" i="1"/>
  <c r="C950" i="1"/>
  <c r="B950" i="1"/>
  <c r="C949" i="1"/>
  <c r="B949" i="1"/>
  <c r="C948" i="1"/>
  <c r="B948" i="1"/>
  <c r="C947" i="1"/>
  <c r="B947" i="1"/>
  <c r="C946" i="1"/>
  <c r="B946" i="1"/>
  <c r="C945" i="1"/>
  <c r="B945" i="1"/>
  <c r="C944" i="1"/>
  <c r="B944" i="1"/>
  <c r="C943" i="1"/>
  <c r="B943" i="1"/>
  <c r="C942" i="1"/>
  <c r="B942" i="1"/>
  <c r="C941" i="1"/>
  <c r="B941" i="1"/>
  <c r="C940" i="1"/>
  <c r="B940" i="1"/>
  <c r="C939" i="1"/>
  <c r="B939" i="1"/>
  <c r="C938" i="1"/>
  <c r="B938" i="1"/>
  <c r="C937" i="1"/>
  <c r="B937" i="1"/>
  <c r="C936" i="1"/>
  <c r="B936" i="1"/>
  <c r="C935" i="1"/>
  <c r="B935" i="1"/>
  <c r="C934" i="1"/>
  <c r="B934" i="1"/>
  <c r="C933" i="1"/>
  <c r="B933" i="1"/>
  <c r="C932" i="1"/>
  <c r="B932" i="1"/>
  <c r="C931" i="1"/>
  <c r="B931" i="1"/>
  <c r="C930" i="1"/>
  <c r="B930" i="1"/>
  <c r="C929" i="1"/>
  <c r="B929" i="1"/>
  <c r="C928" i="1"/>
  <c r="B928" i="1"/>
  <c r="C927" i="1"/>
  <c r="B927" i="1"/>
  <c r="C926" i="1"/>
  <c r="B926" i="1"/>
  <c r="C925" i="1"/>
  <c r="B925" i="1"/>
  <c r="C924" i="1"/>
  <c r="B924" i="1"/>
  <c r="C923" i="1"/>
  <c r="B923" i="1"/>
  <c r="C922" i="1"/>
  <c r="B922" i="1"/>
  <c r="C921" i="1"/>
  <c r="B921" i="1"/>
  <c r="C920" i="1"/>
  <c r="B920" i="1"/>
  <c r="C919" i="1"/>
  <c r="B919" i="1"/>
  <c r="C918" i="1"/>
  <c r="B918" i="1"/>
  <c r="C917" i="1"/>
  <c r="B917" i="1"/>
  <c r="C916" i="1"/>
  <c r="B916" i="1"/>
  <c r="C915" i="1"/>
  <c r="B915" i="1"/>
  <c r="C914" i="1"/>
  <c r="B914" i="1"/>
  <c r="C913" i="1"/>
  <c r="B913" i="1"/>
  <c r="C912" i="1"/>
  <c r="B912" i="1"/>
  <c r="C911" i="1"/>
  <c r="B911" i="1"/>
  <c r="C910" i="1"/>
  <c r="B910" i="1"/>
  <c r="C909" i="1"/>
  <c r="B909" i="1"/>
  <c r="C908" i="1"/>
  <c r="B908" i="1"/>
  <c r="C907" i="1"/>
  <c r="B907" i="1"/>
  <c r="C906" i="1"/>
  <c r="B906" i="1"/>
  <c r="C905" i="1"/>
  <c r="B905" i="1"/>
  <c r="C904" i="1"/>
  <c r="B904" i="1"/>
  <c r="C903" i="1"/>
  <c r="B903" i="1"/>
  <c r="C902" i="1"/>
  <c r="B902" i="1"/>
  <c r="C901" i="1"/>
  <c r="B901" i="1"/>
  <c r="C900" i="1"/>
  <c r="B900" i="1"/>
  <c r="C899" i="1"/>
  <c r="B899" i="1"/>
  <c r="C898" i="1"/>
  <c r="B898" i="1"/>
  <c r="C897" i="1"/>
  <c r="B897" i="1"/>
  <c r="C896" i="1"/>
  <c r="B896" i="1"/>
  <c r="C895" i="1"/>
  <c r="B895" i="1"/>
  <c r="C894" i="1"/>
  <c r="B894" i="1"/>
  <c r="C893" i="1"/>
  <c r="B893" i="1"/>
  <c r="C892" i="1"/>
  <c r="B892" i="1"/>
  <c r="C891" i="1"/>
  <c r="B891" i="1"/>
  <c r="C890" i="1"/>
  <c r="B890" i="1"/>
  <c r="C889" i="1"/>
  <c r="B889" i="1"/>
  <c r="C888" i="1"/>
  <c r="B888" i="1"/>
  <c r="C887" i="1"/>
  <c r="B887" i="1"/>
  <c r="C886" i="1"/>
  <c r="B886" i="1"/>
  <c r="C885" i="1"/>
  <c r="B885" i="1"/>
  <c r="C884" i="1"/>
  <c r="B884" i="1"/>
  <c r="C883" i="1"/>
  <c r="B883" i="1"/>
  <c r="C882" i="1"/>
  <c r="B882" i="1"/>
  <c r="C881" i="1"/>
  <c r="B881" i="1"/>
  <c r="C880" i="1"/>
  <c r="B880" i="1"/>
  <c r="C879" i="1"/>
  <c r="B879" i="1"/>
  <c r="C878" i="1"/>
  <c r="B878" i="1"/>
  <c r="C877" i="1"/>
  <c r="B877" i="1"/>
  <c r="C876" i="1"/>
  <c r="B876" i="1"/>
  <c r="C875" i="1"/>
  <c r="B875" i="1"/>
  <c r="C874" i="1"/>
  <c r="B874" i="1"/>
  <c r="C873" i="1"/>
  <c r="B873" i="1"/>
  <c r="C872" i="1"/>
  <c r="B872" i="1"/>
  <c r="C871" i="1"/>
  <c r="B871" i="1"/>
  <c r="C870" i="1"/>
  <c r="B870" i="1"/>
  <c r="C869" i="1"/>
  <c r="B869" i="1"/>
  <c r="C868" i="1"/>
  <c r="B868" i="1"/>
  <c r="C867" i="1"/>
  <c r="B867" i="1"/>
  <c r="C866" i="1"/>
  <c r="B866" i="1"/>
  <c r="C865" i="1"/>
  <c r="B865" i="1"/>
  <c r="C864" i="1"/>
  <c r="B864" i="1"/>
  <c r="C863" i="1"/>
  <c r="B863" i="1"/>
  <c r="C862" i="1"/>
  <c r="B862" i="1"/>
  <c r="C861" i="1"/>
  <c r="B861" i="1"/>
  <c r="C860" i="1"/>
  <c r="B860" i="1"/>
  <c r="C859" i="1"/>
  <c r="B859" i="1"/>
  <c r="C858" i="1"/>
  <c r="B858" i="1"/>
  <c r="C857" i="1"/>
  <c r="B857" i="1"/>
  <c r="C856" i="1"/>
  <c r="B856" i="1"/>
  <c r="C855" i="1"/>
  <c r="B855" i="1"/>
  <c r="C854" i="1"/>
  <c r="B854" i="1"/>
  <c r="C853" i="1"/>
  <c r="B853" i="1"/>
  <c r="C852" i="1"/>
  <c r="B852" i="1"/>
  <c r="C851" i="1"/>
  <c r="B851" i="1"/>
  <c r="C850" i="1"/>
  <c r="B850" i="1"/>
  <c r="C849" i="1"/>
  <c r="B849" i="1"/>
  <c r="C848" i="1"/>
  <c r="B848" i="1"/>
  <c r="C847" i="1"/>
  <c r="B847" i="1"/>
  <c r="C846" i="1"/>
  <c r="B846" i="1"/>
  <c r="C845" i="1"/>
  <c r="B845" i="1"/>
  <c r="C844" i="1"/>
  <c r="B844" i="1"/>
  <c r="C843" i="1"/>
  <c r="B843" i="1"/>
  <c r="C842" i="1"/>
  <c r="B842" i="1"/>
  <c r="C841" i="1"/>
  <c r="B841" i="1"/>
  <c r="C840" i="1"/>
  <c r="B840" i="1"/>
  <c r="C839" i="1"/>
  <c r="B839" i="1"/>
  <c r="C838" i="1"/>
  <c r="B838" i="1"/>
  <c r="C837" i="1"/>
  <c r="B837" i="1"/>
  <c r="C836" i="1"/>
  <c r="B836" i="1"/>
  <c r="C835" i="1"/>
  <c r="B835" i="1"/>
  <c r="C834" i="1"/>
  <c r="B834" i="1"/>
  <c r="C833" i="1"/>
  <c r="B833" i="1"/>
  <c r="C832" i="1"/>
  <c r="B832" i="1"/>
  <c r="C831" i="1"/>
  <c r="B831" i="1"/>
  <c r="C830" i="1"/>
  <c r="B830" i="1"/>
  <c r="C829" i="1"/>
  <c r="B829" i="1"/>
  <c r="C828" i="1"/>
  <c r="B828" i="1"/>
  <c r="C827" i="1"/>
  <c r="B827" i="1"/>
  <c r="C826" i="1"/>
  <c r="B826" i="1"/>
  <c r="C825" i="1"/>
  <c r="B825" i="1"/>
  <c r="C824" i="1"/>
  <c r="B824" i="1"/>
  <c r="C823" i="1"/>
  <c r="B823" i="1"/>
  <c r="C822" i="1"/>
  <c r="B822" i="1"/>
  <c r="C821" i="1"/>
  <c r="B821" i="1"/>
  <c r="C820" i="1"/>
  <c r="B820" i="1"/>
  <c r="C819" i="1"/>
  <c r="B819" i="1"/>
  <c r="C818" i="1"/>
  <c r="B818" i="1"/>
  <c r="C817" i="1"/>
  <c r="B817" i="1"/>
  <c r="C816" i="1"/>
  <c r="B816" i="1"/>
  <c r="C815" i="1"/>
  <c r="B815" i="1"/>
  <c r="C814" i="1"/>
  <c r="B814" i="1"/>
  <c r="C813" i="1"/>
  <c r="B813" i="1"/>
  <c r="C812" i="1"/>
  <c r="B812" i="1"/>
  <c r="C811" i="1"/>
  <c r="B811" i="1"/>
  <c r="C810" i="1"/>
  <c r="B810" i="1"/>
  <c r="C809" i="1"/>
  <c r="B809" i="1"/>
  <c r="C808" i="1"/>
  <c r="B808" i="1"/>
  <c r="C807" i="1"/>
  <c r="B807" i="1"/>
  <c r="C806" i="1"/>
  <c r="B806" i="1"/>
  <c r="C805" i="1"/>
  <c r="B805" i="1"/>
  <c r="C804" i="1"/>
  <c r="B804" i="1"/>
  <c r="C803" i="1"/>
  <c r="B803" i="1"/>
  <c r="C802" i="1"/>
  <c r="B802" i="1"/>
  <c r="C801" i="1"/>
  <c r="B801" i="1"/>
  <c r="C800" i="1"/>
  <c r="B800" i="1"/>
  <c r="C799" i="1"/>
  <c r="B799" i="1"/>
  <c r="C798" i="1"/>
  <c r="B798" i="1"/>
  <c r="C797" i="1"/>
  <c r="B797" i="1"/>
  <c r="C796" i="1"/>
  <c r="B796" i="1"/>
  <c r="C795" i="1"/>
  <c r="B795" i="1"/>
  <c r="C794" i="1"/>
  <c r="B794" i="1"/>
  <c r="C793" i="1"/>
  <c r="B793" i="1"/>
  <c r="C792" i="1"/>
  <c r="B792" i="1"/>
  <c r="C791" i="1"/>
  <c r="B791" i="1"/>
  <c r="C790" i="1"/>
  <c r="B790" i="1"/>
  <c r="C789" i="1"/>
  <c r="B789" i="1"/>
  <c r="C788" i="1"/>
  <c r="B788" i="1"/>
  <c r="C787" i="1"/>
  <c r="B787" i="1"/>
  <c r="C786" i="1"/>
  <c r="B786" i="1"/>
  <c r="C785" i="1"/>
  <c r="B785" i="1"/>
  <c r="C784" i="1"/>
  <c r="B784" i="1"/>
  <c r="C783" i="1"/>
  <c r="B783" i="1"/>
  <c r="C782" i="1"/>
  <c r="B782" i="1"/>
  <c r="C781" i="1"/>
  <c r="B781" i="1"/>
  <c r="C780" i="1"/>
  <c r="B780" i="1"/>
  <c r="C779" i="1"/>
  <c r="B779" i="1"/>
  <c r="C778" i="1"/>
  <c r="B778" i="1"/>
  <c r="C777" i="1"/>
  <c r="B777" i="1"/>
  <c r="C776" i="1"/>
  <c r="B776" i="1"/>
  <c r="C775" i="1"/>
  <c r="B775" i="1"/>
  <c r="C774" i="1"/>
  <c r="B774" i="1"/>
  <c r="C773" i="1"/>
  <c r="B773" i="1"/>
  <c r="C772" i="1"/>
  <c r="B772" i="1"/>
  <c r="C771" i="1"/>
  <c r="B771" i="1"/>
  <c r="C770" i="1"/>
  <c r="B770" i="1"/>
  <c r="C769" i="1"/>
  <c r="B769" i="1"/>
  <c r="C768" i="1"/>
  <c r="B768" i="1"/>
  <c r="C767" i="1"/>
  <c r="B767" i="1"/>
  <c r="C766" i="1"/>
  <c r="B766" i="1"/>
  <c r="C765" i="1"/>
  <c r="B765" i="1"/>
  <c r="C764" i="1"/>
  <c r="B764" i="1"/>
  <c r="C763" i="1"/>
  <c r="B763" i="1"/>
  <c r="C762" i="1"/>
  <c r="B762" i="1"/>
  <c r="C761" i="1"/>
  <c r="B761" i="1"/>
  <c r="C760" i="1"/>
  <c r="B760" i="1"/>
  <c r="C759" i="1"/>
  <c r="B759" i="1"/>
  <c r="C758" i="1"/>
  <c r="B758" i="1"/>
  <c r="C757" i="1"/>
  <c r="B757" i="1"/>
  <c r="C756" i="1"/>
  <c r="B756" i="1"/>
  <c r="C755" i="1"/>
  <c r="B755" i="1"/>
  <c r="C754" i="1"/>
  <c r="B754" i="1"/>
  <c r="C753" i="1"/>
  <c r="B753" i="1"/>
  <c r="C752" i="1"/>
  <c r="B752" i="1"/>
  <c r="C751" i="1"/>
  <c r="B751" i="1"/>
  <c r="C750" i="1"/>
  <c r="B750" i="1"/>
  <c r="C749" i="1"/>
  <c r="B749" i="1"/>
  <c r="C748" i="1"/>
  <c r="B748" i="1"/>
  <c r="C747" i="1"/>
  <c r="B747" i="1"/>
  <c r="C746" i="1"/>
  <c r="B746" i="1"/>
  <c r="C745" i="1"/>
  <c r="B745" i="1"/>
  <c r="C744" i="1"/>
  <c r="B744" i="1"/>
  <c r="C743" i="1"/>
  <c r="B743" i="1"/>
  <c r="C742" i="1"/>
  <c r="B742" i="1"/>
  <c r="C741" i="1"/>
  <c r="B741" i="1"/>
  <c r="C740" i="1"/>
  <c r="B740" i="1"/>
  <c r="C739" i="1"/>
  <c r="B739" i="1"/>
  <c r="C738" i="1"/>
  <c r="B738" i="1"/>
  <c r="C737" i="1"/>
  <c r="B737" i="1"/>
  <c r="C736" i="1"/>
  <c r="B736" i="1"/>
  <c r="C735" i="1"/>
  <c r="B735" i="1"/>
  <c r="C734" i="1"/>
  <c r="B734" i="1"/>
  <c r="C733" i="1"/>
  <c r="B733" i="1"/>
  <c r="C732" i="1"/>
  <c r="B732" i="1"/>
  <c r="C731" i="1"/>
  <c r="B731" i="1"/>
  <c r="C730" i="1"/>
  <c r="B730" i="1"/>
  <c r="C729" i="1"/>
  <c r="B729" i="1"/>
  <c r="C728" i="1"/>
  <c r="B728" i="1"/>
  <c r="C727" i="1"/>
  <c r="B727" i="1"/>
  <c r="C726" i="1"/>
  <c r="B726" i="1"/>
  <c r="C725" i="1"/>
  <c r="B725" i="1"/>
  <c r="C724" i="1"/>
  <c r="B724" i="1"/>
  <c r="C723" i="1"/>
  <c r="B723" i="1"/>
  <c r="C722" i="1"/>
  <c r="B722" i="1"/>
  <c r="C721" i="1"/>
  <c r="B721" i="1"/>
  <c r="C720" i="1"/>
  <c r="B720" i="1"/>
  <c r="C719" i="1"/>
  <c r="B719" i="1"/>
  <c r="C718" i="1"/>
  <c r="B718" i="1"/>
  <c r="C717" i="1"/>
  <c r="B717" i="1"/>
  <c r="C716" i="1"/>
  <c r="B716" i="1"/>
  <c r="C715" i="1"/>
  <c r="B715" i="1"/>
  <c r="C714" i="1"/>
  <c r="B714" i="1"/>
  <c r="C713" i="1"/>
  <c r="B713" i="1"/>
  <c r="C712" i="1"/>
  <c r="B712" i="1"/>
  <c r="C711" i="1"/>
  <c r="B711" i="1"/>
  <c r="C710" i="1"/>
  <c r="B710" i="1"/>
  <c r="C709" i="1"/>
  <c r="B709" i="1"/>
  <c r="C708" i="1"/>
  <c r="B708" i="1"/>
  <c r="C707" i="1"/>
  <c r="B707" i="1"/>
  <c r="C706" i="1"/>
  <c r="B706" i="1"/>
  <c r="C705" i="1"/>
  <c r="B705" i="1"/>
  <c r="C704" i="1"/>
  <c r="B704" i="1"/>
  <c r="C703" i="1"/>
  <c r="B703" i="1"/>
  <c r="C702" i="1"/>
  <c r="B702" i="1"/>
  <c r="C701" i="1"/>
  <c r="B701" i="1"/>
  <c r="C700" i="1"/>
  <c r="B700" i="1"/>
  <c r="C699" i="1"/>
  <c r="B699" i="1"/>
  <c r="C698" i="1"/>
  <c r="B698" i="1"/>
  <c r="C697" i="1"/>
  <c r="B697" i="1"/>
  <c r="C696" i="1"/>
  <c r="B696" i="1"/>
  <c r="C695" i="1"/>
  <c r="B695" i="1"/>
  <c r="C694" i="1"/>
  <c r="B694" i="1"/>
  <c r="C693" i="1"/>
  <c r="B693" i="1"/>
  <c r="C692" i="1"/>
  <c r="B692" i="1"/>
  <c r="C691" i="1"/>
  <c r="B691" i="1"/>
  <c r="C690" i="1"/>
  <c r="B690" i="1"/>
  <c r="C689" i="1"/>
  <c r="B689" i="1"/>
  <c r="C688" i="1"/>
  <c r="B688" i="1"/>
  <c r="C687" i="1"/>
  <c r="B687" i="1"/>
  <c r="C686" i="1"/>
  <c r="B686" i="1"/>
  <c r="C685" i="1"/>
  <c r="B685" i="1"/>
  <c r="C684" i="1"/>
  <c r="B684" i="1"/>
  <c r="C683" i="1"/>
  <c r="B683" i="1"/>
  <c r="C682" i="1"/>
  <c r="B682" i="1"/>
  <c r="C681" i="1"/>
  <c r="B681" i="1"/>
  <c r="C680" i="1"/>
  <c r="B680" i="1"/>
  <c r="C679" i="1"/>
  <c r="B679" i="1"/>
  <c r="C678" i="1"/>
  <c r="B678" i="1"/>
  <c r="C677" i="1"/>
  <c r="B677" i="1"/>
  <c r="C676" i="1"/>
  <c r="B676" i="1"/>
  <c r="C675" i="1"/>
  <c r="B675" i="1"/>
  <c r="C674" i="1"/>
  <c r="B674" i="1"/>
  <c r="C673" i="1"/>
  <c r="B673" i="1"/>
  <c r="C672" i="1"/>
  <c r="B672" i="1"/>
  <c r="C671" i="1"/>
  <c r="B671" i="1"/>
  <c r="C670" i="1"/>
  <c r="B670" i="1"/>
  <c r="C669" i="1"/>
  <c r="B669" i="1"/>
  <c r="C668" i="1"/>
  <c r="B668" i="1"/>
  <c r="C667" i="1"/>
  <c r="B667" i="1"/>
  <c r="C666" i="1"/>
  <c r="B666" i="1"/>
  <c r="C665" i="1"/>
  <c r="B665" i="1"/>
  <c r="C664" i="1"/>
  <c r="B664" i="1"/>
  <c r="C663" i="1"/>
  <c r="B663" i="1"/>
  <c r="C662" i="1"/>
  <c r="B662" i="1"/>
  <c r="C661" i="1"/>
  <c r="B661" i="1"/>
  <c r="C660" i="1"/>
  <c r="B660" i="1"/>
  <c r="C659" i="1"/>
  <c r="B659" i="1"/>
  <c r="C658" i="1"/>
  <c r="B658" i="1"/>
  <c r="C657" i="1"/>
  <c r="B657" i="1"/>
  <c r="C656" i="1"/>
  <c r="B656" i="1"/>
  <c r="C655" i="1"/>
  <c r="B655" i="1"/>
  <c r="C654" i="1"/>
  <c r="B654" i="1"/>
  <c r="C653" i="1"/>
  <c r="B653" i="1"/>
  <c r="C652" i="1"/>
  <c r="B652" i="1"/>
  <c r="C651" i="1"/>
  <c r="B651" i="1"/>
  <c r="C650" i="1"/>
  <c r="B650" i="1"/>
  <c r="C649" i="1"/>
  <c r="B649" i="1"/>
  <c r="C648" i="1"/>
  <c r="B648" i="1"/>
  <c r="C647" i="1"/>
  <c r="B647" i="1"/>
  <c r="C646" i="1"/>
  <c r="B646" i="1"/>
  <c r="C645" i="1"/>
  <c r="B645" i="1"/>
  <c r="C644" i="1"/>
  <c r="B644" i="1"/>
  <c r="C643" i="1"/>
  <c r="B643" i="1"/>
  <c r="C642" i="1"/>
  <c r="B642" i="1"/>
  <c r="C641" i="1"/>
  <c r="B641" i="1"/>
  <c r="C640" i="1"/>
  <c r="B640" i="1"/>
  <c r="C639" i="1"/>
  <c r="B639" i="1"/>
  <c r="C638" i="1"/>
  <c r="B638" i="1"/>
  <c r="C637" i="1"/>
  <c r="B637" i="1"/>
  <c r="C636" i="1"/>
  <c r="B636" i="1"/>
  <c r="C635" i="1"/>
  <c r="B635" i="1"/>
  <c r="C634" i="1"/>
  <c r="B634" i="1"/>
  <c r="C633" i="1"/>
  <c r="B633" i="1"/>
  <c r="C632" i="1"/>
  <c r="B632" i="1"/>
  <c r="C631" i="1"/>
  <c r="B631" i="1"/>
  <c r="C630" i="1"/>
  <c r="B630" i="1"/>
  <c r="C629" i="1"/>
  <c r="B629" i="1"/>
  <c r="C628" i="1"/>
  <c r="B628" i="1"/>
  <c r="C627" i="1"/>
  <c r="B627" i="1"/>
  <c r="C626" i="1"/>
  <c r="B626" i="1"/>
  <c r="C625" i="1"/>
  <c r="B625" i="1"/>
  <c r="C624" i="1"/>
  <c r="B624" i="1"/>
  <c r="C623" i="1"/>
  <c r="B623" i="1"/>
  <c r="C622" i="1"/>
  <c r="B622" i="1"/>
  <c r="C621" i="1"/>
  <c r="B621" i="1"/>
  <c r="C620" i="1"/>
  <c r="B620" i="1"/>
  <c r="C619" i="1"/>
  <c r="B619" i="1"/>
  <c r="C618" i="1"/>
  <c r="B618" i="1"/>
  <c r="C617" i="1"/>
  <c r="B617" i="1"/>
  <c r="C616" i="1"/>
  <c r="B616" i="1"/>
  <c r="C615" i="1"/>
  <c r="B615" i="1"/>
  <c r="C614" i="1"/>
  <c r="B614" i="1"/>
  <c r="C613" i="1"/>
  <c r="B613" i="1"/>
  <c r="C612" i="1"/>
  <c r="B612" i="1"/>
  <c r="C611" i="1"/>
  <c r="B611" i="1"/>
  <c r="C610" i="1"/>
  <c r="B610" i="1"/>
  <c r="C609" i="1"/>
  <c r="B609" i="1"/>
  <c r="C608" i="1"/>
  <c r="B608" i="1"/>
  <c r="C607" i="1"/>
  <c r="B607" i="1"/>
  <c r="C606" i="1"/>
  <c r="B606" i="1"/>
  <c r="C605" i="1"/>
  <c r="B605" i="1"/>
  <c r="C604" i="1"/>
  <c r="B604" i="1"/>
  <c r="C603" i="1"/>
  <c r="B603" i="1"/>
  <c r="C602" i="1"/>
  <c r="B602" i="1"/>
  <c r="C601" i="1"/>
  <c r="B601" i="1"/>
  <c r="C600" i="1"/>
  <c r="B600" i="1"/>
  <c r="C599" i="1"/>
  <c r="B599" i="1"/>
  <c r="C598" i="1"/>
  <c r="B598" i="1"/>
  <c r="C597" i="1"/>
  <c r="B597" i="1"/>
  <c r="C596" i="1"/>
  <c r="B596" i="1"/>
  <c r="C595" i="1"/>
  <c r="B595" i="1"/>
  <c r="C594" i="1"/>
  <c r="B594" i="1"/>
  <c r="C593" i="1"/>
  <c r="B593" i="1"/>
  <c r="C592" i="1"/>
  <c r="B592" i="1"/>
  <c r="C591" i="1"/>
  <c r="B591" i="1"/>
  <c r="C590" i="1"/>
  <c r="B590" i="1"/>
  <c r="C589" i="1"/>
  <c r="B589" i="1"/>
  <c r="C588" i="1"/>
  <c r="B588" i="1"/>
  <c r="C587" i="1"/>
  <c r="B587" i="1"/>
  <c r="C586" i="1"/>
  <c r="B586" i="1"/>
  <c r="C585" i="1"/>
  <c r="B585" i="1"/>
  <c r="C584" i="1"/>
  <c r="B584" i="1"/>
  <c r="C583" i="1"/>
  <c r="B583" i="1"/>
  <c r="C582" i="1"/>
  <c r="B582" i="1"/>
  <c r="C581" i="1"/>
  <c r="B581" i="1"/>
  <c r="C580" i="1"/>
  <c r="B580" i="1"/>
  <c r="C579" i="1"/>
  <c r="B579" i="1"/>
  <c r="C578" i="1"/>
  <c r="B578" i="1"/>
  <c r="C577" i="1"/>
  <c r="B577" i="1"/>
  <c r="C576" i="1"/>
  <c r="B576" i="1"/>
  <c r="C575" i="1"/>
  <c r="B575" i="1"/>
  <c r="C574" i="1"/>
  <c r="B574" i="1"/>
  <c r="C573" i="1"/>
  <c r="B573" i="1"/>
  <c r="C572" i="1"/>
  <c r="B572" i="1"/>
  <c r="C571" i="1"/>
  <c r="B571" i="1"/>
  <c r="C570" i="1"/>
  <c r="B570" i="1"/>
  <c r="C569" i="1"/>
  <c r="B569" i="1"/>
  <c r="C568" i="1"/>
  <c r="B568" i="1"/>
  <c r="C567" i="1"/>
  <c r="B567" i="1"/>
  <c r="C566" i="1"/>
  <c r="B566" i="1"/>
  <c r="C565" i="1"/>
  <c r="B565" i="1"/>
  <c r="C564" i="1"/>
  <c r="B564" i="1"/>
  <c r="C563" i="1"/>
  <c r="B563" i="1"/>
  <c r="C562" i="1"/>
  <c r="B562" i="1"/>
  <c r="C561" i="1"/>
  <c r="B561" i="1"/>
  <c r="C560" i="1"/>
  <c r="B560" i="1"/>
  <c r="C559" i="1"/>
  <c r="B559" i="1"/>
  <c r="C558" i="1"/>
  <c r="B558" i="1"/>
  <c r="C557" i="1"/>
  <c r="B557" i="1"/>
  <c r="C556" i="1"/>
  <c r="B556" i="1"/>
  <c r="C555" i="1"/>
  <c r="B555" i="1"/>
  <c r="C554" i="1"/>
  <c r="B554" i="1"/>
  <c r="C553" i="1"/>
  <c r="B553" i="1"/>
  <c r="C552" i="1"/>
  <c r="B552" i="1"/>
  <c r="C551" i="1"/>
  <c r="B551" i="1"/>
  <c r="C550" i="1"/>
  <c r="B550" i="1"/>
  <c r="C549" i="1"/>
  <c r="B549" i="1"/>
  <c r="C548" i="1"/>
  <c r="B548" i="1"/>
  <c r="C547" i="1"/>
  <c r="B547" i="1"/>
  <c r="C546" i="1"/>
  <c r="B546" i="1"/>
  <c r="C545" i="1"/>
  <c r="B545" i="1"/>
  <c r="C544" i="1"/>
  <c r="B544" i="1"/>
  <c r="C543" i="1"/>
  <c r="B543" i="1"/>
  <c r="C542" i="1"/>
  <c r="B542" i="1"/>
  <c r="C541" i="1"/>
  <c r="B541" i="1"/>
  <c r="C540" i="1"/>
  <c r="B540" i="1"/>
  <c r="C539" i="1"/>
  <c r="B539" i="1"/>
  <c r="C538" i="1"/>
  <c r="B538" i="1"/>
  <c r="C537" i="1"/>
  <c r="B537" i="1"/>
  <c r="C536" i="1"/>
  <c r="B536" i="1"/>
  <c r="C535" i="1"/>
  <c r="B535" i="1"/>
  <c r="C534" i="1"/>
  <c r="B534" i="1"/>
  <c r="C533" i="1"/>
  <c r="B533" i="1"/>
  <c r="C532" i="1"/>
  <c r="B532" i="1"/>
  <c r="C531" i="1"/>
  <c r="B531" i="1"/>
  <c r="C530" i="1"/>
  <c r="B530" i="1"/>
  <c r="C529" i="1"/>
  <c r="B529" i="1"/>
  <c r="C528" i="1"/>
  <c r="B528" i="1"/>
  <c r="C527" i="1"/>
  <c r="B527" i="1"/>
  <c r="C526" i="1"/>
  <c r="B526" i="1"/>
  <c r="C525" i="1"/>
  <c r="B525" i="1"/>
  <c r="C524" i="1"/>
  <c r="B524" i="1"/>
  <c r="C523" i="1"/>
  <c r="B523" i="1"/>
  <c r="C522" i="1"/>
  <c r="B522" i="1"/>
  <c r="C521" i="1"/>
  <c r="B521" i="1"/>
  <c r="C520" i="1"/>
  <c r="B520" i="1"/>
  <c r="C519" i="1"/>
  <c r="B519" i="1"/>
  <c r="C518" i="1"/>
  <c r="B518" i="1"/>
  <c r="C517" i="1"/>
  <c r="B517" i="1"/>
  <c r="C516" i="1"/>
  <c r="B516" i="1"/>
  <c r="C515" i="1"/>
  <c r="B515" i="1"/>
  <c r="C514" i="1"/>
  <c r="B514" i="1"/>
  <c r="C513" i="1"/>
  <c r="B513" i="1"/>
  <c r="C512" i="1"/>
  <c r="B512" i="1"/>
  <c r="C511" i="1"/>
  <c r="B511" i="1"/>
  <c r="C510" i="1"/>
  <c r="B510" i="1"/>
  <c r="C509" i="1"/>
  <c r="B509" i="1"/>
  <c r="C508" i="1"/>
  <c r="B508" i="1"/>
  <c r="C507" i="1"/>
  <c r="B507" i="1"/>
  <c r="C506" i="1"/>
  <c r="B506" i="1"/>
  <c r="C505" i="1"/>
  <c r="B505" i="1"/>
  <c r="C504" i="1"/>
  <c r="B504" i="1"/>
  <c r="C503" i="1"/>
  <c r="B503" i="1"/>
  <c r="C502" i="1"/>
  <c r="B502" i="1"/>
  <c r="C501" i="1"/>
  <c r="B501" i="1"/>
  <c r="C500" i="1"/>
  <c r="B500" i="1"/>
  <c r="C499" i="1"/>
  <c r="B499" i="1"/>
  <c r="C498" i="1"/>
  <c r="B498" i="1"/>
  <c r="C497" i="1"/>
  <c r="B497" i="1"/>
  <c r="C496" i="1"/>
  <c r="B496" i="1"/>
  <c r="C495" i="1"/>
  <c r="B495" i="1"/>
  <c r="C494" i="1"/>
  <c r="B494" i="1"/>
  <c r="C493" i="1"/>
  <c r="B493" i="1"/>
  <c r="C492" i="1"/>
  <c r="B492" i="1"/>
  <c r="C491" i="1"/>
  <c r="B491" i="1"/>
  <c r="C490" i="1"/>
  <c r="B490" i="1"/>
  <c r="C489" i="1"/>
  <c r="B489" i="1"/>
  <c r="C488" i="1"/>
  <c r="B488" i="1"/>
  <c r="C487" i="1"/>
  <c r="B487" i="1"/>
  <c r="C486" i="1"/>
  <c r="B486" i="1"/>
  <c r="C485" i="1"/>
  <c r="B485" i="1"/>
  <c r="C484" i="1"/>
  <c r="B484" i="1"/>
  <c r="C483" i="1"/>
  <c r="B483" i="1"/>
  <c r="C482" i="1"/>
  <c r="B482" i="1"/>
  <c r="C481" i="1"/>
  <c r="B481" i="1"/>
  <c r="C480" i="1"/>
  <c r="B480" i="1"/>
  <c r="C479" i="1"/>
  <c r="B479" i="1"/>
  <c r="C478" i="1"/>
  <c r="B478" i="1"/>
  <c r="C477" i="1"/>
  <c r="B477" i="1"/>
  <c r="C476" i="1"/>
  <c r="B476" i="1"/>
  <c r="C475" i="1"/>
  <c r="B475" i="1"/>
  <c r="C474" i="1"/>
  <c r="B474" i="1"/>
  <c r="C473" i="1"/>
  <c r="B473" i="1"/>
  <c r="C472" i="1"/>
  <c r="B472" i="1"/>
  <c r="C471" i="1"/>
  <c r="B471" i="1"/>
  <c r="C470" i="1"/>
  <c r="B470" i="1"/>
  <c r="C469" i="1"/>
  <c r="B469" i="1"/>
  <c r="C468" i="1"/>
  <c r="B468" i="1"/>
  <c r="C467" i="1"/>
  <c r="B467" i="1"/>
  <c r="C466" i="1"/>
  <c r="B466" i="1"/>
  <c r="C465" i="1"/>
  <c r="B465" i="1"/>
  <c r="C464" i="1"/>
  <c r="B464" i="1"/>
  <c r="C463" i="1"/>
  <c r="B463" i="1"/>
  <c r="C462" i="1"/>
  <c r="B462" i="1"/>
  <c r="C461" i="1"/>
  <c r="B461" i="1"/>
  <c r="C460" i="1"/>
  <c r="B460" i="1"/>
  <c r="C459" i="1"/>
  <c r="B459" i="1"/>
  <c r="C458" i="1"/>
  <c r="B458" i="1"/>
  <c r="C457" i="1"/>
  <c r="B457" i="1"/>
  <c r="C456" i="1"/>
  <c r="B456" i="1"/>
  <c r="C455" i="1"/>
  <c r="B455" i="1"/>
  <c r="C454" i="1"/>
  <c r="B454" i="1"/>
  <c r="C453" i="1"/>
  <c r="B453" i="1"/>
  <c r="C452" i="1"/>
  <c r="B452" i="1"/>
  <c r="C451" i="1"/>
  <c r="B451" i="1"/>
  <c r="C450" i="1"/>
  <c r="B450" i="1"/>
  <c r="C449" i="1"/>
  <c r="B449" i="1"/>
  <c r="C448" i="1"/>
  <c r="B448" i="1"/>
  <c r="C447" i="1"/>
  <c r="B447" i="1"/>
  <c r="C446" i="1"/>
  <c r="B446" i="1"/>
  <c r="C445" i="1"/>
  <c r="B445" i="1"/>
  <c r="C444" i="1"/>
  <c r="B444" i="1"/>
  <c r="C443" i="1"/>
  <c r="B443" i="1"/>
  <c r="C442" i="1"/>
  <c r="B442" i="1"/>
  <c r="C441" i="1"/>
  <c r="B441" i="1"/>
  <c r="C440" i="1"/>
  <c r="B440" i="1"/>
  <c r="C439" i="1"/>
  <c r="B439" i="1"/>
  <c r="C438" i="1"/>
  <c r="B438" i="1"/>
  <c r="C437" i="1"/>
  <c r="B437" i="1"/>
  <c r="C436" i="1"/>
  <c r="B436" i="1"/>
  <c r="C435" i="1"/>
  <c r="B435" i="1"/>
  <c r="C434" i="1"/>
  <c r="B434" i="1"/>
  <c r="C433" i="1"/>
  <c r="B433" i="1"/>
  <c r="C432" i="1"/>
  <c r="B432" i="1"/>
  <c r="C431" i="1"/>
  <c r="B431" i="1"/>
  <c r="C430" i="1"/>
  <c r="B430" i="1"/>
  <c r="C429" i="1"/>
  <c r="B429" i="1"/>
  <c r="C428" i="1"/>
  <c r="B428" i="1"/>
  <c r="C427" i="1"/>
  <c r="B427" i="1"/>
  <c r="C426" i="1"/>
  <c r="B426" i="1"/>
  <c r="C425" i="1"/>
  <c r="B425" i="1"/>
  <c r="C424" i="1"/>
  <c r="B424" i="1"/>
  <c r="C423" i="1"/>
  <c r="B423" i="1"/>
  <c r="C422" i="1"/>
  <c r="B422" i="1"/>
  <c r="C421" i="1"/>
  <c r="B421" i="1"/>
  <c r="C420" i="1"/>
  <c r="B420" i="1"/>
  <c r="C419" i="1"/>
  <c r="B419" i="1"/>
  <c r="C418" i="1"/>
  <c r="B418" i="1"/>
  <c r="C417" i="1"/>
  <c r="B417" i="1"/>
  <c r="C416" i="1"/>
  <c r="B416" i="1"/>
  <c r="C415" i="1"/>
  <c r="B415" i="1"/>
  <c r="C414" i="1"/>
  <c r="B414" i="1"/>
  <c r="C413" i="1"/>
  <c r="B413" i="1"/>
  <c r="C412" i="1"/>
  <c r="B412" i="1"/>
  <c r="C411" i="1"/>
  <c r="B411" i="1"/>
  <c r="C410" i="1"/>
  <c r="B410" i="1"/>
  <c r="C409" i="1"/>
  <c r="B409" i="1"/>
  <c r="C408" i="1"/>
  <c r="B408" i="1"/>
  <c r="C407" i="1"/>
  <c r="B407" i="1"/>
  <c r="C406" i="1"/>
  <c r="B406" i="1"/>
  <c r="C405" i="1"/>
  <c r="B405" i="1"/>
  <c r="C404" i="1"/>
  <c r="B404" i="1"/>
  <c r="C403" i="1"/>
  <c r="B403" i="1"/>
  <c r="C402" i="1"/>
  <c r="B402" i="1"/>
  <c r="C401" i="1"/>
  <c r="B401" i="1"/>
  <c r="C400" i="1"/>
  <c r="B400" i="1"/>
  <c r="C399" i="1"/>
  <c r="B399" i="1"/>
  <c r="C398" i="1"/>
  <c r="B398" i="1"/>
  <c r="C397" i="1"/>
  <c r="B397" i="1"/>
  <c r="C396" i="1"/>
  <c r="B396" i="1"/>
  <c r="C395" i="1"/>
  <c r="B395" i="1"/>
  <c r="C394" i="1"/>
  <c r="B394" i="1"/>
  <c r="C393" i="1"/>
  <c r="B393" i="1"/>
  <c r="C392" i="1"/>
  <c r="B392" i="1"/>
  <c r="C391" i="1"/>
  <c r="B391" i="1"/>
  <c r="C390" i="1"/>
  <c r="B390" i="1"/>
  <c r="C389" i="1"/>
  <c r="B389" i="1"/>
  <c r="C388" i="1"/>
  <c r="B388" i="1"/>
  <c r="C387" i="1"/>
  <c r="B387" i="1"/>
  <c r="C386" i="1"/>
  <c r="B386" i="1"/>
  <c r="C385" i="1"/>
  <c r="B385" i="1"/>
  <c r="C384" i="1"/>
  <c r="B384" i="1"/>
  <c r="C383" i="1"/>
  <c r="B383" i="1"/>
  <c r="C382" i="1"/>
  <c r="B382" i="1"/>
  <c r="C381" i="1"/>
  <c r="B381" i="1"/>
  <c r="C380" i="1"/>
  <c r="B380" i="1"/>
  <c r="C379" i="1"/>
  <c r="B379" i="1"/>
  <c r="C378" i="1"/>
  <c r="B378" i="1"/>
  <c r="C377" i="1"/>
  <c r="B377" i="1"/>
  <c r="C376" i="1"/>
  <c r="B376" i="1"/>
  <c r="C375" i="1"/>
  <c r="B375" i="1"/>
  <c r="C374" i="1"/>
  <c r="B374" i="1"/>
  <c r="C373" i="1"/>
  <c r="B373" i="1"/>
  <c r="C372" i="1"/>
  <c r="B372" i="1"/>
  <c r="C371" i="1"/>
  <c r="B371" i="1"/>
  <c r="C370" i="1"/>
  <c r="B370" i="1"/>
  <c r="C369" i="1"/>
  <c r="B369" i="1"/>
  <c r="C368" i="1"/>
  <c r="B368" i="1"/>
  <c r="C367" i="1"/>
  <c r="B367" i="1"/>
  <c r="C366" i="1"/>
  <c r="B366" i="1"/>
  <c r="C365" i="1"/>
  <c r="B365" i="1"/>
  <c r="C364" i="1"/>
  <c r="B364" i="1"/>
  <c r="C363" i="1"/>
  <c r="B363" i="1"/>
  <c r="C362" i="1"/>
  <c r="B362" i="1"/>
  <c r="C361" i="1"/>
  <c r="B361" i="1"/>
  <c r="C360" i="1"/>
  <c r="B360" i="1"/>
  <c r="C359" i="1"/>
  <c r="B359" i="1"/>
  <c r="C358" i="1"/>
  <c r="B358" i="1"/>
  <c r="C357" i="1"/>
  <c r="B357" i="1"/>
  <c r="C356" i="1"/>
  <c r="B356" i="1"/>
  <c r="C355" i="1"/>
  <c r="B355" i="1"/>
  <c r="C354" i="1"/>
  <c r="B354" i="1"/>
  <c r="C353" i="1"/>
  <c r="B353" i="1"/>
  <c r="C352" i="1"/>
  <c r="B352" i="1"/>
  <c r="C351" i="1"/>
  <c r="B351" i="1"/>
  <c r="C350" i="1"/>
  <c r="B350" i="1"/>
  <c r="C349" i="1"/>
  <c r="B349" i="1"/>
  <c r="C348" i="1"/>
  <c r="B348" i="1"/>
  <c r="C347" i="1"/>
  <c r="B347" i="1"/>
  <c r="C346" i="1"/>
  <c r="B346" i="1"/>
  <c r="C345" i="1"/>
  <c r="B345" i="1"/>
  <c r="C344" i="1"/>
  <c r="B344" i="1"/>
  <c r="C343" i="1"/>
  <c r="B343" i="1"/>
  <c r="C342" i="1"/>
  <c r="B342" i="1"/>
  <c r="C341" i="1"/>
  <c r="B341" i="1"/>
  <c r="C340" i="1"/>
  <c r="B340" i="1"/>
  <c r="C339" i="1"/>
  <c r="B339" i="1"/>
  <c r="C338" i="1"/>
  <c r="B338" i="1"/>
  <c r="C337" i="1"/>
  <c r="B337" i="1"/>
  <c r="C336" i="1"/>
  <c r="B336" i="1"/>
  <c r="C335" i="1"/>
  <c r="B335" i="1"/>
  <c r="C334" i="1"/>
  <c r="B334" i="1"/>
  <c r="C333" i="1"/>
  <c r="B333" i="1"/>
  <c r="C332" i="1"/>
  <c r="B332" i="1"/>
  <c r="C331" i="1"/>
  <c r="B331" i="1"/>
  <c r="C330" i="1"/>
  <c r="B330" i="1"/>
  <c r="C329" i="1"/>
  <c r="B329" i="1"/>
  <c r="C328" i="1"/>
  <c r="B328" i="1"/>
  <c r="C327" i="1"/>
  <c r="B327" i="1"/>
  <c r="C326" i="1"/>
  <c r="B326" i="1"/>
  <c r="C325" i="1"/>
  <c r="B325" i="1"/>
  <c r="C324" i="1"/>
  <c r="B324" i="1"/>
  <c r="C323" i="1"/>
  <c r="B323" i="1"/>
  <c r="C322" i="1"/>
  <c r="B322" i="1"/>
  <c r="C321" i="1"/>
  <c r="B321" i="1"/>
  <c r="C320" i="1"/>
  <c r="B320" i="1"/>
  <c r="C319" i="1"/>
  <c r="B319" i="1"/>
  <c r="C318" i="1"/>
  <c r="B318" i="1"/>
  <c r="C317" i="1"/>
  <c r="B317" i="1"/>
  <c r="C316" i="1"/>
  <c r="B316" i="1"/>
  <c r="C315" i="1"/>
  <c r="B315" i="1"/>
  <c r="C314" i="1"/>
  <c r="B314" i="1"/>
  <c r="C313" i="1"/>
  <c r="B313" i="1"/>
  <c r="C312" i="1"/>
  <c r="B312" i="1"/>
  <c r="C311" i="1"/>
  <c r="B311" i="1"/>
  <c r="C310" i="1"/>
  <c r="B310" i="1"/>
  <c r="C309" i="1"/>
  <c r="B309" i="1"/>
  <c r="C308" i="1"/>
  <c r="B308" i="1"/>
  <c r="C307" i="1"/>
  <c r="B307" i="1"/>
  <c r="C306" i="1"/>
  <c r="B306" i="1"/>
  <c r="C305" i="1"/>
  <c r="B305" i="1"/>
  <c r="C304" i="1"/>
  <c r="B304" i="1"/>
  <c r="C303" i="1"/>
  <c r="B303" i="1"/>
  <c r="C302" i="1"/>
  <c r="B302" i="1"/>
  <c r="C301" i="1"/>
  <c r="B301" i="1"/>
  <c r="C300" i="1"/>
  <c r="B300" i="1"/>
  <c r="C299" i="1"/>
  <c r="B299" i="1"/>
  <c r="C298" i="1"/>
  <c r="B298" i="1"/>
  <c r="C297" i="1"/>
  <c r="B297" i="1"/>
  <c r="C296" i="1"/>
  <c r="B296" i="1"/>
  <c r="C295" i="1"/>
  <c r="B295" i="1"/>
  <c r="C294" i="1"/>
  <c r="B294" i="1"/>
  <c r="C293" i="1"/>
  <c r="B293" i="1"/>
  <c r="C292" i="1"/>
  <c r="B292" i="1"/>
  <c r="C291" i="1"/>
  <c r="B291" i="1"/>
  <c r="C290" i="1"/>
  <c r="B290" i="1"/>
  <c r="C289" i="1"/>
  <c r="B289" i="1"/>
  <c r="C288" i="1"/>
  <c r="B288" i="1"/>
  <c r="C287" i="1"/>
  <c r="B287" i="1"/>
  <c r="C286" i="1"/>
  <c r="B286" i="1"/>
  <c r="C285" i="1"/>
  <c r="B285" i="1"/>
  <c r="C284" i="1"/>
  <c r="B284" i="1"/>
  <c r="C283" i="1"/>
  <c r="B283" i="1"/>
  <c r="C282" i="1"/>
  <c r="B282" i="1"/>
  <c r="C281" i="1"/>
  <c r="B281" i="1"/>
  <c r="C280" i="1"/>
  <c r="B280" i="1"/>
  <c r="C279" i="1"/>
  <c r="B279" i="1"/>
  <c r="C278" i="1"/>
  <c r="B278" i="1"/>
  <c r="C277" i="1"/>
  <c r="B277" i="1"/>
  <c r="C276" i="1"/>
  <c r="B276" i="1"/>
  <c r="C275" i="1"/>
  <c r="B275" i="1"/>
  <c r="C274" i="1"/>
  <c r="B274" i="1"/>
  <c r="C273" i="1"/>
  <c r="B273" i="1"/>
  <c r="C272" i="1"/>
  <c r="B272" i="1"/>
  <c r="C271" i="1"/>
  <c r="B271" i="1"/>
  <c r="C270" i="1"/>
  <c r="B270" i="1"/>
  <c r="C269" i="1"/>
  <c r="B269" i="1"/>
  <c r="C268" i="1"/>
  <c r="B268" i="1"/>
  <c r="C267" i="1"/>
  <c r="B267" i="1"/>
  <c r="C266" i="1"/>
  <c r="B266" i="1"/>
  <c r="C265" i="1"/>
  <c r="B265" i="1"/>
  <c r="C264" i="1"/>
  <c r="B264" i="1"/>
  <c r="C263" i="1"/>
  <c r="B263" i="1"/>
  <c r="C262" i="1"/>
  <c r="B262" i="1"/>
  <c r="C261" i="1"/>
  <c r="B261" i="1"/>
  <c r="C260" i="1"/>
  <c r="B260" i="1"/>
  <c r="C259" i="1"/>
  <c r="B259" i="1"/>
  <c r="C258" i="1"/>
  <c r="B258" i="1"/>
  <c r="C257" i="1"/>
  <c r="B257" i="1"/>
  <c r="C256" i="1"/>
  <c r="B256" i="1"/>
  <c r="C255" i="1"/>
  <c r="B255" i="1"/>
  <c r="C254" i="1"/>
  <c r="B254" i="1"/>
  <c r="C253" i="1"/>
  <c r="B253" i="1"/>
  <c r="C252" i="1"/>
  <c r="B252" i="1"/>
  <c r="C251" i="1"/>
  <c r="B251" i="1"/>
  <c r="C250" i="1"/>
  <c r="B250" i="1"/>
  <c r="C249" i="1"/>
  <c r="B249" i="1"/>
  <c r="C248" i="1"/>
  <c r="B248" i="1"/>
  <c r="C247" i="1"/>
  <c r="B247" i="1"/>
  <c r="C246" i="1"/>
  <c r="B246" i="1"/>
  <c r="C245" i="1"/>
  <c r="B245" i="1"/>
  <c r="C244" i="1"/>
  <c r="B244" i="1"/>
  <c r="C243" i="1"/>
  <c r="B243" i="1"/>
  <c r="C242" i="1"/>
  <c r="B242" i="1"/>
  <c r="C241" i="1"/>
  <c r="B241" i="1"/>
  <c r="C240" i="1"/>
  <c r="B240" i="1"/>
  <c r="C239" i="1"/>
  <c r="B239" i="1"/>
  <c r="C238" i="1"/>
  <c r="B238" i="1"/>
  <c r="C237" i="1"/>
  <c r="B237" i="1"/>
  <c r="C236" i="1"/>
  <c r="B236" i="1"/>
  <c r="C235" i="1"/>
  <c r="B235" i="1"/>
  <c r="C234" i="1"/>
  <c r="B234" i="1"/>
  <c r="C233" i="1"/>
  <c r="B233" i="1"/>
  <c r="C232" i="1"/>
  <c r="B232" i="1"/>
  <c r="C231" i="1"/>
  <c r="B231" i="1"/>
  <c r="C230" i="1"/>
  <c r="B230" i="1"/>
  <c r="C229" i="1"/>
  <c r="B229" i="1"/>
  <c r="C228" i="1"/>
  <c r="B228" i="1"/>
  <c r="C227" i="1"/>
  <c r="B227" i="1"/>
  <c r="C226" i="1"/>
  <c r="B226" i="1"/>
  <c r="C225" i="1"/>
  <c r="B225" i="1"/>
  <c r="C224" i="1"/>
  <c r="B224" i="1"/>
  <c r="C223" i="1"/>
  <c r="B223" i="1"/>
  <c r="C222" i="1"/>
  <c r="B222" i="1"/>
  <c r="C221" i="1"/>
  <c r="B221" i="1"/>
  <c r="C220" i="1"/>
  <c r="B220" i="1"/>
  <c r="C219" i="1"/>
  <c r="B219" i="1"/>
  <c r="C218" i="1"/>
  <c r="B218" i="1"/>
  <c r="C217" i="1"/>
  <c r="B217" i="1"/>
  <c r="C216" i="1"/>
  <c r="B216" i="1"/>
  <c r="C215" i="1"/>
  <c r="B215" i="1"/>
  <c r="C214" i="1"/>
  <c r="B214" i="1"/>
  <c r="C213" i="1"/>
  <c r="B213" i="1"/>
  <c r="C212" i="1"/>
  <c r="B212" i="1"/>
  <c r="C211" i="1"/>
  <c r="B211" i="1"/>
  <c r="C210" i="1"/>
  <c r="B210" i="1"/>
  <c r="C209" i="1"/>
  <c r="B209" i="1"/>
  <c r="C208" i="1"/>
  <c r="B208" i="1"/>
  <c r="C207" i="1"/>
  <c r="B207" i="1"/>
  <c r="C206" i="1"/>
  <c r="B206" i="1"/>
  <c r="C205" i="1"/>
  <c r="B205" i="1"/>
  <c r="C204" i="1"/>
  <c r="B204" i="1"/>
  <c r="C203" i="1"/>
  <c r="B203" i="1"/>
  <c r="C202" i="1"/>
  <c r="B202" i="1"/>
  <c r="C201" i="1"/>
  <c r="B201" i="1"/>
  <c r="C200" i="1"/>
  <c r="B200" i="1"/>
  <c r="C199" i="1"/>
  <c r="B199" i="1"/>
  <c r="C198" i="1"/>
  <c r="B198" i="1"/>
  <c r="C197" i="1"/>
  <c r="B197" i="1"/>
  <c r="C196" i="1"/>
  <c r="B196" i="1"/>
  <c r="C195" i="1"/>
  <c r="B195" i="1"/>
  <c r="C194" i="1"/>
  <c r="B194" i="1"/>
  <c r="C193" i="1"/>
  <c r="B193" i="1"/>
  <c r="C192" i="1"/>
  <c r="B192" i="1"/>
  <c r="C191" i="1"/>
  <c r="B191" i="1"/>
  <c r="C190" i="1"/>
  <c r="B190" i="1"/>
  <c r="C189" i="1"/>
  <c r="B189" i="1"/>
  <c r="C188" i="1"/>
  <c r="B188" i="1"/>
  <c r="C187" i="1"/>
  <c r="B187" i="1"/>
  <c r="C186" i="1"/>
  <c r="B186" i="1"/>
  <c r="C185" i="1"/>
  <c r="B185" i="1"/>
  <c r="C184" i="1"/>
  <c r="B184" i="1"/>
  <c r="C183" i="1"/>
  <c r="B183" i="1"/>
  <c r="C182" i="1"/>
  <c r="B182" i="1"/>
  <c r="C181" i="1"/>
  <c r="B181" i="1"/>
  <c r="C180" i="1"/>
  <c r="B180" i="1"/>
  <c r="C179" i="1"/>
  <c r="B179" i="1"/>
  <c r="C178" i="1"/>
  <c r="B178" i="1"/>
  <c r="C177" i="1"/>
  <c r="B177" i="1"/>
  <c r="C176" i="1"/>
  <c r="B176" i="1"/>
  <c r="C175" i="1"/>
  <c r="B175" i="1"/>
  <c r="C174" i="1"/>
  <c r="B174" i="1"/>
  <c r="C173"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158" i="1"/>
  <c r="B158" i="1"/>
  <c r="C157" i="1"/>
  <c r="B157" i="1"/>
  <c r="C156" i="1"/>
  <c r="B156" i="1"/>
  <c r="C155" i="1"/>
  <c r="B155" i="1"/>
  <c r="C154" i="1"/>
  <c r="B154" i="1"/>
  <c r="C153" i="1"/>
  <c r="B153" i="1"/>
  <c r="C152" i="1"/>
  <c r="B152" i="1"/>
  <c r="C151" i="1"/>
  <c r="B151" i="1"/>
  <c r="C150" i="1"/>
  <c r="B150" i="1"/>
  <c r="C149" i="1"/>
  <c r="B149" i="1"/>
  <c r="C148" i="1"/>
  <c r="B148" i="1"/>
  <c r="C147" i="1"/>
  <c r="B147" i="1"/>
  <c r="C146" i="1"/>
  <c r="B146" i="1"/>
  <c r="C145" i="1"/>
  <c r="B145" i="1"/>
  <c r="C144" i="1"/>
  <c r="B144" i="1"/>
  <c r="C143" i="1"/>
  <c r="B143" i="1"/>
  <c r="C142" i="1"/>
  <c r="B142" i="1"/>
  <c r="C141" i="1"/>
  <c r="B141" i="1"/>
  <c r="C140" i="1"/>
  <c r="B140" i="1"/>
  <c r="C139" i="1"/>
  <c r="B139" i="1"/>
  <c r="C138" i="1"/>
  <c r="B138" i="1"/>
  <c r="C137" i="1"/>
  <c r="B137" i="1"/>
  <c r="C136" i="1"/>
  <c r="B136" i="1"/>
  <c r="C135" i="1"/>
  <c r="B135" i="1"/>
  <c r="C134" i="1"/>
  <c r="B134" i="1"/>
  <c r="C133" i="1"/>
  <c r="B133" i="1"/>
  <c r="C132" i="1"/>
  <c r="B132" i="1"/>
  <c r="C131" i="1"/>
  <c r="B131" i="1"/>
  <c r="C130" i="1"/>
  <c r="B130" i="1"/>
  <c r="C129" i="1"/>
  <c r="B129" i="1"/>
  <c r="C128" i="1"/>
  <c r="B128" i="1"/>
  <c r="C127" i="1"/>
  <c r="B127" i="1"/>
  <c r="C126" i="1"/>
  <c r="B126" i="1"/>
  <c r="C125" i="1"/>
  <c r="B125" i="1"/>
  <c r="C124" i="1"/>
  <c r="B124" i="1"/>
  <c r="C123" i="1"/>
  <c r="B123" i="1"/>
  <c r="C122" i="1"/>
  <c r="B122" i="1"/>
  <c r="C121" i="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C6" i="1"/>
  <c r="B6" i="1"/>
  <c r="C5" i="1"/>
  <c r="B5" i="1"/>
  <c r="C4" i="1"/>
  <c r="B4" i="1"/>
  <c r="C3" i="1"/>
  <c r="B3" i="1"/>
  <c r="C2" i="1"/>
  <c r="B2" i="1"/>
</calcChain>
</file>

<file path=xl/sharedStrings.xml><?xml version="1.0" encoding="utf-8"?>
<sst xmlns="http://schemas.openxmlformats.org/spreadsheetml/2006/main" count="4" uniqueCount="4">
  <si>
    <t>label</t>
  </si>
  <si>
    <t>quality</t>
  </si>
  <si>
    <t>sentences</t>
  </si>
  <si>
    <t>Double Ninth Festival posters promoting respect for the elderly. Jinan Branch delivered cooling supplies to frontline builders of key projects in Jinan. Shanghai Branch has traveled deep into the mountains for 15 consecutive years to help students at Ping An Hope Primary School realize their dreams. The 92 Charity Run event transformed steps into donations to the Xiaoping Science and Technology Innovation Laboratory, supporting a mother with pneumoconiosis and other public welfare projects. Volunteers from Fuzhou Branch visited impoverished villagers in Minhou County. Shanghai Branch defended Shanghai with Ping An guaranteeing financial services. Guangzhou Branch launched a battle to protect against the epidemic. Qingdao Branch's most beautiful retrogrades during the epidemic. 93 Appendix I Third-party Verification 9495 II GRI Standard Content Index Disclosure Item Content Location in the Report GRI 2 General Disclosure Organization and its Reporting Practices 21 Organization Details About Us 22 Entities Included in the Organization's Sustainability Report Appendix About This Report 23 Reporting Period Reporting Frequency and Contacts Appendix About This Report Feedback Form 25 External Assurance Appendix Third-Party Assurance Activities and Workers 26 Activities Value Chain and Other Business Relationships About Us 27 Employees Working Together for Employee Growth Recruiting Outstanding Talent 28 Workers Other Than Employees Appendix About This Report Governance 29 Governance Structure and Composition Promoting Sound Operations and Improving Corporate Governance 212 The Highest Governance Body's Oversight Role in Managing Impacts Promoting Sustainable Development Sustainable Development Management 213 Delegating Responsibilities for Managing Impacts Promoting Sustainable Development Sustainable Development Management 214 The Highest Governance Body's Role in Sustainable Development Role of the Report Promoting Sustainable Development Sustainable Development Management 216 Communication of Key Concerns Promoting Sound Operations and Improving Corporate Governance 217 Shared Knowledge of the Highest Governance Body Promoting Sound Operations and Improving Corporate Governance 218 Performance Evaluation of the Highest Governance Body Promoting Sound Operations and Improving Corporate Governance 219 Remuneration Policy Promoting Sound Operations and Improving Corporate Governance 220 Procedures for Determining Remuneration Promoting Sound Operations and Improving Corporate Governance Strategy, Policies and Practices 222 Statement on the Sustainable Development Strategy Promoting Sustainable Development Sustainable Development Strategy 223 Policy Commitments Working Together for Employee Growth Friendly Workplace Environment 224 Integration of Policy Commitments Promoting Sustainable Development Sustainable Development Strategy Development Green Finance Strategy and Targets 225 Procedures for Remediating Negative Impacts Promoting Sound Operations and Adhering to Compliance Bottom Lines 226 Mechanisms for Seeking Advice and Raising Concerns Promoting Sound Operations and Adhering to Compliance Bottom Lines Stakeholder Engagement 229 Methods of Stakeholder Engagement Promoting Sustainable Development Stakeholder Communication 96 230 Collective Bargaining Agreement Working Together for Employee Growth Friendly Workplace Environment GRI 3 Material Topics 31 Process for Determining Material Topics Promoting Sustainable Development Material Topics 32 List of Material Topics Promoting Sustainable Development Material Topics GRI 201 Economic Performance 2011 Directly Generated and Distributed Economic Value About Us ESG Key Performance 2012 Financial Impacts of Climate Change and Other Impacts Other risks and opportunities: Develop green finance, strengthen environmental risk management; 2013; Obligatory defined benefit plans and other retirement plans; Work with employees to grow and recruit outstanding talents; GRI 203 Indirect economic impact; 2031; Infrastructure investment and supporting services; Serving the real economy; Practicing inclusive finance; Focusing on community welfare; 2032; Significant indirect economic impact; Serving the real economy; Practicing inclusive finance; GRI 204 Procurement practices; 33; Management of material issues; Promote sound operations and adhere to compliance bottom lines; Develop green finance and promote green and low-carbon operations; GRI 205 Anti-corruption; 2051; Operations that have undergone corruption risk assessments; Promote sound operations and adhere to compliance bottom lines; 2052; Communication of anti-corruption policies and procedures. 2053 Confirmed corruption incidents and actions taken Promote sound operations and strictly adhere to compliance bottom lines GRI 301 Materials 3011 Weight or volume of materials used Develop green finance Promote green and low-carbon operations GRI 302 Energy 3021 Energy consumption within the organization Develop green finance Environmental impact of business activities 3022 Energy consumption outside the organization Develop green finance Environmental impact of business activities 3023 Energy intensity Develop green finance Environmental impact of business activities 3024 Reduce energy consumption Develop green finance Promote green and low-carbon operations 3025 Reduce energy demand for products and services Develop green finance Promote green and low Carbon Operations GRI 303 Water Resources and Wastewater 3035 Water Consumption Development Green Finance Environmental Impacts 97 GRI 305 Emissions 3051 Direct Greenhouse Gas Emissions Development Green Finance Environmental Impacts 3052 Energy Indirect Greenhouse Gas Emissions Development Green Finance Environmental Impacts 3053 Other Indirect Greenhouse Gas Emissions Development Green Finance Environmental Impacts 3054 Greenhouse Gas Emission Intensity Development Green Finance Environmental Impacts 3055 Greenhouse Gas Emission Reduction Development Green Finance Environmental Impacts 3057 Nitrogen Oxides (NOX) Sulfur Oxides (SOX) and Other Significant Gas Emissions Development Green Finance GRI 306 Waste 3062 Management of Significant Waste-Related Impacts Develop Green Finance to Promote Green and Low-Carbon Operations 3063 Waste Generated Develop Green Finance 3064 Waste Diverted from Disposal Develop Green Finance to Promote Green and Low-Carbon Operations 3065 Waste Entering Disposal Develop Green Finance to Promote Green and Low-Carbon Operations GRI 308 Supplier Environmental Assessment 3081 New Suppliers Screened Using Environmental Criteria Develop Green Finance to Promote Green and Low-Carbon Operations 3082 Negative Environmental Impacts of the Supply Chain and Actions Taken Develop Green Finance to Promote Green Low Carbon Operations GRI 401 Employment 4011 New Hires and Employee Turnover Rates Growing with Employees and Recruiting Excellent Talent 4012 Benefits Provided to Full-time Employees Excluding Temporary or Part-time Employees Growing with Employees and Recruiting Excellent Talent 4013 Parental Leave Growing with Employees and Recruiting Excellent Talent GRI 402 Labor-Management Relations 33 Management of Material Topics Growing with Employees Friendly Workplace Environment GRI 403 Occupational Health and Safety 4033 Occupational Health Services Growing with Employees Friendly Workplace Environment 4036 Promoting Worker Health Growing with Employees Friendly Workplace Environment 4037 Preventing and Mitigating Occupational Health and Safety Impacts Directly Related to Business Relationships Growing with Employees and Recruiting Excellent Talent Environment 4039 Work-related injuries Working together with employees to grow and recruit outstanding talents GRI 404 Training and Education 4041 Average hours of training per employee per year Working together with employees to grow and facilitate career development 98 4042 Employee skills improvement programs and transition assistance programs Working together with employees to grow and facilitate career development GRI 405 Diversity and Equal Opportunity 4051 Diversity of governance bodies and employees Working together with employees to grow and facilitate career development GRI 406 Anti-discrimination 33 Management of material issues Working together with employees to grow and foster a friendly workplace environment GRI 407 Freedom of association and collective bargaining 33 Management of material issues Working together with employees to grow and foster a friendly workplace environment GRI 408 Child Labor 33 Management of material issues GRI409 Forced or Compulsory Labor 33 Management of Material Topics GRI413 Local Community 4131 Operations with local communities involved in impact assessments and development plans Focus on community public welfare GRI414 Supplier Social Assessment 33 Management of Material Topics Promote sound operations and adhere to compliance standards Develop green finance and promote green and low-carbon operations GRI416 Customer Health and Safety 33 Management of Material Topics Improve customer experience Enhance customer service capabilities GRI417 Marketing and Labeling 33 Management of Material Topics Promote sound operations and adhere to compliance standards GRI418 Customer Privacy 33 Issue management improves customer experience, privacy, and data security. 99. 3. People's Bank of China Environmental Information Disclosure Guidelines Content Index Indicator Content Location in the Report Annual Overview About Us Developing Green Finance Strategies and Goals Environmentally-Related Governance Structures Promoting Sustainable Development Sustainable Development Management Developing Green Finance Improving the Green Finance Management System Environmentally-Related Policies and Systems Developing Green Finance Consolidating the Green Finance System Construction Environmentally-Related Products and Services Innovation Development Green Finance Innovation Green Products and Research Environmental Risk Management Process Development Green Finance Strengthening Environmental Risk Management Impact of Environmental Factors on Financial Institutions Developing Green Finance Strengthening Environmental Risk Management Environmental Impacts of Investment and Financing Activities Developing Green Finance Assessing the Environmental Impact of Investment and Financing Environmental impact of business activities Development of green finance Promoting green and low-carbon operations Environmental impact of business activities Data collation, verification and protection Improving customer experience Privacy and data security Development of green finance Assessment of investment and financing environmental impact Green finance innovation and research results Development of green finance innovation Green products and services Industry exchange and research training Other environment-related information Development of green finance IV Shenzhen Financial Institutions Environmental Information Disclosure Guidelines Content Index Indicator Content Location in the report Basic Information About us Development of green finance strategy and objectives Strategic objectives Promoting sustainable development Sustainable development strategy Development of green finance strategy and objectives Governance structure Promoting sustainable development Sustainable development management Development of green finance Improving the green finance management system Policy and system development Green finance Consolidating the construction of green finance system Environmental risk management Development of green finance Strengthening environmental risk management Environmental impact of business activities Development of green finance Promoting green and low-carbon operations Environmental impact of business activities 100 Environmental impact of investment and financing activities Development of green finance Assessment of investment and financing environmental impact Innovation and research Development of green finance Innovation of green products and services Industry exchange and research training Data quality management Improving customer experience Privacy and data security Development of green finance Assessment of investment and financing environmental impact V TCFD Content Index Indicator Content Location in the report Governance description of the board of directors' monitoring of climate-related risks and opportunities Description of management's role in assessing and managing 101 VI. About this report This report is the 14th annual social responsibility and sustainable development report issued by Ping An Bank. It focuses on disclosing relevant information on the company's sustainable development in the areas of economic, social and environmental governance.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</si>
</sst>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8472"/>
  <sheetViews>
    <sheetView tabSelected="1" topLeftCell="A8534" workbookViewId="0">
      <selection activeCell="A11" sqref="A11"/>
    </sheetView>
  </sheetViews>
  <sheetFormatPr baseColWidth="10" defaultColWidth="12.6640625" defaultRowHeight="15.75" customHeight="1" x14ac:dyDescent="0.15"/>
  <cols>
    <col min="1" max="2" width="41.5" bestFit="1" customWidth="1"/>
    <col min="3" max="3" width="14.33203125" bestFit="1" customWidth="1"/>
  </cols>
  <sheetData>
    <row r="1" spans="1:3" ht="15.75" customHeight="1" x14ac:dyDescent="0.15">
      <c r="A1" s="1" t="s">
        <v>2</v>
      </c>
      <c r="B1" s="1" t="s">
        <v>0</v>
      </c>
      <c r="C1" s="1" t="s">
        <v>1</v>
      </c>
    </row>
    <row r="2" spans="1:3" ht="15.75" customHeight="1" x14ac:dyDescent="0.15">
      <c r="A2" s="1" t="str">
        <f ca="1">IFERROR(__xludf.DUMMYFUNCTION("GOOGLETRANSLATE(A2, ""zh"", ""en"")"),"We are constantly improving our manufacturing process")</f>
        <v>We are constantly improving our manufacturing process</v>
      </c>
      <c r="B2" s="1" t="str">
        <f ca="1">IFERROR(__xludf.DUMMYFUNCTION("GOOGLETRANSLATE(A2, ""zh"", ""en"")"),"irrelevant text")</f>
        <v>irrelevant text</v>
      </c>
      <c r="C2" s="1" t="str">
        <f ca="1">IFERROR(__xludf.DUMMYFUNCTION("GOOGLETRANSLATE(E2, ""zh"", ""en"")"),"irrelevant text")</f>
        <v>irrelevant text</v>
      </c>
    </row>
    <row r="3" spans="1:3" ht="15.75" customHeight="1" x14ac:dyDescent="0.15">
      <c r="A3" s="1" t="str">
        <f ca="1">IFERROR(__xludf.DUMMYFUNCTION("GOOGLETRANSLATE(A3, ""zh"", ""en"")"),"We actively fulfill our social responsibilities")</f>
        <v>We actively fulfill our social responsibilities</v>
      </c>
      <c r="B3" s="1" t="str">
        <f ca="1">IFERROR(__xludf.DUMMYFUNCTION("GOOGLETRANSLATE(A3, ""zh"", ""en"")"),"irrelevant text")</f>
        <v>irrelevant text</v>
      </c>
      <c r="C3" s="1" t="str">
        <f ca="1">IFERROR(__xludf.DUMMYFUNCTION("GOOGLETRANSLATE(E3, ""zh"", ""en"")"),"irrelevant text")</f>
        <v>irrelevant text</v>
      </c>
    </row>
    <row r="4" spans="1:3" ht="15.75" customHeight="1" x14ac:dyDescent="0.15">
      <c r="A4" s="1" t="str">
        <f ca="1">IFERROR(__xludf.DUMMYFUNCTION("GOOGLETRANSLATE(A4, ""zh"", ""en"")"),"For more information, please visit the company website")</f>
        <v>For more information, please visit the company website</v>
      </c>
      <c r="B4" s="1" t="str">
        <f ca="1">IFERROR(__xludf.DUMMYFUNCTION("GOOGLETRANSLATE(A4, ""zh"", ""en"")"),"irrelevant text")</f>
        <v>irrelevant text</v>
      </c>
      <c r="C4" s="1" t="str">
        <f ca="1">IFERROR(__xludf.DUMMYFUNCTION("GOOGLETRANSLATE(E4, ""zh"", ""en"")"),"irrelevant text")</f>
        <v>irrelevant text</v>
      </c>
    </row>
    <row r="5" spans="1:3" ht="15.75" customHeight="1" x14ac:dyDescent="0.15">
      <c r="A5" s="1" t="str">
        <f ca="1">IFERROR(__xludf.DUMMYFUNCTION("GOOGLETRANSLATE(A5, ""zh"", ""en"")"),"Working together with partners to build a better society")</f>
        <v>Working together with partners to build a better society</v>
      </c>
      <c r="B5" s="1" t="str">
        <f ca="1">IFERROR(__xludf.DUMMYFUNCTION("GOOGLETRANSLATE(A5, ""zh"", ""en"")"),"irrelevant text")</f>
        <v>irrelevant text</v>
      </c>
      <c r="C5" s="1" t="str">
        <f ca="1">IFERROR(__xludf.DUMMYFUNCTION("GOOGLETRANSLATE(E5, ""zh"", ""en"")"),"irrelevant text")</f>
        <v>irrelevant text</v>
      </c>
    </row>
    <row r="6" spans="1:3" ht="15.75" customHeight="1" x14ac:dyDescent="0.15">
      <c r="A6" s="1" t="str">
        <f ca="1">IFERROR(__xludf.DUMMYFUNCTION("GOOGLETRANSLATE(A6, ""zh"", ""en"")"),"Sticking to the original intention and contributing to the prosperity of the industry")</f>
        <v>Sticking to the original intention and contributing to the prosperity of the industry</v>
      </c>
      <c r="B6" s="1" t="str">
        <f ca="1">IFERROR(__xludf.DUMMYFUNCTION("GOOGLETRANSLATE(A6, ""zh"", ""en"")"),"irrelevant text")</f>
        <v>irrelevant text</v>
      </c>
      <c r="C6" s="1" t="str">
        <f ca="1">IFERROR(__xludf.DUMMYFUNCTION("GOOGLETRANSLATE(E6, ""zh"", ""en"")"),"irrelevant text")</f>
        <v>irrelevant text</v>
      </c>
    </row>
    <row r="7" spans="1:3" ht="15.75" customHeight="1" x14ac:dyDescent="0.15">
      <c r="A7" s="1" t="str">
        <f ca="1">IFERROR(__xludf.DUMMYFUNCTION("GOOGLETRANSLATE(A7, ""zh"", ""en"")"),"The company supports the growth of female employees")</f>
        <v>The company supports the growth of female employees</v>
      </c>
      <c r="B7" s="1" t="str">
        <f ca="1">IFERROR(__xludf.DUMMYFUNCTION("GOOGLETRANSLATE(A7, ""zh"", ""en"")"),"staff")</f>
        <v>staff</v>
      </c>
      <c r="C7" s="1" t="str">
        <f ca="1">IFERROR(__xludf.DUMMYFUNCTION("GOOGLETRANSLATE(E7, ""zh"", ""en"")"),"Qualitative text")</f>
        <v>Qualitative text</v>
      </c>
    </row>
    <row r="8" spans="1:3" ht="15.75" customHeight="1" x14ac:dyDescent="0.15">
      <c r="A8" s="1" t="str">
        <f ca="1">IFERROR(__xludf.DUMMYFUNCTION("GOOGLETRANSLATE(A8, ""zh"", ""en"")"),"Some content exceeds the above scope")</f>
        <v>Some content exceeds the above scope</v>
      </c>
      <c r="B8" s="1" t="str">
        <f ca="1">IFERROR(__xludf.DUMMYFUNCTION("GOOGLETRANSLATE(A8, ""zh"", ""en"")"),"irrelevant text")</f>
        <v>irrelevant text</v>
      </c>
      <c r="C8" s="1" t="str">
        <f ca="1">IFERROR(__xludf.DUMMYFUNCTION("GOOGLETRANSLATE(E8, ""zh"", ""en"")"),"irrelevant text")</f>
        <v>irrelevant text</v>
      </c>
    </row>
    <row r="9" spans="1:3" ht="15.75" customHeight="1" x14ac:dyDescent="0.15">
      <c r="A9" s="1" t="str">
        <f ca="1">IFERROR(__xludf.DUMMYFUNCTION("GOOGLETRANSLATE(A9, ""zh"", ""en"")"),"We actively practice social responsibility")</f>
        <v>We actively practice social responsibility</v>
      </c>
      <c r="B9" s="1" t="str">
        <f ca="1">IFERROR(__xludf.DUMMYFUNCTION("GOOGLETRANSLATE(A9, ""zh"", ""en"")"),"irrelevant text")</f>
        <v>irrelevant text</v>
      </c>
      <c r="C9" s="1" t="str">
        <f ca="1">IFERROR(__xludf.DUMMYFUNCTION("GOOGLETRANSLATE(E9, ""zh"", ""en"")"),"irrelevant text")</f>
        <v>irrelevant text</v>
      </c>
    </row>
    <row r="10" spans="1:3" ht="15.75" customHeight="1" x14ac:dyDescent="0.15">
      <c r="A10" s="1" t="str">
        <f ca="1">IFERROR(__xludf.DUMMYFUNCTION("GOOGLETRANSLATE(A10, ""zh"", ""en"")"),"Won the CES2023 Innovation Award")</f>
        <v>Won the CES2023 Innovation Award</v>
      </c>
      <c r="B10" s="1" t="str">
        <f ca="1">IFERROR(__xludf.DUMMYFUNCTION("GOOGLETRANSLATE(A10, ""zh"", ""en"")"),"Technological innovation")</f>
        <v>Technological innovation</v>
      </c>
      <c r="C10" s="1" t="str">
        <f ca="1">IFERROR(__xludf.DUMMYFUNCTION("GOOGLETRANSLATE(E10, ""zh"", ""en"")"),"Qualitative text")</f>
        <v>Qualitative text</v>
      </c>
    </row>
    <row r="11" spans="1:3" ht="15.75" customHeight="1" x14ac:dyDescent="0.15">
      <c r="A11" s="1" t="str">
        <f ca="1">IFERROR(__xludf.DUMMYFUNCTION("GOOGLETRANSLATE(A11, ""zh"", ""en"")"),"Education is the foundation of a country's prosperity and strength")</f>
        <v>Education is the foundation of a country's prosperity and strength</v>
      </c>
      <c r="B11" s="1" t="str">
        <f ca="1">IFERROR(__xludf.DUMMYFUNCTION("GOOGLETRANSLATE(A11, ""zh"", ""en"")"),"irrelevant text")</f>
        <v>irrelevant text</v>
      </c>
      <c r="C11" s="1" t="str">
        <f ca="1">IFERROR(__xludf.DUMMYFUNCTION("GOOGLETRANSLATE(E11, ""zh"", ""en"")"),"irrelevant text")</f>
        <v>irrelevant text</v>
      </c>
    </row>
    <row r="12" spans="1:3" ht="15.75" customHeight="1" x14ac:dyDescent="0.15">
      <c r="A12" s="1" t="str">
        <f ca="1">IFERROR(__xludf.DUMMYFUNCTION("GOOGLETRANSLATE(A12, ""zh"", ""en"")"),"Promoting the construction of party organizations in the Shanghai region")</f>
        <v>Promoting the construction of party organizations in the Shanghai region</v>
      </c>
      <c r="B12" s="1" t="str">
        <f ca="1">IFERROR(__xludf.DUMMYFUNCTION("GOOGLETRANSLATE(A12, ""zh"", ""en"")"),"irrelevant text")</f>
        <v>irrelevant text</v>
      </c>
      <c r="C12" s="1" t="str">
        <f ca="1">IFERROR(__xludf.DUMMYFUNCTION("GOOGLETRANSLATE(E12, ""zh"", ""en"")"),"irrelevant text")</f>
        <v>irrelevant text</v>
      </c>
    </row>
    <row r="13" spans="1:3" ht="15.75" customHeight="1" x14ac:dyDescent="0.15">
      <c r="A13" s="1" t="str">
        <f ca="1">IFERROR(__xludf.DUMMYFUNCTION("GOOGLETRANSLATE(A13, ""zh"", ""en"")"),"At the same time, the congress was successfully held")</f>
        <v>At the same time, the congress was successfully held</v>
      </c>
      <c r="B13" s="1" t="str">
        <f ca="1">IFERROR(__xludf.DUMMYFUNCTION("GOOGLETRANSLATE(A13, ""zh"", ""en"")"),"irrelevant text")</f>
        <v>irrelevant text</v>
      </c>
      <c r="C13" s="1" t="str">
        <f ca="1">IFERROR(__xludf.DUMMYFUNCTION("GOOGLETRANSLATE(E13, ""zh"", ""en"")"),"irrelevant text")</f>
        <v>irrelevant text</v>
      </c>
    </row>
    <row r="14" spans="1:3" ht="15.75" customHeight="1" x14ac:dyDescent="0.15">
      <c r="A14" s="1" t="str">
        <f ca="1">IFERROR(__xludf.DUMMYFUNCTION("GOOGLETRANSLATE(A14, ""zh"", ""en"")"),"In terms of cost, we can purchase raw materials and packaging materials in bulk.")</f>
        <v>In terms of cost, we can purchase raw materials and packaging materials in bulk.</v>
      </c>
      <c r="B14" s="1" t="str">
        <f ca="1">IFERROR(__xludf.DUMMYFUNCTION("GOOGLETRANSLATE(A14, ""zh"", ""en"")"),"raw materials")</f>
        <v>raw materials</v>
      </c>
      <c r="C14" s="1" t="str">
        <f ca="1">IFERROR(__xludf.DUMMYFUNCTION("GOOGLETRANSLATE(E14, ""zh"", ""en"")"),"Qualitative text")</f>
        <v>Qualitative text</v>
      </c>
    </row>
    <row r="15" spans="1:3" ht="15.75" customHeight="1" x14ac:dyDescent="0.15">
      <c r="A15" s="1" t="str">
        <f ca="1">IFERROR(__xludf.DUMMYFUNCTION("GOOGLETRANSLATE(A15, ""zh"", ""en"")"),"In addition, continuous improvement during the activity month")</f>
        <v>In addition, continuous improvement during the activity month</v>
      </c>
      <c r="B15" s="1" t="str">
        <f ca="1">IFERROR(__xludf.DUMMYFUNCTION("GOOGLETRANSLATE(A15, ""zh"", ""en"")"),"irrelevant text")</f>
        <v>irrelevant text</v>
      </c>
      <c r="C15" s="1" t="str">
        <f ca="1">IFERROR(__xludf.DUMMYFUNCTION("GOOGLETRANSLATE(E15, ""zh"", ""en"")"),"irrelevant text")</f>
        <v>irrelevant text</v>
      </c>
    </row>
    <row r="16" spans="1:3" ht="15.75" customHeight="1" x14ac:dyDescent="0.15">
      <c r="A16" s="1" t="str">
        <f ca="1">IFERROR(__xludf.DUMMYFUNCTION("GOOGLETRANSLATE(A16, ""zh"", ""en"")"),"Serving patients around the world for many years")</f>
        <v>Serving patients around the world for many years</v>
      </c>
      <c r="B16" s="1" t="str">
        <f ca="1">IFERROR(__xludf.DUMMYFUNCTION("GOOGLETRANSLATE(A16, ""zh"", ""en"")"),"Fighting the epidemic")</f>
        <v>Fighting the epidemic</v>
      </c>
      <c r="C16" s="1" t="str">
        <f ca="1">IFERROR(__xludf.DUMMYFUNCTION("GOOGLETRANSLATE(E16, ""zh"", ""en"")"),"Qualitative text")</f>
        <v>Qualitative text</v>
      </c>
    </row>
    <row r="17" spans="1:3" ht="15.75" customHeight="1" x14ac:dyDescent="0.15">
      <c r="A17" s="1" t="str">
        <f ca="1">IFERROR(__xludf.DUMMYFUNCTION("GOOGLETRANSLATE(A17, ""zh"", ""en"")"),"Managing climate risks in business activities")</f>
        <v>Managing climate risks in business activities</v>
      </c>
      <c r="B17" s="1" t="str">
        <f ca="1">IFERROR(__xludf.DUMMYFUNCTION("GOOGLETRANSLATE(A17, ""zh"", ""en"")"),"Addressing climate change")</f>
        <v>Addressing climate change</v>
      </c>
      <c r="C17" s="1" t="str">
        <f ca="1">IFERROR(__xludf.DUMMYFUNCTION("GOOGLETRANSLATE(E17, ""zh"", ""en"")"),"Qualitative text")</f>
        <v>Qualitative text</v>
      </c>
    </row>
    <row r="18" spans="1:3" ht="15.75" customHeight="1" x14ac:dyDescent="0.15">
      <c r="A18" s="1" t="str">
        <f ca="1">IFERROR(__xludf.DUMMYFUNCTION("GOOGLETRANSLATE(A18, ""zh"", ""en"")"),"Reporting channel acceptance process review letter")</f>
        <v>Reporting channel acceptance process review letter</v>
      </c>
      <c r="B18" s="1" t="str">
        <f ca="1">IFERROR(__xludf.DUMMYFUNCTION("GOOGLETRANSLATE(A18, ""zh"", ""en"")"),"Reporting System")</f>
        <v>Reporting System</v>
      </c>
      <c r="C18" s="1" t="str">
        <f ca="1">IFERROR(__xludf.DUMMYFUNCTION("GOOGLETRANSLATE(E18, ""zh"", ""en"")"),"Qualitative text")</f>
        <v>Qualitative text</v>
      </c>
    </row>
    <row r="19" spans="1:3" ht="15.75" customHeight="1" x14ac:dyDescent="0.15">
      <c r="A19" s="1" t="str">
        <f ca="1">IFERROR(__xludf.DUMMYFUNCTION("GOOGLETRANSLATE(A19, ""zh"", ""en"")"),"Implement a two-level internal control system")</f>
        <v>Implement a two-level internal control system</v>
      </c>
      <c r="B19" s="1" t="str">
        <f ca="1">IFERROR(__xludf.DUMMYFUNCTION("GOOGLETRANSLATE(A19, ""zh"", ""en"")"),"Organizational structure and operations")</f>
        <v>Organizational structure and operations</v>
      </c>
      <c r="C19" s="1" t="str">
        <f ca="1">IFERROR(__xludf.DUMMYFUNCTION("GOOGLETRANSLATE(E19, ""zh"", ""en"")"),"Qualitative text")</f>
        <v>Qualitative text</v>
      </c>
    </row>
    <row r="20" spans="1:3" ht="15.75" customHeight="1" x14ac:dyDescent="0.15">
      <c r="A20" s="1" t="str">
        <f ca="1">IFERROR(__xludf.DUMMYFUNCTION("GOOGLETRANSLATE(A20, ""zh"", ""en"")"),"Building a China Petroleum Agricultural Development Lecture Platform")</f>
        <v>Building a China Petroleum Agricultural Development Lecture Platform</v>
      </c>
      <c r="B20" s="1" t="str">
        <f ca="1">IFERROR(__xludf.DUMMYFUNCTION("GOOGLETRANSLATE(A20, ""zh"", ""en"")"),"Rural assistance")</f>
        <v>Rural assistance</v>
      </c>
      <c r="C20" s="1" t="str">
        <f ca="1">IFERROR(__xludf.DUMMYFUNCTION("GOOGLETRANSLATE(E20, ""zh"", ""en"")"),"Qualitative text")</f>
        <v>Qualitative text</v>
      </c>
    </row>
    <row r="21" spans="1:3" ht="15.75" customHeight="1" x14ac:dyDescent="0.15">
      <c r="A21" s="1" t="str">
        <f ca="1">IFERROR(__xludf.DUMMYFUNCTION("GOOGLETRANSLATE(A21, ""zh"", ""en"")"),"Building distinctive brands based on high-quality resources")</f>
        <v>Building distinctive brands based on high-quality resources</v>
      </c>
      <c r="B21" s="1" t="str">
        <f ca="1">IFERROR(__xludf.DUMMYFUNCTION("GOOGLETRANSLATE(A21, ""zh"", ""en"")"),"irrelevant text")</f>
        <v>irrelevant text</v>
      </c>
      <c r="C21" s="1" t="str">
        <f ca="1">IFERROR(__xludf.DUMMYFUNCTION("GOOGLETRANSLATE(E21, ""zh"", ""en"")"),"irrelevant text")</f>
        <v>irrelevant text</v>
      </c>
    </row>
    <row r="22" spans="1:3" ht="15.75" customHeight="1" x14ac:dyDescent="0.15">
      <c r="A22" s="1" t="str">
        <f ca="1">IFERROR(__xludf.DUMMYFUNCTION("GOOGLETRANSLATE(A22, ""zh"", ""en"")"),"Institutional and business independence")</f>
        <v>Institutional and business independence</v>
      </c>
      <c r="B22" s="1" t="str">
        <f ca="1">IFERROR(__xludf.DUMMYFUNCTION("GOOGLETRANSLATE(A22, ""zh"", ""en"")"),"Organizational structure and operations")</f>
        <v>Organizational structure and operations</v>
      </c>
      <c r="C22" s="1" t="str">
        <f ca="1">IFERROR(__xludf.DUMMYFUNCTION("GOOGLETRANSLATE(E22, ""zh"", ""en"")"),"Qualitative text")</f>
        <v>Qualitative text</v>
      </c>
    </row>
    <row r="23" spans="1:3" ht="15.75" customHeight="1" x14ac:dyDescent="0.15">
      <c r="A23" s="1" t="str">
        <f ca="1">IFERROR(__xludf.DUMMYFUNCTION("GOOGLETRANSLATE(A23, ""zh"", ""en"")"),"In case of any discrepancy, the simplified Chinese version shall prevail")</f>
        <v>In case of any discrepancy, the simplified Chinese version shall prevail</v>
      </c>
      <c r="B23" s="1" t="str">
        <f ca="1">IFERROR(__xludf.DUMMYFUNCTION("GOOGLETRANSLATE(A23, ""zh"", ""en"")"),"irrelevant text")</f>
        <v>irrelevant text</v>
      </c>
      <c r="C23" s="1" t="str">
        <f ca="1">IFERROR(__xludf.DUMMYFUNCTION("GOOGLETRANSLATE(E23, ""zh"", ""en"")"),"irrelevant text")</f>
        <v>irrelevant text</v>
      </c>
    </row>
    <row r="24" spans="1:3" ht="15.75" customHeight="1" x14ac:dyDescent="0.15">
      <c r="A24" s="1" t="str">
        <f ca="1">IFERROR(__xludf.DUMMYFUNCTION("GOOGLETRANSLATE(A24, ""zh"", ""en"")"),"Some content is appropriately traced back to previous years")</f>
        <v>Some content is appropriately traced back to previous years</v>
      </c>
      <c r="B24" s="1" t="str">
        <f ca="1">IFERROR(__xludf.DUMMYFUNCTION("GOOGLETRANSLATE(A24, ""zh"", ""en"")"),"irrelevant text")</f>
        <v>irrelevant text</v>
      </c>
      <c r="C24" s="1" t="str">
        <f ca="1">IFERROR(__xludf.DUMMYFUNCTION("GOOGLETRANSLATE(E24, ""zh"", ""en"")"),"irrelevant text")</f>
        <v>irrelevant text</v>
      </c>
    </row>
    <row r="25" spans="1:3" ht="15.75" customHeight="1" x14ac:dyDescent="0.15">
      <c r="A25" s="1" t="str">
        <f ca="1">IFERROR(__xludf.DUMMYFUNCTION("GOOGLETRANSLATE(A25, ""zh"", ""en"")"),"The water has been treated to meet the standards and has achieved remarkable results")</f>
        <v>The water has been treated to meet the standards and has achieved remarkable results</v>
      </c>
      <c r="B25" s="1" t="str">
        <f ca="1">IFERROR(__xludf.DUMMYFUNCTION("GOOGLETRANSLATE(A25, ""zh"", ""en"")"),"Water resources")</f>
        <v>Water resources</v>
      </c>
      <c r="C25" s="1" t="str">
        <f ca="1">IFERROR(__xludf.DUMMYFUNCTION("GOOGLETRANSLATE(E25, ""zh"", ""en"")"),"Qualitative text")</f>
        <v>Qualitative text</v>
      </c>
    </row>
    <row r="26" spans="1:3" ht="15.75" customHeight="1" x14ac:dyDescent="0.15">
      <c r="A26" s="1" t="str">
        <f ca="1">IFERROR(__xludf.DUMMYFUNCTION("GOOGLETRANSLATE(A26, ""zh"", ""en"")"),"Check and give full play to the supervisory role of employee representatives")</f>
        <v>Check and give full play to the supervisory role of employee representatives</v>
      </c>
      <c r="B26" s="1" t="str">
        <f ca="1">IFERROR(__xludf.DUMMYFUNCTION("GOOGLETRANSLATE(A26, ""zh"", ""en"")"),"staff")</f>
        <v>staff</v>
      </c>
      <c r="C26" s="1" t="str">
        <f ca="1">IFERROR(__xludf.DUMMYFUNCTION("GOOGLETRANSLATE(E26, ""zh"", ""en"")"),"Qualitative text")</f>
        <v>Qualitative text</v>
      </c>
    </row>
    <row r="27" spans="1:3" ht="15.75" customHeight="1" x14ac:dyDescent="0.15">
      <c r="A27" s="1" t="str">
        <f ca="1">IFERROR(__xludf.DUMMYFUNCTION("GOOGLETRANSLATE(A27, ""zh"", ""en"")"),"A package of policies to stabilize the economy has been implemented and is effective")</f>
        <v>A package of policies to stabilize the economy has been implemented and is effective</v>
      </c>
      <c r="B27" s="1" t="str">
        <f ca="1">IFERROR(__xludf.DUMMYFUNCTION("GOOGLETRANSLATE(A27, ""zh"", ""en"")"),"irrelevant text")</f>
        <v>irrelevant text</v>
      </c>
      <c r="C27" s="1" t="str">
        <f ca="1">IFERROR(__xludf.DUMMYFUNCTION("GOOGLETRANSLATE(E27, ""zh"", ""en"")"),"irrelevant text")</f>
        <v>irrelevant text</v>
      </c>
    </row>
    <row r="28" spans="1:3" ht="15.75" customHeight="1" x14ac:dyDescent="0.15">
      <c r="A28" s="1" t="str">
        <f ca="1">IFERROR(__xludf.DUMMYFUNCTION("GOOGLETRANSLATE(A28, ""zh"", ""en"")"),"Continue to establish and improve the talent policy system")</f>
        <v>Continue to establish and improve the talent policy system</v>
      </c>
      <c r="B28" s="1" t="str">
        <f ca="1">IFERROR(__xludf.DUMMYFUNCTION("GOOGLETRANSLATE(A28, ""zh"", ""en"")"),"staff")</f>
        <v>staff</v>
      </c>
      <c r="C28" s="1" t="str">
        <f ca="1">IFERROR(__xludf.DUMMYFUNCTION("GOOGLETRANSLATE(E28, ""zh"", ""en"")"),"Qualitative text")</f>
        <v>Qualitative text</v>
      </c>
    </row>
    <row r="29" spans="1:3" ht="15.75" customHeight="1" x14ac:dyDescent="0.15">
      <c r="A29" s="1" t="str">
        <f ca="1">IFERROR(__xludf.DUMMYFUNCTION("GOOGLETRANSLATE(A29, ""zh"", ""en"")"),"Taking multiple measures to promote talent recruitment")</f>
        <v>Taking multiple measures to promote talent recruitment</v>
      </c>
      <c r="B29" s="1" t="str">
        <f ca="1">IFERROR(__xludf.DUMMYFUNCTION("GOOGLETRANSLATE(A29, ""zh"", ""en"")"),"Promoting employment")</f>
        <v>Promoting employment</v>
      </c>
      <c r="C29" s="1" t="str">
        <f ca="1">IFERROR(__xludf.DUMMYFUNCTION("GOOGLETRANSLATE(E29, ""zh"", ""en"")"),"Qualitative text")</f>
        <v>Qualitative text</v>
      </c>
    </row>
    <row r="30" spans="1:3" ht="15.75" customHeight="1" x14ac:dyDescent="0.15">
      <c r="A30" s="1" t="str">
        <f ca="1">IFERROR(__xludf.DUMMYFUNCTION("GOOGLETRANSLATE(A30, ""zh"", ""en"")"),"Conduct annual performance evaluation of external directors")</f>
        <v>Conduct annual performance evaluation of external directors</v>
      </c>
      <c r="B30" s="1" t="str">
        <f ca="1">IFERROR(__xludf.DUMMYFUNCTION("GOOGLETRANSLATE(A30, ""zh"", ""en"")"),"Organizational structure and operations")</f>
        <v>Organizational structure and operations</v>
      </c>
      <c r="C30" s="1" t="str">
        <f ca="1">IFERROR(__xludf.DUMMYFUNCTION("GOOGLETRANSLATE(E30, ""zh"", ""en"")"),"Qualitative text")</f>
        <v>Qualitative text</v>
      </c>
    </row>
    <row r="31" spans="1:3" ht="15.75" customHeight="1" x14ac:dyDescent="0.15">
      <c r="A31" s="1" t="str">
        <f ca="1">IFERROR(__xludf.DUMMYFUNCTION("GOOGLETRANSLATE(A31, ""zh"", ""en"")"),"Set up rewards for successful referrals of high-end talents")</f>
        <v>Set up rewards for successful referrals of high-end talents</v>
      </c>
      <c r="B31" s="1" t="str">
        <f ca="1">IFERROR(__xludf.DUMMYFUNCTION("GOOGLETRANSLATE(A31, ""zh"", ""en"")"),"Promoting employment")</f>
        <v>Promoting employment</v>
      </c>
      <c r="C31" s="1" t="str">
        <f ca="1">IFERROR(__xludf.DUMMYFUNCTION("GOOGLETRANSLATE(E31, ""zh"", ""en"")"),"Qualitative text")</f>
        <v>Qualitative text</v>
      </c>
    </row>
    <row r="32" spans="1:3" ht="15.75" customHeight="1" x14ac:dyDescent="0.15">
      <c r="A32" s="1" t="str">
        <f ca="1">IFERROR(__xludf.DUMMYFUNCTION("GOOGLETRANSLATE(A32, ""zh"", ""en"")"),"Second, fully open up channels for accepting complaints")</f>
        <v>Second, fully open up channels for accepting complaints</v>
      </c>
      <c r="B32" s="1" t="str">
        <f ca="1">IFERROR(__xludf.DUMMYFUNCTION("GOOGLETRANSLATE(A32, ""zh"", ""en"")"),"Reporting System")</f>
        <v>Reporting System</v>
      </c>
      <c r="C32" s="1" t="str">
        <f ca="1">IFERROR(__xludf.DUMMYFUNCTION("GOOGLETRANSLATE(E32, ""zh"", ""en"")"),"Qualitative text")</f>
        <v>Qualitative text</v>
      </c>
    </row>
    <row r="33" spans="1:3" ht="15.75" customHeight="1" x14ac:dyDescent="0.15">
      <c r="A33" s="1" t="str">
        <f ca="1">IFERROR(__xludf.DUMMYFUNCTION("GOOGLETRANSLATE(A33, ""zh"", ""en"")"),"The third is to establish a consumer protection review and control mechanism")</f>
        <v>The third is to establish a consumer protection review and control mechanism</v>
      </c>
      <c r="B33" s="1" t="str">
        <f ca="1">IFERROR(__xludf.DUMMYFUNCTION("GOOGLETRANSLATE(A33, ""zh"", ""en"")"),"Customers and Consumers")</f>
        <v>Customers and Consumers</v>
      </c>
      <c r="C33" s="1" t="str">
        <f ca="1">IFERROR(__xludf.DUMMYFUNCTION("GOOGLETRANSLATE(E33, ""zh"", ""en"")"),"Qualitative text")</f>
        <v>Qualitative text</v>
      </c>
    </row>
    <row r="34" spans="1:3" ht="15.75" customHeight="1" x14ac:dyDescent="0.15">
      <c r="A34" s="1" t="str">
        <f ca="1">IFERROR(__xludf.DUMMYFUNCTION("GOOGLETRANSLATE(A34, ""zh"", ""en"")"),"After five years of hard work, the vision of inclusive finance has been realized")</f>
        <v>After five years of hard work, the vision of inclusive finance has been realized</v>
      </c>
      <c r="B34" s="1" t="str">
        <f ca="1">IFERROR(__xludf.DUMMYFUNCTION("GOOGLETRANSLATE(A34, ""zh"", ""en"")"),"irrelevant text")</f>
        <v>irrelevant text</v>
      </c>
      <c r="C34" s="1" t="str">
        <f ca="1">IFERROR(__xludf.DUMMYFUNCTION("GOOGLETRANSLATE(E34, ""zh"", ""en"")"),"irrelevant text")</f>
        <v>irrelevant text</v>
      </c>
    </row>
    <row r="35" spans="1:3" ht="15.75" customHeight="1" x14ac:dyDescent="0.15">
      <c r="A35" s="1" t="str">
        <f ca="1">IFERROR(__xludf.DUMMYFUNCTION("GOOGLETRANSLATE(A35, ""zh"", ""en"")"),"Member units within the scope of the company's consolidated financial statements")</f>
        <v>Member units within the scope of the company's consolidated financial statements</v>
      </c>
      <c r="B35" s="1" t="str">
        <f ca="1">IFERROR(__xludf.DUMMYFUNCTION("GOOGLETRANSLATE(A35, ""zh"", ""en"")"),"irrelevant text")</f>
        <v>irrelevant text</v>
      </c>
      <c r="C35" s="1" t="str">
        <f ca="1">IFERROR(__xludf.DUMMYFUNCTION("GOOGLETRANSLATE(E35, ""zh"", ""en"")"),"irrelevant text")</f>
        <v>irrelevant text</v>
      </c>
    </row>
    <row r="36" spans="1:3" ht="15.75" customHeight="1" x14ac:dyDescent="0.15">
      <c r="A36" s="1" t="str">
        <f ca="1">IFERROR(__xludf.DUMMYFUNCTION("GOOGLETRANSLATE(A36, ""zh"", ""en"")"),"Strengthen projects to ensure the daily service and profit advancement of infrastructure projects")</f>
        <v>Strengthen projects to ensure the daily service and profit advancement of infrastructure projects</v>
      </c>
      <c r="B36" s="1" t="str">
        <f ca="1">IFERROR(__xludf.DUMMYFUNCTION("GOOGLETRANSLATE(A36, ""zh"", ""en"")"),"irrelevant text")</f>
        <v>irrelevant text</v>
      </c>
      <c r="C36" s="1" t="str">
        <f ca="1">IFERROR(__xludf.DUMMYFUNCTION("GOOGLETRANSLATE(E36, ""zh"", ""en"")"),"irrelevant text")</f>
        <v>irrelevant text</v>
      </c>
    </row>
    <row r="37" spans="1:3" ht="15.75" customHeight="1" x14ac:dyDescent="0.15">
      <c r="A37" s="1" t="str">
        <f ca="1">IFERROR(__xludf.DUMMYFUNCTION("GOOGLETRANSLATE(A37, ""zh"", ""en"")"),"The company sets a salary structure for equal pay for equal work")</f>
        <v>The company sets a salary structure for equal pay for equal work</v>
      </c>
      <c r="B37" s="1" t="str">
        <f ca="1">IFERROR(__xludf.DUMMYFUNCTION("GOOGLETRANSLATE(A37, ""zh"", ""en"")"),"staff")</f>
        <v>staff</v>
      </c>
      <c r="C37" s="1" t="str">
        <f ca="1">IFERROR(__xludf.DUMMYFUNCTION("GOOGLETRANSLATE(E37, ""zh"", ""en"")"),"Qualitative text")</f>
        <v>Qualitative text</v>
      </c>
    </row>
    <row r="38" spans="1:3" ht="15.75" customHeight="1" x14ac:dyDescent="0.15">
      <c r="A38" s="1" t="str">
        <f ca="1">IFERROR(__xludf.DUMMYFUNCTION("GOOGLETRANSLATE(A38, ""zh"", ""en"")"),"The company continues to promote the introduction of outstanding talents")</f>
        <v>The company continues to promote the introduction of outstanding talents</v>
      </c>
      <c r="B38" s="1" t="str">
        <f ca="1">IFERROR(__xludf.DUMMYFUNCTION("GOOGLETRANSLATE(A38, ""zh"", ""en"")"),"Promoting employment")</f>
        <v>Promoting employment</v>
      </c>
      <c r="C38" s="1" t="str">
        <f ca="1">IFERROR(__xludf.DUMMYFUNCTION("GOOGLETRANSLATE(E38, ""zh"", ""en"")"),"Qualitative text")</f>
        <v>Qualitative text</v>
      </c>
    </row>
    <row r="39" spans="1:3" ht="15.75" customHeight="1" x14ac:dyDescent="0.15">
      <c r="A39" s="1" t="str">
        <f ca="1">IFERROR(__xludf.DUMMYFUNCTION("GOOGLETRANSLATE(A39, ""zh"", ""en"")"),"Second only to aluminum in non-ferrous metal consumption")</f>
        <v>Second only to aluminum in non-ferrous metal consumption</v>
      </c>
      <c r="B39" s="1" t="str">
        <f ca="1">IFERROR(__xludf.DUMMYFUNCTION("GOOGLETRANSLATE(A39, ""zh"", ""en"")"),"raw materials")</f>
        <v>raw materials</v>
      </c>
      <c r="C39" s="1" t="str">
        <f ca="1">IFERROR(__xludf.DUMMYFUNCTION("GOOGLETRANSLATE(E39, ""zh"", ""en"")"),"Qualitative text")</f>
        <v>Qualitative text</v>
      </c>
    </row>
    <row r="40" spans="1:3" ht="15.75" customHeight="1" x14ac:dyDescent="0.15">
      <c r="A40" s="1" t="str">
        <f ca="1">IFERROR(__xludf.DUMMYFUNCTION("GOOGLETRANSLATE(A40, ""zh"", ""en"")"),"The company conducts physical examinations for all employees every year")</f>
        <v>The company conducts physical examinations for all employees every year</v>
      </c>
      <c r="B40" s="1" t="str">
        <f ca="1">IFERROR(__xludf.DUMMYFUNCTION("GOOGLETRANSLATE(A40, ""zh"", ""en"")"),"staff")</f>
        <v>staff</v>
      </c>
      <c r="C40" s="1" t="str">
        <f ca="1">IFERROR(__xludf.DUMMYFUNCTION("GOOGLETRANSLATE(E40, ""zh"", ""en"")"),"Qualitative text")</f>
        <v>Qualitative text</v>
      </c>
    </row>
    <row r="41" spans="1:3" ht="15.75" customHeight="1" x14ac:dyDescent="0.15">
      <c r="A41" s="1" t="str">
        <f ca="1">IFERROR(__xludf.DUMMYFUNCTION("GOOGLETRANSLATE(A41, ""zh"", ""en"")"),"Fourth, continue to carry out consumer protection whistleblower activities")</f>
        <v>Fourth, continue to carry out consumer protection whistleblower activities</v>
      </c>
      <c r="B41" s="1" t="str">
        <f ca="1">IFERROR(__xludf.DUMMYFUNCTION("GOOGLETRANSLATE(A41, ""zh"", ""en"")"),"Customers and Consumers")</f>
        <v>Customers and Consumers</v>
      </c>
      <c r="C41" s="1" t="str">
        <f ca="1">IFERROR(__xludf.DUMMYFUNCTION("GOOGLETRANSLATE(E41, ""zh"", ""en"")"),"Qualitative text")</f>
        <v>Qualitative text</v>
      </c>
    </row>
    <row r="42" spans="1:3" ht="15.75" customHeight="1" x14ac:dyDescent="0.15">
      <c r="A42" s="1" t="str">
        <f ca="1">IFERROR(__xludf.DUMMYFUNCTION("GOOGLETRANSLATE(A42, ""zh"", ""en"")"),"Do a good job in building digital grassroots governance scenarios")</f>
        <v>Do a good job in building digital grassroots governance scenarios</v>
      </c>
      <c r="B42" s="1" t="str">
        <f ca="1">IFERROR(__xludf.DUMMYFUNCTION("GOOGLETRANSLATE(A42, ""zh"", ""en"")"),"Organizational structure and operations")</f>
        <v>Organizational structure and operations</v>
      </c>
      <c r="C42" s="1" t="str">
        <f ca="1">IFERROR(__xludf.DUMMYFUNCTION("GOOGLETRANSLATE(E42, ""zh"", ""en"")"),"Qualitative text")</f>
        <v>Qualitative text</v>
      </c>
    </row>
    <row r="43" spans="1:3" ht="15.75" customHeight="1" x14ac:dyDescent="0.15">
      <c r="A43" s="1" t="str">
        <f ca="1">IFERROR(__xludf.DUMMYFUNCTION("GOOGLETRANSLATE(A43, ""zh"", ""en"")"),"Encourage and support employees to obtain degrees and certificates")</f>
        <v>Encourage and support employees to obtain degrees and certificates</v>
      </c>
      <c r="B43" s="1" t="str">
        <f ca="1">IFERROR(__xludf.DUMMYFUNCTION("GOOGLETRANSLATE(A43, ""zh"", ""en"")"),"staff")</f>
        <v>staff</v>
      </c>
      <c r="C43" s="1" t="str">
        <f ca="1">IFERROR(__xludf.DUMMYFUNCTION("GOOGLETRANSLATE(E43, ""zh"", ""en"")"),"Qualitative text")</f>
        <v>Qualitative text</v>
      </c>
    </row>
    <row r="44" spans="1:3" ht="15.75" customHeight="1" x14ac:dyDescent="0.15">
      <c r="A44" s="1" t="str">
        <f ca="1">IFERROR(__xludf.DUMMYFUNCTION("GOOGLETRANSLATE(A44, ""zh"", ""en"")"),"Please see the notes in the 2022 Key Performance Indicators for details.")</f>
        <v>Please see the notes in the 2022 Key Performance Indicators for details.</v>
      </c>
      <c r="B44" s="1" t="str">
        <f ca="1">IFERROR(__xludf.DUMMYFUNCTION("GOOGLETRANSLATE(A44, ""zh"", ""en"")"),"irrelevant text")</f>
        <v>irrelevant text</v>
      </c>
      <c r="C44" s="1" t="str">
        <f ca="1">IFERROR(__xludf.DUMMYFUNCTION("GOOGLETRANSLATE(E44, ""zh"", ""en"")"),"irrelevant text")</f>
        <v>irrelevant text</v>
      </c>
    </row>
    <row r="45" spans="1:3" ht="15.75" customHeight="1" x14ac:dyDescent="0.15">
      <c r="A45" s="1" t="str">
        <f ca="1">IFERROR(__xludf.DUMMYFUNCTION("GOOGLETRANSLATE(A45, ""zh"", ""en"")"),"We continue to enhance our green and low-carbon competitiveness")</f>
        <v>We continue to enhance our green and low-carbon competitiveness</v>
      </c>
      <c r="B45" s="1" t="str">
        <f ca="1">IFERROR(__xludf.DUMMYFUNCTION("GOOGLETRANSLATE(A45, ""zh"", ""en"")"),"carbon emissions")</f>
        <v>carbon emissions</v>
      </c>
      <c r="C45" s="1" t="str">
        <f ca="1">IFERROR(__xludf.DUMMYFUNCTION("GOOGLETRANSLATE(E45, ""zh"", ""en"")"),"Qualitative text")</f>
        <v>Qualitative text</v>
      </c>
    </row>
    <row r="46" spans="1:3" ht="13" x14ac:dyDescent="0.15">
      <c r="A46" s="1" t="str">
        <f ca="1">IFERROR(__xludf.DUMMYFUNCTION("GOOGLETRANSLATE(A46, ""zh"", ""en"")"),"Consists of 5 directors, with independent directors in the majority")</f>
        <v>Consists of 5 directors, with independent directors in the majority</v>
      </c>
      <c r="B46" s="1" t="str">
        <f ca="1">IFERROR(__xludf.DUMMYFUNCTION("GOOGLETRANSLATE(A46, ""zh"", ""en"")"),"Organizational structure and operations")</f>
        <v>Organizational structure and operations</v>
      </c>
      <c r="C46" s="1" t="str">
        <f ca="1">IFERROR(__xludf.DUMMYFUNCTION("GOOGLETRANSLATE(E46, ""zh"", ""en"")"),"Quantitative Text")</f>
        <v>Quantitative Text</v>
      </c>
    </row>
    <row r="47" spans="1:3" ht="13" x14ac:dyDescent="0.15">
      <c r="A47" s="1" t="str">
        <f ca="1">IFERROR(__xludf.DUMMYFUNCTION("GOOGLETRANSLATE(A47, ""zh"", ""en"")"),"The standard is promoted in production bases around the world")</f>
        <v>The standard is promoted in production bases around the world</v>
      </c>
      <c r="B47" s="1" t="str">
        <f ca="1">IFERROR(__xludf.DUMMYFUNCTION("GOOGLETRANSLATE(A47, ""zh"", ""en"")"),"irrelevant text")</f>
        <v>irrelevant text</v>
      </c>
      <c r="C47" s="1" t="str">
        <f ca="1">IFERROR(__xludf.DUMMYFUNCTION("GOOGLETRANSLATE(E47, ""zh"", ""en"")"),"irrelevant text")</f>
        <v>irrelevant text</v>
      </c>
    </row>
    <row r="48" spans="1:3" ht="13" x14ac:dyDescent="0.15">
      <c r="A48" s="1" t="str">
        <f ca="1">IFERROR(__xludf.DUMMYFUNCTION("GOOGLETRANSLATE(A48, ""zh"", ""en"")"),"Carry out safety training for employees in all aspects")</f>
        <v>Carry out safety training for employees in all aspects</v>
      </c>
      <c r="B48" s="1" t="str">
        <f ca="1">IFERROR(__xludf.DUMMYFUNCTION("GOOGLETRANSLATE(A48, ""zh"", ""en"")"),"staff")</f>
        <v>staff</v>
      </c>
      <c r="C48" s="1" t="str">
        <f ca="1">IFERROR(__xludf.DUMMYFUNCTION("GOOGLETRANSLATE(E48, ""zh"", ""en"")"),"Qualitative text")</f>
        <v>Qualitative text</v>
      </c>
    </row>
    <row r="49" spans="1:3" ht="13" x14ac:dyDescent="0.15">
      <c r="A49" s="1" t="str">
        <f ca="1">IFERROR(__xludf.DUMMYFUNCTION("GOOGLETRANSLATE(A49, ""zh"", ""en"")"),"Report release cycle This report is an annual report")</f>
        <v>Report release cycle This report is an annual report</v>
      </c>
      <c r="B49" s="1" t="str">
        <f ca="1">IFERROR(__xludf.DUMMYFUNCTION("GOOGLETRANSLATE(A49, ""zh"", ""en"")"),"irrelevant text")</f>
        <v>irrelevant text</v>
      </c>
      <c r="C49" s="1" t="str">
        <f ca="1">IFERROR(__xludf.DUMMYFUNCTION("GOOGLETRANSLATE(E49, ""zh"", ""en"")"),"irrelevant text")</f>
        <v>irrelevant text</v>
      </c>
    </row>
    <row r="50" spans="1:3" ht="13" x14ac:dyDescent="0.15">
      <c r="A50" s="1" t="str">
        <f ca="1">IFERROR(__xludf.DUMMYFUNCTION("GOOGLETRANSLATE(A50, ""zh"", ""en"")"),"Data source: Wind Information Company internal statistics")</f>
        <v>Data source: Wind Information Company internal statistics</v>
      </c>
      <c r="B50" s="1" t="str">
        <f ca="1">IFERROR(__xludf.DUMMYFUNCTION("GOOGLETRANSLATE(A50, ""zh"", ""en"")"),"irrelevant text")</f>
        <v>irrelevant text</v>
      </c>
      <c r="C50" s="1" t="str">
        <f ca="1">IFERROR(__xludf.DUMMYFUNCTION("GOOGLETRANSLATE(E50, ""zh"", ""en"")"),"irrelevant text")</f>
        <v>irrelevant text</v>
      </c>
    </row>
    <row r="51" spans="1:3" ht="13" x14ac:dyDescent="0.15">
      <c r="A51" s="1" t="str">
        <f ca="1">IFERROR(__xludf.DUMMYFUNCTION("GOOGLETRANSLATE(A51, ""zh"", ""en"")"),"This study will be conducted offline and online")</f>
        <v>This study will be conducted offline and online</v>
      </c>
      <c r="B51" s="1" t="str">
        <f ca="1">IFERROR(__xludf.DUMMYFUNCTION("GOOGLETRANSLATE(A51, ""zh"", ""en"")"),"irrelevant text")</f>
        <v>irrelevant text</v>
      </c>
      <c r="C51" s="1" t="str">
        <f ca="1">IFERROR(__xludf.DUMMYFUNCTION("GOOGLETRANSLATE(E51, ""zh"", ""en"")"),"irrelevant text")</f>
        <v>irrelevant text</v>
      </c>
    </row>
    <row r="52" spans="1:3" ht="13" x14ac:dyDescent="0.15">
      <c r="A52" s="1" t="str">
        <f ca="1">IFERROR(__xludf.DUMMYFUNCTION("GOOGLETRANSLATE(A52, ""zh"", ""en"")"),"All members of the special committees are directors.")</f>
        <v>All members of the special committees are directors.</v>
      </c>
      <c r="B52" s="1" t="str">
        <f ca="1">IFERROR(__xludf.DUMMYFUNCTION("GOOGLETRANSLATE(A52, ""zh"", ""en"")"),"Organizational structure and operations")</f>
        <v>Organizational structure and operations</v>
      </c>
      <c r="C52" s="1" t="str">
        <f ca="1">IFERROR(__xludf.DUMMYFUNCTION("GOOGLETRANSLATE(E52, ""zh"", ""en"")"),"Qualitative text")</f>
        <v>Qualitative text</v>
      </c>
    </row>
    <row r="53" spans="1:3" ht="13" x14ac:dyDescent="0.15">
      <c r="A53" s="1" t="str">
        <f ca="1">IFERROR(__xludf.DUMMYFUNCTION("GOOGLETRANSLATE(A53, ""zh"", ""en"")"),"Promote in-depth participation of all employees in safety management")</f>
        <v>Promote in-depth participation of all employees in safety management</v>
      </c>
      <c r="B53" s="1" t="str">
        <f ca="1">IFERROR(__xludf.DUMMYFUNCTION("GOOGLETRANSLATE(A53, ""zh"", ""en"")"),"Data security")</f>
        <v>Data security</v>
      </c>
      <c r="C53" s="1" t="str">
        <f ca="1">IFERROR(__xludf.DUMMYFUNCTION("GOOGLETRANSLATE(E53, ""zh"", ""en"")"),"Qualitative text")</f>
        <v>Qualitative text</v>
      </c>
    </row>
    <row r="54" spans="1:3" ht="13" x14ac:dyDescent="0.15">
      <c r="A54" s="1" t="str">
        <f ca="1">IFERROR(__xludf.DUMMYFUNCTION("GOOGLETRANSLATE(A54, ""zh"", ""en"")"),"2Indirect energy consumption refers to the consumption of purchased electricity")</f>
        <v>2Indirect energy consumption refers to the consumption of purchased electricity</v>
      </c>
      <c r="B54" s="1" t="str">
        <f ca="1">IFERROR(__xludf.DUMMYFUNCTION("GOOGLETRANSLATE(A54, ""zh"", ""en"")"),"Energy and resource consumption")</f>
        <v>Energy and resource consumption</v>
      </c>
      <c r="C54" s="1" t="str">
        <f ca="1">IFERROR(__xludf.DUMMYFUNCTION("GOOGLETRANSLATE(E54, ""zh"", ""en"")"),"Qualitative text")</f>
        <v>Qualitative text</v>
      </c>
    </row>
    <row r="55" spans="1:3" ht="13" x14ac:dyDescent="0.15">
      <c r="A55" s="1" t="str">
        <f ca="1">IFERROR(__xludf.DUMMYFUNCTION("GOOGLETRANSLATE(A55, ""zh"", ""en"")"),"Tazhong Mining refers to Tazhong Mining Co., Ltd.")</f>
        <v>Tazhong Mining refers to Tazhong Mining Co., Ltd.</v>
      </c>
      <c r="B55" s="1" t="str">
        <f ca="1">IFERROR(__xludf.DUMMYFUNCTION("GOOGLETRANSLATE(A55, ""zh"", ""en"")"),"irrelevant text")</f>
        <v>irrelevant text</v>
      </c>
      <c r="C55" s="1" t="str">
        <f ca="1">IFERROR(__xludf.DUMMYFUNCTION("GOOGLETRANSLATE(E55, ""zh"", ""en"")"),"irrelevant text")</f>
        <v>irrelevant text</v>
      </c>
    </row>
    <row r="56" spans="1:3" ht="13" x14ac:dyDescent="0.15">
      <c r="A56" s="1" t="str">
        <f ca="1">IFERROR(__xludf.DUMMYFUNCTION("GOOGLETRANSLATE(A56, ""zh"", ""en"")"),"Fourth, continue to optimize the construction of the consumer protection management system")</f>
        <v>Fourth, continue to optimize the construction of the consumer protection management system</v>
      </c>
      <c r="B56" s="1" t="str">
        <f ca="1">IFERROR(__xludf.DUMMYFUNCTION("GOOGLETRANSLATE(A56, ""zh"", ""en"")"),"Customers and Consumers")</f>
        <v>Customers and Consumers</v>
      </c>
      <c r="C56" s="1" t="str">
        <f ca="1">IFERROR(__xludf.DUMMYFUNCTION("GOOGLETRANSLATE(E56, ""zh"", ""en"")"),"Qualitative text")</f>
        <v>Qualitative text</v>
      </c>
    </row>
    <row r="57" spans="1:3" ht="13" x14ac:dyDescent="0.15">
      <c r="A57" s="1" t="str">
        <f ca="1">IFERROR(__xludf.DUMMYFUNCTION("GOOGLETRANSLATE(A57, ""zh"", ""en"")"),"The Bank has identified the climate change risks it faces")</f>
        <v>The Bank has identified the climate change risks it faces</v>
      </c>
      <c r="B57" s="1" t="str">
        <f ca="1">IFERROR(__xludf.DUMMYFUNCTION("GOOGLETRANSLATE(A57, ""zh"", ""en"")"),"Addressing climate change")</f>
        <v>Addressing climate change</v>
      </c>
      <c r="C57" s="1" t="str">
        <f ca="1">IFERROR(__xludf.DUMMYFUNCTION("GOOGLETRANSLATE(E57, ""zh"", ""en"")"),"Qualitative text")</f>
        <v>Qualitative text</v>
      </c>
    </row>
    <row r="58" spans="1:3" ht="13" x14ac:dyDescent="0.15">
      <c r="A58" s="1" t="str">
        <f ca="1">IFERROR(__xludf.DUMMYFUNCTION("GOOGLETRANSLATE(A58, ""zh"", ""en"")"),"Build a more open comprehensive service ecosystem")</f>
        <v>Build a more open comprehensive service ecosystem</v>
      </c>
      <c r="B58" s="1" t="str">
        <f ca="1">IFERROR(__xludf.DUMMYFUNCTION("GOOGLETRANSLATE(A58, ""zh"", ""en"")"),"irrelevant text")</f>
        <v>irrelevant text</v>
      </c>
      <c r="C58" s="1" t="str">
        <f ca="1">IFERROR(__xludf.DUMMYFUNCTION("GOOGLETRANSLATE(E58, ""zh"", ""en"")"),"irrelevant text")</f>
        <v>irrelevant text</v>
      </c>
    </row>
    <row r="59" spans="1:3" ht="13" x14ac:dyDescent="0.15">
      <c r="A59" s="1" t="str">
        <f ca="1">IFERROR(__xludf.DUMMYFUNCTION("GOOGLETRANSLATE(A59, ""zh"", ""en"")"),"We did not find any major audit deficiencies this year.")</f>
        <v>We did not find any major audit deficiencies this year.</v>
      </c>
      <c r="B59" s="1" t="str">
        <f ca="1">IFERROR(__xludf.DUMMYFUNCTION("GOOGLETRANSLATE(A59, ""zh"", ""en"")"),"Audit work")</f>
        <v>Audit work</v>
      </c>
      <c r="C59" s="1" t="str">
        <f ca="1">IFERROR(__xludf.DUMMYFUNCTION("GOOGLETRANSLATE(E59, ""zh"", ""en"")"),"Quantitative Text")</f>
        <v>Quantitative Text</v>
      </c>
    </row>
    <row r="60" spans="1:3" ht="13" x14ac:dyDescent="0.15">
      <c r="A60" s="1" t="str">
        <f ca="1">IFERROR(__xludf.DUMMYFUNCTION("GOOGLETRANSLATE(A60, ""zh"", ""en"")"),"During the reporting period, a total of 8 meetings of the Board of Supervisors were held")</f>
        <v>During the reporting period, a total of 8 meetings of the Board of Supervisors were held</v>
      </c>
      <c r="B60" s="1" t="str">
        <f ca="1">IFERROR(__xludf.DUMMYFUNCTION("GOOGLETRANSLATE(A60, ""zh"", ""en"")"),"Organizational structure and operations")</f>
        <v>Organizational structure and operations</v>
      </c>
      <c r="C60" s="1" t="str">
        <f ca="1">IFERROR(__xludf.DUMMYFUNCTION("GOOGLETRANSLATE(E60, ""zh"", ""en"")"),"Quantitative Text")</f>
        <v>Quantitative Text</v>
      </c>
    </row>
    <row r="61" spans="1:3" ht="13" x14ac:dyDescent="0.15">
      <c r="A61" s="1" t="str">
        <f ca="1">IFERROR(__xludf.DUMMYFUNCTION("GOOGLETRANSLATE(A61, ""zh"", ""en"")"),"To promote the healthy and sustainable development of our company")</f>
        <v>To promote the healthy and sustainable development of our company</v>
      </c>
      <c r="B61" s="1" t="str">
        <f ca="1">IFERROR(__xludf.DUMMYFUNCTION("GOOGLETRANSLATE(A61, ""zh"", ""en"")"),"irrelevant text")</f>
        <v>irrelevant text</v>
      </c>
      <c r="C61" s="1" t="str">
        <f ca="1">IFERROR(__xludf.DUMMYFUNCTION("GOOGLETRANSLATE(E61, ""zh"", ""en"")"),"irrelevant text")</f>
        <v>irrelevant text</v>
      </c>
    </row>
    <row r="62" spans="1:3" ht="13" x14ac:dyDescent="0.15">
      <c r="A62" s="1" t="str">
        <f ca="1">IFERROR(__xludf.DUMMYFUNCTION("GOOGLETRANSLATE(A62, ""zh"", ""en"")"),"System for explaining the relevance of major climate change risks")</f>
        <v>System for explaining the relevance of major climate change risks</v>
      </c>
      <c r="B62" s="1" t="str">
        <f ca="1">IFERROR(__xludf.DUMMYFUNCTION("GOOGLETRANSLATE(A62, ""zh"", ""en"")"),"Addressing climate change")</f>
        <v>Addressing climate change</v>
      </c>
      <c r="C62" s="1" t="str">
        <f ca="1">IFERROR(__xludf.DUMMYFUNCTION("GOOGLETRANSLATE(E62, ""zh"", ""en"")"),"Qualitative text")</f>
        <v>Qualitative text</v>
      </c>
    </row>
    <row r="63" spans="1:3" ht="13" x14ac:dyDescent="0.15">
      <c r="A63" s="1" t="str">
        <f ca="1">IFERROR(__xludf.DUMMYFUNCTION("GOOGLETRANSLATE(A63, ""zh"", ""en"")"),"Growing through learning to help companies develop sustainably")</f>
        <v>Growing through learning to help companies develop sustainably</v>
      </c>
      <c r="B63" s="1" t="str">
        <f ca="1">IFERROR(__xludf.DUMMYFUNCTION("GOOGLETRANSLATE(A63, ""zh"", ""en"")"),"irrelevant text")</f>
        <v>irrelevant text</v>
      </c>
      <c r="C63" s="1" t="str">
        <f ca="1">IFERROR(__xludf.DUMMYFUNCTION("GOOGLETRANSLATE(E63, ""zh"", ""en"")"),"irrelevant text")</f>
        <v>irrelevant text</v>
      </c>
    </row>
    <row r="64" spans="1:3" ht="13" x14ac:dyDescent="0.15">
      <c r="A64" s="1" t="str">
        <f ca="1">IFERROR(__xludf.DUMMYFUNCTION("GOOGLETRANSLATE(A64, ""zh"", ""en"")"),"Employees can enjoy statutory paid annual leave in accordance with the law")</f>
        <v>Employees can enjoy statutory paid annual leave in accordance with the law</v>
      </c>
      <c r="B64" s="1" t="str">
        <f ca="1">IFERROR(__xludf.DUMMYFUNCTION("GOOGLETRANSLATE(A64, ""zh"", ""en"")"),"staff")</f>
        <v>staff</v>
      </c>
      <c r="C64" s="1" t="str">
        <f ca="1">IFERROR(__xludf.DUMMYFUNCTION("GOOGLETRANSLATE(E64, ""zh"", ""en"")"),"Qualitative text")</f>
        <v>Qualitative text</v>
      </c>
    </row>
    <row r="65" spans="1:3" ht="13" x14ac:dyDescent="0.15">
      <c r="A65" s="1" t="str">
        <f ca="1">IFERROR(__xludf.DUMMYFUNCTION("GOOGLETRANSLATE(A65, ""zh"", ""en"")"),"Corporate carbon emissions data provides more carbon reduction opportunities")</f>
        <v>Corporate carbon emissions data provides more carbon reduction opportunities</v>
      </c>
      <c r="B65" s="1" t="str">
        <f ca="1">IFERROR(__xludf.DUMMYFUNCTION("GOOGLETRANSLATE(A65, ""zh"", ""en"")"),"carbon emissions")</f>
        <v>carbon emissions</v>
      </c>
      <c r="C65" s="1" t="str">
        <f ca="1">IFERROR(__xludf.DUMMYFUNCTION("GOOGLETRANSLATE(E65, ""zh"", ""en"")"),"Qualitative text")</f>
        <v>Qualitative text</v>
      </c>
    </row>
    <row r="66" spans="1:3" ht="13" x14ac:dyDescent="0.15">
      <c r="A66" s="1" t="str">
        <f ca="1">IFERROR(__xludf.DUMMYFUNCTION("GOOGLETRANSLATE(A66, ""zh"", ""en"")"),"The company is actively selecting a successor")</f>
        <v>The company is actively selecting a successor</v>
      </c>
      <c r="B66" s="1" t="str">
        <f ca="1">IFERROR(__xludf.DUMMYFUNCTION("GOOGLETRANSLATE(A66, ""zh"", ""en"")"),"Organizational structure and operations")</f>
        <v>Organizational structure and operations</v>
      </c>
      <c r="C66" s="1" t="str">
        <f ca="1">IFERROR(__xludf.DUMMYFUNCTION("GOOGLETRANSLATE(E66, ""zh"", ""en"")"),"Qualitative text")</f>
        <v>Qualitative text</v>
      </c>
    </row>
    <row r="67" spans="1:3" ht="13" x14ac:dyDescent="0.15">
      <c r="A67" s="1" t="str">
        <f ca="1">IFERROR(__xludf.DUMMYFUNCTION("GOOGLETRANSLATE(A67, ""zh"", ""en"")"),"3 municipal-level science and technology innovation platforms were approved and recognized")</f>
        <v>3 municipal-level science and technology innovation platforms were approved and recognized</v>
      </c>
      <c r="B67" s="1" t="str">
        <f ca="1">IFERROR(__xludf.DUMMYFUNCTION("GOOGLETRANSLATE(A67, ""zh"", ""en"")"),"Technological innovation")</f>
        <v>Technological innovation</v>
      </c>
      <c r="C67" s="1" t="str">
        <f ca="1">IFERROR(__xludf.DUMMYFUNCTION("GOOGLETRANSLATE(E67, ""zh"", ""en"")"),"Quantitative Text")</f>
        <v>Quantitative Text</v>
      </c>
    </row>
    <row r="68" spans="1:3" ht="13" x14ac:dyDescent="0.15">
      <c r="A68" s="1" t="str">
        <f ca="1">IFERROR(__xludf.DUMMYFUNCTION("GOOGLETRANSLATE(A68, ""zh"", ""en"")"),"2.0 points Customer satisfaction has ranked first for many consecutive years")</f>
        <v>2.0 points Customer satisfaction has ranked first for many consecutive years</v>
      </c>
      <c r="B68" s="1" t="str">
        <f ca="1">IFERROR(__xludf.DUMMYFUNCTION("GOOGLETRANSLATE(A68, ""zh"", ""en"")"),"Customers and Consumers")</f>
        <v>Customers and Consumers</v>
      </c>
      <c r="C68" s="1" t="str">
        <f ca="1">IFERROR(__xludf.DUMMYFUNCTION("GOOGLETRANSLATE(E68, ""zh"", ""en"")"),"Quantitative Text")</f>
        <v>Quantitative Text</v>
      </c>
    </row>
    <row r="69" spans="1:3" ht="13" x14ac:dyDescent="0.15">
      <c r="A69" s="1" t="str">
        <f ca="1">IFERROR(__xludf.DUMMYFUNCTION("GOOGLETRANSLATE(A69, ""zh"", ""en"")"),"Some statements and data exceed the above years")</f>
        <v>Some statements and data exceed the above years</v>
      </c>
      <c r="B69" s="1" t="str">
        <f ca="1">IFERROR(__xludf.DUMMYFUNCTION("GOOGLETRANSLATE(A69, ""zh"", ""en"")"),"irrelevant text")</f>
        <v>irrelevant text</v>
      </c>
      <c r="C69" s="1" t="str">
        <f ca="1">IFERROR(__xludf.DUMMYFUNCTION("GOOGLETRANSLATE(E69, ""zh"", ""en"")"),"irrelevant text")</f>
        <v>irrelevant text</v>
      </c>
    </row>
    <row r="70" spans="1:3" ht="13" x14ac:dyDescent="0.15">
      <c r="A70" s="1" t="str">
        <f ca="1">IFERROR(__xludf.DUMMYFUNCTION("GOOGLETRANSLATE(A70, ""zh"", ""en"")"),"Note: REGZA is a sub-brand of Toshiba TV")</f>
        <v>Note: REGZA is a sub-brand of Toshiba TV</v>
      </c>
      <c r="B70" s="1" t="str">
        <f ca="1">IFERROR(__xludf.DUMMYFUNCTION("GOOGLETRANSLATE(A70, ""zh"", ""en"")"),"irrelevant text")</f>
        <v>irrelevant text</v>
      </c>
      <c r="C70" s="1" t="str">
        <f ca="1">IFERROR(__xludf.DUMMYFUNCTION("GOOGLETRANSLATE(E70, ""zh"", ""en"")"),"irrelevant text")</f>
        <v>irrelevant text</v>
      </c>
    </row>
    <row r="71" spans="1:3" ht="13" x14ac:dyDescent="0.15">
      <c r="A71" s="1" t="str">
        <f ca="1">IFERROR(__xludf.DUMMYFUNCTION("GOOGLETRANSLATE(A71, ""zh"", ""en"")"),"The construction of the first batch of 3,550 acres of forest land has started")</f>
        <v>The construction of the first batch of 3,550 acres of forest land has started</v>
      </c>
      <c r="B71" s="1" t="str">
        <f ca="1">IFERROR(__xludf.DUMMYFUNCTION("GOOGLETRANSLATE(A71, ""zh"", ""en"")"),"Land use")</f>
        <v>Land use</v>
      </c>
      <c r="C71" s="1" t="str">
        <f ca="1">IFERROR(__xludf.DUMMYFUNCTION("GOOGLETRANSLATE(E71, ""zh"", ""en"")"),"Quantitative Text")</f>
        <v>Quantitative Text</v>
      </c>
    </row>
    <row r="72" spans="1:3" ht="13" x14ac:dyDescent="0.15">
      <c r="A72" s="1" t="str">
        <f ca="1">IFERROR(__xludf.DUMMYFUNCTION("GOOGLETRANSLATE(A72, ""zh"", ""en"")"),"Multiple measures are taken to expand sales channels for products from assisted counties")</f>
        <v>Multiple measures are taken to expand sales channels for products from assisted counties</v>
      </c>
      <c r="B72" s="1" t="str">
        <f ca="1">IFERROR(__xludf.DUMMYFUNCTION("GOOGLETRANSLATE(A72, ""zh"", ""en"")"),"Rural assistance")</f>
        <v>Rural assistance</v>
      </c>
      <c r="C72" s="1" t="str">
        <f ca="1">IFERROR(__xludf.DUMMYFUNCTION("GOOGLETRANSLATE(E72, ""zh"", ""en"")"),"Qualitative text")</f>
        <v>Qualitative text</v>
      </c>
    </row>
    <row r="73" spans="1:3" ht="13" x14ac:dyDescent="0.15">
      <c r="A73" s="1" t="str">
        <f ca="1">IFERROR(__xludf.DUMMYFUNCTION("GOOGLETRANSLATE(A73, ""zh"", ""en"")"),"It is second only to copper and aluminum in non-ferrous metal consumption.")</f>
        <v>It is second only to copper and aluminum in non-ferrous metal consumption.</v>
      </c>
      <c r="B73" s="1" t="str">
        <f ca="1">IFERROR(__xludf.DUMMYFUNCTION("GOOGLETRANSLATE(A73, ""zh"", ""en"")"),"raw materials")</f>
        <v>raw materials</v>
      </c>
      <c r="C73" s="1" t="str">
        <f ca="1">IFERROR(__xludf.DUMMYFUNCTION("GOOGLETRANSLATE(E73, ""zh"", ""en"")"),"Qualitative text")</f>
        <v>Qualitative text</v>
      </c>
    </row>
    <row r="74" spans="1:3" ht="13" x14ac:dyDescent="0.15">
      <c r="A74" s="1" t="str">
        <f ca="1">IFERROR(__xludf.DUMMYFUNCTION("GOOGLETRANSLATE(A74, ""zh"", ""en"")"),"Invest in Reshape Shares to expand into the new energy industry")</f>
        <v>Invest in Reshape Shares to expand into the new energy industry</v>
      </c>
      <c r="B74" s="1" t="str">
        <f ca="1">IFERROR(__xludf.DUMMYFUNCTION("GOOGLETRANSLATE(A74, ""zh"", ""en"")"),"Energy and resource consumption")</f>
        <v>Energy and resource consumption</v>
      </c>
      <c r="C74" s="1" t="str">
        <f ca="1">IFERROR(__xludf.DUMMYFUNCTION("GOOGLETRANSLATE(E74, ""zh"", ""en"")"),"Qualitative text")</f>
        <v>Qualitative text</v>
      </c>
    </row>
    <row r="75" spans="1:3" ht="13" x14ac:dyDescent="0.15">
      <c r="A75" s="1" t="str">
        <f ca="1">IFERROR(__xludf.DUMMYFUNCTION("GOOGLETRANSLATE(A75, ""zh"", ""en"")"),"The third is to focus on key customer groups and carry out special activities")</f>
        <v>The third is to focus on key customer groups and carry out special activities</v>
      </c>
      <c r="B75" s="1" t="str">
        <f ca="1">IFERROR(__xludf.DUMMYFUNCTION("GOOGLETRANSLATE(A75, ""zh"", ""en"")"),"Customers and Consumers")</f>
        <v>Customers and Consumers</v>
      </c>
      <c r="C75" s="1" t="str">
        <f ca="1">IFERROR(__xludf.DUMMYFUNCTION("GOOGLETRANSLATE(E75, ""zh"", ""en"")"),"Qualitative text")</f>
        <v>Qualitative text</v>
      </c>
    </row>
    <row r="76" spans="1:3" ht="13" x14ac:dyDescent="0.15">
      <c r="A76" s="1" t="str">
        <f ca="1">IFERROR(__xludf.DUMMYFUNCTION("GOOGLETRANSLATE(A76, ""zh"", ""en"")"),"Protecting our home planet is the common responsibility of mankind")</f>
        <v>Protecting our home planet is the common responsibility of mankind</v>
      </c>
      <c r="B76" s="1" t="str">
        <f ca="1">IFERROR(__xludf.DUMMYFUNCTION("GOOGLETRANSLATE(A76, ""zh"", ""en"")"),"irrelevant text")</f>
        <v>irrelevant text</v>
      </c>
      <c r="C76" s="1" t="str">
        <f ca="1">IFERROR(__xludf.DUMMYFUNCTION("GOOGLETRANSLATE(E76, ""zh"", ""en"")"),"irrelevant text")</f>
        <v>irrelevant text</v>
      </c>
    </row>
    <row r="77" spans="1:3" ht="13" x14ac:dyDescent="0.15">
      <c r="A77" s="1" t="str">
        <f ca="1">IFERROR(__xludf.DUMMYFUNCTION("GOOGLETRANSLATE(A77, ""zh"", ""en"")"),"At the same time, the company actively carries out anti-money laundering related training")</f>
        <v>At the same time, the company actively carries out anti-money laundering related training</v>
      </c>
      <c r="B77" s="1" t="str">
        <f ca="1">IFERROR(__xludf.DUMMYFUNCTION("GOOGLETRANSLATE(A77, ""zh"", ""en"")"),"Anti-corruption and anti-money laundering")</f>
        <v>Anti-corruption and anti-money laundering</v>
      </c>
      <c r="C77" s="1" t="str">
        <f ca="1">IFERROR(__xludf.DUMMYFUNCTION("GOOGLETRANSLATE(E77, ""zh"", ""en"")"),"Qualitative text")</f>
        <v>Qualitative text</v>
      </c>
    </row>
    <row r="78" spans="1:3" ht="13" x14ac:dyDescent="0.15">
      <c r="A78" s="1" t="str">
        <f ca="1">IFERROR(__xludf.DUMMYFUNCTION("GOOGLETRANSLATE(A78, ""zh"", ""en"")"),"Strengthen authorization management and promote standardized governance")</f>
        <v>Strengthen authorization management and promote standardized governance</v>
      </c>
      <c r="B78" s="1" t="str">
        <f ca="1">IFERROR(__xludf.DUMMYFUNCTION("GOOGLETRANSLATE(A78, ""zh"", ""en"")"),"Organizational structure and operations")</f>
        <v>Organizational structure and operations</v>
      </c>
      <c r="C78" s="1" t="str">
        <f ca="1">IFERROR(__xludf.DUMMYFUNCTION("GOOGLETRANSLATE(E78, ""zh"", ""en"")"),"Qualitative text")</f>
        <v>Qualitative text</v>
      </c>
    </row>
    <row r="79" spans="1:3" ht="13" x14ac:dyDescent="0.15">
      <c r="A79" s="1" t="str">
        <f ca="1">IFERROR(__xludf.DUMMYFUNCTION("GOOGLETRANSLATE(A79, ""zh"", ""en"")"),"Strengthen the talent team and promote professional capacity improvement")</f>
        <v>Strengthen the talent team and promote professional capacity improvement</v>
      </c>
      <c r="B79" s="1" t="str">
        <f ca="1">IFERROR(__xludf.DUMMYFUNCTION("GOOGLETRANSLATE(A79, ""zh"", ""en"")"),"staff")</f>
        <v>staff</v>
      </c>
      <c r="C79" s="1" t="str">
        <f ca="1">IFERROR(__xludf.DUMMYFUNCTION("GOOGLETRANSLATE(E79, ""zh"", ""en"")"),"Qualitative text")</f>
        <v>Qualitative text</v>
      </c>
    </row>
    <row r="80" spans="1:3" ht="13" x14ac:dyDescent="0.15">
      <c r="A80" s="1" t="str">
        <f ca="1">IFERROR(__xludf.DUMMYFUNCTION("GOOGLETRANSLATE(A80, ""zh"", ""en"")"),"Comprehensively promote the term system and contractual management of management teams")</f>
        <v>Comprehensively promote the term system and contractual management of management teams</v>
      </c>
      <c r="B80" s="1" t="str">
        <f ca="1">IFERROR(__xludf.DUMMYFUNCTION("GOOGLETRANSLATE(A80, ""zh"", ""en"")"),"Organizational structure and operations")</f>
        <v>Organizational structure and operations</v>
      </c>
      <c r="C80" s="1" t="str">
        <f ca="1">IFERROR(__xludf.DUMMYFUNCTION("GOOGLETRANSLATE(E80, ""zh"", ""en"")"),"Qualitative text")</f>
        <v>Qualitative text</v>
      </c>
    </row>
    <row r="81" spans="1:3" ht="13" x14ac:dyDescent="0.15">
      <c r="A81" s="1" t="str">
        <f ca="1">IFERROR(__xludf.DUMMYFUNCTION("GOOGLETRANSLATE(A81, ""zh"", ""en"")"),"Carry out consolation and recuperation activities and organize cultural and sports activities for employees")</f>
        <v>Carry out consolation and recuperation activities and organize cultural and sports activities for employees</v>
      </c>
      <c r="B81" s="1" t="str">
        <f ca="1">IFERROR(__xludf.DUMMYFUNCTION("GOOGLETRANSLATE(A81, ""zh"", ""en"")"),"staff")</f>
        <v>staff</v>
      </c>
      <c r="C81" s="1" t="str">
        <f ca="1">IFERROR(__xludf.DUMMYFUNCTION("GOOGLETRANSLATE(E81, ""zh"", ""en"")"),"Qualitative text")</f>
        <v>Qualitative text</v>
      </c>
    </row>
    <row r="82" spans="1:3" ht="13" x14ac:dyDescent="0.15">
      <c r="A82" s="1" t="str">
        <f ca="1">IFERROR(__xludf.DUMMYFUNCTION("GOOGLETRANSLATE(A82, ""zh"", ""en"")"),"Occupational health is the prerequisite for improving employee work efficiency")</f>
        <v>Occupational health is the prerequisite for improving employee work efficiency</v>
      </c>
      <c r="B82" s="1" t="str">
        <f ca="1">IFERROR(__xludf.DUMMYFUNCTION("GOOGLETRANSLATE(A82, ""zh"", ""en"")"),"staff")</f>
        <v>staff</v>
      </c>
      <c r="C82" s="1" t="str">
        <f ca="1">IFERROR(__xludf.DUMMYFUNCTION("GOOGLETRANSLATE(E82, ""zh"", ""en"")"),"Qualitative text")</f>
        <v>Qualitative text</v>
      </c>
    </row>
    <row r="83" spans="1:3" ht="13" x14ac:dyDescent="0.15">
      <c r="A83" s="1" t="str">
        <f ca="1">IFERROR(__xludf.DUMMYFUNCTION("GOOGLETRANSLATE(A83, ""zh"", ""en"")"),"First, strengthen the construction of top-level design system")</f>
        <v>First, strengthen the construction of top-level design system</v>
      </c>
      <c r="B83" s="1" t="str">
        <f ca="1">IFERROR(__xludf.DUMMYFUNCTION("GOOGLETRANSLATE(A83, ""zh"", ""en"")"),"Organizational structure and operations")</f>
        <v>Organizational structure and operations</v>
      </c>
      <c r="C83" s="1" t="str">
        <f ca="1">IFERROR(__xludf.DUMMYFUNCTION("GOOGLETRANSLATE(E83, ""zh"", ""en"")"),"Qualitative text")</f>
        <v>Qualitative text</v>
      </c>
    </row>
    <row r="84" spans="1:3" ht="13" x14ac:dyDescent="0.15">
      <c r="A84" s="1" t="str">
        <f ca="1">IFERROR(__xludf.DUMMYFUNCTION("GOOGLETRANSLATE(A84, ""zh"", ""en"")"),"2022 is a year full of opportunities and challenges")</f>
        <v>2022 is a year full of opportunities and challenges</v>
      </c>
      <c r="B84" s="1" t="str">
        <f ca="1">IFERROR(__xludf.DUMMYFUNCTION("GOOGLETRANSLATE(A84, ""zh"", ""en"")"),"irrelevant text")</f>
        <v>irrelevant text</v>
      </c>
      <c r="C84" s="1" t="str">
        <f ca="1">IFERROR(__xludf.DUMMYFUNCTION("GOOGLETRANSLATE(E84, ""zh"", ""en"")"),"irrelevant text")</f>
        <v>irrelevant text</v>
      </c>
    </row>
    <row r="85" spans="1:3" ht="13" x14ac:dyDescent="0.15">
      <c r="A85" s="1" t="str">
        <f ca="1">IFERROR(__xludf.DUMMYFUNCTION("GOOGLETRANSLATE(A85, ""zh"", ""en"")"),"P61B2.2 Number of working days lost due to work-related injuries")</f>
        <v>P61B2.2 Number of working days lost due to work-related injuries</v>
      </c>
      <c r="B85" s="1" t="str">
        <f ca="1">IFERROR(__xludf.DUMMYFUNCTION("GOOGLETRANSLATE(A85, ""zh"", ""en"")"),"staff")</f>
        <v>staff</v>
      </c>
      <c r="C85" s="1" t="str">
        <f ca="1">IFERROR(__xludf.DUMMYFUNCTION("GOOGLETRANSLATE(E85, ""zh"", ""en"")"),"Quantitative Text")</f>
        <v>Quantitative Text</v>
      </c>
    </row>
    <row r="86" spans="1:3" ht="13" x14ac:dyDescent="0.15">
      <c r="A86" s="1" t="str">
        <f ca="1">IFERROR(__xludf.DUMMYFUNCTION("GOOGLETRANSLATE(A86, ""zh"", ""en"")"),"The statistical scope of return-to-work rate includes maternity leave and paternity leave")</f>
        <v>The statistical scope of return-to-work rate includes maternity leave and paternity leave</v>
      </c>
      <c r="B86" s="1" t="str">
        <f ca="1">IFERROR(__xludf.DUMMYFUNCTION("GOOGLETRANSLATE(A86, ""zh"", ""en"")"),"staff")</f>
        <v>staff</v>
      </c>
      <c r="C86" s="1" t="str">
        <f ca="1">IFERROR(__xludf.DUMMYFUNCTION("GOOGLETRANSLATE(E86, ""zh"", ""en"")"),"Qualitative text")</f>
        <v>Qualitative text</v>
      </c>
    </row>
    <row r="87" spans="1:3" ht="13" x14ac:dyDescent="0.15">
      <c r="A87" s="1" t="str">
        <f ca="1">IFERROR(__xludf.DUMMYFUNCTION("GOOGLETRANSLATE(A87, ""zh"", ""en"")"),"Collaborate with Southern Weekend to produce disease public service announcement videos")</f>
        <v>Collaborate with Southern Weekend to produce disease public service announcement videos</v>
      </c>
      <c r="B87" s="1" t="str">
        <f ca="1">IFERROR(__xludf.DUMMYFUNCTION("GOOGLETRANSLATE(A87, ""zh"", ""en"")"),"Fighting the epidemic")</f>
        <v>Fighting the epidemic</v>
      </c>
      <c r="C87" s="1" t="str">
        <f ca="1">IFERROR(__xludf.DUMMYFUNCTION("GOOGLETRANSLATE(E87, ""zh"", ""en"")"),"Qualitative text")</f>
        <v>Qualitative text</v>
      </c>
    </row>
    <row r="88" spans="1:3" ht="13" x14ac:dyDescent="0.15">
      <c r="A88" s="1" t="str">
        <f ca="1">IFERROR(__xludf.DUMMYFUNCTION("GOOGLETRANSLATE(A88, ""zh"", ""en"")"),"Deepen the construction of safety culture and enhance the safety awareness of all employees")</f>
        <v>Deepen the construction of safety culture and enhance the safety awareness of all employees</v>
      </c>
      <c r="B88" s="1" t="str">
        <f ca="1">IFERROR(__xludf.DUMMYFUNCTION("GOOGLETRANSLATE(A88, ""zh"", ""en"")"),"staff")</f>
        <v>staff</v>
      </c>
      <c r="C88" s="1" t="str">
        <f ca="1">IFERROR(__xludf.DUMMYFUNCTION("GOOGLETRANSLATE(E88, ""zh"", ""en"")"),"Qualitative text")</f>
        <v>Qualitative text</v>
      </c>
    </row>
    <row r="89" spans="1:3" ht="13" x14ac:dyDescent="0.15">
      <c r="A89" s="1" t="str">
        <f ca="1">IFERROR(__xludf.DUMMYFUNCTION("GOOGLETRANSLATE(A89, ""zh"", ""en"")"),"The company always adheres to the concept of equal and diverse talents")</f>
        <v>The company always adheres to the concept of equal and diverse talents</v>
      </c>
      <c r="B89" s="1" t="str">
        <f ca="1">IFERROR(__xludf.DUMMYFUNCTION("GOOGLETRANSLATE(A89, ""zh"", ""en"")"),"staff")</f>
        <v>staff</v>
      </c>
      <c r="C89" s="1" t="str">
        <f ca="1">IFERROR(__xludf.DUMMYFUNCTION("GOOGLETRANSLATE(E89, ""zh"", ""en"")"),"Qualitative text")</f>
        <v>Qualitative text</v>
      </c>
    </row>
    <row r="90" spans="1:3" ht="13" x14ac:dyDescent="0.15">
      <c r="A90" s="1" t="str">
        <f ca="1">IFERROR(__xludf.DUMMYFUNCTION("GOOGLETRANSLATE(A90, ""zh"", ""en"")"),"3 are satisfied with the level of information disclosed in this report")</f>
        <v>3 are satisfied with the level of information disclosed in this report</v>
      </c>
      <c r="B90" s="1" t="str">
        <f ca="1">IFERROR(__xludf.DUMMYFUNCTION("GOOGLETRANSLATE(A90, ""zh"", ""en"")"),"Information Disclosure and Investor Communication")</f>
        <v>Information Disclosure and Investor Communication</v>
      </c>
      <c r="C90" s="1" t="str">
        <f ca="1">IFERROR(__xludf.DUMMYFUNCTION("GOOGLETRANSLATE(E90, ""zh"", ""en"")"),"Quantitative Text")</f>
        <v>Quantitative Text</v>
      </c>
    </row>
    <row r="91" spans="1:3" ht="13" x14ac:dyDescent="0.15">
      <c r="A91" s="1" t="str">
        <f ca="1">IFERROR(__xludf.DUMMYFUNCTION("GOOGLETRANSLATE(A91, ""zh"", ""en"")"),"The company continues to improve service efficiency and optimize customer experience")</f>
        <v>The company continues to improve service efficiency and optimize customer experience</v>
      </c>
      <c r="B91" s="1" t="str">
        <f ca="1">IFERROR(__xludf.DUMMYFUNCTION("GOOGLETRANSLATE(A91, ""zh"", ""en"")"),"Customers and Consumers")</f>
        <v>Customers and Consumers</v>
      </c>
      <c r="C91" s="1" t="str">
        <f ca="1">IFERROR(__xludf.DUMMYFUNCTION("GOOGLETRANSLATE(E91, ""zh"", ""en"")"),"Qualitative text")</f>
        <v>Qualitative text</v>
      </c>
    </row>
    <row r="92" spans="1:3" ht="13" x14ac:dyDescent="0.15">
      <c r="A92" s="1" t="str">
        <f ca="1">IFERROR(__xludf.DUMMYFUNCTION("GOOGLETRANSLATE(A92, ""zh"", ""en"")"),"P40B2.2 Number of working days lost due to work-related injuries")</f>
        <v>P40B2.2 Number of working days lost due to work-related injuries</v>
      </c>
      <c r="B92" s="1" t="str">
        <f ca="1">IFERROR(__xludf.DUMMYFUNCTION("GOOGLETRANSLATE(A92, ""zh"", ""en"")"),"staff")</f>
        <v>staff</v>
      </c>
      <c r="C92" s="1" t="str">
        <f ca="1">IFERROR(__xludf.DUMMYFUNCTION("GOOGLETRANSLATE(E92, ""zh"", ""en"")"),"Quantitative Text")</f>
        <v>Quantitative Text</v>
      </c>
    </row>
    <row r="93" spans="1:3" ht="13" x14ac:dyDescent="0.15">
      <c r="A93" s="1" t="str">
        <f ca="1">IFERROR(__xludf.DUMMYFUNCTION("GOOGLETRANSLATE(A93, ""zh"", ""en"")"),"The company's labor union attaches great importance to helping employees in difficulties")</f>
        <v>The company's labor union attaches great importance to helping employees in difficulties</v>
      </c>
      <c r="B93" s="1" t="str">
        <f ca="1">IFERROR(__xludf.DUMMYFUNCTION("GOOGLETRANSLATE(A93, ""zh"", ""en"")"),"staff")</f>
        <v>staff</v>
      </c>
      <c r="C93" s="1" t="str">
        <f ca="1">IFERROR(__xludf.DUMMYFUNCTION("GOOGLETRANSLATE(E93, ""zh"", ""en"")"),"Qualitative text")</f>
        <v>Qualitative text</v>
      </c>
    </row>
    <row r="94" spans="1:3" ht="13" x14ac:dyDescent="0.15">
      <c r="A94" s="1" t="str">
        <f ca="1">IFERROR(__xludf.DUMMYFUNCTION("GOOGLETRANSLATE(A94, ""zh"", ""en"")"),"Any substance that affects the purity of a drug is called an impurity.")</f>
        <v>Any substance that affects the purity of a drug is called an impurity.</v>
      </c>
      <c r="B94" s="1" t="str">
        <f ca="1">IFERROR(__xludf.DUMMYFUNCTION("GOOGLETRANSLATE(A94, ""zh"", ""en"")"),"irrelevant text")</f>
        <v>irrelevant text</v>
      </c>
      <c r="C94" s="1" t="str">
        <f ca="1">IFERROR(__xludf.DUMMYFUNCTION("GOOGLETRANSLATE(E94, ""zh"", ""en"")"),"irrelevant text")</f>
        <v>irrelevant text</v>
      </c>
    </row>
    <row r="95" spans="1:3" ht="13" x14ac:dyDescent="0.15">
      <c r="A95" s="1" t="str">
        <f ca="1">IFERROR(__xludf.DUMMYFUNCTION("GOOGLETRANSLATE(A95, ""zh"", ""en"")"),"Providing integrated drilling and completion and related services to Iraq")</f>
        <v>Providing integrated drilling and completion and related services to Iraq</v>
      </c>
      <c r="B95" s="1" t="str">
        <f ca="1">IFERROR(__xludf.DUMMYFUNCTION("GOOGLETRANSLATE(A95, ""zh"", ""en"")"),"irrelevant text")</f>
        <v>irrelevant text</v>
      </c>
      <c r="C95" s="1" t="str">
        <f ca="1">IFERROR(__xludf.DUMMYFUNCTION("GOOGLETRANSLATE(E95, ""zh"", ""en"")"),"irrelevant text")</f>
        <v>irrelevant text</v>
      </c>
    </row>
    <row r="96" spans="1:3" ht="13" x14ac:dyDescent="0.15">
      <c r="A96" s="1" t="str">
        <f ca="1">IFERROR(__xludf.DUMMYFUNCTION("GOOGLETRANSLATE(A96, ""zh"", ""en"")"),"The company continues to strengthen the construction of basic research capability system")</f>
        <v>The company continues to strengthen the construction of basic research capability system</v>
      </c>
      <c r="B96" s="1" t="str">
        <f ca="1">IFERROR(__xludf.DUMMYFUNCTION("GOOGLETRANSLATE(A96, ""zh"", ""en"")"),"Technological innovation")</f>
        <v>Technological innovation</v>
      </c>
      <c r="C96" s="1" t="str">
        <f ca="1">IFERROR(__xludf.DUMMYFUNCTION("GOOGLETRANSLATE(E96, ""zh"", ""en"")"),"Qualitative text")</f>
        <v>Qualitative text</v>
      </c>
    </row>
    <row r="97" spans="1:3" ht="13" x14ac:dyDescent="0.15">
      <c r="A97" s="1" t="str">
        <f ca="1">IFERROR(__xludf.DUMMYFUNCTION("GOOGLETRANSLATE(A97, ""zh"", ""en"")"),"Implement the Strategic Scientist and Future Scientist Training Program")</f>
        <v>Implement the Strategic Scientist and Future Scientist Training Program</v>
      </c>
      <c r="B97" s="1" t="str">
        <f ca="1">IFERROR(__xludf.DUMMYFUNCTION("GOOGLETRANSLATE(A97, ""zh"", ""en"")"),"irrelevant text")</f>
        <v>irrelevant text</v>
      </c>
      <c r="C97" s="1" t="str">
        <f ca="1">IFERROR(__xludf.DUMMYFUNCTION("GOOGLETRANSLATE(E97, ""zh"", ""en"")"),"irrelevant text")</f>
        <v>irrelevant text</v>
      </c>
    </row>
    <row r="98" spans="1:3" ht="13" x14ac:dyDescent="0.15">
      <c r="A98" s="1" t="str">
        <f ca="1">IFERROR(__xludf.DUMMYFUNCTION("GOOGLETRANSLATE(A98, ""zh"", ""en"")"),"Among them, there are 3 employee representative supervisors, accounting for 37.5%")</f>
        <v>Among them, there are 3 employee representative supervisors, accounting for 37.5%</v>
      </c>
      <c r="B98" s="1" t="str">
        <f ca="1">IFERROR(__xludf.DUMMYFUNCTION("GOOGLETRANSLATE(A98, ""zh"", ""en"")"),"Organizational structure and operations")</f>
        <v>Organizational structure and operations</v>
      </c>
      <c r="C98" s="1" t="str">
        <f ca="1">IFERROR(__xludf.DUMMYFUNCTION("GOOGLETRANSLATE(E98, ""zh"", ""en"")"),"Quantitative Text")</f>
        <v>Quantitative Text</v>
      </c>
    </row>
    <row r="99" spans="1:3" ht="13" x14ac:dyDescent="0.15">
      <c r="A99" s="1" t="str">
        <f ca="1">IFERROR(__xludf.DUMMYFUNCTION("GOOGLETRANSLATE(A99, ""zh"", ""en"")"),"Relying on the internal market to increase support for product production and sales")</f>
        <v>Relying on the internal market to increase support for product production and sales</v>
      </c>
      <c r="B99" s="1" t="str">
        <f ca="1">IFERROR(__xludf.DUMMYFUNCTION("GOOGLETRANSLATE(A99, ""zh"", ""en"")"),"Rural assistance")</f>
        <v>Rural assistance</v>
      </c>
      <c r="C99" s="1" t="str">
        <f ca="1">IFERROR(__xludf.DUMMYFUNCTION("GOOGLETRANSLATE(E99, ""zh"", ""en"")"),"Qualitative text")</f>
        <v>Qualitative text</v>
      </c>
    </row>
    <row r="100" spans="1:3" ht="13" x14ac:dyDescent="0.15">
      <c r="A100" s="1" t="str">
        <f ca="1">IFERROR(__xludf.DUMMYFUNCTION("GOOGLETRANSLATE(A100, ""zh"", ""en"")"),"The proportion of independent directors on the board of directors meets regulatory requirements")</f>
        <v>The proportion of independent directors on the board of directors meets regulatory requirements</v>
      </c>
      <c r="B100" s="1" t="str">
        <f ca="1">IFERROR(__xludf.DUMMYFUNCTION("GOOGLETRANSLATE(A100, ""zh"", ""en"")"),"Organizational structure and operations")</f>
        <v>Organizational structure and operations</v>
      </c>
      <c r="C100" s="1" t="str">
        <f ca="1">IFERROR(__xludf.DUMMYFUNCTION("GOOGLETRANSLATE(E100, ""zh"", ""en"")"),"Quantitative Text")</f>
        <v>Quantitative Text</v>
      </c>
    </row>
    <row r="101" spans="1:3" ht="13" x14ac:dyDescent="0.15">
      <c r="A101" s="1" t="str">
        <f ca="1">IFERROR(__xludf.DUMMYFUNCTION("GOOGLETRANSLATE(A101, ""zh"", ""en"")"),"Update substantive topics as needed based on focus and operational reality")</f>
        <v>Update substantive topics as needed based on focus and operational reality</v>
      </c>
      <c r="B101" s="1" t="str">
        <f ca="1">IFERROR(__xludf.DUMMYFUNCTION("GOOGLETRANSLATE(A101, ""zh"", ""en"")"),"irrelevant text")</f>
        <v>irrelevant text</v>
      </c>
      <c r="C101" s="1" t="str">
        <f ca="1">IFERROR(__xludf.DUMMYFUNCTION("GOOGLETRANSLATE(E101, ""zh"", ""en"")"),"irrelevant text")</f>
        <v>irrelevant text</v>
      </c>
    </row>
    <row r="102" spans="1:3" ht="13" x14ac:dyDescent="0.15">
      <c r="A102" s="1" t="str">
        <f ca="1">IFERROR(__xludf.DUMMYFUNCTION("GOOGLETRANSLATE(A102, ""zh"", ""en"")"),"Integrity management prohibits corruption and dishonesty")</f>
        <v>Integrity management prohibits corruption and dishonesty</v>
      </c>
      <c r="B102" s="1" t="str">
        <f ca="1">IFERROR(__xludf.DUMMYFUNCTION("GOOGLETRANSLATE(A102, ""zh"", ""en"")"),"Anti-corruption and anti-money laundering")</f>
        <v>Anti-corruption and anti-money laundering</v>
      </c>
      <c r="C102" s="1" t="str">
        <f ca="1">IFERROR(__xludf.DUMMYFUNCTION("GOOGLETRANSLATE(E102, ""zh"", ""en"")"),"Qualitative text")</f>
        <v>Qualitative text</v>
      </c>
    </row>
    <row r="103" spans="1:3" ht="13" x14ac:dyDescent="0.15">
      <c r="A103" s="1" t="str">
        <f ca="1">IFERROR(__xludf.DUMMYFUNCTION("GOOGLETRANSLATE(A103, ""zh"", ""en"")"),"The company has launched a wave of employees learning safety knowledge")</f>
        <v>The company has launched a wave of employees learning safety knowledge</v>
      </c>
      <c r="B103" s="1" t="str">
        <f ca="1">IFERROR(__xludf.DUMMYFUNCTION("GOOGLETRANSLATE(A103, ""zh"", ""en"")"),"staff")</f>
        <v>staff</v>
      </c>
      <c r="C103" s="1" t="str">
        <f ca="1">IFERROR(__xludf.DUMMYFUNCTION("GOOGLETRANSLATE(E103, ""zh"", ""en"")"),"Qualitative text")</f>
        <v>Qualitative text</v>
      </c>
    </row>
    <row r="104" spans="1:3" ht="13" x14ac:dyDescent="0.15">
      <c r="A104" s="1" t="str">
        <f ca="1">IFERROR(__xludf.DUMMYFUNCTION("GOOGLETRANSLATE(A104, ""zh"", ""en"")"),"Further enhanced employees' sense of belonging and cohesion")</f>
        <v>Further enhanced employees' sense of belonging and cohesion</v>
      </c>
      <c r="B104" s="1" t="str">
        <f ca="1">IFERROR(__xludf.DUMMYFUNCTION("GOOGLETRANSLATE(A104, ""zh"", ""en"")"),"staff")</f>
        <v>staff</v>
      </c>
      <c r="C104" s="1" t="str">
        <f ca="1">IFERROR(__xludf.DUMMYFUNCTION("GOOGLETRANSLATE(E104, ""zh"", ""en"")"),"Qualitative text")</f>
        <v>Qualitative text</v>
      </c>
    </row>
    <row r="105" spans="1:3" ht="13" x14ac:dyDescent="0.15">
      <c r="A105" s="1" t="str">
        <f ca="1">IFERROR(__xludf.DUMMYFUNCTION("GOOGLETRANSLATE(A105, ""zh"", ""en"")"),"Promote the establishment and improvement of CCUS (Carbon Dioxide Capture, Utilization and Storage) standard and specification system")</f>
        <v>Promote the establishment and improvement of CCUS (Carbon Dioxide Capture, Utilization and Storage) standard and specification system</v>
      </c>
      <c r="B105" s="1" t="str">
        <f ca="1">IFERROR(__xludf.DUMMYFUNCTION("GOOGLETRANSLATE(A105, ""zh"", ""en"")"),"carbon emissions")</f>
        <v>carbon emissions</v>
      </c>
      <c r="C105" s="1" t="str">
        <f ca="1">IFERROR(__xludf.DUMMYFUNCTION("GOOGLETRANSLATE(E105, ""zh"", ""en"")"),"Qualitative text")</f>
        <v>Qualitative text</v>
      </c>
    </row>
    <row r="106" spans="1:3" ht="13" x14ac:dyDescent="0.15">
      <c r="A106" s="1" t="str">
        <f ca="1">IFERROR(__xludf.DUMMYFUNCTION("GOOGLETRANSLATE(A106, ""zh"", ""en"")"),"Provide high-quality services and solutions for business")</f>
        <v>Provide high-quality services and solutions for business</v>
      </c>
      <c r="B106" s="1" t="str">
        <f ca="1">IFERROR(__xludf.DUMMYFUNCTION("GOOGLETRANSLATE(A106, ""zh"", ""en"")"),"irrelevant text")</f>
        <v>irrelevant text</v>
      </c>
      <c r="C106" s="1" t="str">
        <f ca="1">IFERROR(__xludf.DUMMYFUNCTION("GOOGLETRANSLATE(E106, ""zh"", ""en"")"),"irrelevant text")</f>
        <v>irrelevant text</v>
      </c>
    </row>
    <row r="107" spans="1:3" ht="13" x14ac:dyDescent="0.15">
      <c r="A107" s="1" t="str">
        <f ca="1">IFERROR(__xludf.DUMMYFUNCTION("GOOGLETRANSLATE(A107, ""zh"", ""en"")"),"Suqian Zhongwu Hospital's two medical insurance charging practices")</f>
        <v>Suqian Zhongwu Hospital's two medical insurance charging practices</v>
      </c>
      <c r="B107" s="1" t="str">
        <f ca="1">IFERROR(__xludf.DUMMYFUNCTION("GOOGLETRANSLATE(A107, ""zh"", ""en"")"),"irrelevant text")</f>
        <v>irrelevant text</v>
      </c>
      <c r="C107" s="1" t="str">
        <f ca="1">IFERROR(__xludf.DUMMYFUNCTION("GOOGLETRANSLATE(E107, ""zh"", ""en"")"),"irrelevant text")</f>
        <v>irrelevant text</v>
      </c>
    </row>
    <row r="108" spans="1:3" ht="13" x14ac:dyDescent="0.15">
      <c r="A108" s="1" t="str">
        <f ca="1">IFERROR(__xludf.DUMMYFUNCTION("GOOGLETRANSLATE(A108, ""zh"", ""en"")"),"During the reporting period, the number of members of the committee reached")</f>
        <v>During the reporting period, the number of members of the committee reached</v>
      </c>
      <c r="B108" s="1" t="str">
        <f ca="1">IFERROR(__xludf.DUMMYFUNCTION("GOOGLETRANSLATE(A108, ""zh"", ""en"")"),"Organizational structure and operations")</f>
        <v>Organizational structure and operations</v>
      </c>
      <c r="C108" s="1" t="str">
        <f ca="1">IFERROR(__xludf.DUMMYFUNCTION("GOOGLETRANSLATE(E108, ""zh"", ""en"")"),"Quantitative Text")</f>
        <v>Quantitative Text</v>
      </c>
    </row>
    <row r="109" spans="1:3" ht="13" x14ac:dyDescent="0.15">
      <c r="A109" s="1" t="str">
        <f ca="1">IFERROR(__xludf.DUMMYFUNCTION("GOOGLETRANSLATE(A109, ""zh"", ""en"")"),"The group's traits, skills and motivations are more recognizable")</f>
        <v>The group's traits, skills and motivations are more recognizable</v>
      </c>
      <c r="B109" s="1" t="str">
        <f ca="1">IFERROR(__xludf.DUMMYFUNCTION("GOOGLETRANSLATE(A109, ""zh"", ""en"")"),"irrelevant text")</f>
        <v>irrelevant text</v>
      </c>
      <c r="C109" s="1" t="str">
        <f ca="1">IFERROR(__xludf.DUMMYFUNCTION("GOOGLETRANSLATE(E109, ""zh"", ""en"")"),"irrelevant text")</f>
        <v>irrelevant text</v>
      </c>
    </row>
    <row r="110" spans="1:3" ht="13" x14ac:dyDescent="0.15">
      <c r="A110" s="1" t="str">
        <f ca="1">IFERROR(__xludf.DUMMYFUNCTION("GOOGLETRANSLATE(A110, ""zh"", ""en"")"),"The company held a total of 6 supervisory board meetings in 2022")</f>
        <v>The company held a total of 6 supervisory board meetings in 2022</v>
      </c>
      <c r="B110" s="1" t="str">
        <f ca="1">IFERROR(__xludf.DUMMYFUNCTION("GOOGLETRANSLATE(A110, ""zh"", ""en"")"),"Organizational structure and operations")</f>
        <v>Organizational structure and operations</v>
      </c>
      <c r="C110" s="1" t="str">
        <f ca="1">IFERROR(__xludf.DUMMYFUNCTION("GOOGLETRANSLATE(E110, ""zh"", ""en"")"),"Quantitative Text")</f>
        <v>Quantitative Text</v>
      </c>
    </row>
    <row r="111" spans="1:3" ht="13" x14ac:dyDescent="0.15">
      <c r="A111" s="1" t="str">
        <f ca="1">IFERROR(__xludf.DUMMYFUNCTION("GOOGLETRANSLATE(A111, ""zh"", ""en"")"),"The Group supports the rules and regulations of employee accumulation board")</f>
        <v>The Group supports the rules and regulations of employee accumulation board</v>
      </c>
      <c r="B111" s="1" t="str">
        <f ca="1">IFERROR(__xludf.DUMMYFUNCTION("GOOGLETRANSLATE(A111, ""zh"", ""en"")"),"staff")</f>
        <v>staff</v>
      </c>
      <c r="C111" s="1" t="str">
        <f ca="1">IFERROR(__xludf.DUMMYFUNCTION("GOOGLETRANSLATE(E111, ""zh"", ""en"")"),"Qualitative text")</f>
        <v>Qualitative text</v>
      </c>
    </row>
    <row r="112" spans="1:3" ht="13" x14ac:dyDescent="0.15">
      <c r="A112" s="1" t="str">
        <f ca="1">IFERROR(__xludf.DUMMYFUNCTION("GOOGLETRANSLATE(A112, ""zh"", ""en"")"),"Employee health and safety measures and related implementation and monitoring methods")</f>
        <v>Employee health and safety measures and related implementation and monitoring methods</v>
      </c>
      <c r="B112" s="1" t="str">
        <f ca="1">IFERROR(__xludf.DUMMYFUNCTION("GOOGLETRANSLATE(A112, ""zh"", ""en"")"),"staff")</f>
        <v>staff</v>
      </c>
      <c r="C112" s="1" t="str">
        <f ca="1">IFERROR(__xludf.DUMMYFUNCTION("GOOGLETRANSLATE(E112, ""zh"", ""en"")"),"Qualitative text")</f>
        <v>Qualitative text</v>
      </c>
    </row>
    <row r="113" spans="1:3" ht="13" x14ac:dyDescent="0.15">
      <c r="A113" s="1" t="str">
        <f ca="1">IFERROR(__xludf.DUMMYFUNCTION("GOOGLETRANSLATE(A113, ""zh"", ""en"")"),"Gender information is based on the employee's official identification")</f>
        <v>Gender information is based on the employee's official identification</v>
      </c>
      <c r="B113" s="1" t="str">
        <f ca="1">IFERROR(__xludf.DUMMYFUNCTION("GOOGLETRANSLATE(A113, ""zh"", ""en"")"),"irrelevant text")</f>
        <v>irrelevant text</v>
      </c>
      <c r="C113" s="1" t="str">
        <f ca="1">IFERROR(__xludf.DUMMYFUNCTION("GOOGLETRANSLATE(E113, ""zh"", ""en"")"),"irrelevant text")</f>
        <v>irrelevant text</v>
      </c>
    </row>
    <row r="114" spans="1:3" ht="13" x14ac:dyDescent="0.15">
      <c r="A114" s="1" t="str">
        <f ca="1">IFERROR(__xludf.DUMMYFUNCTION("GOOGLETRANSLATE(A114, ""zh"", ""en"")"),"Fosun Pharma's important approach to addressing climate change")</f>
        <v>Fosun Pharma's important approach to addressing climate change</v>
      </c>
      <c r="B114" s="1" t="str">
        <f ca="1">IFERROR(__xludf.DUMMYFUNCTION("GOOGLETRANSLATE(A114, ""zh"", ""en"")"),"Addressing climate change")</f>
        <v>Addressing climate change</v>
      </c>
      <c r="C114" s="1" t="str">
        <f ca="1">IFERROR(__xludf.DUMMYFUNCTION("GOOGLETRANSLATE(E114, ""zh"", ""en"")"),"Qualitative text")</f>
        <v>Qualitative text</v>
      </c>
    </row>
    <row r="115" spans="1:3" ht="13" x14ac:dyDescent="0.15">
      <c r="A115" s="1" t="str">
        <f ca="1">IFERROR(__xludf.DUMMYFUNCTION("GOOGLETRANSLATE(A115, ""zh"", ""en"")"),"Gender information is based on the employee's official identification")</f>
        <v>Gender information is based on the employee's official identification</v>
      </c>
      <c r="B115" s="1" t="str">
        <f ca="1">IFERROR(__xludf.DUMMYFUNCTION("GOOGLETRANSLATE(A115, ""zh"", ""en"")"),"irrelevant text")</f>
        <v>irrelevant text</v>
      </c>
      <c r="C115" s="1" t="str">
        <f ca="1">IFERROR(__xludf.DUMMYFUNCTION("GOOGLETRANSLATE(E115, ""zh"", ""en"")"),"irrelevant text")</f>
        <v>irrelevant text</v>
      </c>
    </row>
    <row r="116" spans="1:3" ht="13" x14ac:dyDescent="0.15">
      <c r="A116" s="1" t="str">
        <f ca="1">IFERROR(__xludf.DUMMYFUNCTION("GOOGLETRANSLATE(A116, ""zh"", ""en"")"),"The factory area's annual water usage savings from optimizing the fat level")</f>
        <v>The factory area's annual water usage savings from optimizing the fat level</v>
      </c>
      <c r="B116" s="1" t="str">
        <f ca="1">IFERROR(__xludf.DUMMYFUNCTION("GOOGLETRANSLATE(A116, ""zh"", ""en"")"),"Water resources")</f>
        <v>Water resources</v>
      </c>
      <c r="C116" s="1" t="str">
        <f ca="1">IFERROR(__xludf.DUMMYFUNCTION("GOOGLETRANSLATE(E116, ""zh"", ""en"")"),"Quantitative Text")</f>
        <v>Quantitative Text</v>
      </c>
    </row>
    <row r="117" spans="1:3" ht="13" x14ac:dyDescent="0.15">
      <c r="A117" s="1" t="str">
        <f ca="1">IFERROR(__xludf.DUMMYFUNCTION("GOOGLETRANSLATE(A117, ""zh"", ""en"")"),"Age information is based on the employee's official identification")</f>
        <v>Age information is based on the employee's official identification</v>
      </c>
      <c r="B117" s="1" t="str">
        <f ca="1">IFERROR(__xludf.DUMMYFUNCTION("GOOGLETRANSLATE(A117, ""zh"", ""en"")"),"staff")</f>
        <v>staff</v>
      </c>
      <c r="C117" s="1" t="str">
        <f ca="1">IFERROR(__xludf.DUMMYFUNCTION("GOOGLETRANSLATE(E117, ""zh"", ""en"")"),"Qualitative text")</f>
        <v>Qualitative text</v>
      </c>
    </row>
    <row r="118" spans="1:3" ht="13" x14ac:dyDescent="0.15">
      <c r="A118" s="1" t="str">
        <f ca="1">IFERROR(__xludf.DUMMYFUNCTION("GOOGLETRANSLATE(A118, ""zh"", ""en"")"),"Continuously improve the Group's corporate social responsibility management level")</f>
        <v>Continuously improve the Group's corporate social responsibility management level</v>
      </c>
      <c r="B118" s="1" t="str">
        <f ca="1">IFERROR(__xludf.DUMMYFUNCTION("GOOGLETRANSLATE(A118, ""zh"", ""en"")"),"irrelevant text")</f>
        <v>irrelevant text</v>
      </c>
      <c r="C118" s="1" t="str">
        <f ca="1">IFERROR(__xludf.DUMMYFUNCTION("GOOGLETRANSLATE(E118, ""zh"", ""en"")"),"irrelevant text")</f>
        <v>irrelevant text</v>
      </c>
    </row>
    <row r="119" spans="1:3" ht="13" x14ac:dyDescent="0.15">
      <c r="A119" s="1" t="str">
        <f ca="1">IFERROR(__xludf.DUMMYFUNCTION("GOOGLETRANSLATE(A119, ""zh"", ""en"")"),"The company did not actually produce any products that required recall in 2022")</f>
        <v>The company did not actually produce any products that required recall in 2022</v>
      </c>
      <c r="B119" s="1" t="str">
        <f ca="1">IFERROR(__xludf.DUMMYFUNCTION("GOOGLETRANSLATE(A119, ""zh"", ""en"")"),"Product quality")</f>
        <v>Product quality</v>
      </c>
      <c r="C119" s="1" t="str">
        <f ca="1">IFERROR(__xludf.DUMMYFUNCTION("GOOGLETRANSLATE(E119, ""zh"", ""en"")"),"Quantitative Text")</f>
        <v>Quantitative Text</v>
      </c>
    </row>
    <row r="120" spans="1:3" ht="13" x14ac:dyDescent="0.15">
      <c r="A120" s="1" t="str">
        <f ca="1">IFERROR(__xludf.DUMMYFUNCTION("GOOGLETRANSLATE(A120, ""zh"", ""en"")"),"The company held 13 board meetings in 2022")</f>
        <v>The company held 13 board meetings in 2022</v>
      </c>
      <c r="B120" s="1" t="str">
        <f ca="1">IFERROR(__xludf.DUMMYFUNCTION("GOOGLETRANSLATE(A120, ""zh"", ""en"")"),"Organizational structure and operations")</f>
        <v>Organizational structure and operations</v>
      </c>
      <c r="C120" s="1" t="str">
        <f ca="1">IFERROR(__xludf.DUMMYFUNCTION("GOOGLETRANSLATE(E120, ""zh"", ""en"")"),"Quantitative Text")</f>
        <v>Quantitative Text</v>
      </c>
    </row>
    <row r="121" spans="1:3" ht="13" x14ac:dyDescent="0.15">
      <c r="A121" s="1" t="str">
        <f ca="1">IFERROR(__xludf.DUMMYFUNCTION("GOOGLETRANSLATE(A121, ""zh"", ""en"")"),"Pain points and opinions force improvements in internal front-end links of enterprises")</f>
        <v>Pain points and opinions force improvements in internal front-end links of enterprises</v>
      </c>
      <c r="B121" s="1" t="str">
        <f ca="1">IFERROR(__xludf.DUMMYFUNCTION("GOOGLETRANSLATE(A121, ""zh"", ""en"")"),"irrelevant text")</f>
        <v>irrelevant text</v>
      </c>
      <c r="C121" s="1" t="str">
        <f ca="1">IFERROR(__xludf.DUMMYFUNCTION("GOOGLETRANSLATE(E121, ""zh"", ""en"")"),"irrelevant text")</f>
        <v>irrelevant text</v>
      </c>
    </row>
    <row r="122" spans="1:3" ht="13" x14ac:dyDescent="0.15">
      <c r="A122" s="1" t="str">
        <f ca="1">IFERROR(__xludf.DUMMYFUNCTION("GOOGLETRANSLATE(A122, ""zh"", ""en"")"),"During the reporting period, various pollutant prevention and control facilities operated well")</f>
        <v>During the reporting period, various pollutant prevention and control facilities operated well</v>
      </c>
      <c r="B122" s="1" t="str">
        <f ca="1">IFERROR(__xludf.DUMMYFUNCTION("GOOGLETRANSLATE(A122, ""zh"", ""en"")"),"Waste Management")</f>
        <v>Waste Management</v>
      </c>
      <c r="C122" s="1" t="str">
        <f ca="1">IFERROR(__xludf.DUMMYFUNCTION("GOOGLETRANSLATE(E122, ""zh"", ""en"")"),"Qualitative text")</f>
        <v>Qualitative text</v>
      </c>
    </row>
    <row r="123" spans="1:3" ht="13" x14ac:dyDescent="0.15">
      <c r="A123" s="1" t="str">
        <f ca="1">IFERROR(__xludf.DUMMYFUNCTION("GOOGLETRANSLATE(A123, ""zh"", ""en"")"),"A total of 98 employees in need were assisted in 2022")</f>
        <v>A total of 98 employees in need were assisted in 2022</v>
      </c>
      <c r="B123" s="1" t="str">
        <f ca="1">IFERROR(__xludf.DUMMYFUNCTION("GOOGLETRANSLATE(A123, ""zh"", ""en"")"),"staff")</f>
        <v>staff</v>
      </c>
      <c r="C123" s="1" t="str">
        <f ca="1">IFERROR(__xludf.DUMMYFUNCTION("GOOGLETRANSLATE(E123, ""zh"", ""en"")"),"Quantitative Text")</f>
        <v>Quantitative Text</v>
      </c>
    </row>
    <row r="124" spans="1:3" ht="13" x14ac:dyDescent="0.15">
      <c r="A124" s="1" t="str">
        <f ca="1">IFERROR(__xludf.DUMMYFUNCTION("GOOGLETRANSLATE(A124, ""zh"", ""en"")"),"Sales and trading of refined oil products and non-oil products")</f>
        <v>Sales and trading of refined oil products and non-oil products</v>
      </c>
      <c r="B124" s="1" t="str">
        <f ca="1">IFERROR(__xludf.DUMMYFUNCTION("GOOGLETRANSLATE(A124, ""zh"", ""en"")"),"Product quality")</f>
        <v>Product quality</v>
      </c>
      <c r="C124" s="1" t="str">
        <f ca="1">IFERROR(__xludf.DUMMYFUNCTION("GOOGLETRANSLATE(E124, ""zh"", ""en"")"),"Qualitative text")</f>
        <v>Qualitative text</v>
      </c>
    </row>
    <row r="125" spans="1:3" ht="13" x14ac:dyDescent="0.15">
      <c r="A125" s="1" t="str">
        <f ca="1">IFERROR(__xludf.DUMMYFUNCTION("GOOGLETRANSLATE(A125, ""zh"", ""en"")"),"Ethylene production in 2022: 13.44 million tons")</f>
        <v>Ethylene production in 2022: 13.44 million tons</v>
      </c>
      <c r="B125" s="1" t="str">
        <f ca="1">IFERROR(__xludf.DUMMYFUNCTION("GOOGLETRANSLATE(A125, ""zh"", ""en"")"),"raw materials")</f>
        <v>raw materials</v>
      </c>
      <c r="C125" s="1" t="str">
        <f ca="1">IFERROR(__xludf.DUMMYFUNCTION("GOOGLETRANSLATE(E125, ""zh"", ""en"")"),"Quantitative Text")</f>
        <v>Quantitative Text</v>
      </c>
    </row>
    <row r="126" spans="1:3" ht="13" x14ac:dyDescent="0.15">
      <c r="A126" s="1" t="str">
        <f ca="1">IFERROR(__xludf.DUMMYFUNCTION("GOOGLETRANSLATE(A126, ""zh"", ""en"")"),"The company confirms the independence of independent directors every year")</f>
        <v>The company confirms the independence of independent directors every year</v>
      </c>
      <c r="B126" s="1" t="str">
        <f ca="1">IFERROR(__xludf.DUMMYFUNCTION("GOOGLETRANSLATE(A126, ""zh"", ""en"")"),"Organizational structure and operations")</f>
        <v>Organizational structure and operations</v>
      </c>
      <c r="C126" s="1" t="str">
        <f ca="1">IFERROR(__xludf.DUMMYFUNCTION("GOOGLETRANSLATE(E126, ""zh"", ""en"")"),"Qualitative text")</f>
        <v>Qualitative text</v>
      </c>
    </row>
    <row r="127" spans="1:3" ht="13" x14ac:dyDescent="0.15">
      <c r="A127" s="1" t="str">
        <f ca="1">IFERROR(__xludf.DUMMYFUNCTION("GOOGLETRANSLATE(A127, ""zh"", ""en"")"),"Reusing old well sites to improve the efficiency of stock land use")</f>
        <v>Reusing old well sites to improve the efficiency of stock land use</v>
      </c>
      <c r="B127" s="1" t="str">
        <f ca="1">IFERROR(__xludf.DUMMYFUNCTION("GOOGLETRANSLATE(A127, ""zh"", ""en"")"),"Land use")</f>
        <v>Land use</v>
      </c>
      <c r="C127" s="1" t="str">
        <f ca="1">IFERROR(__xludf.DUMMYFUNCTION("GOOGLETRANSLATE(E127, ""zh"", ""en"")"),"Qualitative text")</f>
        <v>Qualitative text</v>
      </c>
    </row>
    <row r="128" spans="1:3" ht="13" x14ac:dyDescent="0.15">
      <c r="A128" s="1" t="str">
        <f ca="1">IFERROR(__xludf.DUMMYFUNCTION("GOOGLETRANSLATE(A128, ""zh"", ""en"")"),"During the reporting period, the company did not have any major violations of laws and regulations")</f>
        <v>During the reporting period, the company did not have any major violations of laws and regulations</v>
      </c>
      <c r="B128" s="1" t="str">
        <f ca="1">IFERROR(__xludf.DUMMYFUNCTION("GOOGLETRANSLATE(A128, ""zh"", ""en"")"),"Legal proceedings and external sanctions")</f>
        <v>Legal proceedings and external sanctions</v>
      </c>
      <c r="C128" s="1" t="str">
        <f ca="1">IFERROR(__xludf.DUMMYFUNCTION("GOOGLETRANSLATE(E128, ""zh"", ""en"")"),"Quantitative Text")</f>
        <v>Quantitative Text</v>
      </c>
    </row>
    <row r="129" spans="1:3" ht="13" x14ac:dyDescent="0.15">
      <c r="A129" s="1" t="str">
        <f ca="1">IFERROR(__xludf.DUMMYFUNCTION("GOOGLETRANSLATE(A129, ""zh"", ""en"")"),"A compliance management system has been basically established at the level of directly affiliated units")</f>
        <v>A compliance management system has been basically established at the level of directly affiliated units</v>
      </c>
      <c r="B129" s="1" t="str">
        <f ca="1">IFERROR(__xludf.DUMMYFUNCTION("GOOGLETRANSLATE(A129, ""zh"", ""en"")"),"Organizational structure and operations")</f>
        <v>Organizational structure and operations</v>
      </c>
      <c r="C129" s="1" t="str">
        <f ca="1">IFERROR(__xludf.DUMMYFUNCTION("GOOGLETRANSLATE(E129, ""zh"", ""en"")"),"Qualitative text")</f>
        <v>Qualitative text</v>
      </c>
    </row>
    <row r="130" spans="1:3" ht="13" x14ac:dyDescent="0.15">
      <c r="A130" s="1" t="str">
        <f ca="1">IFERROR(__xludf.DUMMYFUNCTION("GOOGLETRANSLATE(A130, ""zh"", ""en"")"),"Signed a responsibility letter for Party conduct and clean government construction with system units")</f>
        <v>Signed a responsibility letter for Party conduct and clean government construction with system units</v>
      </c>
      <c r="B130" s="1" t="str">
        <f ca="1">IFERROR(__xludf.DUMMYFUNCTION("GOOGLETRANSLATE(A130, ""zh"", ""en"")"),"Anti-corruption and anti-money laundering")</f>
        <v>Anti-corruption and anti-money laundering</v>
      </c>
      <c r="C130" s="1" t="str">
        <f ca="1">IFERROR(__xludf.DUMMYFUNCTION("GOOGLETRANSLATE(E130, ""zh"", ""en"")"),"Qualitative text")</f>
        <v>Qualitative text</v>
      </c>
    </row>
    <row r="131" spans="1:3" ht="13" x14ac:dyDescent="0.15">
      <c r="A131" s="1" t="str">
        <f ca="1">IFERROR(__xludf.DUMMYFUNCTION("GOOGLETRANSLATE(A131, ""zh"", ""en"")"),"In addition, we manage the entire process of pollutant emissions")</f>
        <v>In addition, we manage the entire process of pollutant emissions</v>
      </c>
      <c r="B131" s="1" t="str">
        <f ca="1">IFERROR(__xludf.DUMMYFUNCTION("GOOGLETRANSLATE(A131, ""zh"", ""en"")"),"Waste Management")</f>
        <v>Waste Management</v>
      </c>
      <c r="C131" s="1" t="str">
        <f ca="1">IFERROR(__xludf.DUMMYFUNCTION("GOOGLETRANSLATE(E131, ""zh"", ""en"")"),"Qualitative text")</f>
        <v>Qualitative text</v>
      </c>
    </row>
    <row r="132" spans="1:3" ht="13" x14ac:dyDescent="0.15">
      <c r="A132" s="1" t="str">
        <f ca="1">IFERROR(__xludf.DUMMYFUNCTION("GOOGLETRANSLATE(A132, ""zh"", ""en"")"),"Strengthen employee communication and conduct annual employee satisfaction surveys")</f>
        <v>Strengthen employee communication and conduct annual employee satisfaction surveys</v>
      </c>
      <c r="B132" s="1" t="str">
        <f ca="1">IFERROR(__xludf.DUMMYFUNCTION("GOOGLETRANSLATE(A132, ""zh"", ""en"")"),"staff")</f>
        <v>staff</v>
      </c>
      <c r="C132" s="1" t="str">
        <f ca="1">IFERROR(__xludf.DUMMYFUNCTION("GOOGLETRANSLATE(E132, ""zh"", ""en"")"),"Qualitative text")</f>
        <v>Qualitative text</v>
      </c>
    </row>
    <row r="133" spans="1:3" ht="13" x14ac:dyDescent="0.15">
      <c r="A133" s="1" t="str">
        <f ca="1">IFERROR(__xludf.DUMMYFUNCTION("GOOGLETRANSLATE(A133, ""zh"", ""en"")"),"Procurement of clean energy and expansion of clean energy use")</f>
        <v>Procurement of clean energy and expansion of clean energy use</v>
      </c>
      <c r="B133" s="1" t="str">
        <f ca="1">IFERROR(__xludf.DUMMYFUNCTION("GOOGLETRANSLATE(A133, ""zh"", ""en"")"),"Energy and resource consumption")</f>
        <v>Energy and resource consumption</v>
      </c>
      <c r="C133" s="1" t="str">
        <f ca="1">IFERROR(__xludf.DUMMYFUNCTION("GOOGLETRANSLATE(E133, ""zh"", ""en"")"),"Qualitative text")</f>
        <v>Qualitative text</v>
      </c>
    </row>
    <row r="134" spans="1:3" ht="13" x14ac:dyDescent="0.15">
      <c r="A134" s="1" t="str">
        <f ca="1">IFERROR(__xludf.DUMMYFUNCTION("GOOGLETRANSLATE(A134, ""zh"", ""en"")"),"Assist in applying for a 20,000 yuan living allowance for new employees entering Hangzhou")</f>
        <v>Assist in applying for a 20,000 yuan living allowance for new employees entering Hangzhou</v>
      </c>
      <c r="B134" s="1" t="str">
        <f ca="1">IFERROR(__xludf.DUMMYFUNCTION("GOOGLETRANSLATE(A134, ""zh"", ""en"")"),"staff")</f>
        <v>staff</v>
      </c>
      <c r="C134" s="1" t="str">
        <f ca="1">IFERROR(__xludf.DUMMYFUNCTION("GOOGLETRANSLATE(E134, ""zh"", ""en"")"),"Quantitative Text")</f>
        <v>Quantitative Text</v>
      </c>
    </row>
    <row r="135" spans="1:3" ht="13" x14ac:dyDescent="0.15">
      <c r="A135" s="1" t="str">
        <f ca="1">IFERROR(__xludf.DUMMYFUNCTION("GOOGLETRANSLATE(A135, ""zh"", ""en"")"),"Continuously improve energy supply levels in the energy industry")</f>
        <v>Continuously improve energy supply levels in the energy industry</v>
      </c>
      <c r="B135" s="1" t="str">
        <f ca="1">IFERROR(__xludf.DUMMYFUNCTION("GOOGLETRANSLATE(A135, ""zh"", ""en"")"),"Energy and resource consumption")</f>
        <v>Energy and resource consumption</v>
      </c>
      <c r="C135" s="1" t="str">
        <f ca="1">IFERROR(__xludf.DUMMYFUNCTION("GOOGLETRANSLATE(E135, ""zh"", ""en"")"),"Qualitative text")</f>
        <v>Qualitative text</v>
      </c>
    </row>
    <row r="136" spans="1:3" ht="13" x14ac:dyDescent="0.15">
      <c r="A136" s="1" t="str">
        <f ca="1">IFERROR(__xludf.DUMMYFUNCTION("GOOGLETRANSLATE(A136, ""zh"", ""en"")"),"A total of 3 patents were applied for throughout the year, and 1 new patent was authorized")</f>
        <v>A total of 3 patents were applied for throughout the year, and 1 new patent was authorized</v>
      </c>
      <c r="B136" s="1" t="str">
        <f ca="1">IFERROR(__xludf.DUMMYFUNCTION("GOOGLETRANSLATE(A136, ""zh"", ""en"")"),"Intellectual Property Protection")</f>
        <v>Intellectual Property Protection</v>
      </c>
      <c r="C136" s="1" t="str">
        <f ca="1">IFERROR(__xludf.DUMMYFUNCTION("GOOGLETRANSLATE(E136, ""zh"", ""en"")"),"Quantitative Text")</f>
        <v>Quantitative Text</v>
      </c>
    </row>
    <row r="137" spans="1:3" ht="13" x14ac:dyDescent="0.15">
      <c r="A137" s="1" t="str">
        <f ca="1">IFERROR(__xludf.DUMMYFUNCTION("GOOGLETRANSLATE(A137, ""zh"", ""en"")"),"The digital three-dimensional warehouse has been put into use in Yongkang and Ningbo")</f>
        <v>The digital three-dimensional warehouse has been put into use in Yongkang and Ningbo</v>
      </c>
      <c r="B137" s="1" t="str">
        <f ca="1">IFERROR(__xludf.DUMMYFUNCTION("GOOGLETRANSLATE(A137, ""zh"", ""en"")"),"Technological innovation")</f>
        <v>Technological innovation</v>
      </c>
      <c r="C137" s="1" t="str">
        <f ca="1">IFERROR(__xludf.DUMMYFUNCTION("GOOGLETRANSLATE(E137, ""zh"", ""en"")"),"Qualitative text")</f>
        <v>Qualitative text</v>
      </c>
    </row>
    <row r="138" spans="1:3" ht="13" x14ac:dyDescent="0.15">
      <c r="A138" s="1" t="str">
        <f ca="1">IFERROR(__xludf.DUMMYFUNCTION("GOOGLETRANSLATE(A138, ""zh"", ""en"")"),"Continue to carry out safety production education and training and emergency drills")</f>
        <v>Continue to carry out safety production education and training and emergency drills</v>
      </c>
      <c r="B138" s="1" t="str">
        <f ca="1">IFERROR(__xludf.DUMMYFUNCTION("GOOGLETRANSLATE(A138, ""zh"", ""en"")"),"staff")</f>
        <v>staff</v>
      </c>
      <c r="C138" s="1" t="str">
        <f ca="1">IFERROR(__xludf.DUMMYFUNCTION("GOOGLETRANSLATE(E138, ""zh"", ""en"")"),"Qualitative text")</f>
        <v>Qualitative text</v>
      </c>
    </row>
    <row r="139" spans="1:3" ht="13" x14ac:dyDescent="0.15">
      <c r="A139" s="1" t="str">
        <f ca="1">IFERROR(__xludf.DUMMYFUNCTION("GOOGLETRANSLATE(A139, ""zh"", ""en"")"),"The project won the third prize of Zhejiang Science and Technology Progress Award")</f>
        <v>The project won the third prize of Zhejiang Science and Technology Progress Award</v>
      </c>
      <c r="B139" s="1" t="str">
        <f ca="1">IFERROR(__xludf.DUMMYFUNCTION("GOOGLETRANSLATE(A139, ""zh"", ""en"")"),"Technological innovation")</f>
        <v>Technological innovation</v>
      </c>
      <c r="C139" s="1" t="str">
        <f ca="1">IFERROR(__xludf.DUMMYFUNCTION("GOOGLETRANSLATE(E139, ""zh"", ""en"")"),"Quantitative Text")</f>
        <v>Quantitative Text</v>
      </c>
    </row>
    <row r="140" spans="1:3" ht="13" x14ac:dyDescent="0.15">
      <c r="A140" s="1" t="str">
        <f ca="1">IFERROR(__xludf.DUMMYFUNCTION("GOOGLETRANSLATE(A140, ""zh"", ""en"")"),"This report is an annual report and will continue to be published annually in the future")</f>
        <v>This report is an annual report and will continue to be published annually in the future</v>
      </c>
      <c r="B140" s="1" t="str">
        <f ca="1">IFERROR(__xludf.DUMMYFUNCTION("GOOGLETRANSLATE(A140, ""zh"", ""en"")"),"irrelevant text")</f>
        <v>irrelevant text</v>
      </c>
      <c r="C140" s="1" t="str">
        <f ca="1">IFERROR(__xludf.DUMMYFUNCTION("GOOGLETRANSLATE(E140, ""zh"", ""en"")"),"irrelevant text")</f>
        <v>irrelevant text</v>
      </c>
    </row>
    <row r="141" spans="1:3" ht="13" x14ac:dyDescent="0.15">
      <c r="A141" s="1" t="str">
        <f ca="1">IFERROR(__xludf.DUMMYFUNCTION("GOOGLETRANSLATE(A141, ""zh"", ""en"")"),"Conduct board operation evaluation covering three-tier subsidiaries")</f>
        <v>Conduct board operation evaluation covering three-tier subsidiaries</v>
      </c>
      <c r="B141" s="1" t="str">
        <f ca="1">IFERROR(__xludf.DUMMYFUNCTION("GOOGLETRANSLATE(A141, ""zh"", ""en"")"),"Organizational structure and operations")</f>
        <v>Organizational structure and operations</v>
      </c>
      <c r="C141" s="1" t="str">
        <f ca="1">IFERROR(__xludf.DUMMYFUNCTION("GOOGLETRANSLATE(E141, ""zh"", ""en"")"),"Qualitative text")</f>
        <v>Qualitative text</v>
      </c>
    </row>
    <row r="142" spans="1:3" ht="13" x14ac:dyDescent="0.15">
      <c r="A142" s="1" t="str">
        <f ca="1">IFERROR(__xludf.DUMMYFUNCTION("GOOGLETRANSLATE(A142, ""zh"", ""en"")"),"Invest in the new era of China Energy to layout the new energy circular economy field")</f>
        <v>Invest in the new era of China Energy to layout the new energy circular economy field</v>
      </c>
      <c r="B142" s="1" t="str">
        <f ca="1">IFERROR(__xludf.DUMMYFUNCTION("GOOGLETRANSLATE(A142, ""zh"", ""en"")"),"Energy and resource consumption")</f>
        <v>Energy and resource consumption</v>
      </c>
      <c r="C142" s="1" t="str">
        <f ca="1">IFERROR(__xludf.DUMMYFUNCTION("GOOGLETRANSLATE(E142, ""zh"", ""en"")"),"Qualitative text")</f>
        <v>Qualitative text</v>
      </c>
    </row>
    <row r="143" spans="1:3" ht="13" x14ac:dyDescent="0.15">
      <c r="A143" s="1" t="str">
        <f ca="1">IFERROR(__xludf.DUMMYFUNCTION("GOOGLETRANSLATE(A143, ""zh"", ""en"")"),"The defective rate of products in 2022 will drop by 25% year-on-year.")</f>
        <v>The defective rate of products in 2022 will drop by 25% year-on-year.</v>
      </c>
      <c r="B143" s="1" t="str">
        <f ca="1">IFERROR(__xludf.DUMMYFUNCTION("GOOGLETRANSLATE(A143, ""zh"", ""en"")"),"Product quality")</f>
        <v>Product quality</v>
      </c>
      <c r="C143" s="1" t="str">
        <f ca="1">IFERROR(__xludf.DUMMYFUNCTION("GOOGLETRANSLATE(E143, ""zh"", ""en"")"),"Quantitative Text")</f>
        <v>Quantitative Text</v>
      </c>
    </row>
    <row r="144" spans="1:3" ht="13" x14ac:dyDescent="0.15">
      <c r="A144" s="1" t="str">
        <f ca="1">IFERROR(__xludf.DUMMYFUNCTION("GOOGLETRANSLATE(A144, ""zh"", ""en"")"),"The company did not have any patent infringement incidents in 2022")</f>
        <v>The company did not have any patent infringement incidents in 2022</v>
      </c>
      <c r="B144" s="1" t="str">
        <f ca="1">IFERROR(__xludf.DUMMYFUNCTION("GOOGLETRANSLATE(A144, ""zh"", ""en"")"),"Intellectual Property Protection")</f>
        <v>Intellectual Property Protection</v>
      </c>
      <c r="C144" s="1" t="str">
        <f ca="1">IFERROR(__xludf.DUMMYFUNCTION("GOOGLETRANSLATE(E144, ""zh"", ""en"")"),"Quantitative Text")</f>
        <v>Quantitative Text</v>
      </c>
    </row>
    <row r="145" spans="1:3" ht="13" x14ac:dyDescent="0.15">
      <c r="A145" s="1" t="str">
        <f ca="1">IFERROR(__xludf.DUMMYFUNCTION("GOOGLETRANSLATE(A145, ""zh"", ""en"")"),"We strive to improve product quality and win the permanent trust of customers")</f>
        <v>We strive to improve product quality and win the permanent trust of customers</v>
      </c>
      <c r="B145" s="1" t="str">
        <f ca="1">IFERROR(__xludf.DUMMYFUNCTION("GOOGLETRANSLATE(A145, ""zh"", ""en"")"),"Product quality")</f>
        <v>Product quality</v>
      </c>
      <c r="C145" s="1" t="str">
        <f ca="1">IFERROR(__xludf.DUMMYFUNCTION("GOOGLETRANSLATE(E145, ""zh"", ""en"")"),"Qualitative text")</f>
        <v>Qualitative text</v>
      </c>
    </row>
    <row r="146" spans="1:3" ht="13" x14ac:dyDescent="0.15">
      <c r="A146" s="1" t="str">
        <f ca="1">IFERROR(__xludf.DUMMYFUNCTION("GOOGLETRANSLATE(A146, ""zh"", ""en"")"),"Actively carry out energy conservation and emission reduction work to increase the proportion of clean energy")</f>
        <v>Actively carry out energy conservation and emission reduction work to increase the proportion of clean energy</v>
      </c>
      <c r="B146" s="1" t="str">
        <f ca="1">IFERROR(__xludf.DUMMYFUNCTION("GOOGLETRANSLATE(A146, ""zh"", ""en"")"),"Energy and resource consumption")</f>
        <v>Energy and resource consumption</v>
      </c>
      <c r="C146" s="1" t="str">
        <f ca="1">IFERROR(__xludf.DUMMYFUNCTION("GOOGLETRANSLATE(E146, ""zh"", ""en"")"),"Qualitative text")</f>
        <v>Qualitative text</v>
      </c>
    </row>
    <row r="147" spans="1:3" ht="13" x14ac:dyDescent="0.15">
      <c r="A147" s="1" t="str">
        <f ca="1">IFERROR(__xludf.DUMMYFUNCTION("GOOGLETRANSLATE(A147, ""zh"", ""en"")"),"We firmly oppose the use of child labor and forced labor")</f>
        <v>We firmly oppose the use of child labor and forced labor</v>
      </c>
      <c r="B147" s="1" t="str">
        <f ca="1">IFERROR(__xludf.DUMMYFUNCTION("GOOGLETRANSLATE(A147, ""zh"", ""en"")"),"staff")</f>
        <v>staff</v>
      </c>
      <c r="C147" s="1" t="str">
        <f ca="1">IFERROR(__xludf.DUMMYFUNCTION("GOOGLETRANSLATE(E147, ""zh"", ""en"")"),"Qualitative text")</f>
        <v>Qualitative text</v>
      </c>
    </row>
    <row r="148" spans="1:3" ht="13" x14ac:dyDescent="0.15">
      <c r="A148" s="1" t="str">
        <f ca="1">IFERROR(__xludf.DUMMYFUNCTION("GOOGLETRANSLATE(A148, ""zh"", ""en"")"),"Continue to research and apply low-carbon technologies and actively carry out industry cooperation")</f>
        <v>Continue to research and apply low-carbon technologies and actively carry out industry cooperation</v>
      </c>
      <c r="B148" s="1" t="str">
        <f ca="1">IFERROR(__xludf.DUMMYFUNCTION("GOOGLETRANSLATE(A148, ""zh"", ""en"")"),"carbon emissions")</f>
        <v>carbon emissions</v>
      </c>
      <c r="C148" s="1" t="str">
        <f ca="1">IFERROR(__xludf.DUMMYFUNCTION("GOOGLETRANSLATE(E148, ""zh"", ""en"")"),"Qualitative text")</f>
        <v>Qualitative text</v>
      </c>
    </row>
    <row r="149" spans="1:3" ht="13" x14ac:dyDescent="0.15">
      <c r="A149" s="1" t="str">
        <f ca="1">IFERROR(__xludf.DUMMYFUNCTION("GOOGLETRANSLATE(A149, ""zh"", ""en"")"),"Livzon Group is conducting research and development of polymyxin products")</f>
        <v>Livzon Group is conducting research and development of polymyxin products</v>
      </c>
      <c r="B149" s="1" t="str">
        <f ca="1">IFERROR(__xludf.DUMMYFUNCTION("GOOGLETRANSLATE(A149, ""zh"", ""en"")"),"Technological innovation")</f>
        <v>Technological innovation</v>
      </c>
      <c r="C149" s="1" t="str">
        <f ca="1">IFERROR(__xludf.DUMMYFUNCTION("GOOGLETRANSLATE(E149, ""zh"", ""en"")"),"Qualitative text")</f>
        <v>Qualitative text</v>
      </c>
    </row>
    <row r="150" spans="1:3" ht="13" x14ac:dyDescent="0.15">
      <c r="A150" s="1" t="str">
        <f ca="1">IFERROR(__xludf.DUMMYFUNCTION("GOOGLETRANSLATE(A150, ""zh"", ""en"")"),"The company has maintained a good start in the new historical stage")</f>
        <v>The company has maintained a good start in the new historical stage</v>
      </c>
      <c r="B150" s="1" t="str">
        <f ca="1">IFERROR(__xludf.DUMMYFUNCTION("GOOGLETRANSLATE(A150, ""zh"", ""en"")"),"irrelevant text")</f>
        <v>irrelevant text</v>
      </c>
      <c r="C150" s="1" t="str">
        <f ca="1">IFERROR(__xludf.DUMMYFUNCTION("GOOGLETRANSLATE(E150, ""zh"", ""en"")"),"irrelevant text")</f>
        <v>irrelevant text</v>
      </c>
    </row>
    <row r="151" spans="1:3" ht="13" x14ac:dyDescent="0.15">
      <c r="A151" s="1" t="str">
        <f ca="1">IFERROR(__xludf.DUMMYFUNCTION("GOOGLETRANSLATE(A151, ""zh"", ""en"")"),"The company had no corruption-related lawsuits in 2022")</f>
        <v>The company had no corruption-related lawsuits in 2022</v>
      </c>
      <c r="B151" s="1" t="str">
        <f ca="1">IFERROR(__xludf.DUMMYFUNCTION("GOOGLETRANSLATE(A151, ""zh"", ""en"")"),"Legal proceedings and external sanctions")</f>
        <v>Legal proceedings and external sanctions</v>
      </c>
      <c r="C151" s="1" t="str">
        <f ca="1">IFERROR(__xludf.DUMMYFUNCTION("GOOGLETRANSLATE(E151, ""zh"", ""en"")"),"Quantitative Text")</f>
        <v>Quantitative Text</v>
      </c>
    </row>
    <row r="152" spans="1:3" ht="13" x14ac:dyDescent="0.15">
      <c r="A152" s="1" t="str">
        <f ca="1">IFERROR(__xludf.DUMMYFUNCTION("GOOGLETRANSLATE(A152, ""zh"", ""en"")"),"We have not had any information security incidents in the past three years")</f>
        <v>We have not had any information security incidents in the past three years</v>
      </c>
      <c r="B152" s="1" t="str">
        <f ca="1">IFERROR(__xludf.DUMMYFUNCTION("GOOGLETRANSLATE(A152, ""zh"", ""en"")"),"Data security")</f>
        <v>Data security</v>
      </c>
      <c r="C152" s="1" t="str">
        <f ca="1">IFERROR(__xludf.DUMMYFUNCTION("GOOGLETRANSLATE(E152, ""zh"", ""en"")"),"Quantitative Text")</f>
        <v>Quantitative Text</v>
      </c>
    </row>
    <row r="153" spans="1:3" ht="13" x14ac:dyDescent="0.15">
      <c r="A153" s="1" t="str">
        <f ca="1">IFERROR(__xludf.DUMMYFUNCTION("GOOGLETRANSLATE(A153, ""zh"", ""en"")"),"Multiple redundant protection measures are implemented to eliminate the risk of electric shock for employees")</f>
        <v>Multiple redundant protection measures are implemented to eliminate the risk of electric shock for employees</v>
      </c>
      <c r="B153" s="1" t="str">
        <f ca="1">IFERROR(__xludf.DUMMYFUNCTION("GOOGLETRANSLATE(A153, ""zh"", ""en"")"),"staff")</f>
        <v>staff</v>
      </c>
      <c r="C153" s="1" t="str">
        <f ca="1">IFERROR(__xludf.DUMMYFUNCTION("GOOGLETRANSLATE(E153, ""zh"", ""en"")"),"Qualitative text")</f>
        <v>Qualitative text</v>
      </c>
    </row>
    <row r="154" spans="1:3" ht="13" x14ac:dyDescent="0.15">
      <c r="A154" s="1" t="str">
        <f ca="1">IFERROR(__xludf.DUMMYFUNCTION("GOOGLETRANSLATE(A154, ""zh"", ""en"")"),"The company held 1 shareholders' meeting in 2022")</f>
        <v>The company held 1 shareholders' meeting in 2022</v>
      </c>
      <c r="B154" s="1" t="str">
        <f ca="1">IFERROR(__xludf.DUMMYFUNCTION("GOOGLETRANSLATE(A154, ""zh"", ""en"")"),"Shareholder and creditor rights")</f>
        <v>Shareholder and creditor rights</v>
      </c>
      <c r="C154" s="1" t="str">
        <f ca="1">IFERROR(__xludf.DUMMYFUNCTION("GOOGLETRANSLATE(E154, ""zh"", ""en"")"),"Quantitative Text")</f>
        <v>Quantitative Text</v>
      </c>
    </row>
    <row r="155" spans="1:3" ht="13" x14ac:dyDescent="0.15">
      <c r="A155" s="1" t="str">
        <f ca="1">IFERROR(__xludf.DUMMYFUNCTION("GOOGLETRANSLATE(A155, ""zh"", ""en"")"),"Hazardous waste management review of hazardous waste transport and disposal company licenses")</f>
        <v>Hazardous waste management review of hazardous waste transport and disposal company licenses</v>
      </c>
      <c r="B155" s="1" t="str">
        <f ca="1">IFERROR(__xludf.DUMMYFUNCTION("GOOGLETRANSLATE(A155, ""zh"", ""en"")"),"Waste Management")</f>
        <v>Waste Management</v>
      </c>
      <c r="C155" s="1" t="str">
        <f ca="1">IFERROR(__xludf.DUMMYFUNCTION("GOOGLETRANSLATE(E155, ""zh"", ""en"")"),"Qualitative text")</f>
        <v>Qualitative text</v>
      </c>
    </row>
    <row r="156" spans="1:3" ht="13" x14ac:dyDescent="0.15">
      <c r="A156" s="1" t="str">
        <f ca="1">IFERROR(__xludf.DUMMYFUNCTION("GOOGLETRANSLATE(A156, ""zh"", ""en"")"),"In 2022, the company carried out a total of 270 audit projects")</f>
        <v>In 2022, the company carried out a total of 270 audit projects</v>
      </c>
      <c r="B156" s="1" t="str">
        <f ca="1">IFERROR(__xludf.DUMMYFUNCTION("GOOGLETRANSLATE(A156, ""zh"", ""en"")"),"Audit work")</f>
        <v>Audit work</v>
      </c>
      <c r="C156" s="1" t="str">
        <f ca="1">IFERROR(__xludf.DUMMYFUNCTION("GOOGLETRANSLATE(E156, ""zh"", ""en"")"),"Quantitative Text")</f>
        <v>Quantitative Text</v>
      </c>
    </row>
    <row r="157" spans="1:3" ht="13" x14ac:dyDescent="0.15">
      <c r="A157" s="1" t="str">
        <f ca="1">IFERROR(__xludf.DUMMYFUNCTION("GOOGLETRANSLATE(A157, ""zh"", ""en"")"),"Devoting ourselves to social welfare and solving social problems is our unchanging original intention")</f>
        <v>Devoting ourselves to social welfare and solving social problems is our unchanging original intention</v>
      </c>
      <c r="B157" s="1" t="str">
        <f ca="1">IFERROR(__xludf.DUMMYFUNCTION("GOOGLETRANSLATE(A157, ""zh"", ""en"")"),"Public welfare and volunteer service")</f>
        <v>Public welfare and volunteer service</v>
      </c>
      <c r="C157" s="1" t="str">
        <f ca="1">IFERROR(__xludf.DUMMYFUNCTION("GOOGLETRANSLATE(E157, ""zh"", ""en"")"),"Qualitative text")</f>
        <v>Qualitative text</v>
      </c>
    </row>
    <row r="158" spans="1:3" ht="13" x14ac:dyDescent="0.15">
      <c r="A158" s="1" t="str">
        <f ca="1">IFERROR(__xludf.DUMMYFUNCTION("GOOGLETRANSLATE(A158, ""zh"", ""en"")"),"Always keep responsibility and commitment in mind and be a creator of a better life")</f>
        <v>Always keep responsibility and commitment in mind and be a creator of a better life</v>
      </c>
      <c r="B158" s="1" t="str">
        <f ca="1">IFERROR(__xludf.DUMMYFUNCTION("GOOGLETRANSLATE(A158, ""zh"", ""en"")"),"irrelevant text")</f>
        <v>irrelevant text</v>
      </c>
      <c r="C158" s="1" t="str">
        <f ca="1">IFERROR(__xludf.DUMMYFUNCTION("GOOGLETRANSLATE(E158, ""zh"", ""en"")"),"irrelevant text")</f>
        <v>irrelevant text</v>
      </c>
    </row>
    <row r="159" spans="1:3" ht="13" x14ac:dyDescent="0.15">
      <c r="A159" s="1" t="str">
        <f ca="1">IFERROR(__xludf.DUMMYFUNCTION("GOOGLETRANSLATE(A159, ""zh"", ""en"")"),"Improve the water supply and water metering system and enhance the level of water use informationization")</f>
        <v>Improve the water supply and water metering system and enhance the level of water use informationization</v>
      </c>
      <c r="B159" s="1" t="str">
        <f ca="1">IFERROR(__xludf.DUMMYFUNCTION("GOOGLETRANSLATE(A159, ""zh"", ""en"")"),"Water resources")</f>
        <v>Water resources</v>
      </c>
      <c r="C159" s="1" t="str">
        <f ca="1">IFERROR(__xludf.DUMMYFUNCTION("GOOGLETRANSLATE(E159, ""zh"", ""en"")"),"Qualitative text")</f>
        <v>Qualitative text</v>
      </c>
    </row>
    <row r="160" spans="1:3" ht="13" x14ac:dyDescent="0.15">
      <c r="A160" s="1" t="str">
        <f ca="1">IFERROR(__xludf.DUMMYFUNCTION("GOOGLETRANSLATE(A160, ""zh"", ""en"")"),"Implement quality spot checks by provincial and municipal management departments at the sales company level")</f>
        <v>Implement quality spot checks by provincial and municipal management departments at the sales company level</v>
      </c>
      <c r="B160" s="1" t="str">
        <f ca="1">IFERROR(__xludf.DUMMYFUNCTION("GOOGLETRANSLATE(A160, ""zh"", ""en"")"),"Product quality")</f>
        <v>Product quality</v>
      </c>
      <c r="C160" s="1" t="str">
        <f ca="1">IFERROR(__xludf.DUMMYFUNCTION("GOOGLETRANSLATE(E160, ""zh"", ""en"")"),"Qualitative text")</f>
        <v>Qualitative text</v>
      </c>
    </row>
    <row r="161" spans="1:3" ht="13" x14ac:dyDescent="0.15">
      <c r="A161" s="1" t="str">
        <f ca="1">IFERROR(__xludf.DUMMYFUNCTION("GOOGLETRANSLATE(A161, ""zh"", ""en"")"),"In 2022, the company passed the external audit for 17 consecutive years")</f>
        <v>In 2022, the company passed the external audit for 17 consecutive years</v>
      </c>
      <c r="B161" s="1" t="str">
        <f ca="1">IFERROR(__xludf.DUMMYFUNCTION("GOOGLETRANSLATE(A161, ""zh"", ""en"")"),"Audit work")</f>
        <v>Audit work</v>
      </c>
      <c r="C161" s="1" t="str">
        <f ca="1">IFERROR(__xludf.DUMMYFUNCTION("GOOGLETRANSLATE(E161, ""zh"", ""en"")"),"Quantitative Text")</f>
        <v>Quantitative Text</v>
      </c>
    </row>
    <row r="162" spans="1:3" ht="13" x14ac:dyDescent="0.15">
      <c r="A162" s="1" t="str">
        <f ca="1">IFERROR(__xludf.DUMMYFUNCTION("GOOGLETRANSLATE(A162, ""zh"", ""en"")"),"The company did not experience any major cybersecurity incidents in 2022")</f>
        <v>The company did not experience any major cybersecurity incidents in 2022</v>
      </c>
      <c r="B162" s="1" t="str">
        <f ca="1">IFERROR(__xludf.DUMMYFUNCTION("GOOGLETRANSLATE(A162, ""zh"", ""en"")"),"Data security")</f>
        <v>Data security</v>
      </c>
      <c r="C162" s="1" t="str">
        <f ca="1">IFERROR(__xludf.DUMMYFUNCTION("GOOGLETRANSLATE(E162, ""zh"", ""en"")"),"Quantitative Text")</f>
        <v>Quantitative Text</v>
      </c>
    </row>
    <row r="163" spans="1:3" ht="13" x14ac:dyDescent="0.15">
      <c r="A163" s="1" t="str">
        <f ca="1">IFERROR(__xludf.DUMMYFUNCTION("GOOGLETRANSLATE(A163, ""zh"", ""en"")"),"Regularly publish sustainability reports to enhance corporate transparency")</f>
        <v>Regularly publish sustainability reports to enhance corporate transparency</v>
      </c>
      <c r="B163" s="1" t="str">
        <f ca="1">IFERROR(__xludf.DUMMYFUNCTION("GOOGLETRANSLATE(A163, ""zh"", ""en"")"),"Information Disclosure and Investor Communication")</f>
        <v>Information Disclosure and Investor Communication</v>
      </c>
      <c r="C163" s="1" t="str">
        <f ca="1">IFERROR(__xludf.DUMMYFUNCTION("GOOGLETRANSLATE(E163, ""zh"", ""en"")"),"Qualitative text")</f>
        <v>Qualitative text</v>
      </c>
    </row>
    <row r="164" spans="1:3" ht="13" x14ac:dyDescent="0.15">
      <c r="A164" s="1" t="str">
        <f ca="1">IFERROR(__xludf.DUMMYFUNCTION("GOOGLETRANSLATE(A164, ""zh"", ""en"")"),"The company has taken various measures to continuously optimize employee salary management")</f>
        <v>The company has taken various measures to continuously optimize employee salary management</v>
      </c>
      <c r="B164" s="1" t="str">
        <f ca="1">IFERROR(__xludf.DUMMYFUNCTION("GOOGLETRANSLATE(A164, ""zh"", ""en"")"),"staff")</f>
        <v>staff</v>
      </c>
      <c r="C164" s="1" t="str">
        <f ca="1">IFERROR(__xludf.DUMMYFUNCTION("GOOGLETRANSLATE(E164, ""zh"", ""en"")"),"Qualitative text")</f>
        <v>Qualitative text</v>
      </c>
    </row>
    <row r="165" spans="1:3" ht="13" x14ac:dyDescent="0.15">
      <c r="A165" s="1" t="str">
        <f ca="1">IFERROR(__xludf.DUMMYFUNCTION("GOOGLETRANSLATE(A165, ""zh"", ""en"")"),"This will comprehensively enhance the quality awareness and compliance level of member companies")</f>
        <v>This will comprehensively enhance the quality awareness and compliance level of member companies</v>
      </c>
      <c r="B165" s="1" t="str">
        <f ca="1">IFERROR(__xludf.DUMMYFUNCTION("GOOGLETRANSLATE(A165, ""zh"", ""en"")"),"Product quality")</f>
        <v>Product quality</v>
      </c>
      <c r="C165" s="1" t="str">
        <f ca="1">IFERROR(__xludf.DUMMYFUNCTION("GOOGLETRANSLATE(E165, ""zh"", ""en"")"),"Qualitative text")</f>
        <v>Qualitative text</v>
      </c>
    </row>
    <row r="166" spans="1:3" ht="13" x14ac:dyDescent="0.15">
      <c r="A166" s="1" t="str">
        <f ca="1">IFERROR(__xludf.DUMMYFUNCTION("GOOGLETRANSLATE(A166, ""zh"", ""en"")"),"The Board will work hard to implement and promote the board diversity policy")</f>
        <v>The Board will work hard to implement and promote the board diversity policy</v>
      </c>
      <c r="B166" s="1" t="str">
        <f ca="1">IFERROR(__xludf.DUMMYFUNCTION("GOOGLETRANSLATE(A166, ""zh"", ""en"")"),"Organizational structure and operations")</f>
        <v>Organizational structure and operations</v>
      </c>
      <c r="C166" s="1" t="str">
        <f ca="1">IFERROR(__xludf.DUMMYFUNCTION("GOOGLETRANSLATE(E166, ""zh"", ""en"")"),"Qualitative text")</f>
        <v>Qualitative text</v>
      </c>
    </row>
    <row r="167" spans="1:3" ht="13" x14ac:dyDescent="0.15">
      <c r="A167" s="1" t="str">
        <f ca="1">IFERROR(__xludf.DUMMYFUNCTION("GOOGLETRANSLATE(A167, ""zh"", ""en"")"),"The committee consists of three directors, with an independent director serving as the chairman.")</f>
        <v>The committee consists of three directors, with an independent director serving as the chairman.</v>
      </c>
      <c r="B167" s="1" t="str">
        <f ca="1">IFERROR(__xludf.DUMMYFUNCTION("GOOGLETRANSLATE(A167, ""zh"", ""en"")"),"Organizational structure and operations")</f>
        <v>Organizational structure and operations</v>
      </c>
      <c r="C167" s="1" t="str">
        <f ca="1">IFERROR(__xludf.DUMMYFUNCTION("GOOGLETRANSLATE(E167, ""zh"", ""en"")"),"Quantitative Text")</f>
        <v>Quantitative Text</v>
      </c>
    </row>
    <row r="168" spans="1:3" ht="13" x14ac:dyDescent="0.15">
      <c r="A168" s="1" t="str">
        <f ca="1">IFERROR(__xludf.DUMMYFUNCTION("GOOGLETRANSLATE(A168, ""zh"", ""en"")"),"The report can be used by the reporting organization’s stakeholders")</f>
        <v>The report can be used by the reporting organization’s stakeholders</v>
      </c>
      <c r="B168" s="1" t="str">
        <f ca="1">IFERROR(__xludf.DUMMYFUNCTION("GOOGLETRANSLATE(A168, ""zh"", ""en"")"),"irrelevant text")</f>
        <v>irrelevant text</v>
      </c>
      <c r="C168" s="1" t="str">
        <f ca="1">IFERROR(__xludf.DUMMYFUNCTION("GOOGLETRANSLATE(E168, ""zh"", ""en"")"),"irrelevant text")</f>
        <v>irrelevant text</v>
      </c>
    </row>
    <row r="169" spans="1:3" ht="13" x14ac:dyDescent="0.15">
      <c r="A169" s="1" t="str">
        <f ca="1">IFERROR(__xludf.DUMMYFUNCTION("GOOGLETRANSLATE(A169, ""zh"", ""en"")"),"On the one hand, intervention from the source to reduce the efficient and sustainable use of")</f>
        <v>On the one hand, intervention from the source to reduce the efficient and sustainable use of</v>
      </c>
      <c r="B169" s="1" t="str">
        <f ca="1">IFERROR(__xludf.DUMMYFUNCTION("GOOGLETRANSLATE(A169, ""zh"", ""en"")"),"raw materials")</f>
        <v>raw materials</v>
      </c>
      <c r="C169" s="1" t="str">
        <f ca="1">IFERROR(__xludf.DUMMYFUNCTION("GOOGLETRANSLATE(E169, ""zh"", ""en"")"),"Qualitative text")</f>
        <v>Qualitative text</v>
      </c>
    </row>
    <row r="170" spans="1:3" ht="13" x14ac:dyDescent="0.15">
      <c r="A170" s="1" t="str">
        <f ca="1">IFERROR(__xludf.DUMMYFUNCTION("GOOGLETRANSLATE(A170, ""zh"", ""en"")"),"Create a healthy working atmosphere while improving employee stability")</f>
        <v>Create a healthy working atmosphere while improving employee stability</v>
      </c>
      <c r="B170" s="1" t="str">
        <f ca="1">IFERROR(__xludf.DUMMYFUNCTION("GOOGLETRANSLATE(A170, ""zh"", ""en"")"),"staff")</f>
        <v>staff</v>
      </c>
      <c r="C170" s="1" t="str">
        <f ca="1">IFERROR(__xludf.DUMMYFUNCTION("GOOGLETRANSLATE(E170, ""zh"", ""en"")"),"Qualitative text")</f>
        <v>Qualitative text</v>
      </c>
    </row>
    <row r="171" spans="1:3" ht="13" x14ac:dyDescent="0.15">
      <c r="A171" s="1" t="str">
        <f ca="1">IFERROR(__xludf.DUMMYFUNCTION("GOOGLETRANSLATE(A171, ""zh"", ""en"")"),"The 2020 data will be recalculated based on the same caliber.")</f>
        <v>The 2020 data will be recalculated based on the same caliber.</v>
      </c>
      <c r="B171" s="1" t="str">
        <f ca="1">IFERROR(__xludf.DUMMYFUNCTION("GOOGLETRANSLATE(A171, ""zh"", ""en"")"),"irrelevant text")</f>
        <v>irrelevant text</v>
      </c>
      <c r="C171" s="1" t="str">
        <f ca="1">IFERROR(__xludf.DUMMYFUNCTION("GOOGLETRANSLATE(E171, ""zh"", ""en"")"),"irrelevant text")</f>
        <v>irrelevant text</v>
      </c>
    </row>
    <row r="172" spans="1:3" ht="13" x14ac:dyDescent="0.15">
      <c r="A172" s="1" t="str">
        <f ca="1">IFERROR(__xludf.DUMMYFUNCTION("GOOGLETRANSLATE(A172, ""zh"", ""en"")"),"The committee consists of three directors, with an independent director serving as the chairman.")</f>
        <v>The committee consists of three directors, with an independent director serving as the chairman.</v>
      </c>
      <c r="B172" s="1" t="str">
        <f ca="1">IFERROR(__xludf.DUMMYFUNCTION("GOOGLETRANSLATE(A172, ""zh"", ""en"")"),"Organizational structure and operations")</f>
        <v>Organizational structure and operations</v>
      </c>
      <c r="C172" s="1" t="str">
        <f ca="1">IFERROR(__xludf.DUMMYFUNCTION("GOOGLETRANSLATE(E172, ""zh"", ""en"")"),"Quantitative Text")</f>
        <v>Quantitative Text</v>
      </c>
    </row>
    <row r="173" spans="1:3" ht="13" x14ac:dyDescent="0.15">
      <c r="A173" s="1" t="str">
        <f ca="1">IFERROR(__xludf.DUMMYFUNCTION("GOOGLETRANSLATE(A173, ""zh"", ""en"")"),"There will also be a special section for suggestions and complaints on the enterprise OA")</f>
        <v>There will also be a special section for suggestions and complaints on the enterprise OA</v>
      </c>
      <c r="B173" s="1" t="str">
        <f ca="1">IFERROR(__xludf.DUMMYFUNCTION("GOOGLETRANSLATE(A173, ""zh"", ""en"")"),"Reporting System")</f>
        <v>Reporting System</v>
      </c>
      <c r="C173" s="1" t="str">
        <f ca="1">IFERROR(__xludf.DUMMYFUNCTION("GOOGLETRANSLATE(E173, ""zh"", ""en"")"),"Qualitative text")</f>
        <v>Qualitative text</v>
      </c>
    </row>
    <row r="174" spans="1:3" ht="13" x14ac:dyDescent="0.15">
      <c r="A174" s="1" t="str">
        <f ca="1">IFERROR(__xludf.DUMMYFUNCTION("GOOGLETRANSLATE(A174, ""zh"", ""en"")"),"120 years of history have forged an unyielding electrical spirit")</f>
        <v>120 years of history have forged an unyielding electrical spirit</v>
      </c>
      <c r="B174" s="1" t="str">
        <f ca="1">IFERROR(__xludf.DUMMYFUNCTION("GOOGLETRANSLATE(A174, ""zh"", ""en"")"),"irrelevant text")</f>
        <v>irrelevant text</v>
      </c>
      <c r="C174" s="1" t="str">
        <f ca="1">IFERROR(__xludf.DUMMYFUNCTION("GOOGLETRANSLATE(E174, ""zh"", ""en"")"),"irrelevant text")</f>
        <v>irrelevant text</v>
      </c>
    </row>
    <row r="175" spans="1:3" ht="13" x14ac:dyDescent="0.15">
      <c r="A175" s="1" t="str">
        <f ca="1">IFERROR(__xludf.DUMMYFUNCTION("GOOGLETRANSLATE(A175, ""zh"", ""en"")"),"As of the end of 2022, the company's board of supervisors has a total of 8 supervisors")</f>
        <v>As of the end of 2022, the company's board of supervisors has a total of 8 supervisors</v>
      </c>
      <c r="B175" s="1" t="str">
        <f ca="1">IFERROR(__xludf.DUMMYFUNCTION("GOOGLETRANSLATE(A175, ""zh"", ""en"")"),"Organizational structure and operations")</f>
        <v>Organizational structure and operations</v>
      </c>
      <c r="C175" s="1" t="str">
        <f ca="1">IFERROR(__xludf.DUMMYFUNCTION("GOOGLETRANSLATE(E175, ""zh"", ""en"")"),"Quantitative Text")</f>
        <v>Quantitative Text</v>
      </c>
    </row>
    <row r="176" spans="1:3" ht="13" x14ac:dyDescent="0.15">
      <c r="A176" s="1" t="str">
        <f ca="1">IFERROR(__xludf.DUMMYFUNCTION("GOOGLETRANSLATE(A176, ""zh"", ""en"")"),"Dima shares have also been involved and invested in the field of education")</f>
        <v>Dima shares have also been involved and invested in the field of education</v>
      </c>
      <c r="B176" s="1" t="str">
        <f ca="1">IFERROR(__xludf.DUMMYFUNCTION("GOOGLETRANSLATE(A176, ""zh"", ""en"")"),"irrelevant text")</f>
        <v>irrelevant text</v>
      </c>
      <c r="C176" s="1" t="str">
        <f ca="1">IFERROR(__xludf.DUMMYFUNCTION("GOOGLETRANSLATE(E176, ""zh"", ""en"")"),"irrelevant text")</f>
        <v>irrelevant text</v>
      </c>
    </row>
    <row r="177" spans="1:3" ht="13" x14ac:dyDescent="0.15">
      <c r="A177" s="1" t="str">
        <f ca="1">IFERROR(__xludf.DUMMYFUNCTION("GOOGLETRANSLATE(A177, ""zh"", ""en"")"),"The main products are lead concentrate containing silver, zinc concentrate and copper concentrate containing silver.")</f>
        <v>The main products are lead concentrate containing silver, zinc concentrate and copper concentrate containing silver.</v>
      </c>
      <c r="B177" s="1" t="str">
        <f ca="1">IFERROR(__xludf.DUMMYFUNCTION("GOOGLETRANSLATE(A177, ""zh"", ""en"")"),"raw materials")</f>
        <v>raw materials</v>
      </c>
      <c r="C177" s="1" t="str">
        <f ca="1">IFERROR(__xludf.DUMMYFUNCTION("GOOGLETRANSLATE(E177, ""zh"", ""en"")"),"Qualitative text")</f>
        <v>Qualitative text</v>
      </c>
    </row>
    <row r="178" spans="1:3" ht="13" x14ac:dyDescent="0.15">
      <c r="A178" s="1" t="str">
        <f ca="1">IFERROR(__xludf.DUMMYFUNCTION("GOOGLETRANSLATE(A178, ""zh"", ""en"")"),"By the end of 2022, the proportion of female directors in the company will be 10")</f>
        <v>By the end of 2022, the proportion of female directors in the company will be 10</v>
      </c>
      <c r="B178" s="1" t="str">
        <f ca="1">IFERROR(__xludf.DUMMYFUNCTION("GOOGLETRANSLATE(A178, ""zh"", ""en"")"),"Organizational structure and operations")</f>
        <v>Organizational structure and operations</v>
      </c>
      <c r="C178" s="1" t="str">
        <f ca="1">IFERROR(__xludf.DUMMYFUNCTION("GOOGLETRANSLATE(E178, ""zh"", ""en"")"),"Quantitative Text")</f>
        <v>Quantitative Text</v>
      </c>
    </row>
    <row r="179" spans="1:3" ht="13" x14ac:dyDescent="0.15">
      <c r="A179" s="1" t="str">
        <f ca="1">IFERROR(__xludf.DUMMYFUNCTION("GOOGLETRANSLATE(A179, ""zh"", ""en"")"),"Leveraging professional advantages to actively promote rural revitalization and elderly care services")</f>
        <v>Leveraging professional advantages to actively promote rural revitalization and elderly care services</v>
      </c>
      <c r="B179" s="1" t="str">
        <f ca="1">IFERROR(__xludf.DUMMYFUNCTION("GOOGLETRANSLATE(A179, ""zh"", ""en"")"),"Rural assistance")</f>
        <v>Rural assistance</v>
      </c>
      <c r="C179" s="1" t="str">
        <f ca="1">IFERROR(__xludf.DUMMYFUNCTION("GOOGLETRANSLATE(E179, ""zh"", ""en"")"),"Qualitative text")</f>
        <v>Qualitative text</v>
      </c>
    </row>
    <row r="180" spans="1:3" ht="13" x14ac:dyDescent="0.15">
      <c r="A180" s="1" t="str">
        <f ca="1">IFERROR(__xludf.DUMMYFUNCTION("GOOGLETRANSLATE(A180, ""zh"", ""en"")"),"By the end of 2022, the proportion of female directors in the company was 14%.")</f>
        <v>By the end of 2022, the proportion of female directors in the company was 14%.</v>
      </c>
      <c r="B180" s="1" t="str">
        <f ca="1">IFERROR(__xludf.DUMMYFUNCTION("GOOGLETRANSLATE(A180, ""zh"", ""en"")"),"Organizational structure and operations")</f>
        <v>Organizational structure and operations</v>
      </c>
      <c r="C180" s="1" t="str">
        <f ca="1">IFERROR(__xludf.DUMMYFUNCTION("GOOGLETRANSLATE(E180, ""zh"", ""en"")"),"Quantitative Text")</f>
        <v>Quantitative Text</v>
      </c>
    </row>
    <row r="181" spans="1:3" ht="13" x14ac:dyDescent="0.15">
      <c r="A181" s="1" t="str">
        <f ca="1">IFERROR(__xludf.DUMMYFUNCTION("GOOGLETRANSLATE(A181, ""zh"", ""en"")"),"The company provides employees with a variety of mental health service consultation channels")</f>
        <v>The company provides employees with a variety of mental health service consultation channels</v>
      </c>
      <c r="B181" s="1" t="str">
        <f ca="1">IFERROR(__xludf.DUMMYFUNCTION("GOOGLETRANSLATE(A181, ""zh"", ""en"")"),"staff")</f>
        <v>staff</v>
      </c>
      <c r="C181" s="1" t="str">
        <f ca="1">IFERROR(__xludf.DUMMYFUNCTION("GOOGLETRANSLATE(E181, ""zh"", ""en"")"),"Qualitative text")</f>
        <v>Qualitative text</v>
      </c>
    </row>
    <row r="182" spans="1:3" ht="13" x14ac:dyDescent="0.15">
      <c r="A182" s="1" t="str">
        <f ca="1">IFERROR(__xludf.DUMMYFUNCTION("GOOGLETRANSLATE(A182, ""zh"", ""en"")"),"The company provides employees with a complete and smooth performance appeal mechanism")</f>
        <v>The company provides employees with a complete and smooth performance appeal mechanism</v>
      </c>
      <c r="B182" s="1" t="str">
        <f ca="1">IFERROR(__xludf.DUMMYFUNCTION("GOOGLETRANSLATE(A182, ""zh"", ""en"")"),"Reporting System")</f>
        <v>Reporting System</v>
      </c>
      <c r="C182" s="1" t="str">
        <f ca="1">IFERROR(__xludf.DUMMYFUNCTION("GOOGLETRANSLATE(E182, ""zh"", ""en"")"),"Qualitative text")</f>
        <v>Qualitative text</v>
      </c>
    </row>
    <row r="183" spans="1:3" ht="13" x14ac:dyDescent="0.15">
      <c r="A183" s="1" t="str">
        <f ca="1">IFERROR(__xludf.DUMMYFUNCTION("GOOGLETRANSLATE(A183, ""zh"", ""en"")"),"This year we donated a total of RMB 400,000 on Tencent Charity Platform")</f>
        <v>This year we donated a total of RMB 400,000 on Tencent Charity Platform</v>
      </c>
      <c r="B183" s="1" t="str">
        <f ca="1">IFERROR(__xludf.DUMMYFUNCTION("GOOGLETRANSLATE(A183, ""zh"", ""en"")"),"Public welfare and volunteer service")</f>
        <v>Public welfare and volunteer service</v>
      </c>
      <c r="C183" s="1" t="str">
        <f ca="1">IFERROR(__xludf.DUMMYFUNCTION("GOOGLETRANSLATE(E183, ""zh"", ""en"")"),"Quantitative Text")</f>
        <v>Quantitative Text</v>
      </c>
    </row>
    <row r="184" spans="1:3" ht="13" x14ac:dyDescent="0.15">
      <c r="A184" s="1" t="str">
        <f ca="1">IFERROR(__xludf.DUMMYFUNCTION("GOOGLETRANSLATE(A184, ""zh"", ""en"")"),"During the reporting period, the company did not have any corruption lawsuits")</f>
        <v>During the reporting period, the company did not have any corruption lawsuits</v>
      </c>
      <c r="B184" s="1" t="str">
        <f ca="1">IFERROR(__xludf.DUMMYFUNCTION("GOOGLETRANSLATE(A184, ""zh"", ""en"")"),"Anti-corruption and anti-money laundering")</f>
        <v>Anti-corruption and anti-money laundering</v>
      </c>
      <c r="C184" s="1" t="str">
        <f ca="1">IFERROR(__xludf.DUMMYFUNCTION("GOOGLETRANSLATE(E184, ""zh"", ""en"")"),"Quantitative Text")</f>
        <v>Quantitative Text</v>
      </c>
    </row>
    <row r="185" spans="1:3" ht="13" x14ac:dyDescent="0.15">
      <c r="A185" s="1" t="str">
        <f ca="1">IFERROR(__xludf.DUMMYFUNCTION("GOOGLETRANSLATE(A185, ""zh"", ""en"")"),"Organized and convened the 2022 Labor Union Work Conference of Renmin Pharmaceutical")</f>
        <v>Organized and convened the 2022 Labor Union Work Conference of Renmin Pharmaceutical</v>
      </c>
      <c r="B185" s="1" t="str">
        <f ca="1">IFERROR(__xludf.DUMMYFUNCTION("GOOGLETRANSLATE(A185, ""zh"", ""en"")"),"staff")</f>
        <v>staff</v>
      </c>
      <c r="C185" s="1" t="str">
        <f ca="1">IFERROR(__xludf.DUMMYFUNCTION("GOOGLETRANSLATE(E185, ""zh"", ""en"")"),"Qualitative text")</f>
        <v>Qualitative text</v>
      </c>
    </row>
    <row r="186" spans="1:3" ht="13" x14ac:dyDescent="0.15">
      <c r="A186" s="1" t="str">
        <f ca="1">IFERROR(__xludf.DUMMYFUNCTION("GOOGLETRANSLATE(A186, ""zh"", ""en"")"),"Organize HSE (Health, Safety and Environment Trinity Management System) key personnel to carry out training and certification work")</f>
        <v>Organize HSE (Health, Safety and Environment Trinity Management System) key personnel to carry out training and certification work</v>
      </c>
      <c r="B186" s="1" t="str">
        <f ca="1">IFERROR(__xludf.DUMMYFUNCTION("GOOGLETRANSLATE(A186, ""zh"", ""en"")"),"staff")</f>
        <v>staff</v>
      </c>
      <c r="C186" s="1" t="str">
        <f ca="1">IFERROR(__xludf.DUMMYFUNCTION("GOOGLETRANSLATE(E186, ""zh"", ""en"")"),"Qualitative text")</f>
        <v>Qualitative text</v>
      </c>
    </row>
    <row r="187" spans="1:3" ht="13" x14ac:dyDescent="0.15">
      <c r="A187" s="1" t="str">
        <f ca="1">IFERROR(__xludf.DUMMYFUNCTION("GOOGLETRANSLATE(A187, ""zh"", ""en"")"),"Strict benchmarking management continues to promote the construction of safety production standardization")</f>
        <v>Strict benchmarking management continues to promote the construction of safety production standardization</v>
      </c>
      <c r="B187" s="1" t="str">
        <f ca="1">IFERROR(__xludf.DUMMYFUNCTION("GOOGLETRANSLATE(A187, ""zh"", ""en"")"),"irrelevant text")</f>
        <v>irrelevant text</v>
      </c>
      <c r="C187" s="1" t="str">
        <f ca="1">IFERROR(__xludf.DUMMYFUNCTION("GOOGLETRANSLATE(E187, ""zh"", ""en"")"),"irrelevant text")</f>
        <v>irrelevant text</v>
      </c>
    </row>
    <row r="188" spans="1:3" ht="13" x14ac:dyDescent="0.15">
      <c r="A188" s="1" t="str">
        <f ca="1">IFERROR(__xludf.DUMMYFUNCTION("GOOGLETRANSLATE(A188, ""zh"", ""en"")"),"Thank you very much for your valuable suggestions on this report.")</f>
        <v>Thank you very much for your valuable suggestions on this report.</v>
      </c>
      <c r="B188" s="1" t="str">
        <f ca="1">IFERROR(__xludf.DUMMYFUNCTION("GOOGLETRANSLATE(A188, ""zh"", ""en"")"),"irrelevant text")</f>
        <v>irrelevant text</v>
      </c>
      <c r="C188" s="1" t="str">
        <f ca="1">IFERROR(__xludf.DUMMYFUNCTION("GOOGLETRANSLATE(E188, ""zh"", ""en"")"),"irrelevant text")</f>
        <v>irrelevant text</v>
      </c>
    </row>
    <row r="189" spans="1:3" ht="13" x14ac:dyDescent="0.15">
      <c r="A189" s="1" t="str">
        <f ca="1">IFERROR(__xludf.DUMMYFUNCTION("GOOGLETRANSLATE(A189, ""zh"", ""en"")"),"Carry out quality system evaluation objectively, impartially and realistically")</f>
        <v>Carry out quality system evaluation objectively, impartially and realistically</v>
      </c>
      <c r="B189" s="1" t="str">
        <f ca="1">IFERROR(__xludf.DUMMYFUNCTION("GOOGLETRANSLATE(A189, ""zh"", ""en"")"),"Product quality")</f>
        <v>Product quality</v>
      </c>
      <c r="C189" s="1" t="str">
        <f ca="1">IFERROR(__xludf.DUMMYFUNCTION("GOOGLETRANSLATE(E189, ""zh"", ""en"")"),"Qualitative text")</f>
        <v>Qualitative text</v>
      </c>
    </row>
    <row r="190" spans="1:3" ht="13" x14ac:dyDescent="0.15">
      <c r="A190" s="1" t="str">
        <f ca="1">IFERROR(__xludf.DUMMYFUNCTION("GOOGLETRANSLATE(A190, ""zh"", ""en"")"),"This report is published in simplified Chinese, traditional Chinese and English.")</f>
        <v>This report is published in simplified Chinese, traditional Chinese and English.</v>
      </c>
      <c r="B190" s="1" t="str">
        <f ca="1">IFERROR(__xludf.DUMMYFUNCTION("GOOGLETRANSLATE(A190, ""zh"", ""en"")"),"irrelevant text")</f>
        <v>irrelevant text</v>
      </c>
      <c r="C190" s="1" t="str">
        <f ca="1">IFERROR(__xludf.DUMMYFUNCTION("GOOGLETRANSLATE(E190, ""zh"", ""en"")"),"irrelevant text")</f>
        <v>irrelevant text</v>
      </c>
    </row>
    <row r="191" spans="1:3" ht="13" x14ac:dyDescent="0.15">
      <c r="A191" s="1" t="str">
        <f ca="1">IFERROR(__xludf.DUMMYFUNCTION("GOOGLETRANSLATE(A191, ""zh"", ""en"")"),"Its subsidiary Xinjiaaisi was named a Zhejiang Province Intellectual Property Demonstration Enterprise")</f>
        <v>Its subsidiary Xinjiaaisi was named a Zhejiang Province Intellectual Property Demonstration Enterprise</v>
      </c>
      <c r="B191" s="1" t="str">
        <f ca="1">IFERROR(__xludf.DUMMYFUNCTION("GOOGLETRANSLATE(A191, ""zh"", ""en"")"),"Intellectual Property Protection")</f>
        <v>Intellectual Property Protection</v>
      </c>
      <c r="C191" s="1" t="str">
        <f ca="1">IFERROR(__xludf.DUMMYFUNCTION("GOOGLETRANSLATE(E191, ""zh"", ""en"")"),"Quantitative Text")</f>
        <v>Quantitative Text</v>
      </c>
    </row>
    <row r="192" spans="1:3" ht="13" x14ac:dyDescent="0.15">
      <c r="A192" s="1" t="str">
        <f ca="1">IFERROR(__xludf.DUMMYFUNCTION("GOOGLETRANSLATE(A192, ""zh"", ""en"")"),"Chongqing Dima Industrial Co., Ltd. and its subsidiaries")</f>
        <v>Chongqing Dima Industrial Co., Ltd. and its subsidiaries</v>
      </c>
      <c r="B192" s="1" t="str">
        <f ca="1">IFERROR(__xludf.DUMMYFUNCTION("GOOGLETRANSLATE(A192, ""zh"", ""en"")"),"irrelevant text")</f>
        <v>irrelevant text</v>
      </c>
      <c r="C192" s="1" t="str">
        <f ca="1">IFERROR(__xludf.DUMMYFUNCTION("GOOGLETRANSLATE(E192, ""zh"", ""en"")"),"irrelevant text")</f>
        <v>irrelevant text</v>
      </c>
    </row>
    <row r="193" spans="1:3" ht="13" x14ac:dyDescent="0.15">
      <c r="A193" s="1" t="str">
        <f ca="1">IFERROR(__xludf.DUMMYFUNCTION("GOOGLETRANSLATE(A193, ""zh"", ""en"")"),"The rating tool has the following characteristics: First, it is applicable to a wide range of customers.")</f>
        <v>The rating tool has the following characteristics: First, it is applicable to a wide range of customers.</v>
      </c>
      <c r="B193" s="1" t="str">
        <f ca="1">IFERROR(__xludf.DUMMYFUNCTION("GOOGLETRANSLATE(A193, ""zh"", ""en"")"),"irrelevant text")</f>
        <v>irrelevant text</v>
      </c>
      <c r="C193" s="1" t="str">
        <f ca="1">IFERROR(__xludf.DUMMYFUNCTION("GOOGLETRANSLATE(E193, ""zh"", ""en"")"),"irrelevant text")</f>
        <v>irrelevant text</v>
      </c>
    </row>
    <row r="194" spans="1:3" ht="13" x14ac:dyDescent="0.15">
      <c r="A194" s="1" t="str">
        <f ca="1">IFERROR(__xludf.DUMMYFUNCTION("GOOGLETRANSLATE(A194, ""zh"", ""en"")"),"P6667B5.1 Number of suppliers by region")</f>
        <v>P6667B5.1 Number of suppliers by region</v>
      </c>
      <c r="B194" s="1" t="str">
        <f ca="1">IFERROR(__xludf.DUMMYFUNCTION("GOOGLETRANSLATE(A194, ""zh"", ""en"")"),"supply chain management")</f>
        <v>supply chain management</v>
      </c>
      <c r="C194" s="1" t="str">
        <f ca="1">IFERROR(__xludf.DUMMYFUNCTION("GOOGLETRANSLATE(E194, ""zh"", ""en"")"),"Quantitative Text")</f>
        <v>Quantitative Text</v>
      </c>
    </row>
    <row r="195" spans="1:3" ht="13" x14ac:dyDescent="0.15">
      <c r="A195" s="1" t="str">
        <f ca="1">IFERROR(__xludf.DUMMYFUNCTION("GOOGLETRANSLATE(A195, ""zh"", ""en"")"),"Relying on its own natural resource advantages to actively promote the construction of beautiful villages")</f>
        <v>Relying on its own natural resource advantages to actively promote the construction of beautiful villages</v>
      </c>
      <c r="B195" s="1" t="str">
        <f ca="1">IFERROR(__xludf.DUMMYFUNCTION("GOOGLETRANSLATE(A195, ""zh"", ""en"")"),"Rural assistance")</f>
        <v>Rural assistance</v>
      </c>
      <c r="C195" s="1" t="str">
        <f ca="1">IFERROR(__xludf.DUMMYFUNCTION("GOOGLETRANSLATE(E195, ""zh"", ""en"")"),"Qualitative text")</f>
        <v>Qualitative text</v>
      </c>
    </row>
    <row r="196" spans="1:3" ht="13" x14ac:dyDescent="0.15">
      <c r="A196" s="1" t="str">
        <f ca="1">IFERROR(__xludf.DUMMYFUNCTION("GOOGLETRANSLATE(A196, ""zh"", ""en"")"),"147 million tons of sewage was treated throughout the year, with a water quality standard rate of 100%")</f>
        <v>147 million tons of sewage was treated throughout the year, with a water quality standard rate of 100%</v>
      </c>
      <c r="B196" s="1" t="str">
        <f ca="1">IFERROR(__xludf.DUMMYFUNCTION("GOOGLETRANSLATE(A196, ""zh"", ""en"")"),"Water resources")</f>
        <v>Water resources</v>
      </c>
      <c r="C196" s="1" t="str">
        <f ca="1">IFERROR(__xludf.DUMMYFUNCTION("GOOGLETRANSLATE(E196, ""zh"", ""en"")"),"Quantitative Text")</f>
        <v>Quantitative Text</v>
      </c>
    </row>
    <row r="197" spans="1:3" ht="13" x14ac:dyDescent="0.15">
      <c r="A197" s="1" t="str">
        <f ca="1">IFERROR(__xludf.DUMMYFUNCTION("GOOGLETRANSLATE(A197, ""zh"", ""en"")"),"Enrich the forms of safety publicity and education and strive to improve employees' safety awareness")</f>
        <v>Enrich the forms of safety publicity and education and strive to improve employees' safety awareness</v>
      </c>
      <c r="B197" s="1" t="str">
        <f ca="1">IFERROR(__xludf.DUMMYFUNCTION("GOOGLETRANSLATE(A197, ""zh"", ""en"")"),"staff")</f>
        <v>staff</v>
      </c>
      <c r="C197" s="1" t="str">
        <f ca="1">IFERROR(__xludf.DUMMYFUNCTION("GOOGLETRANSLATE(E197, ""zh"", ""en"")"),"Qualitative text")</f>
        <v>Qualitative text</v>
      </c>
    </row>
    <row r="198" spans="1:3" ht="13" x14ac:dyDescent="0.15">
      <c r="A198" s="1" t="str">
        <f ca="1">IFERROR(__xludf.DUMMYFUNCTION("GOOGLETRANSLATE(A198, ""zh"", ""en"")"),"The company did not have any illegal or irregular employment incidents in 2022")</f>
        <v>The company did not have any illegal or irregular employment incidents in 2022</v>
      </c>
      <c r="B198" s="1" t="str">
        <f ca="1">IFERROR(__xludf.DUMMYFUNCTION("GOOGLETRANSLATE(A198, ""zh"", ""en"")"),"staff")</f>
        <v>staff</v>
      </c>
      <c r="C198" s="1" t="str">
        <f ca="1">IFERROR(__xludf.DUMMYFUNCTION("GOOGLETRANSLATE(E198, ""zh"", ""en"")"),"Quantitative Text")</f>
        <v>Quantitative Text</v>
      </c>
    </row>
    <row r="199" spans="1:3" ht="13" x14ac:dyDescent="0.15">
      <c r="A199" s="1" t="str">
        <f ca="1">IFERROR(__xludf.DUMMYFUNCTION("GOOGLETRANSLATE(A199, ""zh"", ""en"")"),"The company's subsidiary unit, Wuchan Zhongda International College, referred to as the International College")</f>
        <v>The company's subsidiary unit, Wuchan Zhongda International College, referred to as the International College</v>
      </c>
      <c r="B199" s="1" t="str">
        <f ca="1">IFERROR(__xludf.DUMMYFUNCTION("GOOGLETRANSLATE(A199, ""zh"", ""en"")"),"irrelevant text")</f>
        <v>irrelevant text</v>
      </c>
      <c r="C199" s="1" t="str">
        <f ca="1">IFERROR(__xludf.DUMMYFUNCTION("GOOGLETRANSLATE(E199, ""zh"", ""en"")"),"irrelevant text")</f>
        <v>irrelevant text</v>
      </c>
    </row>
    <row r="200" spans="1:3" ht="13" x14ac:dyDescent="0.15">
      <c r="A200" s="1" t="str">
        <f ca="1">IFERROR(__xludf.DUMMYFUNCTION("GOOGLETRANSLATE(A200, ""zh"", ""en"")"),"In 2022, the company invested 5.66 million yuan in paired assistance funds")</f>
        <v>In 2022, the company invested 5.66 million yuan in paired assistance funds</v>
      </c>
      <c r="B200" s="1" t="str">
        <f ca="1">IFERROR(__xludf.DUMMYFUNCTION("GOOGLETRANSLATE(A200, ""zh"", ""en"")"),"Rural assistance")</f>
        <v>Rural assistance</v>
      </c>
      <c r="C200" s="1" t="str">
        <f ca="1">IFERROR(__xludf.DUMMYFUNCTION("GOOGLETRANSLATE(E200, ""zh"", ""en"")"),"Quantitative Text")</f>
        <v>Quantitative Text</v>
      </c>
    </row>
    <row r="201" spans="1:3" ht="13" x14ac:dyDescent="0.15">
      <c r="A201" s="1" t="str">
        <f ca="1">IFERROR(__xludf.DUMMYFUNCTION("GOOGLETRANSLATE(A201, ""zh"", ""en"")"),"The company's employees have used their blood to build a bridge of love")</f>
        <v>The company's employees have used their blood to build a bridge of love</v>
      </c>
      <c r="B201" s="1" t="str">
        <f ca="1">IFERROR(__xludf.DUMMYFUNCTION("GOOGLETRANSLATE(A201, ""zh"", ""en"")"),"Public welfare and volunteer service")</f>
        <v>Public welfare and volunteer service</v>
      </c>
      <c r="C201" s="1" t="str">
        <f ca="1">IFERROR(__xludf.DUMMYFUNCTION("GOOGLETRANSLATE(E201, ""zh"", ""en"")"),"Qualitative text")</f>
        <v>Qualitative text</v>
      </c>
    </row>
    <row r="202" spans="1:3" ht="13" x14ac:dyDescent="0.15">
      <c r="A202" s="1" t="str">
        <f ca="1">IFERROR(__xludf.DUMMYFUNCTION("GOOGLETRANSLATE(A202, ""zh"", ""en"")"),"Accelerate the construction of smart supply chain integrated services in the coal trade sector")</f>
        <v>Accelerate the construction of smart supply chain integrated services in the coal trade sector</v>
      </c>
      <c r="B202" s="1" t="str">
        <f ca="1">IFERROR(__xludf.DUMMYFUNCTION("GOOGLETRANSLATE(A202, ""zh"", ""en"")"),"supply chain management")</f>
        <v>supply chain management</v>
      </c>
      <c r="C202" s="1" t="str">
        <f ca="1">IFERROR(__xludf.DUMMYFUNCTION("GOOGLETRANSLATE(E202, ""zh"", ""en"")"),"Qualitative text")</f>
        <v>Qualitative text</v>
      </c>
    </row>
    <row r="203" spans="1:3" ht="13" x14ac:dyDescent="0.15">
      <c r="A203" s="1" t="str">
        <f ca="1">IFERROR(__xludf.DUMMYFUNCTION("GOOGLETRANSLATE(A203, ""zh"", ""en"")"),"Obtained AAA corporate credit rating certification from the China Enterprise Confederation")</f>
        <v>Obtained AAA corporate credit rating certification from the China Enterprise Confederation</v>
      </c>
      <c r="B203" s="1" t="str">
        <f ca="1">IFERROR(__xludf.DUMMYFUNCTION("GOOGLETRANSLATE(A203, ""zh"", ""en"")"),"Sustainable certification")</f>
        <v>Sustainable certification</v>
      </c>
      <c r="C203" s="1" t="str">
        <f ca="1">IFERROR(__xludf.DUMMYFUNCTION("GOOGLETRANSLATE(E203, ""zh"", ""en"")"),"Qualitative text")</f>
        <v>Qualitative text</v>
      </c>
    </row>
    <row r="204" spans="1:3" ht="13" x14ac:dyDescent="0.15">
      <c r="A204" s="1" t="str">
        <f ca="1">IFERROR(__xludf.DUMMYFUNCTION("GOOGLETRANSLATE(A204, ""zh"", ""en"")"),"For details, please see the company's website announcement and the 2022 company annual report.")</f>
        <v>For details, please see the company's website announcement and the 2022 company annual report.</v>
      </c>
      <c r="B204" s="1" t="str">
        <f ca="1">IFERROR(__xludf.DUMMYFUNCTION("GOOGLETRANSLATE(A204, ""zh"", ""en"")"),"irrelevant text")</f>
        <v>irrelevant text</v>
      </c>
      <c r="C204" s="1" t="str">
        <f ca="1">IFERROR(__xludf.DUMMYFUNCTION("GOOGLETRANSLATE(E204, ""zh"", ""en"")"),"irrelevant text")</f>
        <v>irrelevant text</v>
      </c>
    </row>
    <row r="205" spans="1:3" ht="13" x14ac:dyDescent="0.15">
      <c r="A205" s="1" t="str">
        <f ca="1">IFERROR(__xludf.DUMMYFUNCTION("GOOGLETRANSLATE(A205, ""zh"", ""en"")"),"The company adheres to a problem-oriented approach, conducts in-depth analysis of causes and strengthens risk warnings")</f>
        <v>The company adheres to a problem-oriented approach, conducts in-depth analysis of causes and strengthens risk warnings</v>
      </c>
      <c r="B205" s="1" t="str">
        <f ca="1">IFERROR(__xludf.DUMMYFUNCTION("GOOGLETRANSLATE(A205, ""zh"", ""en"")"),"irrelevant text")</f>
        <v>irrelevant text</v>
      </c>
      <c r="C205" s="1" t="str">
        <f ca="1">IFERROR(__xludf.DUMMYFUNCTION("GOOGLETRANSLATE(E205, ""zh"", ""en"")"),"irrelevant text")</f>
        <v>irrelevant text</v>
      </c>
    </row>
    <row r="206" spans="1:3" ht="13" x14ac:dyDescent="0.15">
      <c r="A206" s="1" t="str">
        <f ca="1">IFERROR(__xludf.DUMMYFUNCTION("GOOGLETRANSLATE(A206, ""zh"", ""en"")"),"When the strength of many is combined, nothing can be defeated; when the wisdom of many is combined, nothing can fail.")</f>
        <v>When the strength of many is combined, nothing can be defeated; when the wisdom of many is combined, nothing can fail.</v>
      </c>
      <c r="B206" s="1" t="str">
        <f ca="1">IFERROR(__xludf.DUMMYFUNCTION("GOOGLETRANSLATE(A206, ""zh"", ""en"")"),"irrelevant text")</f>
        <v>irrelevant text</v>
      </c>
      <c r="C206" s="1" t="str">
        <f ca="1">IFERROR(__xludf.DUMMYFUNCTION("GOOGLETRANSLATE(E206, ""zh"", ""en"")"),"irrelevant text")</f>
        <v>irrelevant text</v>
      </c>
    </row>
    <row r="207" spans="1:3" ht="13" x14ac:dyDescent="0.15">
      <c r="A207" s="1" t="str">
        <f ca="1">IFERROR(__xludf.DUMMYFUNCTION("GOOGLETRANSLATE(A207, ""zh"", ""en"")"),"The company's information technology investment in 2022 is RMB 1.105 billion.")</f>
        <v>The company's information technology investment in 2022 is RMB 1.105 billion.</v>
      </c>
      <c r="B207" s="1" t="str">
        <f ca="1">IFERROR(__xludf.DUMMYFUNCTION("GOOGLETRANSLATE(A207, ""zh"", ""en"")"),"Technological innovation")</f>
        <v>Technological innovation</v>
      </c>
      <c r="C207" s="1" t="str">
        <f ca="1">IFERROR(__xludf.DUMMYFUNCTION("GOOGLETRANSLATE(E207, ""zh"", ""en"")"),"Quantitative Text")</f>
        <v>Quantitative Text</v>
      </c>
    </row>
    <row r="208" spans="1:3" ht="13" x14ac:dyDescent="0.15">
      <c r="A208" s="1" t="str">
        <f ca="1">IFERROR(__xludf.DUMMYFUNCTION("GOOGLETRANSLATE(A208, ""zh"", ""en"")"),"For more company details, please visit the company's official website and official email address.")</f>
        <v>For more company details, please visit the company's official website and official email address.</v>
      </c>
      <c r="B208" s="1" t="str">
        <f ca="1">IFERROR(__xludf.DUMMYFUNCTION("GOOGLETRANSLATE(A208, ""zh"", ""en"")"),"irrelevant text")</f>
        <v>irrelevant text</v>
      </c>
      <c r="C208" s="1" t="str">
        <f ca="1">IFERROR(__xludf.DUMMYFUNCTION("GOOGLETRANSLATE(E208, ""zh"", ""en"")"),"irrelevant text")</f>
        <v>irrelevant text</v>
      </c>
    </row>
    <row r="209" spans="1:3" ht="13" x14ac:dyDescent="0.15">
      <c r="A209" s="1" t="str">
        <f ca="1">IFERROR(__xludf.DUMMYFUNCTION("GOOGLETRANSLATE(A209, ""zh"", ""en"")"),"For more details on company names, please refer to the Company Name Definition Table in this report.")</f>
        <v>For more details on company names, please refer to the Company Name Definition Table in this report.</v>
      </c>
      <c r="B209" s="1" t="str">
        <f ca="1">IFERROR(__xludf.DUMMYFUNCTION("GOOGLETRANSLATE(A209, ""zh"", ""en"")"),"irrelevant text")</f>
        <v>irrelevant text</v>
      </c>
      <c r="C209" s="1" t="str">
        <f ca="1">IFERROR(__xludf.DUMMYFUNCTION("GOOGLETRANSLATE(E209, ""zh"", ""en"")"),"irrelevant text")</f>
        <v>irrelevant text</v>
      </c>
    </row>
    <row r="210" spans="1:3" ht="13" x14ac:dyDescent="0.15">
      <c r="A210" s="1" t="str">
        <f ca="1">IFERROR(__xludf.DUMMYFUNCTION("GOOGLETRANSLATE(A210, ""zh"", ""en"")"),"Continuously reduce resource and energy consumption and improve recycling rates")</f>
        <v>Continuously reduce resource and energy consumption and improve recycling rates</v>
      </c>
      <c r="B210" s="1" t="str">
        <f ca="1">IFERROR(__xludf.DUMMYFUNCTION("GOOGLETRANSLATE(A210, ""zh"", ""en"")"),"Energy and resource consumption")</f>
        <v>Energy and resource consumption</v>
      </c>
      <c r="C210" s="1" t="str">
        <f ca="1">IFERROR(__xludf.DUMMYFUNCTION("GOOGLETRANSLATE(E210, ""zh"", ""en"")"),"Qualitative text")</f>
        <v>Qualitative text</v>
      </c>
    </row>
    <row r="211" spans="1:3" ht="13" x14ac:dyDescent="0.15">
      <c r="A211" s="1" t="str">
        <f ca="1">IFERROR(__xludf.DUMMYFUNCTION("GOOGLETRANSLATE(A211, ""zh"", ""en"")"),"ECC energy-saving heat pipes introduce low-energy consumption equipment such as deep dehumidifiers")</f>
        <v>ECC energy-saving heat pipes introduce low-energy consumption equipment such as deep dehumidifiers</v>
      </c>
      <c r="B211" s="1" t="str">
        <f ca="1">IFERROR(__xludf.DUMMYFUNCTION("GOOGLETRANSLATE(A211, ""zh"", ""en"")"),"Energy and resource consumption")</f>
        <v>Energy and resource consumption</v>
      </c>
      <c r="C211" s="1" t="str">
        <f ca="1">IFERROR(__xludf.DUMMYFUNCTION("GOOGLETRANSLATE(E211, ""zh"", ""en"")"),"Qualitative text")</f>
        <v>Qualitative text</v>
      </c>
    </row>
    <row r="212" spans="1:3" ht="13" x14ac:dyDescent="0.15">
      <c r="A212" s="1" t="str">
        <f ca="1">IFERROR(__xludf.DUMMYFUNCTION("GOOGLETRANSLATE(A212, ""zh"", ""en"")"),"Other disclosed data and information are not within the scope of the verification process")</f>
        <v>Other disclosed data and information are not within the scope of the verification process</v>
      </c>
      <c r="B212" s="1" t="str">
        <f ca="1">IFERROR(__xludf.DUMMYFUNCTION("GOOGLETRANSLATE(A212, ""zh"", ""en"")"),"irrelevant text")</f>
        <v>irrelevant text</v>
      </c>
      <c r="C212" s="1" t="str">
        <f ca="1">IFERROR(__xludf.DUMMYFUNCTION("GOOGLETRANSLATE(E212, ""zh"", ""en"")"),"irrelevant text")</f>
        <v>irrelevant text</v>
      </c>
    </row>
    <row r="213" spans="1:3" ht="13" x14ac:dyDescent="0.15">
      <c r="A213" s="1" t="str">
        <f ca="1">IFERROR(__xludf.DUMMYFUNCTION("GOOGLETRANSLATE(A213, ""zh"", ""en"")"),"The application of environmental protection has steadily improved the operating, maintenance and repair skills of employees")</f>
        <v>The application of environmental protection has steadily improved the operating, maintenance and repair skills of employees</v>
      </c>
      <c r="B213" s="1" t="str">
        <f ca="1">IFERROR(__xludf.DUMMYFUNCTION("GOOGLETRANSLATE(A213, ""zh"", ""en"")"),"staff")</f>
        <v>staff</v>
      </c>
      <c r="C213" s="1" t="str">
        <f ca="1">IFERROR(__xludf.DUMMYFUNCTION("GOOGLETRANSLATE(E213, ""zh"", ""en"")"),"Qualitative text")</f>
        <v>Qualitative text</v>
      </c>
    </row>
    <row r="214" spans="1:3" ht="13" x14ac:dyDescent="0.15">
      <c r="A214" s="1" t="str">
        <f ca="1">IFERROR(__xludf.DUMMYFUNCTION("GOOGLETRANSLATE(A214, ""zh"", ""en"")"),"During the reporting period, the company and its subsidiaries carried out a number of public welfare activities")</f>
        <v>During the reporting period, the company and its subsidiaries carried out a number of public welfare activities</v>
      </c>
      <c r="B214" s="1" t="str">
        <f ca="1">IFERROR(__xludf.DUMMYFUNCTION("GOOGLETRANSLATE(A214, ""zh"", ""en"")"),"Public welfare and volunteer service")</f>
        <v>Public welfare and volunteer service</v>
      </c>
      <c r="C214" s="1" t="str">
        <f ca="1">IFERROR(__xludf.DUMMYFUNCTION("GOOGLETRANSLATE(E214, ""zh"", ""en"")"),"Qualitative text")</f>
        <v>Qualitative text</v>
      </c>
    </row>
    <row r="215" spans="1:3" ht="13" x14ac:dyDescent="0.15">
      <c r="A215" s="1" t="str">
        <f ca="1">IFERROR(__xludf.DUMMYFUNCTION("GOOGLETRANSLATE(A215, ""zh"", ""en"")"),"The integrated project focuses on cultivating a team of knowledgeable, skilled and innovative talents")</f>
        <v>The integrated project focuses on cultivating a team of knowledgeable, skilled and innovative talents</v>
      </c>
      <c r="B215" s="1" t="str">
        <f ca="1">IFERROR(__xludf.DUMMYFUNCTION("GOOGLETRANSLATE(A215, ""zh"", ""en"")"),"Technological innovation")</f>
        <v>Technological innovation</v>
      </c>
      <c r="C215" s="1" t="str">
        <f ca="1">IFERROR(__xludf.DUMMYFUNCTION("GOOGLETRANSLATE(E215, ""zh"", ""en"")"),"Qualitative text")</f>
        <v>Qualitative text</v>
      </c>
    </row>
    <row r="216" spans="1:3" ht="13" x14ac:dyDescent="0.15">
      <c r="A216" s="1" t="str">
        <f ca="1">IFERROR(__xludf.DUMMYFUNCTION("GOOGLETRANSLATE(A216, ""zh"", ""en"")"),"Promote suppliers and contractors to improve safety management and environmental protection performance")</f>
        <v>Promote suppliers and contractors to improve safety management and environmental protection performance</v>
      </c>
      <c r="B216" s="1" t="str">
        <f ca="1">IFERROR(__xludf.DUMMYFUNCTION("GOOGLETRANSLATE(A216, ""zh"", ""en"")"),"supply chain management")</f>
        <v>supply chain management</v>
      </c>
      <c r="C216" s="1" t="str">
        <f ca="1">IFERROR(__xludf.DUMMYFUNCTION("GOOGLETRANSLATE(E216, ""zh"", ""en"")"),"Qualitative text")</f>
        <v>Qualitative text</v>
      </c>
    </row>
    <row r="217" spans="1:3" ht="13" x14ac:dyDescent="0.15">
      <c r="A217" s="1" t="str">
        <f ca="1">IFERROR(__xludf.DUMMYFUNCTION("GOOGLETRANSLATE(A217, ""zh"", ""en"")"),"Establish land use standards for different well site types to improve the utilization rate of old well sites")</f>
        <v>Establish land use standards for different well site types to improve the utilization rate of old well sites</v>
      </c>
      <c r="B217" s="1" t="str">
        <f ca="1">IFERROR(__xludf.DUMMYFUNCTION("GOOGLETRANSLATE(A217, ""zh"", ""en"")"),"Land use")</f>
        <v>Land use</v>
      </c>
      <c r="C217" s="1" t="str">
        <f ca="1">IFERROR(__xludf.DUMMYFUNCTION("GOOGLETRANSLATE(E217, ""zh"", ""en"")"),"Qualitative text")</f>
        <v>Qualitative text</v>
      </c>
    </row>
    <row r="218" spans="1:3" ht="13" x14ac:dyDescent="0.15">
      <c r="A218" s="1" t="str">
        <f ca="1">IFERROR(__xludf.DUMMYFUNCTION("GOOGLETRANSLATE(A218, ""zh"", ""en"")"),"The construction of the ecological demonstration forest project will start in May 2022")</f>
        <v>The construction of the ecological demonstration forest project will start in May 2022</v>
      </c>
      <c r="B218" s="1" t="str">
        <f ca="1">IFERROR(__xludf.DUMMYFUNCTION("GOOGLETRANSLATE(A218, ""zh"", ""en"")"),"biodiversity")</f>
        <v>biodiversity</v>
      </c>
      <c r="C218" s="1" t="str">
        <f ca="1">IFERROR(__xludf.DUMMYFUNCTION("GOOGLETRANSLATE(E218, ""zh"", ""en"")"),"Qualitative text")</f>
        <v>Qualitative text</v>
      </c>
    </row>
    <row r="219" spans="1:3" ht="13" x14ac:dyDescent="0.15">
      <c r="A219" s="1" t="str">
        <f ca="1">IFERROR(__xludf.DUMMYFUNCTION("GOOGLETRANSLATE(A219, ""zh"", ""en"")"),"The information involved comes from the company's internal data and public information")</f>
        <v>The information involved comes from the company's internal data and public information</v>
      </c>
      <c r="B219" s="1" t="str">
        <f ca="1">IFERROR(__xludf.DUMMYFUNCTION("GOOGLETRANSLATE(A219, ""zh"", ""en"")"),"irrelevant text")</f>
        <v>irrelevant text</v>
      </c>
      <c r="C219" s="1" t="str">
        <f ca="1">IFERROR(__xludf.DUMMYFUNCTION("GOOGLETRANSLATE(E219, ""zh"", ""en"")"),"irrelevant text")</f>
        <v>irrelevant text</v>
      </c>
    </row>
    <row r="220" spans="1:3" ht="13" x14ac:dyDescent="0.15">
      <c r="A220" s="1" t="str">
        <f ca="1">IFERROR(__xludf.DUMMYFUNCTION("GOOGLETRANSLATE(A220, ""zh"", ""en"")"),"The company's board of directors consists of 7 directors, including 3 independent directors.")</f>
        <v>The company's board of directors consists of 7 directors, including 3 independent directors.</v>
      </c>
      <c r="B220" s="1" t="str">
        <f ca="1">IFERROR(__xludf.DUMMYFUNCTION("GOOGLETRANSLATE(A220, ""zh"", ""en"")"),"Organizational structure and operations")</f>
        <v>Organizational structure and operations</v>
      </c>
      <c r="C220" s="1" t="str">
        <f ca="1">IFERROR(__xludf.DUMMYFUNCTION("GOOGLETRANSLATE(E220, ""zh"", ""en"")"),"Quantitative Text")</f>
        <v>Quantitative Text</v>
      </c>
    </row>
    <row r="221" spans="1:3" ht="13" x14ac:dyDescent="0.15">
      <c r="A221" s="1" t="str">
        <f ca="1">IFERROR(__xludf.DUMMYFUNCTION("GOOGLETRANSLATE(A221, ""zh"", ""en"")"),"Deeply integrate finance and technology and actively develop intelligent investment and research platforms")</f>
        <v>Deeply integrate finance and technology and actively develop intelligent investment and research platforms</v>
      </c>
      <c r="B221" s="1" t="str">
        <f ca="1">IFERROR(__xludf.DUMMYFUNCTION("GOOGLETRANSLATE(A221, ""zh"", ""en"")"),"Technological innovation")</f>
        <v>Technological innovation</v>
      </c>
      <c r="C221" s="1" t="str">
        <f ca="1">IFERROR(__xludf.DUMMYFUNCTION("GOOGLETRANSLATE(E221, ""zh"", ""en"")"),"Qualitative text")</f>
        <v>Qualitative text</v>
      </c>
    </row>
    <row r="222" spans="1:3" ht="13" x14ac:dyDescent="0.15">
      <c r="A222" s="1" t="str">
        <f ca="1">IFERROR(__xludf.DUMMYFUNCTION("GOOGLETRANSLATE(A222, ""zh"", ""en"")"),"Strengthen customer service management, focus on service problems and launch a 100-day competition")</f>
        <v>Strengthen customer service management, focus on service problems and launch a 100-day competition</v>
      </c>
      <c r="B222" s="1" t="str">
        <f ca="1">IFERROR(__xludf.DUMMYFUNCTION("GOOGLETRANSLATE(A222, ""zh"", ""en"")"),"Customers and Consumers")</f>
        <v>Customers and Consumers</v>
      </c>
      <c r="C222" s="1" t="str">
        <f ca="1">IFERROR(__xludf.DUMMYFUNCTION("GOOGLETRANSLATE(E222, ""zh"", ""en"")"),"Qualitative text")</f>
        <v>Qualitative text</v>
      </c>
    </row>
    <row r="223" spans="1:3" ht="13" x14ac:dyDescent="0.15">
      <c r="A223" s="1" t="str">
        <f ca="1">IFERROR(__xludf.DUMMYFUNCTION("GOOGLETRANSLATE(A223, ""zh"", ""en"")"),"Shanghai Electric will promote the deep integration of party building work and economic work")</f>
        <v>Shanghai Electric will promote the deep integration of party building work and economic work</v>
      </c>
      <c r="B223" s="1" t="str">
        <f ca="1">IFERROR(__xludf.DUMMYFUNCTION("GOOGLETRANSLATE(A223, ""zh"", ""en"")"),"Organizational structure and operations")</f>
        <v>Organizational structure and operations</v>
      </c>
      <c r="C223" s="1" t="str">
        <f ca="1">IFERROR(__xludf.DUMMYFUNCTION("GOOGLETRANSLATE(E223, ""zh"", ""en"")"),"Qualitative text")</f>
        <v>Qualitative text</v>
      </c>
    </row>
    <row r="224" spans="1:3" ht="13" x14ac:dyDescent="0.15">
      <c r="A224" s="1" t="str">
        <f ca="1">IFERROR(__xludf.DUMMYFUNCTION("GOOGLETRANSLATE(A224, ""zh"", ""en"")"),"This year, taking into account various factors, the company appointed a new female director")</f>
        <v>This year, taking into account various factors, the company appointed a new female director</v>
      </c>
      <c r="B224" s="1" t="str">
        <f ca="1">IFERROR(__xludf.DUMMYFUNCTION("GOOGLETRANSLATE(A224, ""zh"", ""en"")"),"Organizational structure and operations")</f>
        <v>Organizational structure and operations</v>
      </c>
      <c r="C224" s="1" t="str">
        <f ca="1">IFERROR(__xludf.DUMMYFUNCTION("GOOGLETRANSLATE(E224, ""zh"", ""en"")"),"Quantitative Text")</f>
        <v>Quantitative Text</v>
      </c>
    </row>
    <row r="225" spans="1:3" ht="13" x14ac:dyDescent="0.15">
      <c r="A225" s="1" t="str">
        <f ca="1">IFERROR(__xludf.DUMMYFUNCTION("GOOGLETRANSLATE(A225, ""zh"", ""en"")"),"Obtaining the report This report is available in both paper and electronic versions.")</f>
        <v>Obtaining the report This report is available in both paper and electronic versions.</v>
      </c>
      <c r="B225" s="1" t="str">
        <f ca="1">IFERROR(__xludf.DUMMYFUNCTION("GOOGLETRANSLATE(A225, ""zh"", ""en"")"),"irrelevant text")</f>
        <v>irrelevant text</v>
      </c>
      <c r="C225" s="1" t="str">
        <f ca="1">IFERROR(__xludf.DUMMYFUNCTION("GOOGLETRANSLATE(E225, ""zh"", ""en"")"),"irrelevant text")</f>
        <v>irrelevant text</v>
      </c>
    </row>
    <row r="226" spans="1:3" ht="13" x14ac:dyDescent="0.15">
      <c r="A226" s="1" t="str">
        <f ca="1">IFERROR(__xludf.DUMMYFUNCTION("GOOGLETRANSLATE(A226, ""zh"", ""en"")"),"During the reporting period, the company had no concluded corruption lawsuits.")</f>
        <v>During the reporting period, the company had no concluded corruption lawsuits.</v>
      </c>
      <c r="B226" s="1" t="str">
        <f ca="1">IFERROR(__xludf.DUMMYFUNCTION("GOOGLETRANSLATE(A226, ""zh"", ""en"")"),"Anti-corruption and anti-money laundering")</f>
        <v>Anti-corruption and anti-money laundering</v>
      </c>
      <c r="C226" s="1" t="str">
        <f ca="1">IFERROR(__xludf.DUMMYFUNCTION("GOOGLETRANSLATE(E226, ""zh"", ""en"")"),"Quantitative Text")</f>
        <v>Quantitative Text</v>
      </c>
    </row>
    <row r="227" spans="1:3" ht="13" x14ac:dyDescent="0.15">
      <c r="A227" s="1" t="str">
        <f ca="1">IFERROR(__xludf.DUMMYFUNCTION("GOOGLETRANSLATE(A227, ""zh"", ""en"")"),"Please refer to the Managing Key ESG Risks in Business Activities section for more details.")</f>
        <v>Please refer to the Managing Key ESG Risks in Business Activities section for more details.</v>
      </c>
      <c r="B227" s="1" t="str">
        <f ca="1">IFERROR(__xludf.DUMMYFUNCTION("GOOGLETRANSLATE(A227, ""zh"", ""en"")"),"irrelevant text")</f>
        <v>irrelevant text</v>
      </c>
      <c r="C227" s="1" t="str">
        <f ca="1">IFERROR(__xludf.DUMMYFUNCTION("GOOGLETRANSLATE(E227, ""zh"", ""en"")"),"irrelevant text")</f>
        <v>irrelevant text</v>
      </c>
    </row>
    <row r="228" spans="1:3" ht="13" x14ac:dyDescent="0.15">
      <c r="A228" s="1" t="str">
        <f ca="1">IFERROR(__xludf.DUMMYFUNCTION("GOOGLETRANSLATE(A228, ""zh"", ""en"")"),"The company is committed to building a gender-friendly work system and working environment")</f>
        <v>The company is committed to building a gender-friendly work system and working environment</v>
      </c>
      <c r="B228" s="1" t="str">
        <f ca="1">IFERROR(__xludf.DUMMYFUNCTION("GOOGLETRANSLATE(A228, ""zh"", ""en"")"),"staff")</f>
        <v>staff</v>
      </c>
      <c r="C228" s="1" t="str">
        <f ca="1">IFERROR(__xludf.DUMMYFUNCTION("GOOGLETRANSLATE(E228, ""zh"", ""en"")"),"Qualitative text")</f>
        <v>Qualitative text</v>
      </c>
    </row>
    <row r="229" spans="1:3" ht="13" x14ac:dyDescent="0.15">
      <c r="A229" s="1" t="str">
        <f ca="1">IFERROR(__xludf.DUMMYFUNCTION("GOOGLETRANSLATE(A229, ""zh"", ""en"")"),"Locked in CNOOC North America's integrated drilling and completion projects for the next five years")</f>
        <v>Locked in CNOOC North America's integrated drilling and completion projects for the next five years</v>
      </c>
      <c r="B229" s="1" t="str">
        <f ca="1">IFERROR(__xludf.DUMMYFUNCTION("GOOGLETRANSLATE(A229, ""zh"", ""en"")"),"irrelevant text")</f>
        <v>irrelevant text</v>
      </c>
      <c r="C229" s="1" t="str">
        <f ca="1">IFERROR(__xludf.DUMMYFUNCTION("GOOGLETRANSLATE(E229, ""zh"", ""en"")"),"irrelevant text")</f>
        <v>irrelevant text</v>
      </c>
    </row>
    <row r="230" spans="1:3" ht="13" x14ac:dyDescent="0.15">
      <c r="A230" s="1" t="str">
        <f ca="1">IFERROR(__xludf.DUMMYFUNCTION("GOOGLETRANSLATE(A230, ""zh"", ""en"")"),"The company won the China Association for Science and Technology Industry Promotion's Annual Standard Innovation Organization Award")</f>
        <v>The company won the China Association for Science and Technology Industry Promotion's Annual Standard Innovation Organization Award</v>
      </c>
      <c r="B230" s="1" t="str">
        <f ca="1">IFERROR(__xludf.DUMMYFUNCTION("GOOGLETRANSLATE(A230, ""zh"", ""en"")"),"Technological innovation")</f>
        <v>Technological innovation</v>
      </c>
      <c r="C230" s="1" t="str">
        <f ca="1">IFERROR(__xludf.DUMMYFUNCTION("GOOGLETRANSLATE(E230, ""zh"", ""en"")"),"Quantitative Text")</f>
        <v>Quantitative Text</v>
      </c>
    </row>
    <row r="231" spans="1:3" ht="13" x14ac:dyDescent="0.15">
      <c r="A231" s="1" t="str">
        <f ca="1">IFERROR(__xludf.DUMMYFUNCTION("GOOGLETRANSLATE(A231, ""zh"", ""en"")"),"Among domestic technology companies, independent R&amp;D investment has always been at the forefront")</f>
        <v>Among domestic technology companies, independent R&amp;D investment has always been at the forefront</v>
      </c>
      <c r="B231" s="1" t="str">
        <f ca="1">IFERROR(__xludf.DUMMYFUNCTION("GOOGLETRANSLATE(A231, ""zh"", ""en"")"),"Technological innovation")</f>
        <v>Technological innovation</v>
      </c>
      <c r="C231" s="1" t="str">
        <f ca="1">IFERROR(__xludf.DUMMYFUNCTION("GOOGLETRANSLATE(E231, ""zh"", ""en"")"),"Qualitative text")</f>
        <v>Qualitative text</v>
      </c>
    </row>
    <row r="232" spans="1:3" ht="13" x14ac:dyDescent="0.15">
      <c r="A232" s="1" t="str">
        <f ca="1">IFERROR(__xludf.DUMMYFUNCTION("GOOGLETRANSLATE(A232, ""zh"", ""en"")"),"The financial data in this report are in RMB unless otherwise stated.")</f>
        <v>The financial data in this report are in RMB unless otherwise stated.</v>
      </c>
      <c r="B232" s="1" t="str">
        <f ca="1">IFERROR(__xludf.DUMMYFUNCTION("GOOGLETRANSLATE(A232, ""zh"", ""en"")"),"irrelevant text")</f>
        <v>irrelevant text</v>
      </c>
      <c r="C232" s="1" t="str">
        <f ca="1">IFERROR(__xludf.DUMMYFUNCTION("GOOGLETRANSLATE(E232, ""zh"", ""en"")"),"irrelevant text")</f>
        <v>irrelevant text</v>
      </c>
    </row>
    <row r="233" spans="1:3" ht="13" x14ac:dyDescent="0.15">
      <c r="A233" s="1" t="str">
        <f ca="1">IFERROR(__xludf.DUMMYFUNCTION("GOOGLETRANSLATE(A233, ""zh"", ""en"")"),"In addition to promoting patent research and development, we are also committed to improving patent quality")</f>
        <v>In addition to promoting patent research and development, we are also committed to improving patent quality</v>
      </c>
      <c r="B233" s="1" t="str">
        <f ca="1">IFERROR(__xludf.DUMMYFUNCTION("GOOGLETRANSLATE(A233, ""zh"", ""en"")"),"Intellectual Property Protection")</f>
        <v>Intellectual Property Protection</v>
      </c>
      <c r="C233" s="1" t="str">
        <f ca="1">IFERROR(__xludf.DUMMYFUNCTION("GOOGLETRANSLATE(E233, ""zh"", ""en"")"),"Qualitative text")</f>
        <v>Qualitative text</v>
      </c>
    </row>
    <row r="234" spans="1:3" ht="13" x14ac:dyDescent="0.15">
      <c r="A234" s="1" t="str">
        <f ca="1">IFERROR(__xludf.DUMMYFUNCTION("GOOGLETRANSLATE(A234, ""zh"", ""en"")"),"Fu Min, Chief Auditor and Member of the Group’s Discipline Inspection Commission, delivered a report on audit risk control.")</f>
        <v>Fu Min, Chief Auditor and Member of the Group’s Discipline Inspection Commission, delivered a report on audit risk control.</v>
      </c>
      <c r="B234" s="1" t="str">
        <f ca="1">IFERROR(__xludf.DUMMYFUNCTION("GOOGLETRANSLATE(A234, ""zh"", ""en"")"),"Audit work")</f>
        <v>Audit work</v>
      </c>
      <c r="C234" s="1" t="str">
        <f ca="1">IFERROR(__xludf.DUMMYFUNCTION("GOOGLETRANSLATE(E234, ""zh"", ""en"")"),"Qualitative text")</f>
        <v>Qualitative text</v>
      </c>
    </row>
    <row r="235" spans="1:3" ht="13" x14ac:dyDescent="0.15">
      <c r="A235" s="1" t="str">
        <f ca="1">IFERROR(__xludf.DUMMYFUNCTION("GOOGLETRANSLATE(A235, ""zh"", ""en"")"),"As the company's business develops, the value it creates for society continues to increase.")</f>
        <v>As the company's business develops, the value it creates for society continues to increase.</v>
      </c>
      <c r="B235" s="1" t="str">
        <f ca="1">IFERROR(__xludf.DUMMYFUNCTION("GOOGLETRANSLATE(A235, ""zh"", ""en"")"),"irrelevant text")</f>
        <v>irrelevant text</v>
      </c>
      <c r="C235" s="1" t="str">
        <f ca="1">IFERROR(__xludf.DUMMYFUNCTION("GOOGLETRANSLATE(E235, ""zh"", ""en"")"),"irrelevant text")</f>
        <v>irrelevant text</v>
      </c>
    </row>
    <row r="236" spans="1:3" ht="13" x14ac:dyDescent="0.15">
      <c r="A236" s="1" t="str">
        <f ca="1">IFERROR(__xludf.DUMMYFUNCTION("GOOGLETRANSLATE(A236, ""zh"", ""en"")"),"It has a total of 176 national patents, including 18 invention patents")</f>
        <v>It has a total of 176 national patents, including 18 invention patents</v>
      </c>
      <c r="B236" s="1" t="str">
        <f ca="1">IFERROR(__xludf.DUMMYFUNCTION("GOOGLETRANSLATE(A236, ""zh"", ""en"")"),"Intellectual Property Protection")</f>
        <v>Intellectual Property Protection</v>
      </c>
      <c r="C236" s="1" t="str">
        <f ca="1">IFERROR(__xludf.DUMMYFUNCTION("GOOGLETRANSLATE(E236, ""zh"", ""en"")"),"Quantitative Text")</f>
        <v>Quantitative Text</v>
      </c>
    </row>
    <row r="237" spans="1:3" ht="13" x14ac:dyDescent="0.15">
      <c r="A237" s="1" t="str">
        <f ca="1">IFERROR(__xludf.DUMMYFUNCTION("GOOGLETRANSLATE(A237, ""zh"", ""en"")"),"For details on ESG strategies, please refer to the ESG Strategy System section.")</f>
        <v>For details on ESG strategies, please refer to the ESG Strategy System section.</v>
      </c>
      <c r="B237" s="1" t="str">
        <f ca="1">IFERROR(__xludf.DUMMYFUNCTION("GOOGLETRANSLATE(A237, ""zh"", ""en"")"),"irrelevant text")</f>
        <v>irrelevant text</v>
      </c>
      <c r="C237" s="1" t="str">
        <f ca="1">IFERROR(__xludf.DUMMYFUNCTION("GOOGLETRANSLATE(E237, ""zh"", ""en"")"),"irrelevant text")</f>
        <v>irrelevant text</v>
      </c>
    </row>
    <row r="238" spans="1:3" ht="13" x14ac:dyDescent="0.15">
      <c r="A238" s="1" t="str">
        <f ca="1">IFERROR(__xludf.DUMMYFUNCTION("GOOGLETRANSLATE(A238, ""zh"", ""en"")"),"Looking back on the achievements of the past year, we have written a brilliant chapter through hard work, forging ahead and reaping success.")</f>
        <v>Looking back on the achievements of the past year, we have written a brilliant chapter through hard work, forging ahead and reaping success.</v>
      </c>
      <c r="B238" s="1" t="str">
        <f ca="1">IFERROR(__xludf.DUMMYFUNCTION("GOOGLETRANSLATE(A238, ""zh"", ""en"")"),"irrelevant text")</f>
        <v>irrelevant text</v>
      </c>
      <c r="C238" s="1" t="str">
        <f ca="1">IFERROR(__xludf.DUMMYFUNCTION("GOOGLETRANSLATE(E238, ""zh"", ""en"")"),"irrelevant text")</f>
        <v>irrelevant text</v>
      </c>
    </row>
    <row r="239" spans="1:3" ht="13" x14ac:dyDescent="0.15">
      <c r="A239" s="1" t="str">
        <f ca="1">IFERROR(__xludf.DUMMYFUNCTION("GOOGLETRANSLATE(A239, ""zh"", ""en"")"),"No lawsuits related to responsible marketing have occurred in relation to unfair competition training")</f>
        <v>No lawsuits related to responsible marketing have occurred in relation to unfair competition training</v>
      </c>
      <c r="B239" s="1" t="str">
        <f ca="1">IFERROR(__xludf.DUMMYFUNCTION("GOOGLETRANSLATE(A239, ""zh"", ""en"")"),"Legal proceedings and external sanctions")</f>
        <v>Legal proceedings and external sanctions</v>
      </c>
      <c r="C239" s="1" t="str">
        <f ca="1">IFERROR(__xludf.DUMMYFUNCTION("GOOGLETRANSLATE(E239, ""zh"", ""en"")"),"Quantitative Text")</f>
        <v>Quantitative Text</v>
      </c>
    </row>
    <row r="240" spans="1:3" ht="13" x14ac:dyDescent="0.15">
      <c r="A240" s="1" t="str">
        <f ca="1">IFERROR(__xludf.DUMMYFUNCTION("GOOGLETRANSLATE(A240, ""zh"", ""en"")"),"Second, strengthen the integrated management of production, sales and research to improve the operational efficiency of the industrial chain")</f>
        <v>Second, strengthen the integrated management of production, sales and research to improve the operational efficiency of the industrial chain</v>
      </c>
      <c r="B240" s="1" t="str">
        <f ca="1">IFERROR(__xludf.DUMMYFUNCTION("GOOGLETRANSLATE(A240, ""zh"", ""en"")"),"Technological innovation")</f>
        <v>Technological innovation</v>
      </c>
      <c r="C240" s="1" t="str">
        <f ca="1">IFERROR(__xludf.DUMMYFUNCTION("GOOGLETRANSLATE(E240, ""zh"", ""en"")"),"Qualitative text")</f>
        <v>Qualitative text</v>
      </c>
    </row>
    <row r="241" spans="1:3" ht="13" x14ac:dyDescent="0.15">
      <c r="A241" s="1" t="str">
        <f ca="1">IFERROR(__xludf.DUMMYFUNCTION("GOOGLETRANSLATE(A241, ""zh"", ""en"")"),"The implementation of the smart computer room system project has greatly improved management efficiency")</f>
        <v>The implementation of the smart computer room system project has greatly improved management efficiency</v>
      </c>
      <c r="B241" s="1" t="str">
        <f ca="1">IFERROR(__xludf.DUMMYFUNCTION("GOOGLETRANSLATE(A241, ""zh"", ""en"")"),"Technological innovation")</f>
        <v>Technological innovation</v>
      </c>
      <c r="C241" s="1" t="str">
        <f ca="1">IFERROR(__xludf.DUMMYFUNCTION("GOOGLETRANSLATE(E241, ""zh"", ""en"")"),"Qualitative text")</f>
        <v>Qualitative text</v>
      </c>
    </row>
    <row r="242" spans="1:3" ht="13" x14ac:dyDescent="0.15">
      <c r="A242" s="1" t="str">
        <f ca="1">IFERROR(__xludf.DUMMYFUNCTION("GOOGLETRANSLATE(A242, ""zh"", ""en"")"),"5. Discarded office supplies only include pens, paper clips and staplers")</f>
        <v>5. Discarded office supplies only include pens, paper clips and staplers</v>
      </c>
      <c r="B242" s="1" t="str">
        <f ca="1">IFERROR(__xludf.DUMMYFUNCTION("GOOGLETRANSLATE(A242, ""zh"", ""en"")"),"Waste Management")</f>
        <v>Waste Management</v>
      </c>
      <c r="C242" s="1" t="str">
        <f ca="1">IFERROR(__xludf.DUMMYFUNCTION("GOOGLETRANSLATE(E242, ""zh"", ""en"")"),"Qualitative text")</f>
        <v>Qualitative text</v>
      </c>
    </row>
    <row r="243" spans="1:3" ht="13" x14ac:dyDescent="0.15">
      <c r="A243" s="1" t="str">
        <f ca="1">IFERROR(__xludf.DUMMYFUNCTION("GOOGLETRANSLATE(A243, ""zh"", ""en"")"),"We also perform other procedures that we deem necessary depending on the circumstances.")</f>
        <v>We also perform other procedures that we deem necessary depending on the circumstances.</v>
      </c>
      <c r="B243" s="1" t="str">
        <f ca="1">IFERROR(__xludf.DUMMYFUNCTION("GOOGLETRANSLATE(A243, ""zh"", ""en"")"),"irrelevant text")</f>
        <v>irrelevant text</v>
      </c>
      <c r="C243" s="1" t="str">
        <f ca="1">IFERROR(__xludf.DUMMYFUNCTION("GOOGLETRANSLATE(E243, ""zh"", ""en"")"),"irrelevant text")</f>
        <v>irrelevant text</v>
      </c>
    </row>
    <row r="244" spans="1:3" ht="13" x14ac:dyDescent="0.15">
      <c r="A244" s="1" t="str">
        <f ca="1">IFERROR(__xludf.DUMMYFUNCTION("GOOGLETRANSLATE(A244, ""zh"", ""en"")"),"For more information, please refer to CITIC Securities Privacy Policy.")</f>
        <v>For more information, please refer to CITIC Securities Privacy Policy.</v>
      </c>
      <c r="B244" s="1" t="str">
        <f ca="1">IFERROR(__xludf.DUMMYFUNCTION("GOOGLETRANSLATE(A244, ""zh"", ""en"")"),"irrelevant text")</f>
        <v>irrelevant text</v>
      </c>
      <c r="C244" s="1" t="str">
        <f ca="1">IFERROR(__xludf.DUMMYFUNCTION("GOOGLETRANSLATE(E244, ""zh"", ""en"")"),"irrelevant text")</f>
        <v>irrelevant text</v>
      </c>
    </row>
    <row r="245" spans="1:3" ht="13" x14ac:dyDescent="0.15">
      <c r="A245" s="1" t="str">
        <f ca="1">IFERROR(__xludf.DUMMYFUNCTION("GOOGLETRANSLATE(A245, ""zh"", ""en"")"),"We have formulated an annual training plan in accordance with national laws and regulations.")</f>
        <v>We have formulated an annual training plan in accordance with national laws and regulations.</v>
      </c>
      <c r="B245" s="1" t="str">
        <f ca="1">IFERROR(__xludf.DUMMYFUNCTION("GOOGLETRANSLATE(A245, ""zh"", ""en"")"),"staff")</f>
        <v>staff</v>
      </c>
      <c r="C245" s="1" t="str">
        <f ca="1">IFERROR(__xludf.DUMMYFUNCTION("GOOGLETRANSLATE(E245, ""zh"", ""en"")"),"Qualitative text")</f>
        <v>Qualitative text</v>
      </c>
    </row>
    <row r="246" spans="1:3" ht="13" x14ac:dyDescent="0.15">
      <c r="A246" s="1" t="str">
        <f ca="1">IFERROR(__xludf.DUMMYFUNCTION("GOOGLETRANSLATE(A246, ""zh"", ""en"")"),"Strengthen waste management and achieve 100% compliant disposal of hazardous waste")</f>
        <v>Strengthen waste management and achieve 100% compliant disposal of hazardous waste</v>
      </c>
      <c r="B246" s="1" t="str">
        <f ca="1">IFERROR(__xludf.DUMMYFUNCTION("GOOGLETRANSLATE(A246, ""zh"", ""en"")"),"Waste Management")</f>
        <v>Waste Management</v>
      </c>
      <c r="C246" s="1" t="str">
        <f ca="1">IFERROR(__xludf.DUMMYFUNCTION("GOOGLETRANSLATE(E246, ""zh"", ""en"")"),"Quantitative Text")</f>
        <v>Quantitative Text</v>
      </c>
    </row>
    <row r="247" spans="1:3" ht="13" x14ac:dyDescent="0.15">
      <c r="A247" s="1" t="str">
        <f ca="1">IFERROR(__xludf.DUMMYFUNCTION("GOOGLETRANSLATE(A247, ""zh"", ""en"")"),"Provide financial and human resources support for a wide range of public welfare activities at home and abroad")</f>
        <v>Provide financial and human resources support for a wide range of public welfare activities at home and abroad</v>
      </c>
      <c r="B247" s="1" t="str">
        <f ca="1">IFERROR(__xludf.DUMMYFUNCTION("GOOGLETRANSLATE(A247, ""zh"", ""en"")"),"Public welfare and volunteer service")</f>
        <v>Public welfare and volunteer service</v>
      </c>
      <c r="C247" s="1" t="str">
        <f ca="1">IFERROR(__xludf.DUMMYFUNCTION("GOOGLETRANSLATE(E247, ""zh"", ""en"")"),"Qualitative text")</f>
        <v>Qualitative text</v>
      </c>
    </row>
    <row r="248" spans="1:3" ht="13" x14ac:dyDescent="0.15">
      <c r="A248" s="1" t="str">
        <f ca="1">IFERROR(__xludf.DUMMYFUNCTION("GOOGLETRANSLATE(A248, ""zh"", ""en"")"),"The supplier's initial risk rating will be determined based on the type of materials they supply.")</f>
        <v>The supplier's initial risk rating will be determined based on the type of materials they supply.</v>
      </c>
      <c r="B248" s="1" t="str">
        <f ca="1">IFERROR(__xludf.DUMMYFUNCTION("GOOGLETRANSLATE(A248, ""zh"", ""en"")"),"supply chain management")</f>
        <v>supply chain management</v>
      </c>
      <c r="C248" s="1" t="str">
        <f ca="1">IFERROR(__xludf.DUMMYFUNCTION("GOOGLETRANSLATE(E248, ""zh"", ""en"")"),"Qualitative text")</f>
        <v>Qualitative text</v>
      </c>
    </row>
    <row r="249" spans="1:3" ht="13" x14ac:dyDescent="0.15">
      <c r="A249" s="1" t="str">
        <f ca="1">IFERROR(__xludf.DUMMYFUNCTION("GOOGLETRANSLATE(A249, ""zh"", ""en"")"),"In Argentina, we provide a large number of employment opportunities for local residents")</f>
        <v>In Argentina, we provide a large number of employment opportunities for local residents</v>
      </c>
      <c r="B249" s="1" t="str">
        <f ca="1">IFERROR(__xludf.DUMMYFUNCTION("GOOGLETRANSLATE(A249, ""zh"", ""en"")"),"Promoting employment")</f>
        <v>Promoting employment</v>
      </c>
      <c r="C249" s="1" t="str">
        <f ca="1">IFERROR(__xludf.DUMMYFUNCTION("GOOGLETRANSLATE(E249, ""zh"", ""en"")"),"Qualitative text")</f>
        <v>Qualitative text</v>
      </c>
    </row>
    <row r="250" spans="1:3" ht="13" x14ac:dyDescent="0.15">
      <c r="A250" s="1" t="str">
        <f ca="1">IFERROR(__xludf.DUMMYFUNCTION("GOOGLETRANSLATE(A250, ""zh"", ""en"")"),"Following the quality standard can not make the enterprise prosperous, but it is enough to reduce the")</f>
        <v>Following the quality standard can not make the enterprise prosperous, but it is enough to reduce the</v>
      </c>
      <c r="B250" s="1" t="str">
        <f ca="1">IFERROR(__xludf.DUMMYFUNCTION("GOOGLETRANSLATE(A250, ""zh"", ""en"")"),"irrelevant text")</f>
        <v>irrelevant text</v>
      </c>
      <c r="C250" s="1" t="str">
        <f ca="1">IFERROR(__xludf.DUMMYFUNCTION("GOOGLETRANSLATE(E250, ""zh"", ""en"")"),"irrelevant text")</f>
        <v>irrelevant text</v>
      </c>
    </row>
    <row r="251" spans="1:3" ht="13" x14ac:dyDescent="0.15">
      <c r="A251" s="1" t="str">
        <f ca="1">IFERROR(__xludf.DUMMYFUNCTION("GOOGLETRANSLATE(A251, ""zh"", ""en"")"),"The annual salary level of management members is linked to performance appraisal results")</f>
        <v>The annual salary level of management members is linked to performance appraisal results</v>
      </c>
      <c r="B251" s="1" t="str">
        <f ca="1">IFERROR(__xludf.DUMMYFUNCTION("GOOGLETRANSLATE(A251, ""zh"", ""en"")"),"Organizational structure and operations")</f>
        <v>Organizational structure and operations</v>
      </c>
      <c r="C251" s="1" t="str">
        <f ca="1">IFERROR(__xludf.DUMMYFUNCTION("GOOGLETRANSLATE(E251, ""zh"", ""en"")"),"Qualitative text")</f>
        <v>Qualitative text</v>
      </c>
    </row>
    <row r="252" spans="1:3" ht="13" x14ac:dyDescent="0.15">
      <c r="A252" s="1" t="str">
        <f ca="1">IFERROR(__xludf.DUMMYFUNCTION("GOOGLETRANSLATE(A252, ""zh"", ""en"")"),"Strive to achieve a new energy supply capacity of 10 million tons of standard coal by 2025")</f>
        <v>Strive to achieve a new energy supply capacity of 10 million tons of standard coal by 2025</v>
      </c>
      <c r="B252" s="1" t="str">
        <f ca="1">IFERROR(__xludf.DUMMYFUNCTION("GOOGLETRANSLATE(A252, ""zh"", ""en"")"),"Energy and resource consumption")</f>
        <v>Energy and resource consumption</v>
      </c>
      <c r="C252" s="1" t="str">
        <f ca="1">IFERROR(__xludf.DUMMYFUNCTION("GOOGLETRANSLATE(E252, ""zh"", ""en"")"),"Quantitative Text")</f>
        <v>Quantitative Text</v>
      </c>
    </row>
    <row r="253" spans="1:3" ht="13" x14ac:dyDescent="0.15">
      <c r="A253" s="1" t="str">
        <f ca="1">IFERROR(__xludf.DUMMYFUNCTION("GOOGLETRANSLATE(A253, ""zh"", ""en"")"),"Longgou Village invested 250,000 yuan to build a fundraising market to improve people's livelihood")</f>
        <v>Longgou Village invested 250,000 yuan to build a fundraising market to improve people's livelihood</v>
      </c>
      <c r="B253" s="1" t="str">
        <f ca="1">IFERROR(__xludf.DUMMYFUNCTION("GOOGLETRANSLATE(A253, ""zh"", ""en"")"),"Rural assistance")</f>
        <v>Rural assistance</v>
      </c>
      <c r="C253" s="1" t="str">
        <f ca="1">IFERROR(__xludf.DUMMYFUNCTION("GOOGLETRANSLATE(E253, ""zh"", ""en"")"),"Quantitative Text")</f>
        <v>Quantitative Text</v>
      </c>
    </row>
    <row r="254" spans="1:3" ht="13" x14ac:dyDescent="0.15">
      <c r="A254" s="1" t="str">
        <f ca="1">IFERROR(__xludf.DUMMYFUNCTION("GOOGLETRANSLATE(A254, ""zh"", ""en"")"),"Huaihai Medical Management Company was found to be in good condition and met the requirements of the Medical Insurance Management Responsibility Letter")</f>
        <v>Huaihai Medical Management Company was found to be in good condition and met the requirements of the Medical Insurance Management Responsibility Letter</v>
      </c>
      <c r="B254" s="1" t="str">
        <f ca="1">IFERROR(__xludf.DUMMYFUNCTION("GOOGLETRANSLATE(A254, ""zh"", ""en"")"),"Product quality")</f>
        <v>Product quality</v>
      </c>
      <c r="C254" s="1" t="str">
        <f ca="1">IFERROR(__xludf.DUMMYFUNCTION("GOOGLETRANSLATE(E254, ""zh"", ""en"")"),"Qualitative text")</f>
        <v>Qualitative text</v>
      </c>
    </row>
    <row r="255" spans="1:3" ht="13" x14ac:dyDescent="0.15">
      <c r="A255" s="1" t="str">
        <f ca="1">IFERROR(__xludf.DUMMYFUNCTION("GOOGLETRANSLATE(A255, ""zh"", ""en"")"),"This episode focuses on caring for employees, arranging regular physical examinations and providing health advice.")</f>
        <v>This episode focuses on caring for employees, arranging regular physical examinations and providing health advice.</v>
      </c>
      <c r="B255" s="1" t="str">
        <f ca="1">IFERROR(__xludf.DUMMYFUNCTION("GOOGLETRANSLATE(A255, ""zh"", ""en"")"),"staff")</f>
        <v>staff</v>
      </c>
      <c r="C255" s="1" t="str">
        <f ca="1">IFERROR(__xludf.DUMMYFUNCTION("GOOGLETRANSLATE(E255, ""zh"", ""en"")"),"Qualitative text")</f>
        <v>Qualitative text</v>
      </c>
    </row>
    <row r="256" spans="1:3" ht="13" x14ac:dyDescent="0.15">
      <c r="A256" s="1" t="str">
        <f ca="1">IFERROR(__xludf.DUMMYFUNCTION("GOOGLETRANSLATE(A256, ""zh"", ""en"")"),"The Internal Control Management Center is an important supervisory department for anti-corruption efforts at Mount Everest in Tibet.")</f>
        <v>The Internal Control Management Center is an important supervisory department for anti-corruption efforts at Mount Everest in Tibet.</v>
      </c>
      <c r="B256" s="1" t="str">
        <f ca="1">IFERROR(__xludf.DUMMYFUNCTION("GOOGLETRANSLATE(A256, ""zh"", ""en"")"),"Anti-corruption and anti-money laundering")</f>
        <v>Anti-corruption and anti-money laundering</v>
      </c>
      <c r="C256" s="1" t="str">
        <f ca="1">IFERROR(__xludf.DUMMYFUNCTION("GOOGLETRANSLATE(E256, ""zh"", ""en"")"),"Qualitative text")</f>
        <v>Qualitative text</v>
      </c>
    </row>
    <row r="257" spans="1:3" ht="13" x14ac:dyDescent="0.15">
      <c r="A257" s="1" t="str">
        <f ca="1">IFERROR(__xludf.DUMMYFUNCTION("GOOGLETRANSLATE(A257, ""zh"", ""en"")"),"The committee tracks the achievement of the goals and reports regularly to the board of directors.")</f>
        <v>The committee tracks the achievement of the goals and reports regularly to the board of directors.</v>
      </c>
      <c r="B257" s="1" t="str">
        <f ca="1">IFERROR(__xludf.DUMMYFUNCTION("GOOGLETRANSLATE(A257, ""zh"", ""en"")"),"Organizational structure and operations")</f>
        <v>Organizational structure and operations</v>
      </c>
      <c r="C257" s="1" t="str">
        <f ca="1">IFERROR(__xludf.DUMMYFUNCTION("GOOGLETRANSLATE(E257, ""zh"", ""en"")"),"Qualitative text")</f>
        <v>Qualitative text</v>
      </c>
    </row>
    <row r="258" spans="1:3" ht="13" x14ac:dyDescent="0.15">
      <c r="A258" s="1" t="str">
        <f ca="1">IFERROR(__xludf.DUMMYFUNCTION("GOOGLETRANSLATE(A258, ""zh"", ""en"")"),"We strive to improve the energy management level of the energy management system itself")</f>
        <v>We strive to improve the energy management level of the energy management system itself</v>
      </c>
      <c r="B258" s="1" t="str">
        <f ca="1">IFERROR(__xludf.DUMMYFUNCTION("GOOGLETRANSLATE(A258, ""zh"", ""en"")"),"Energy and resource consumption")</f>
        <v>Energy and resource consumption</v>
      </c>
      <c r="C258" s="1" t="str">
        <f ca="1">IFERROR(__xludf.DUMMYFUNCTION("GOOGLETRANSLATE(E258, ""zh"", ""en"")"),"Qualitative text")</f>
        <v>Qualitative text</v>
      </c>
    </row>
    <row r="259" spans="1:3" ht="13" x14ac:dyDescent="0.15">
      <c r="A259" s="1" t="str">
        <f ca="1">IFERROR(__xludf.DUMMYFUNCTION("GOOGLETRANSLATE(A259, ""zh"", ""en"")"),"In July, Hubei Renfu Haikang's smart warehouse robot project was successfully launched")</f>
        <v>In July, Hubei Renfu Haikang's smart warehouse robot project was successfully launched</v>
      </c>
      <c r="B259" s="1" t="str">
        <f ca="1">IFERROR(__xludf.DUMMYFUNCTION("GOOGLETRANSLATE(A259, ""zh"", ""en"")"),"Technological innovation")</f>
        <v>Technological innovation</v>
      </c>
      <c r="C259" s="1" t="str">
        <f ca="1">IFERROR(__xludf.DUMMYFUNCTION("GOOGLETRANSLATE(E259, ""zh"", ""en"")"),"Qualitative text")</f>
        <v>Qualitative text</v>
      </c>
    </row>
    <row r="260" spans="1:3" ht="13" x14ac:dyDescent="0.15">
      <c r="A260" s="1" t="str">
        <f ca="1">IFERROR(__xludf.DUMMYFUNCTION("GOOGLETRANSLATE(A260, ""zh"", ""en"")"),"Unless otherwise specified, all currency amounts in this report are in RMB")</f>
        <v>Unless otherwise specified, all currency amounts in this report are in RMB</v>
      </c>
      <c r="B260" s="1" t="str">
        <f ca="1">IFERROR(__xludf.DUMMYFUNCTION("GOOGLETRANSLATE(A260, ""zh"", ""en"")"),"irrelevant text")</f>
        <v>irrelevant text</v>
      </c>
      <c r="C260" s="1" t="str">
        <f ca="1">IFERROR(__xludf.DUMMYFUNCTION("GOOGLETRANSLATE(E260, ""zh"", ""en"")"),"irrelevant text")</f>
        <v>irrelevant text</v>
      </c>
    </row>
    <row r="261" spans="1:3" ht="13" x14ac:dyDescent="0.15">
      <c r="A261" s="1" t="str">
        <f ca="1">IFERROR(__xludf.DUMMYFUNCTION("GOOGLETRANSLATE(A261, ""zh"", ""en"")"),"Leading the charge in urgent, difficult and dangerous tasks such as disaster relief and donating money and materials")</f>
        <v>Leading the charge in urgent, difficult and dangerous tasks such as disaster relief and donating money and materials</v>
      </c>
      <c r="B261" s="1" t="str">
        <f ca="1">IFERROR(__xludf.DUMMYFUNCTION("GOOGLETRANSLATE(A261, ""zh"", ""en"")"),"Public welfare and volunteer service")</f>
        <v>Public welfare and volunteer service</v>
      </c>
      <c r="C261" s="1" t="str">
        <f ca="1">IFERROR(__xludf.DUMMYFUNCTION("GOOGLETRANSLATE(E261, ""zh"", ""en"")"),"Qualitative text")</f>
        <v>Qualitative text</v>
      </c>
    </row>
    <row r="262" spans="1:3" ht="13" x14ac:dyDescent="0.15">
      <c r="A262" s="1" t="str">
        <f ca="1">IFERROR(__xludf.DUMMYFUNCTION("GOOGLETRANSLATE(A262, ""zh"", ""en"")"),"At the same time, rising temperatures have led to high temperatures that increase the health risks of employees.")</f>
        <v>At the same time, rising temperatures have led to high temperatures that increase the health risks of employees.</v>
      </c>
      <c r="B262" s="1" t="str">
        <f ca="1">IFERROR(__xludf.DUMMYFUNCTION("GOOGLETRANSLATE(A262, ""zh"", ""en"")"),"staff")</f>
        <v>staff</v>
      </c>
      <c r="C262" s="1" t="str">
        <f ca="1">IFERROR(__xludf.DUMMYFUNCTION("GOOGLETRANSLATE(E262, ""zh"", ""en"")"),"Qualitative text")</f>
        <v>Qualitative text</v>
      </c>
    </row>
    <row r="263" spans="1:3" ht="13" x14ac:dyDescent="0.15">
      <c r="A263" s="1" t="str">
        <f ca="1">IFERROR(__xludf.DUMMYFUNCTION("GOOGLETRANSLATE(A263, ""zh"", ""en"")"),"Strictly control the use of underage workers and ensure an inclusive and equal working environment")</f>
        <v>Strictly control the use of underage workers and ensure an inclusive and equal working environment</v>
      </c>
      <c r="B263" s="1" t="str">
        <f ca="1">IFERROR(__xludf.DUMMYFUNCTION("GOOGLETRANSLATE(A263, ""zh"", ""en"")"),"staff")</f>
        <v>staff</v>
      </c>
      <c r="C263" s="1" t="str">
        <f ca="1">IFERROR(__xludf.DUMMYFUNCTION("GOOGLETRANSLATE(E263, ""zh"", ""en"")"),"Qualitative text")</f>
        <v>Qualitative text</v>
      </c>
    </row>
    <row r="264" spans="1:3" ht="13" x14ac:dyDescent="0.15">
      <c r="A264" s="1" t="str">
        <f ca="1">IFERROR(__xludf.DUMMYFUNCTION("GOOGLETRANSLATE(A264, ""zh"", ""en"")"),"Dear readers, thank you very much for taking the time to read this report.")</f>
        <v>Dear readers, thank you very much for taking the time to read this report.</v>
      </c>
      <c r="B264" s="1" t="str">
        <f ca="1">IFERROR(__xludf.DUMMYFUNCTION("GOOGLETRANSLATE(A264, ""zh"", ""en"")"),"irrelevant text")</f>
        <v>irrelevant text</v>
      </c>
      <c r="C264" s="1" t="str">
        <f ca="1">IFERROR(__xludf.DUMMYFUNCTION("GOOGLETRANSLATE(E264, ""zh"", ""en"")"),"irrelevant text")</f>
        <v>irrelevant text</v>
      </c>
    </row>
    <row r="265" spans="1:3" ht="13" x14ac:dyDescent="0.15">
      <c r="A265" s="1" t="str">
        <f ca="1">IFERROR(__xludf.DUMMYFUNCTION("GOOGLETRANSLATE(A265, ""zh"", ""en"")"),"Strengthen publicity in all departments to enhance the environmental awareness of all employees in the company")</f>
        <v>Strengthen publicity in all departments to enhance the environmental awareness of all employees in the company</v>
      </c>
      <c r="B265" s="1" t="str">
        <f ca="1">IFERROR(__xludf.DUMMYFUNCTION("GOOGLETRANSLATE(A265, ""zh"", ""en"")"),"staff")</f>
        <v>staff</v>
      </c>
      <c r="C265" s="1" t="str">
        <f ca="1">IFERROR(__xludf.DUMMYFUNCTION("GOOGLETRANSLATE(E265, ""zh"", ""en"")"),"Qualitative text")</f>
        <v>Qualitative text</v>
      </c>
    </row>
    <row r="266" spans="1:3" ht="13" x14ac:dyDescent="0.15">
      <c r="A266" s="1" t="str">
        <f ca="1">IFERROR(__xludf.DUMMYFUNCTION("GOOGLETRANSLATE(A266, ""zh"", ""en"")"),"Key personnel held collective anti-corruption talks and put forward relevant requirements")</f>
        <v>Key personnel held collective anti-corruption talks and put forward relevant requirements</v>
      </c>
      <c r="B266" s="1" t="str">
        <f ca="1">IFERROR(__xludf.DUMMYFUNCTION("GOOGLETRANSLATE(A266, ""zh"", ""en"")"),"Anti-corruption and anti-money laundering")</f>
        <v>Anti-corruption and anti-money laundering</v>
      </c>
      <c r="C266" s="1" t="str">
        <f ca="1">IFERROR(__xludf.DUMMYFUNCTION("GOOGLETRANSLATE(E266, ""zh"", ""en"")"),"Qualitative text")</f>
        <v>Qualitative text</v>
      </c>
    </row>
    <row r="267" spans="1:3" ht="13" x14ac:dyDescent="0.15">
      <c r="A267" s="1" t="str">
        <f ca="1">IFERROR(__xludf.DUMMYFUNCTION("GOOGLETRANSLATE(A267, ""zh"", ""en"")"),"Promote the construction of ERP shared center and the construction of intelligent human resources system")</f>
        <v>Promote the construction of ERP shared center and the construction of intelligent human resources system</v>
      </c>
      <c r="B267" s="1" t="str">
        <f ca="1">IFERROR(__xludf.DUMMYFUNCTION("GOOGLETRANSLATE(A267, ""zh"", ""en"")"),"staff")</f>
        <v>staff</v>
      </c>
      <c r="C267" s="1" t="str">
        <f ca="1">IFERROR(__xludf.DUMMYFUNCTION("GOOGLETRANSLATE(E267, ""zh"", ""en"")"),"Qualitative text")</f>
        <v>Qualitative text</v>
      </c>
    </row>
    <row r="268" spans="1:3" ht="13" x14ac:dyDescent="0.15">
      <c r="A268" s="1" t="str">
        <f ca="1">IFERROR(__xludf.DUMMYFUNCTION("GOOGLETRANSLATE(A268, ""zh"", ""en"")"),"So far, it has won 11 China Patent Gold Awards, ranking first in the industry")</f>
        <v>So far, it has won 11 China Patent Gold Awards, ranking first in the industry</v>
      </c>
      <c r="B268" s="1" t="str">
        <f ca="1">IFERROR(__xludf.DUMMYFUNCTION("GOOGLETRANSLATE(A268, ""zh"", ""en"")"),"Intellectual Property Protection")</f>
        <v>Intellectual Property Protection</v>
      </c>
      <c r="C268" s="1" t="str">
        <f ca="1">IFERROR(__xludf.DUMMYFUNCTION("GOOGLETRANSLATE(E268, ""zh"", ""en"")"),"Quantitative Text")</f>
        <v>Quantitative Text</v>
      </c>
    </row>
    <row r="269" spans="1:3" ht="13" x14ac:dyDescent="0.15">
      <c r="A269" s="1" t="str">
        <f ca="1">IFERROR(__xludf.DUMMYFUNCTION("GOOGLETRANSLATE(A269, ""zh"", ""en"")"),"Reporting Organization Scope Humanwell Pharmaceutical Group Co., Ltd. and its subsidiaries")</f>
        <v>Reporting Organization Scope Humanwell Pharmaceutical Group Co., Ltd. and its subsidiaries</v>
      </c>
      <c r="B269" s="1" t="str">
        <f ca="1">IFERROR(__xludf.DUMMYFUNCTION("GOOGLETRANSLATE(A269, ""zh"", ""en"")"),"irrelevant text")</f>
        <v>irrelevant text</v>
      </c>
      <c r="C269" s="1" t="str">
        <f ca="1">IFERROR(__xludf.DUMMYFUNCTION("GOOGLETRANSLATE(E269, ""zh"", ""en"")"),"irrelevant text")</f>
        <v>irrelevant text</v>
      </c>
    </row>
    <row r="270" spans="1:3" ht="13" x14ac:dyDescent="0.15">
      <c r="A270" s="1" t="str">
        <f ca="1">IFERROR(__xludf.DUMMYFUNCTION("GOOGLETRANSLATE(A270, ""zh"", ""en"")"),"In 2022, the company received an A-level excellent evaluation for information disclosure from the Shanghai Stock Exchange")</f>
        <v>In 2022, the company received an A-level excellent evaluation for information disclosure from the Shanghai Stock Exchange</v>
      </c>
      <c r="B270" s="1" t="str">
        <f ca="1">IFERROR(__xludf.DUMMYFUNCTION("GOOGLETRANSLATE(A270, ""zh"", ""en"")"),"Information Disclosure and Investor Communication")</f>
        <v>Information Disclosure and Investor Communication</v>
      </c>
      <c r="C270" s="1" t="str">
        <f ca="1">IFERROR(__xludf.DUMMYFUNCTION("GOOGLETRANSLATE(E270, ""zh"", ""en"")"),"Quantitative Text")</f>
        <v>Quantitative Text</v>
      </c>
    </row>
    <row r="271" spans="1:3" ht="13" x14ac:dyDescent="0.15">
      <c r="A271" s="1" t="str">
        <f ca="1">IFERROR(__xludf.DUMMYFUNCTION("GOOGLETRANSLATE(A271, ""zh"", ""en"")"),"The approval of clobazam tablets provides better treatment opportunities for children in China.")</f>
        <v>The approval of clobazam tablets provides better treatment opportunities for children in China.</v>
      </c>
      <c r="B271" s="1" t="str">
        <f ca="1">IFERROR(__xludf.DUMMYFUNCTION("GOOGLETRANSLATE(A271, ""zh"", ""en"")"),"Product quality")</f>
        <v>Product quality</v>
      </c>
      <c r="C271" s="1" t="str">
        <f ca="1">IFERROR(__xludf.DUMMYFUNCTION("GOOGLETRANSLATE(E271, ""zh"", ""en"")"),"Qualitative text")</f>
        <v>Qualitative text</v>
      </c>
    </row>
    <row r="272" spans="1:3" ht="13" x14ac:dyDescent="0.15">
      <c r="A272" s="1" t="str">
        <f ca="1">IFERROR(__xludf.DUMMYFUNCTION("GOOGLETRANSLATE(A272, ""zh"", ""en"")"),"In 2022, we introduced a total of 165 qualified new suppliers")</f>
        <v>In 2022, we introduced a total of 165 qualified new suppliers</v>
      </c>
      <c r="B272" s="1" t="str">
        <f ca="1">IFERROR(__xludf.DUMMYFUNCTION("GOOGLETRANSLATE(A272, ""zh"", ""en"")"),"supply chain management")</f>
        <v>supply chain management</v>
      </c>
      <c r="C272" s="1" t="str">
        <f ca="1">IFERROR(__xludf.DUMMYFUNCTION("GOOGLETRANSLATE(E272, ""zh"", ""en"")"),"Quantitative Text")</f>
        <v>Quantitative Text</v>
      </c>
    </row>
    <row r="273" spans="1:3" ht="13" x14ac:dyDescent="0.15">
      <c r="A273" s="1" t="str">
        <f ca="1">IFERROR(__xludf.DUMMYFUNCTION("GOOGLETRANSLATE(A273, ""zh"", ""en"")"),"Finance is a good cause that serves the society. We always believe in it and practice it diligently.")</f>
        <v>Finance is a good cause that serves the society. We always believe in it and practice it diligently.</v>
      </c>
      <c r="B273" s="1" t="str">
        <f ca="1">IFERROR(__xludf.DUMMYFUNCTION("GOOGLETRANSLATE(A273, ""zh"", ""en"")"),"irrelevant text")</f>
        <v>irrelevant text</v>
      </c>
      <c r="C273" s="1" t="str">
        <f ca="1">IFERROR(__xludf.DUMMYFUNCTION("GOOGLETRANSLATE(E273, ""zh"", ""en"")"),"irrelevant text")</f>
        <v>irrelevant text</v>
      </c>
    </row>
    <row r="274" spans="1:3" ht="13" x14ac:dyDescent="0.15">
      <c r="A274" s="1" t="str">
        <f ca="1">IFERROR(__xludf.DUMMYFUNCTION("GOOGLETRANSLATE(A274, ""zh"", ""en"")"),"Health Company Cloud Commerce Company was rated as a benchmark A-level enterprise by the Provincial State-owned Assets Supervision and Administration Commission")</f>
        <v>Health Company Cloud Commerce Company was rated as a benchmark A-level enterprise by the Provincial State-owned Assets Supervision and Administration Commission</v>
      </c>
      <c r="B274" s="1" t="str">
        <f ca="1">IFERROR(__xludf.DUMMYFUNCTION("GOOGLETRANSLATE(A274, ""zh"", ""en"")"),"Sustainable certification")</f>
        <v>Sustainable certification</v>
      </c>
      <c r="C274" s="1" t="str">
        <f ca="1">IFERROR(__xludf.DUMMYFUNCTION("GOOGLETRANSLATE(E274, ""zh"", ""en"")"),"Quantitative Text")</f>
        <v>Quantitative Text</v>
      </c>
    </row>
    <row r="275" spans="1:3" ht="13" x14ac:dyDescent="0.15">
      <c r="A275" s="1" t="str">
        <f ca="1">IFERROR(__xludf.DUMMYFUNCTION("GOOGLETRANSLATE(A275, ""zh"", ""en"")"),"The industry classification rating was upgraded to A in 2022, marking a seven-level increase in three years.")</f>
        <v>The industry classification rating was upgraded to A in 2022, marking a seven-level increase in three years.</v>
      </c>
      <c r="B275" s="1" t="str">
        <f ca="1">IFERROR(__xludf.DUMMYFUNCTION("GOOGLETRANSLATE(A275, ""zh"", ""en"")"),"Sustainable certification")</f>
        <v>Sustainable certification</v>
      </c>
      <c r="C275" s="1" t="str">
        <f ca="1">IFERROR(__xludf.DUMMYFUNCTION("GOOGLETRANSLATE(E275, ""zh"", ""en"")"),"Quantitative Text")</f>
        <v>Quantitative Text</v>
      </c>
    </row>
    <row r="276" spans="1:3" ht="13" x14ac:dyDescent="0.15">
      <c r="A276" s="1" t="str">
        <f ca="1">IFERROR(__xludf.DUMMYFUNCTION("GOOGLETRANSLATE(A276, ""zh"", ""en"")"),"Risk management R includes environmental risk management E and social risk management S")</f>
        <v>Risk management R includes environmental risk management E and social risk management S</v>
      </c>
      <c r="B276" s="1" t="str">
        <f ca="1">IFERROR(__xludf.DUMMYFUNCTION("GOOGLETRANSLATE(A276, ""zh"", ""en"")"),"irrelevant text")</f>
        <v>irrelevant text</v>
      </c>
      <c r="C276" s="1" t="str">
        <f ca="1">IFERROR(__xludf.DUMMYFUNCTION("GOOGLETRANSLATE(E276, ""zh"", ""en"")"),"irrelevant text")</f>
        <v>irrelevant text</v>
      </c>
    </row>
    <row r="277" spans="1:3" ht="13" x14ac:dyDescent="0.15">
      <c r="A277" s="1" t="str">
        <f ca="1">IFERROR(__xludf.DUMMYFUNCTION("GOOGLETRANSLATE(A277, ""zh"", ""en"")"),"24-hour global R&amp;D, Fosun Pharma Group is full of vitality in R&amp;D innovation")</f>
        <v>24-hour global R&amp;D, Fosun Pharma Group is full of vitality in R&amp;D innovation</v>
      </c>
      <c r="B277" s="1" t="str">
        <f ca="1">IFERROR(__xludf.DUMMYFUNCTION("GOOGLETRANSLATE(A277, ""zh"", ""en"")"),"Technological innovation")</f>
        <v>Technological innovation</v>
      </c>
      <c r="C277" s="1" t="str">
        <f ca="1">IFERROR(__xludf.DUMMYFUNCTION("GOOGLETRANSLATE(E277, ""zh"", ""en"")"),"Qualitative text")</f>
        <v>Qualitative text</v>
      </c>
    </row>
    <row r="278" spans="1:3" ht="13" x14ac:dyDescent="0.15">
      <c r="A278" s="1" t="str">
        <f ca="1">IFERROR(__xludf.DUMMYFUNCTION("GOOGLETRANSLATE(A278, ""zh"", ""en"")"),"The project was reported in mainstream media such as Zhejiang Daily and Xuexi Qiangguo")</f>
        <v>The project was reported in mainstream media such as Zhejiang Daily and Xuexi Qiangguo</v>
      </c>
      <c r="B278" s="1" t="str">
        <f ca="1">IFERROR(__xludf.DUMMYFUNCTION("GOOGLETRANSLATE(A278, ""zh"", ""en"")"),"irrelevant text")</f>
        <v>irrelevant text</v>
      </c>
      <c r="C278" s="1" t="str">
        <f ca="1">IFERROR(__xludf.DUMMYFUNCTION("GOOGLETRANSLATE(E278, ""zh"", ""en"")"),"irrelevant text")</f>
        <v>irrelevant text</v>
      </c>
    </row>
    <row r="279" spans="1:3" ht="13" x14ac:dyDescent="0.15">
      <c r="A279" s="1" t="str">
        <f ca="1">IFERROR(__xludf.DUMMYFUNCTION("GOOGLETRANSLATE(A279, ""zh"", ""en"")"),"Social welfare responsibility Public welfare undertakings Fulfill social responsibilities and shoulder the responsibilities of state-owned enterprises")</f>
        <v>Social welfare responsibility Public welfare undertakings Fulfill social responsibilities and shoulder the responsibilities of state-owned enterprises</v>
      </c>
      <c r="B279" s="1" t="str">
        <f ca="1">IFERROR(__xludf.DUMMYFUNCTION("GOOGLETRANSLATE(A279, ""zh"", ""en"")"),"Public welfare and volunteer service")</f>
        <v>Public welfare and volunteer service</v>
      </c>
      <c r="C279" s="1" t="str">
        <f ca="1">IFERROR(__xludf.DUMMYFUNCTION("GOOGLETRANSLATE(E279, ""zh"", ""en"")"),"Qualitative text")</f>
        <v>Qualitative text</v>
      </c>
    </row>
    <row r="280" spans="1:3" ht="13" x14ac:dyDescent="0.15">
      <c r="A280" s="1" t="str">
        <f ca="1">IFERROR(__xludf.DUMMYFUNCTION("GOOGLETRANSLATE(A280, ""zh"", ""en"")"),"Strengthening the investigation and handling of cases in procurement is the key task of the Anti-Corruption Supervision Department")</f>
        <v>Strengthening the investigation and handling of cases in procurement is the key task of the Anti-Corruption Supervision Department</v>
      </c>
      <c r="B280" s="1" t="str">
        <f ca="1">IFERROR(__xludf.DUMMYFUNCTION("GOOGLETRANSLATE(A280, ""zh"", ""en"")"),"Anti-corruption and anti-money laundering")</f>
        <v>Anti-corruption and anti-money laundering</v>
      </c>
      <c r="C280" s="1" t="str">
        <f ca="1">IFERROR(__xludf.DUMMYFUNCTION("GOOGLETRANSLATE(E280, ""zh"", ""en"")"),"Qualitative text")</f>
        <v>Qualitative text</v>
      </c>
    </row>
    <row r="281" spans="1:3" ht="13" x14ac:dyDescent="0.15">
      <c r="A281" s="1" t="str">
        <f ca="1">IFERROR(__xludf.DUMMYFUNCTION("GOOGLETRANSLATE(A281, ""zh"", ""en"")"),"Actively participate in the 2022 Internet Protection Operation organized by the Hangzhou Internet Police")</f>
        <v>Actively participate in the 2022 Internet Protection Operation organized by the Hangzhou Internet Police</v>
      </c>
      <c r="B281" s="1" t="str">
        <f ca="1">IFERROR(__xludf.DUMMYFUNCTION("GOOGLETRANSLATE(A281, ""zh"", ""en"")"),"Data security")</f>
        <v>Data security</v>
      </c>
      <c r="C281" s="1" t="str">
        <f ca="1">IFERROR(__xludf.DUMMYFUNCTION("GOOGLETRANSLATE(E281, ""zh"", ""en"")"),"Qualitative text")</f>
        <v>Qualitative text</v>
      </c>
    </row>
    <row r="282" spans="1:3" ht="13" x14ac:dyDescent="0.15">
      <c r="A282" s="1" t="str">
        <f ca="1">IFERROR(__xludf.DUMMYFUNCTION("GOOGLETRANSLATE(A282, ""zh"", ""en"")"),"Provide appropriate support to outstanding talents in terms of promotion, incentives, training, etc.")</f>
        <v>Provide appropriate support to outstanding talents in terms of promotion, incentives, training, etc.</v>
      </c>
      <c r="B282" s="1" t="str">
        <f ca="1">IFERROR(__xludf.DUMMYFUNCTION("GOOGLETRANSLATE(A282, ""zh"", ""en"")"),"staff")</f>
        <v>staff</v>
      </c>
      <c r="C282" s="1" t="str">
        <f ca="1">IFERROR(__xludf.DUMMYFUNCTION("GOOGLETRANSLATE(E282, ""zh"", ""en"")"),"Qualitative text")</f>
        <v>Qualitative text</v>
      </c>
    </row>
    <row r="283" spans="1:3" ht="13" x14ac:dyDescent="0.15">
      <c r="A283" s="1" t="str">
        <f ca="1">IFERROR(__xludf.DUMMYFUNCTION("GOOGLETRANSLATE(A283, ""zh"", ""en"")"),"The Jiankangyuan Supervisory Board consists of 3 supervisors, including 1 employee representative.")</f>
        <v>The Jiankangyuan Supervisory Board consists of 3 supervisors, including 1 employee representative.</v>
      </c>
      <c r="B283" s="1" t="str">
        <f ca="1">IFERROR(__xludf.DUMMYFUNCTION("GOOGLETRANSLATE(A283, ""zh"", ""en"")"),"Organizational structure and operations")</f>
        <v>Organizational structure and operations</v>
      </c>
      <c r="C283" s="1" t="str">
        <f ca="1">IFERROR(__xludf.DUMMYFUNCTION("GOOGLETRANSLATE(E283, ""zh"", ""en"")"),"Quantitative Text")</f>
        <v>Quantitative Text</v>
      </c>
    </row>
    <row r="284" spans="1:3" ht="13" x14ac:dyDescent="0.15">
      <c r="A284" s="1" t="str">
        <f ca="1">IFERROR(__xludf.DUMMYFUNCTION("GOOGLETRANSLATE(A284, ""zh"", ""en"")"),"At the same time, the Group actively undertakes social responsibilities and continues to create value for society.")</f>
        <v>At the same time, the Group actively undertakes social responsibilities and continues to create value for society.</v>
      </c>
      <c r="B284" s="1" t="str">
        <f ca="1">IFERROR(__xludf.DUMMYFUNCTION("GOOGLETRANSLATE(A284, ""zh"", ""en"")"),"irrelevant text")</f>
        <v>irrelevant text</v>
      </c>
      <c r="C284" s="1" t="str">
        <f ca="1">IFERROR(__xludf.DUMMYFUNCTION("GOOGLETRANSLATE(E284, ""zh"", ""en"")"),"irrelevant text")</f>
        <v>irrelevant text</v>
      </c>
    </row>
    <row r="285" spans="1:3" ht="13" x14ac:dyDescent="0.15">
      <c r="A285" s="1" t="str">
        <f ca="1">IFERROR(__xludf.DUMMYFUNCTION("GOOGLETRANSLATE(A285, ""zh"", ""en"")"),"P15B6.4 Describe the quality inspection process and product recall procedures")</f>
        <v>P15B6.4 Describe the quality inspection process and product recall procedures</v>
      </c>
      <c r="B285" s="1" t="str">
        <f ca="1">IFERROR(__xludf.DUMMYFUNCTION("GOOGLETRANSLATE(A285, ""zh"", ""en"")"),"Product quality")</f>
        <v>Product quality</v>
      </c>
      <c r="C285" s="1" t="str">
        <f ca="1">IFERROR(__xludf.DUMMYFUNCTION("GOOGLETRANSLATE(E285, ""zh"", ""en"")"),"Qualitative text")</f>
        <v>Qualitative text</v>
      </c>
    </row>
    <row r="286" spans="1:3" ht="13" x14ac:dyDescent="0.15">
      <c r="A286" s="1" t="str">
        <f ca="1">IFERROR(__xludf.DUMMYFUNCTION("GOOGLETRANSLATE(A286, ""zh"", ""en"")"),"P28 Key Performance B5.1 Number of suppliers by region")</f>
        <v>P28 Key Performance B5.1 Number of suppliers by region</v>
      </c>
      <c r="B286" s="1" t="str">
        <f ca="1">IFERROR(__xludf.DUMMYFUNCTION("GOOGLETRANSLATE(A286, ""zh"", ""en"")"),"supply chain management")</f>
        <v>supply chain management</v>
      </c>
      <c r="C286" s="1" t="str">
        <f ca="1">IFERROR(__xludf.DUMMYFUNCTION("GOOGLETRANSLATE(E286, ""zh"", ""en"")"),"Qualitative text")</f>
        <v>Qualitative text</v>
      </c>
    </row>
    <row r="287" spans="1:3" ht="13" x14ac:dyDescent="0.15">
      <c r="A287" s="1" t="str">
        <f ca="1">IFERROR(__xludf.DUMMYFUNCTION("GOOGLETRANSLATE(A287, ""zh"", ""en"")"),"All hazardous waste generated by the company in 2022 has been handled in compliance with regulations")</f>
        <v>All hazardous waste generated by the company in 2022 has been handled in compliance with regulations</v>
      </c>
      <c r="B287" s="1" t="str">
        <f ca="1">IFERROR(__xludf.DUMMYFUNCTION("GOOGLETRANSLATE(A287, ""zh"", ""en"")"),"Waste Management")</f>
        <v>Waste Management</v>
      </c>
      <c r="C287" s="1" t="str">
        <f ca="1">IFERROR(__xludf.DUMMYFUNCTION("GOOGLETRANSLATE(E287, ""zh"", ""en"")"),"Qualitative text")</f>
        <v>Qualitative text</v>
      </c>
    </row>
    <row r="288" spans="1:3" ht="13" x14ac:dyDescent="0.15">
      <c r="A288" s="1" t="str">
        <f ca="1">IFERROR(__xludf.DUMMYFUNCTION("GOOGLETRANSLATE(A288, ""zh"", ""en"")"),"The company actively promotes honest employment and cultivates a culture of honest employment")</f>
        <v>The company actively promotes honest employment and cultivates a culture of honest employment</v>
      </c>
      <c r="B288" s="1" t="str">
        <f ca="1">IFERROR(__xludf.DUMMYFUNCTION("GOOGLETRANSLATE(A288, ""zh"", ""en"")"),"Anti-corruption and anti-money laundering")</f>
        <v>Anti-corruption and anti-money laundering</v>
      </c>
      <c r="C288" s="1" t="str">
        <f ca="1">IFERROR(__xludf.DUMMYFUNCTION("GOOGLETRANSLATE(E288, ""zh"", ""en"")"),"Qualitative text")</f>
        <v>Qualitative text</v>
      </c>
    </row>
    <row r="289" spans="1:3" ht="13" x14ac:dyDescent="0.15">
      <c r="A289" s="1" t="str">
        <f ca="1">IFERROR(__xludf.DUMMYFUNCTION("GOOGLETRANSLATE(A289, ""zh"", ""en"")"),"In 2022, the company's water consumption per square meter decreased by 4% compared with the same period last year.")</f>
        <v>In 2022, the company's water consumption per square meter decreased by 4% compared with the same period last year.</v>
      </c>
      <c r="B289" s="1" t="str">
        <f ca="1">IFERROR(__xludf.DUMMYFUNCTION("GOOGLETRANSLATE(A289, ""zh"", ""en"")"),"Water resources")</f>
        <v>Water resources</v>
      </c>
      <c r="C289" s="1" t="str">
        <f ca="1">IFERROR(__xludf.DUMMYFUNCTION("GOOGLETRANSLATE(E289, ""zh"", ""en"")"),"Quantitative Text")</f>
        <v>Quantitative Text</v>
      </c>
    </row>
    <row r="290" spans="1:3" ht="13" x14ac:dyDescent="0.15">
      <c r="A290" s="1" t="str">
        <f ca="1">IFERROR(__xludf.DUMMYFUNCTION("GOOGLETRANSLATE(A290, ""zh"", ""en"")"),"Strengthen water management and monitoring and manage water use and recycle water resources")</f>
        <v>Strengthen water management and monitoring and manage water use and recycle water resources</v>
      </c>
      <c r="B290" s="1" t="str">
        <f ca="1">IFERROR(__xludf.DUMMYFUNCTION("GOOGLETRANSLATE(A290, ""zh"", ""en"")"),"Water resources")</f>
        <v>Water resources</v>
      </c>
      <c r="C290" s="1" t="str">
        <f ca="1">IFERROR(__xludf.DUMMYFUNCTION("GOOGLETRANSLATE(E290, ""zh"", ""en"")"),"Qualitative text")</f>
        <v>Qualitative text</v>
      </c>
    </row>
    <row r="291" spans="1:3" ht="13" x14ac:dyDescent="0.15">
      <c r="A291" s="1" t="str">
        <f ca="1">IFERROR(__xludf.DUMMYFUNCTION("GOOGLETRANSLATE(A291, ""zh"", ""en"")"),"106 KPI B2.2 Number of working days lost due to work-related injuries")</f>
        <v>106 KPI B2.2 Number of working days lost due to work-related injuries</v>
      </c>
      <c r="B291" s="1" t="str">
        <f ca="1">IFERROR(__xludf.DUMMYFUNCTION("GOOGLETRANSLATE(A291, ""zh"", ""en"")"),"staff")</f>
        <v>staff</v>
      </c>
      <c r="C291" s="1" t="str">
        <f ca="1">IFERROR(__xludf.DUMMYFUNCTION("GOOGLETRANSLATE(E291, ""zh"", ""en"")"),"Quantitative Text")</f>
        <v>Quantitative Text</v>
      </c>
    </row>
    <row r="292" spans="1:3" ht="13" x14ac:dyDescent="0.15">
      <c r="A292" s="1" t="str">
        <f ca="1">IFERROR(__xludf.DUMMYFUNCTION("GOOGLETRANSLATE(A292, ""zh"", ""en"")"),"The third-party assessment of the HSE management system is at an advanced level in the industry")</f>
        <v>The third-party assessment of the HSE management system is at an advanced level in the industry</v>
      </c>
      <c r="B292" s="1" t="str">
        <f ca="1">IFERROR(__xludf.DUMMYFUNCTION("GOOGLETRANSLATE(A292, ""zh"", ""en"")"),"Environmental Policy")</f>
        <v>Environmental Policy</v>
      </c>
      <c r="C292" s="1" t="str">
        <f ca="1">IFERROR(__xludf.DUMMYFUNCTION("GOOGLETRANSLATE(E292, ""zh"", ""en"")"),"Qualitative text")</f>
        <v>Qualitative text</v>
      </c>
    </row>
    <row r="293" spans="1:3" ht="13" x14ac:dyDescent="0.15">
      <c r="A293" s="1" t="str">
        <f ca="1">IFERROR(__xludf.DUMMYFUNCTION("GOOGLETRANSLATE(A293, ""zh"", ""en"")"),"If the project does not obtain the required permission to cross the project, it shall not be started.")</f>
        <v>If the project does not obtain the required permission to cross the project, it shall not be started.</v>
      </c>
      <c r="B293" s="1" t="str">
        <f ca="1">IFERROR(__xludf.DUMMYFUNCTION("GOOGLETRANSLATE(A293, ""zh"", ""en"")"),"irrelevant text")</f>
        <v>irrelevant text</v>
      </c>
      <c r="C293" s="1" t="str">
        <f ca="1">IFERROR(__xludf.DUMMYFUNCTION("GOOGLETRANSLATE(E293, ""zh"", ""en"")"),"irrelevant text")</f>
        <v>irrelevant text</v>
      </c>
    </row>
    <row r="294" spans="1:3" ht="13" x14ac:dyDescent="0.15">
      <c r="A294" s="1" t="str">
        <f ca="1">IFERROR(__xludf.DUMMYFUNCTION("GOOGLETRANSLATE(A294, ""zh"", ""en"")"),"The smart helmet project has completed on-site construction and is in the trial operation stage.")</f>
        <v>The smart helmet project has completed on-site construction and is in the trial operation stage.</v>
      </c>
      <c r="B294" s="1" t="str">
        <f ca="1">IFERROR(__xludf.DUMMYFUNCTION("GOOGLETRANSLATE(A294, ""zh"", ""en"")"),"Technological innovation")</f>
        <v>Technological innovation</v>
      </c>
      <c r="C294" s="1" t="str">
        <f ca="1">IFERROR(__xludf.DUMMYFUNCTION("GOOGLETRANSLATE(E294, ""zh"", ""en"")"),"Qualitative text")</f>
        <v>Qualitative text</v>
      </c>
    </row>
    <row r="295" spans="1:3" ht="13" x14ac:dyDescent="0.15">
      <c r="A295" s="1" t="str">
        <f ca="1">IFERROR(__xludf.DUMMYFUNCTION("GOOGLETRANSLATE(A295, ""zh"", ""en"")"),"We prohibit any form of employment of minors under the age of 16")</f>
        <v>We prohibit any form of employment of minors under the age of 16</v>
      </c>
      <c r="B295" s="1" t="str">
        <f ca="1">IFERROR(__xludf.DUMMYFUNCTION("GOOGLETRANSLATE(A295, ""zh"", ""en"")"),"staff")</f>
        <v>staff</v>
      </c>
      <c r="C295" s="1" t="str">
        <f ca="1">IFERROR(__xludf.DUMMYFUNCTION("GOOGLETRANSLATE(E295, ""zh"", ""en"")"),"Qualitative text")</f>
        <v>Qualitative text</v>
      </c>
    </row>
    <row r="296" spans="1:3" ht="13" x14ac:dyDescent="0.15">
      <c r="A296" s="1" t="str">
        <f ca="1">IFERROR(__xludf.DUMMYFUNCTION("GOOGLETRANSLATE(A296, ""zh"", ""en"")"),"4This report responds to and discloses issues of concern to stakeholders")</f>
        <v>4This report responds to and discloses issues of concern to stakeholders</v>
      </c>
      <c r="B296" s="1" t="str">
        <f ca="1">IFERROR(__xludf.DUMMYFUNCTION("GOOGLETRANSLATE(A296, ""zh"", ""en"")"),"irrelevant text")</f>
        <v>irrelevant text</v>
      </c>
      <c r="C296" s="1" t="str">
        <f ca="1">IFERROR(__xludf.DUMMYFUNCTION("GOOGLETRANSLATE(E296, ""zh"", ""en"")"),"irrelevant text")</f>
        <v>irrelevant text</v>
      </c>
    </row>
    <row r="297" spans="1:3" ht="13" x14ac:dyDescent="0.15">
      <c r="A297" s="1" t="str">
        <f ca="1">IFERROR(__xludf.DUMMYFUNCTION("GOOGLETRANSLATE(A297, ""zh"", ""en"")"),"The company improves online and offline business processing procedures to enhance customer service quality")</f>
        <v>The company improves online and offline business processing procedures to enhance customer service quality</v>
      </c>
      <c r="B297" s="1" t="str">
        <f ca="1">IFERROR(__xludf.DUMMYFUNCTION("GOOGLETRANSLATE(A297, ""zh"", ""en"")"),"Customers and Consumers")</f>
        <v>Customers and Consumers</v>
      </c>
      <c r="C297" s="1" t="str">
        <f ca="1">IFERROR(__xludf.DUMMYFUNCTION("GOOGLETRANSLATE(E297, ""zh"", ""en"")"),"Qualitative text")</f>
        <v>Qualitative text</v>
      </c>
    </row>
    <row r="298" spans="1:3" ht="13" x14ac:dyDescent="0.15">
      <c r="A298" s="1" t="str">
        <f ca="1">IFERROR(__xludf.DUMMYFUNCTION("GOOGLETRANSLATE(A298, ""zh"", ""en"")"),"The company regards the implementation of the decisions and arrangements of the Party Central Committee as an important political responsibility")</f>
        <v>The company regards the implementation of the decisions and arrangements of the Party Central Committee as an important political responsibility</v>
      </c>
      <c r="B298" s="1" t="str">
        <f ca="1">IFERROR(__xludf.DUMMYFUNCTION("GOOGLETRANSLATE(A298, ""zh"", ""en"")"),"irrelevant text")</f>
        <v>irrelevant text</v>
      </c>
      <c r="C298" s="1" t="str">
        <f ca="1">IFERROR(__xludf.DUMMYFUNCTION("GOOGLETRANSLATE(E298, ""zh"", ""en"")"),"irrelevant text")</f>
        <v>irrelevant text</v>
      </c>
    </row>
    <row r="299" spans="1:3" ht="13" x14ac:dyDescent="0.15">
      <c r="A299" s="1" t="str">
        <f ca="1">IFERROR(__xludf.DUMMYFUNCTION("GOOGLETRANSLATE(A299, ""zh"", ""en"")"),"For more details, please see the special topic: China National Petroleum Corporation's five major actions to support rural revitalization.")</f>
        <v>For more details, please see the special topic: China National Petroleum Corporation's five major actions to support rural revitalization.</v>
      </c>
      <c r="B299" s="1" t="str">
        <f ca="1">IFERROR(__xludf.DUMMYFUNCTION("GOOGLETRANSLATE(A299, ""zh"", ""en"")"),"Rural assistance")</f>
        <v>Rural assistance</v>
      </c>
      <c r="C299" s="1" t="str">
        <f ca="1">IFERROR(__xludf.DUMMYFUNCTION("GOOGLETRANSLATE(E299, ""zh"", ""en"")"),"Qualitative text")</f>
        <v>Qualitative text</v>
      </c>
    </row>
    <row r="300" spans="1:3" ht="13" x14ac:dyDescent="0.15">
      <c r="A300" s="1" t="str">
        <f ca="1">IFERROR(__xludf.DUMMYFUNCTION("GOOGLETRANSLATE(A300, ""zh"", ""en"")"),"Research and expand emerging industries to create core competitiveness that adapts to the development of the times")</f>
        <v>Research and expand emerging industries to create core competitiveness that adapts to the development of the times</v>
      </c>
      <c r="B300" s="1" t="str">
        <f ca="1">IFERROR(__xludf.DUMMYFUNCTION("GOOGLETRANSLATE(A300, ""zh"", ""en"")"),"Technological innovation")</f>
        <v>Technological innovation</v>
      </c>
      <c r="C300" s="1" t="str">
        <f ca="1">IFERROR(__xludf.DUMMYFUNCTION("GOOGLETRANSLATE(E300, ""zh"", ""en"")"),"Qualitative text")</f>
        <v>Qualitative text</v>
      </c>
    </row>
    <row r="301" spans="1:3" ht="13" x14ac:dyDescent="0.15">
      <c r="A301" s="1" t="str">
        <f ca="1">IFERROR(__xludf.DUMMYFUNCTION("GOOGLETRANSLATE(A301, ""zh"", ""en"")"),"Welfare System Dima shares strive to provide employees with a variety of welfare systems")</f>
        <v>Welfare System Dima shares strive to provide employees with a variety of welfare systems</v>
      </c>
      <c r="B301" s="1" t="str">
        <f ca="1">IFERROR(__xludf.DUMMYFUNCTION("GOOGLETRANSLATE(A301, ""zh"", ""en"")"),"staff")</f>
        <v>staff</v>
      </c>
      <c r="C301" s="1" t="str">
        <f ca="1">IFERROR(__xludf.DUMMYFUNCTION("GOOGLETRANSLATE(E301, ""zh"", ""en"")"),"Qualitative text")</f>
        <v>Qualitative text</v>
      </c>
    </row>
    <row r="302" spans="1:3" ht="13" x14ac:dyDescent="0.15">
      <c r="A302" s="1" t="str">
        <f ca="1">IFERROR(__xludf.DUMMYFUNCTION("GOOGLETRANSLATE(A302, ""zh"", ""en"")"),"To date, the company has not received any complaints of abuse of force or human rights violations.")</f>
        <v>To date, the company has not received any complaints of abuse of force or human rights violations.</v>
      </c>
      <c r="B302" s="1" t="str">
        <f ca="1">IFERROR(__xludf.DUMMYFUNCTION("GOOGLETRANSLATE(A302, ""zh"", ""en"")"),"Reporting System")</f>
        <v>Reporting System</v>
      </c>
      <c r="C302" s="1" t="str">
        <f ca="1">IFERROR(__xludf.DUMMYFUNCTION("GOOGLETRANSLATE(E302, ""zh"", ""en"")"),"Quantitative Text")</f>
        <v>Quantitative Text</v>
      </c>
    </row>
    <row r="303" spans="1:3" ht="13" x14ac:dyDescent="0.15">
      <c r="A303" s="1" t="str">
        <f ca="1">IFERROR(__xludf.DUMMYFUNCTION("GOOGLETRANSLATE(A303, ""zh"", ""en"")"),"The company adheres to a stable and reasonable dividend policy to bring good returns to shareholders")</f>
        <v>The company adheres to a stable and reasonable dividend policy to bring good returns to shareholders</v>
      </c>
      <c r="B303" s="1" t="str">
        <f ca="1">IFERROR(__xludf.DUMMYFUNCTION("GOOGLETRANSLATE(A303, ""zh"", ""en"")"),"Shareholder and creditor rights")</f>
        <v>Shareholder and creditor rights</v>
      </c>
      <c r="C303" s="1" t="str">
        <f ca="1">IFERROR(__xludf.DUMMYFUNCTION("GOOGLETRANSLATE(E303, ""zh"", ""en"")"),"Qualitative text")</f>
        <v>Qualitative text</v>
      </c>
    </row>
    <row r="304" spans="1:3" ht="13" x14ac:dyDescent="0.15">
      <c r="A304" s="1" t="str">
        <f ca="1">IFERROR(__xludf.DUMMYFUNCTION("GOOGLETRANSLATE(A304, ""zh"", ""en"")"),"For details of related-party transactions in 2022, please refer to the 2022 Company Annual Report.")</f>
        <v>For details of related-party transactions in 2022, please refer to the 2022 Company Annual Report.</v>
      </c>
      <c r="B304" s="1" t="str">
        <f ca="1">IFERROR(__xludf.DUMMYFUNCTION("GOOGLETRANSLATE(A304, ""zh"", ""en"")"),"irrelevant text")</f>
        <v>irrelevant text</v>
      </c>
      <c r="C304" s="1" t="str">
        <f ca="1">IFERROR(__xludf.DUMMYFUNCTION("GOOGLETRANSLATE(E304, ""zh"", ""en"")"),"irrelevant text")</f>
        <v>irrelevant text</v>
      </c>
    </row>
    <row r="305" spans="1:3" ht="13" x14ac:dyDescent="0.15">
      <c r="A305" s="1" t="str">
        <f ca="1">IFERROR(__xludf.DUMMYFUNCTION("GOOGLETRANSLATE(A305, ""zh"", ""en"")"),"Thank you for your efforts in poverty alleviation. This certificate is issued to commemorate your efforts.")</f>
        <v>Thank you for your efforts in poverty alleviation. This certificate is issued to commemorate your efforts.</v>
      </c>
      <c r="B305" s="1" t="str">
        <f ca="1">IFERROR(__xludf.DUMMYFUNCTION("GOOGLETRANSLATE(A305, ""zh"", ""en"")"),"Rural assistance")</f>
        <v>Rural assistance</v>
      </c>
      <c r="C305" s="1" t="str">
        <f ca="1">IFERROR(__xludf.DUMMYFUNCTION("GOOGLETRANSLATE(E305, ""zh"", ""en"")"),"Qualitative text")</f>
        <v>Qualitative text</v>
      </c>
    </row>
    <row r="306" spans="1:3" ht="13" x14ac:dyDescent="0.15">
      <c r="A306" s="1" t="str">
        <f ca="1">IFERROR(__xludf.DUMMYFUNCTION("GOOGLETRANSLATE(A306, ""zh"", ""en"")"),"To enhance the completeness of the report, some contents are appropriately traced back and extended backward")</f>
        <v>To enhance the completeness of the report, some contents are appropriately traced back and extended backward</v>
      </c>
      <c r="B306" s="1" t="str">
        <f ca="1">IFERROR(__xludf.DUMMYFUNCTION("GOOGLETRANSLATE(A306, ""zh"", ""en"")"),"irrelevant text")</f>
        <v>irrelevant text</v>
      </c>
      <c r="C306" s="1" t="str">
        <f ca="1">IFERROR(__xludf.DUMMYFUNCTION("GOOGLETRANSLATE(E306, ""zh"", ""en"")"),"irrelevant text")</f>
        <v>irrelevant text</v>
      </c>
    </row>
    <row r="307" spans="1:3" ht="13" x14ac:dyDescent="0.15">
      <c r="A307" s="1" t="str">
        <f ca="1">IFERROR(__xludf.DUMMYFUNCTION("GOOGLETRANSLATE(A307, ""zh"", ""en"")"),"The company is always committed to providing industry-leading user services")</f>
        <v>The company is always committed to providing industry-leading user services</v>
      </c>
      <c r="B307" s="1" t="str">
        <f ca="1">IFERROR(__xludf.DUMMYFUNCTION("GOOGLETRANSLATE(A307, ""zh"", ""en"")"),"Customers and Consumers")</f>
        <v>Customers and Consumers</v>
      </c>
      <c r="C307" s="1" t="str">
        <f ca="1">IFERROR(__xludf.DUMMYFUNCTION("GOOGLETRANSLATE(E307, ""zh"", ""en"")"),"Qualitative text")</f>
        <v>Qualitative text</v>
      </c>
    </row>
    <row r="308" spans="1:3" ht="13" x14ac:dyDescent="0.15">
      <c r="A308" s="1" t="str">
        <f ca="1">IFERROR(__xludf.DUMMYFUNCTION("GOOGLETRANSLATE(A308, ""zh"", ""en"")"),"In addition, the company attaches great importance to close communication and collaboration among suppliers")</f>
        <v>In addition, the company attaches great importance to close communication and collaboration among suppliers</v>
      </c>
      <c r="B308" s="1" t="str">
        <f ca="1">IFERROR(__xludf.DUMMYFUNCTION("GOOGLETRANSLATE(A308, ""zh"", ""en"")"),"supply chain management")</f>
        <v>supply chain management</v>
      </c>
      <c r="C308" s="1" t="str">
        <f ca="1">IFERROR(__xludf.DUMMYFUNCTION("GOOGLETRANSLATE(E308, ""zh"", ""en"")"),"Qualitative text")</f>
        <v>Qualitative text</v>
      </c>
    </row>
    <row r="309" spans="1:3" ht="13" x14ac:dyDescent="0.15">
      <c r="A309" s="1" t="str">
        <f ca="1">IFERROR(__xludf.DUMMYFUNCTION("GOOGLETRANSLATE(A309, ""zh"", ""en"")"),"The company's board of supervisors consists of 3 supervisors, including 1 employee representative supervisor.")</f>
        <v>The company's board of supervisors consists of 3 supervisors, including 1 employee representative supervisor.</v>
      </c>
      <c r="B309" s="1" t="str">
        <f ca="1">IFERROR(__xludf.DUMMYFUNCTION("GOOGLETRANSLATE(A309, ""zh"", ""en"")"),"Organizational structure and operations")</f>
        <v>Organizational structure and operations</v>
      </c>
      <c r="C309" s="1" t="str">
        <f ca="1">IFERROR(__xludf.DUMMYFUNCTION("GOOGLETRANSLATE(E309, ""zh"", ""en"")"),"Quantitative Text")</f>
        <v>Quantitative Text</v>
      </c>
    </row>
    <row r="310" spans="1:3" ht="13" x14ac:dyDescent="0.15">
      <c r="A310" s="1" t="str">
        <f ca="1">IFERROR(__xludf.DUMMYFUNCTION("GOOGLETRANSLATE(A310, ""zh"", ""en"")"),"In Tajikistan, we built schools to create a modern learning environment for students.")</f>
        <v>In Tajikistan, we built schools to create a modern learning environment for students.</v>
      </c>
      <c r="B310" s="1" t="str">
        <f ca="1">IFERROR(__xludf.DUMMYFUNCTION("GOOGLETRANSLATE(A310, ""zh"", ""en"")"),"Public welfare and volunteer service")</f>
        <v>Public welfare and volunteer service</v>
      </c>
      <c r="C310" s="1" t="str">
        <f ca="1">IFERROR(__xludf.DUMMYFUNCTION("GOOGLETRANSLATE(E310, ""zh"", ""en"")"),"Qualitative text")</f>
        <v>Qualitative text</v>
      </c>
    </row>
    <row r="311" spans="1:3" ht="13" x14ac:dyDescent="0.15">
      <c r="A311" s="1" t="str">
        <f ca="1">IFERROR(__xludf.DUMMYFUNCTION("GOOGLETRANSLATE(A311, ""zh"", ""en"")"),"105 KPI B2.2 Number of working days lost due to work-related injuries")</f>
        <v>105 KPI B2.2 Number of working days lost due to work-related injuries</v>
      </c>
      <c r="B311" s="1" t="str">
        <f ca="1">IFERROR(__xludf.DUMMYFUNCTION("GOOGLETRANSLATE(A311, ""zh"", ""en"")"),"staff")</f>
        <v>staff</v>
      </c>
      <c r="C311" s="1" t="str">
        <f ca="1">IFERROR(__xludf.DUMMYFUNCTION("GOOGLETRANSLATE(E311, ""zh"", ""en"")"),"Quantitative Text")</f>
        <v>Quantitative Text</v>
      </c>
    </row>
    <row r="312" spans="1:3" ht="13" x14ac:dyDescent="0.15">
      <c r="A312" s="1" t="str">
        <f ca="1">IFERROR(__xludf.DUMMYFUNCTION("GOOGLETRANSLATE(A312, ""zh"", ""en"")"),"During the reporting period, the company had no work-related employee occupational health issues")</f>
        <v>During the reporting period, the company had no work-related employee occupational health issues</v>
      </c>
      <c r="B312" s="1" t="str">
        <f ca="1">IFERROR(__xludf.DUMMYFUNCTION("GOOGLETRANSLATE(A312, ""zh"", ""en"")"),"staff")</f>
        <v>staff</v>
      </c>
      <c r="C312" s="1" t="str">
        <f ca="1">IFERROR(__xludf.DUMMYFUNCTION("GOOGLETRANSLATE(E312, ""zh"", ""en"")"),"Quantitative Text")</f>
        <v>Quantitative Text</v>
      </c>
    </row>
    <row r="313" spans="1:3" ht="13" x14ac:dyDescent="0.15">
      <c r="A313" s="1" t="str">
        <f ca="1">IFERROR(__xludf.DUMMYFUNCTION("GOOGLETRANSLATE(A313, ""zh"", ""en"")"),"The company attaches great importance to safety education for employees and continuously enhances their safety awareness")</f>
        <v>The company attaches great importance to safety education for employees and continuously enhances their safety awareness</v>
      </c>
      <c r="B313" s="1" t="str">
        <f ca="1">IFERROR(__xludf.DUMMYFUNCTION("GOOGLETRANSLATE(A313, ""zh"", ""en"")"),"staff")</f>
        <v>staff</v>
      </c>
      <c r="C313" s="1" t="str">
        <f ca="1">IFERROR(__xludf.DUMMYFUNCTION("GOOGLETRANSLATE(E313, ""zh"", ""en"")"),"Qualitative text")</f>
        <v>Qualitative text</v>
      </c>
    </row>
    <row r="314" spans="1:3" ht="13" x14ac:dyDescent="0.15">
      <c r="A314" s="1" t="str">
        <f ca="1">IFERROR(__xludf.DUMMYFUNCTION("GOOGLETRANSLATE(A314, ""zh"", ""en"")"),"These measures will help improve the quality and competitiveness of the local people in Argentina")</f>
        <v>These measures will help improve the quality and competitiveness of the local people in Argentina</v>
      </c>
      <c r="B314" s="1" t="str">
        <f ca="1">IFERROR(__xludf.DUMMYFUNCTION("GOOGLETRANSLATE(A314, ""zh"", ""en"")"),"Promoting employment")</f>
        <v>Promoting employment</v>
      </c>
      <c r="C314" s="1" t="str">
        <f ca="1">IFERROR(__xludf.DUMMYFUNCTION("GOOGLETRANSLATE(E314, ""zh"", ""en"")"),"Qualitative text")</f>
        <v>Qualitative text</v>
      </c>
    </row>
    <row r="315" spans="1:3" ht="13" x14ac:dyDescent="0.15">
      <c r="A315" s="1" t="str">
        <f ca="1">IFERROR(__xludf.DUMMYFUNCTION("GOOGLETRANSLATE(A315, ""zh"", ""en"")"),"The transformation of blood transfusion into hematopoiesis has been realized in the past two years, and the spirit of Lei Feng has been passed down from generation to generation.")</f>
        <v>The transformation of blood transfusion into hematopoiesis has been realized in the past two years, and the spirit of Lei Feng has been passed down from generation to generation.</v>
      </c>
      <c r="B315" s="1" t="str">
        <f ca="1">IFERROR(__xludf.DUMMYFUNCTION("GOOGLETRANSLATE(A315, ""zh"", ""en"")"),"Public welfare and volunteer service")</f>
        <v>Public welfare and volunteer service</v>
      </c>
      <c r="C315" s="1" t="str">
        <f ca="1">IFERROR(__xludf.DUMMYFUNCTION("GOOGLETRANSLATE(E315, ""zh"", ""en"")"),"Qualitative text")</f>
        <v>Qualitative text</v>
      </c>
    </row>
    <row r="316" spans="1:3" ht="13" x14ac:dyDescent="0.15">
      <c r="A316" s="1" t="str">
        <f ca="1">IFERROR(__xludf.DUMMYFUNCTION("GOOGLETRANSLATE(A316, ""zh"", ""en"")"),"The key to supporting rural revitalization by operating the Tianshang Grass industry free of charge is industrial revitalization.")</f>
        <v>The key to supporting rural revitalization by operating the Tianshang Grass industry free of charge is industrial revitalization.</v>
      </c>
      <c r="B316" s="1" t="str">
        <f ca="1">IFERROR(__xludf.DUMMYFUNCTION("GOOGLETRANSLATE(A316, ""zh"", ""en"")"),"Rural assistance")</f>
        <v>Rural assistance</v>
      </c>
      <c r="C316" s="1" t="str">
        <f ca="1">IFERROR(__xludf.DUMMYFUNCTION("GOOGLETRANSLATE(E316, ""zh"", ""en"")"),"Qualitative text")</f>
        <v>Qualitative text</v>
      </c>
    </row>
    <row r="317" spans="1:3" ht="13" x14ac:dyDescent="0.15">
      <c r="A317" s="1" t="str">
        <f ca="1">IFERROR(__xludf.DUMMYFUNCTION("GOOGLETRANSLATE(A317, ""zh"", ""en"")"),"Help employees apply what they have learned, improve their personal skills, broaden their horizons and increase their knowledge")</f>
        <v>Help employees apply what they have learned, improve their personal skills, broaden their horizons and increase their knowledge</v>
      </c>
      <c r="B317" s="1" t="str">
        <f ca="1">IFERROR(__xludf.DUMMYFUNCTION("GOOGLETRANSLATE(A317, ""zh"", ""en"")"),"staff")</f>
        <v>staff</v>
      </c>
      <c r="C317" s="1" t="str">
        <f ca="1">IFERROR(__xludf.DUMMYFUNCTION("GOOGLETRANSLATE(E317, ""zh"", ""en"")"),"Qualitative text")</f>
        <v>Qualitative text</v>
      </c>
    </row>
    <row r="318" spans="1:3" ht="13" x14ac:dyDescent="0.15">
      <c r="A318" s="1" t="str">
        <f ca="1">IFERROR(__xludf.DUMMYFUNCTION("GOOGLETRANSLATE(A318, ""zh"", ""en"")"),"CMST and Xiaochang County Party Committee and Government agree to carry out one-on-one assistance work")</f>
        <v>CMST and Xiaochang County Party Committee and Government agree to carry out one-on-one assistance work</v>
      </c>
      <c r="B318" s="1" t="str">
        <f ca="1">IFERROR(__xludf.DUMMYFUNCTION("GOOGLETRANSLATE(A318, ""zh"", ""en"")"),"Rural assistance")</f>
        <v>Rural assistance</v>
      </c>
      <c r="C318" s="1" t="str">
        <f ca="1">IFERROR(__xludf.DUMMYFUNCTION("GOOGLETRANSLATE(E318, ""zh"", ""en"")"),"Qualitative text")</f>
        <v>Qualitative text</v>
      </c>
    </row>
    <row r="319" spans="1:3" ht="13" x14ac:dyDescent="0.15">
      <c r="A319" s="1" t="str">
        <f ca="1">IFERROR(__xludf.DUMMYFUNCTION("GOOGLETRANSLATE(A319, ""zh"", ""en"")"),"As of the end of the reporting period, there was no incident of child labor or forced labor at Kangyuan Health")</f>
        <v>As of the end of the reporting period, there was no incident of child labor or forced labor at Kangyuan Health</v>
      </c>
      <c r="B319" s="1" t="str">
        <f ca="1">IFERROR(__xludf.DUMMYFUNCTION("GOOGLETRANSLATE(A319, ""zh"", ""en"")"),"staff")</f>
        <v>staff</v>
      </c>
      <c r="C319" s="1" t="str">
        <f ca="1">IFERROR(__xludf.DUMMYFUNCTION("GOOGLETRANSLATE(E319, ""zh"", ""en"")"),"Quantitative Text")</f>
        <v>Quantitative Text</v>
      </c>
    </row>
    <row r="320" spans="1:3" ht="13" x14ac:dyDescent="0.15">
      <c r="A320" s="1" t="str">
        <f ca="1">IFERROR(__xludf.DUMMYFUNCTION("GOOGLETRANSLATE(A320, ""zh"", ""en"")"),"On September 28, 2022, the Group conducted an emergency drill for electric shock accidents for employees")</f>
        <v>On September 28, 2022, the Group conducted an emergency drill for electric shock accidents for employees</v>
      </c>
      <c r="B320" s="1" t="str">
        <f ca="1">IFERROR(__xludf.DUMMYFUNCTION("GOOGLETRANSLATE(A320, ""zh"", ""en"")"),"staff")</f>
        <v>staff</v>
      </c>
      <c r="C320" s="1" t="str">
        <f ca="1">IFERROR(__xludf.DUMMYFUNCTION("GOOGLETRANSLATE(E320, ""zh"", ""en"")"),"Qualitative text")</f>
        <v>Qualitative text</v>
      </c>
    </row>
    <row r="321" spans="1:3" ht="13" x14ac:dyDescent="0.15">
      <c r="A321" s="1" t="str">
        <f ca="1">IFERROR(__xludf.DUMMYFUNCTION("GOOGLETRANSLATE(A321, ""zh"", ""en"")"),"Improve the functions of inventory adjustment contract balance carry-forward sales profit statistical report, etc.")</f>
        <v>Improve the functions of inventory adjustment contract balance carry-forward sales profit statistical report, etc.</v>
      </c>
      <c r="B321" s="1" t="str">
        <f ca="1">IFERROR(__xludf.DUMMYFUNCTION("GOOGLETRANSLATE(A321, ""zh"", ""en"")"),"irrelevant text")</f>
        <v>irrelevant text</v>
      </c>
      <c r="C321" s="1" t="str">
        <f ca="1">IFERROR(__xludf.DUMMYFUNCTION("GOOGLETRANSLATE(E321, ""zh"", ""en"")"),"irrelevant text")</f>
        <v>irrelevant text</v>
      </c>
    </row>
    <row r="322" spans="1:3" ht="13" x14ac:dyDescent="0.15">
      <c r="A322" s="1" t="str">
        <f ca="1">IFERROR(__xludf.DUMMYFUNCTION("GOOGLETRANSLATE(A322, ""zh"", ""en"")"),"The Group’s pharmaceutical enterprises submitted test and data reports for 2022")</f>
        <v>The Group’s pharmaceutical enterprises submitted test and data reports for 2022</v>
      </c>
      <c r="B322" s="1" t="str">
        <f ca="1">IFERROR(__xludf.DUMMYFUNCTION("GOOGLETRANSLATE(A322, ""zh"", ""en"")"),"irrelevant text")</f>
        <v>irrelevant text</v>
      </c>
      <c r="C322" s="1" t="str">
        <f ca="1">IFERROR(__xludf.DUMMYFUNCTION("GOOGLETRANSLATE(E322, ""zh"", ""en"")"),"irrelevant text")</f>
        <v>irrelevant text</v>
      </c>
    </row>
    <row r="323" spans="1:3" ht="13" x14ac:dyDescent="0.15">
      <c r="A323" s="1" t="str">
        <f ca="1">IFERROR(__xludf.DUMMYFUNCTION("GOOGLETRANSLATE(A323, ""zh"", ""en"")"),"We pursue excellence and insist on doing the right things. The success of a relationship depends on the accumulation of time.")</f>
        <v>We pursue excellence and insist on doing the right things. The success of a relationship depends on the accumulation of time.</v>
      </c>
      <c r="B323" s="1" t="str">
        <f ca="1">IFERROR(__xludf.DUMMYFUNCTION("GOOGLETRANSLATE(A323, ""zh"", ""en"")"),"irrelevant text")</f>
        <v>irrelevant text</v>
      </c>
      <c r="C323" s="1" t="str">
        <f ca="1">IFERROR(__xludf.DUMMYFUNCTION("GOOGLETRANSLATE(E323, ""zh"", ""en"")"),"irrelevant text")</f>
        <v>irrelevant text</v>
      </c>
    </row>
    <row r="324" spans="1:3" ht="13" x14ac:dyDescent="0.15">
      <c r="A324" s="1" t="str">
        <f ca="1">IFERROR(__xludf.DUMMYFUNCTION("GOOGLETRANSLATE(A324, ""zh"", ""en"")"),"2007 Selected as one of China's Top 500 Most Valuable Brands for three consecutive years")</f>
        <v>2007 Selected as one of China's Top 500 Most Valuable Brands for three consecutive years</v>
      </c>
      <c r="B324" s="1" t="str">
        <f ca="1">IFERROR(__xludf.DUMMYFUNCTION("GOOGLETRANSLATE(A324, ""zh"", ""en"")"),"Product quality")</f>
        <v>Product quality</v>
      </c>
      <c r="C324" s="1" t="str">
        <f ca="1">IFERROR(__xludf.DUMMYFUNCTION("GOOGLETRANSLATE(E324, ""zh"", ""en"")"),"Quantitative Text")</f>
        <v>Quantitative Text</v>
      </c>
    </row>
    <row r="325" spans="1:3" ht="13" x14ac:dyDescent="0.15">
      <c r="A325" s="1" t="str">
        <f ca="1">IFERROR(__xludf.DUMMYFUNCTION("GOOGLETRANSLATE(A325, ""zh"", ""en"")"),"In 2004, the company was awarded the Energy Conservation Contribution Award by the National Certification and Accreditation Center")</f>
        <v>In 2004, the company was awarded the Energy Conservation Contribution Award by the National Certification and Accreditation Center</v>
      </c>
      <c r="B325" s="1" t="str">
        <f ca="1">IFERROR(__xludf.DUMMYFUNCTION("GOOGLETRANSLATE(A325, ""zh"", ""en"")"),"Energy and resource consumption")</f>
        <v>Energy and resource consumption</v>
      </c>
      <c r="C325" s="1" t="str">
        <f ca="1">IFERROR(__xludf.DUMMYFUNCTION("GOOGLETRANSLATE(E325, ""zh"", ""en"")"),"Qualitative text")</f>
        <v>Qualitative text</v>
      </c>
    </row>
    <row r="326" spans="1:3" ht="13" x14ac:dyDescent="0.15">
      <c r="A326" s="1" t="str">
        <f ca="1">IFERROR(__xludf.DUMMYFUNCTION("GOOGLETRANSLATE(A326, ""zh"", ""en"")"),"Organizing and participating in multiple ESG-themed conferences to promote the development of sustainable finance")</f>
        <v>Organizing and participating in multiple ESG-themed conferences to promote the development of sustainable finance</v>
      </c>
      <c r="B326" s="1" t="str">
        <f ca="1">IFERROR(__xludf.DUMMYFUNCTION("GOOGLETRANSLATE(A326, ""zh"", ""en"")"),"Green Finance")</f>
        <v>Green Finance</v>
      </c>
      <c r="C326" s="1" t="str">
        <f ca="1">IFERROR(__xludf.DUMMYFUNCTION("GOOGLETRANSLATE(E326, ""zh"", ""en"")"),"Qualitative text")</f>
        <v>Qualitative text</v>
      </c>
    </row>
    <row r="327" spans="1:3" ht="13" x14ac:dyDescent="0.15">
      <c r="A327" s="1" t="str">
        <f ca="1">IFERROR(__xludf.DUMMYFUNCTION("GOOGLETRANSLATE(A327, ""zh"", ""en"")"),"Regularly organize health lectures and free health clinics to help sick employees make appointments with specialists, etc.")</f>
        <v>Regularly organize health lectures and free health clinics to help sick employees make appointments with specialists, etc.</v>
      </c>
      <c r="B327" s="1" t="str">
        <f ca="1">IFERROR(__xludf.DUMMYFUNCTION("GOOGLETRANSLATE(A327, ""zh"", ""en"")"),"staff")</f>
        <v>staff</v>
      </c>
      <c r="C327" s="1" t="str">
        <f ca="1">IFERROR(__xludf.DUMMYFUNCTION("GOOGLETRANSLATE(E327, ""zh"", ""en"")"),"Qualitative text")</f>
        <v>Qualitative text</v>
      </c>
    </row>
    <row r="328" spans="1:3" ht="13" x14ac:dyDescent="0.15">
      <c r="A328" s="1" t="str">
        <f ca="1">IFERROR(__xludf.DUMMYFUNCTION("GOOGLETRANSLATE(A328, ""zh"", ""en"")"),"Competitive salary growth mechanism ensures salary matches skills")</f>
        <v>Competitive salary growth mechanism ensures salary matches skills</v>
      </c>
      <c r="B328" s="1" t="str">
        <f ca="1">IFERROR(__xludf.DUMMYFUNCTION("GOOGLETRANSLATE(A328, ""zh"", ""en"")"),"staff")</f>
        <v>staff</v>
      </c>
      <c r="C328" s="1" t="str">
        <f ca="1">IFERROR(__xludf.DUMMYFUNCTION("GOOGLETRANSLATE(E328, ""zh"", ""en"")"),"Qualitative text")</f>
        <v>Qualitative text</v>
      </c>
    </row>
    <row r="329" spans="1:3" ht="13" x14ac:dyDescent="0.15">
      <c r="A329" s="1" t="str">
        <f ca="1">IFERROR(__xludf.DUMMYFUNCTION("GOOGLETRANSLATE(A329, ""zh"", ""en"")"),"In terms of water management, the company continues to strengthen water management to avoid waste of water resources")</f>
        <v>In terms of water management, the company continues to strengthen water management to avoid waste of water resources</v>
      </c>
      <c r="B329" s="1" t="str">
        <f ca="1">IFERROR(__xludf.DUMMYFUNCTION("GOOGLETRANSLATE(A329, ""zh"", ""en"")"),"Water resources")</f>
        <v>Water resources</v>
      </c>
      <c r="C329" s="1" t="str">
        <f ca="1">IFERROR(__xludf.DUMMYFUNCTION("GOOGLETRANSLATE(E329, ""zh"", ""en"")"),"Qualitative text")</f>
        <v>Qualitative text</v>
      </c>
    </row>
    <row r="330" spans="1:3" ht="13" x14ac:dyDescent="0.15">
      <c r="A330" s="1" t="str">
        <f ca="1">IFERROR(__xludf.DUMMYFUNCTION("GOOGLETRANSLATE(A330, ""zh"", ""en"")"),"This year we conducted a phishing email test drill for all employees.")</f>
        <v>This year we conducted a phishing email test drill for all employees.</v>
      </c>
      <c r="B330" s="1" t="str">
        <f ca="1">IFERROR(__xludf.DUMMYFUNCTION("GOOGLETRANSLATE(A330, ""zh"", ""en"")"),"Data security")</f>
        <v>Data security</v>
      </c>
      <c r="C330" s="1" t="str">
        <f ca="1">IFERROR(__xludf.DUMMYFUNCTION("GOOGLETRANSLATE(E330, ""zh"", ""en"")"),"Qualitative text")</f>
        <v>Qualitative text</v>
      </c>
    </row>
    <row r="331" spans="1:3" ht="13" x14ac:dyDescent="0.15">
      <c r="A331" s="1" t="str">
        <f ca="1">IFERROR(__xludf.DUMMYFUNCTION("GOOGLETRANSLATE(A331, ""zh"", ""en"")"),"In addition, Haier UK also organizes fundraising for other diverse disadvantaged groups.")</f>
        <v>In addition, Haier UK also organizes fundraising for other diverse disadvantaged groups.</v>
      </c>
      <c r="B331" s="1" t="str">
        <f ca="1">IFERROR(__xludf.DUMMYFUNCTION("GOOGLETRANSLATE(A331, ""zh"", ""en"")"),"Public welfare and volunteer service")</f>
        <v>Public welfare and volunteer service</v>
      </c>
      <c r="C331" s="1" t="str">
        <f ca="1">IFERROR(__xludf.DUMMYFUNCTION("GOOGLETRANSLATE(E331, ""zh"", ""en"")"),"Qualitative text")</f>
        <v>Qualitative text</v>
      </c>
    </row>
    <row r="332" spans="1:3" ht="13" x14ac:dyDescent="0.15">
      <c r="A332" s="1" t="str">
        <f ca="1">IFERROR(__xludf.DUMMYFUNCTION("GOOGLETRANSLATE(A332, ""zh"", ""en"")"),"At the same time, we urge first-tier suppliers to inspect and improve second-tier suppliers.")</f>
        <v>At the same time, we urge first-tier suppliers to inspect and improve second-tier suppliers.</v>
      </c>
      <c r="B332" s="1" t="str">
        <f ca="1">IFERROR(__xludf.DUMMYFUNCTION("GOOGLETRANSLATE(A332, ""zh"", ""en"")"),"supply chain management")</f>
        <v>supply chain management</v>
      </c>
      <c r="C332" s="1" t="str">
        <f ca="1">IFERROR(__xludf.DUMMYFUNCTION("GOOGLETRANSLATE(E332, ""zh"", ""en"")"),"Qualitative text")</f>
        <v>Qualitative text</v>
      </c>
    </row>
    <row r="333" spans="1:3" ht="13" x14ac:dyDescent="0.15">
      <c r="A333" s="1" t="str">
        <f ca="1">IFERROR(__xludf.DUMMYFUNCTION("GOOGLETRANSLATE(A333, ""zh"", ""en"")"),"The company's physical examination service covers all regular employees, dispatched employees and retired employees")</f>
        <v>The company's physical examination service covers all regular employees, dispatched employees and retired employees</v>
      </c>
      <c r="B333" s="1" t="str">
        <f ca="1">IFERROR(__xludf.DUMMYFUNCTION("GOOGLETRANSLATE(A333, ""zh"", ""en"")"),"staff")</f>
        <v>staff</v>
      </c>
      <c r="C333" s="1" t="str">
        <f ca="1">IFERROR(__xludf.DUMMYFUNCTION("GOOGLETRANSLATE(E333, ""zh"", ""en"")"),"Qualitative text")</f>
        <v>Qualitative text</v>
      </c>
    </row>
    <row r="334" spans="1:3" ht="13" x14ac:dyDescent="0.15">
      <c r="A334" s="1" t="str">
        <f ca="1">IFERROR(__xludf.DUMMYFUNCTION("GOOGLETRANSLATE(A334, ""zh"", ""en"")"),"Employee compensation consists of salary, annual bonus, special bonus, insurance and benefits, etc.")</f>
        <v>Employee compensation consists of salary, annual bonus, special bonus, insurance and benefits, etc.</v>
      </c>
      <c r="B334" s="1" t="str">
        <f ca="1">IFERROR(__xludf.DUMMYFUNCTION("GOOGLETRANSLATE(A334, ""zh"", ""en"")"),"staff")</f>
        <v>staff</v>
      </c>
      <c r="C334" s="1" t="str">
        <f ca="1">IFERROR(__xludf.DUMMYFUNCTION("GOOGLETRANSLATE(E334, ""zh"", ""en"")"),"Qualitative text")</f>
        <v>Qualitative text</v>
      </c>
    </row>
    <row r="335" spans="1:3" ht="13" x14ac:dyDescent="0.15">
      <c r="A335" s="1" t="str">
        <f ca="1">IFERROR(__xludf.DUMMYFUNCTION("GOOGLETRANSLATE(A335, ""zh"", ""en"")"),"Its subsidiary Keben Pharmaceutical was rated as a provincial enterprise technology center and a specialized and innovative enterprise")</f>
        <v>Its subsidiary Keben Pharmaceutical was rated as a provincial enterprise technology center and a specialized and innovative enterprise</v>
      </c>
      <c r="B335" s="1" t="str">
        <f ca="1">IFERROR(__xludf.DUMMYFUNCTION("GOOGLETRANSLATE(A335, ""zh"", ""en"")"),"Technological innovation")</f>
        <v>Technological innovation</v>
      </c>
      <c r="C335" s="1" t="str">
        <f ca="1">IFERROR(__xludf.DUMMYFUNCTION("GOOGLETRANSLATE(E335, ""zh"", ""en"")"),"Qualitative text")</f>
        <v>Qualitative text</v>
      </c>
    </row>
    <row r="336" spans="1:3" ht="13" x14ac:dyDescent="0.15">
      <c r="A336" s="1" t="str">
        <f ca="1">IFERROR(__xludf.DUMMYFUNCTION("GOOGLETRANSLATE(A336, ""zh"", ""en"")"),"Won the title of Zhejiang Top Ten Filial Piety Enterprises in the 11th Zhejiang Filial Piety Selection List")</f>
        <v>Won the title of Zhejiang Top Ten Filial Piety Enterprises in the 11th Zhejiang Filial Piety Selection List</v>
      </c>
      <c r="B336" s="1" t="str">
        <f ca="1">IFERROR(__xludf.DUMMYFUNCTION("GOOGLETRANSLATE(A336, ""zh"", ""en"")"),"Public welfare and volunteer service")</f>
        <v>Public welfare and volunteer service</v>
      </c>
      <c r="C336" s="1" t="str">
        <f ca="1">IFERROR(__xludf.DUMMYFUNCTION("GOOGLETRANSLATE(E336, ""zh"", ""en"")"),"Qualitative text")</f>
        <v>Qualitative text</v>
      </c>
    </row>
    <row r="337" spans="1:3" ht="13" x14ac:dyDescent="0.15">
      <c r="A337" s="1" t="str">
        <f ca="1">IFERROR(__xludf.DUMMYFUNCTION("GOOGLETRANSLATE(A337, ""zh"", ""en"")"),"1902 The history of Shanghai Electric can be traced back to 1902")</f>
        <v>1902 The history of Shanghai Electric can be traced back to 1902</v>
      </c>
      <c r="B337" s="1" t="str">
        <f ca="1">IFERROR(__xludf.DUMMYFUNCTION("GOOGLETRANSLATE(A337, ""zh"", ""en"")"),"irrelevant text")</f>
        <v>irrelevant text</v>
      </c>
      <c r="C337" s="1" t="str">
        <f ca="1">IFERROR(__xludf.DUMMYFUNCTION("GOOGLETRANSLATE(E337, ""zh"", ""en"")"),"irrelevant text")</f>
        <v>irrelevant text</v>
      </c>
    </row>
    <row r="338" spans="1:3" ht="13" x14ac:dyDescent="0.15">
      <c r="A338" s="1" t="str">
        <f ca="1">IFERROR(__xludf.DUMMYFUNCTION("GOOGLETRANSLATE(A338, ""zh"", ""en"")"),"The workers' congress is one of the important channels for communication between the company and employees.")</f>
        <v>The workers' congress is one of the important channels for communication between the company and employees.</v>
      </c>
      <c r="B338" s="1" t="str">
        <f ca="1">IFERROR(__xludf.DUMMYFUNCTION("GOOGLETRANSLATE(A338, ""zh"", ""en"")"),"staff")</f>
        <v>staff</v>
      </c>
      <c r="C338" s="1" t="str">
        <f ca="1">IFERROR(__xludf.DUMMYFUNCTION("GOOGLETRANSLATE(E338, ""zh"", ""en"")"),"Qualitative text")</f>
        <v>Qualitative text</v>
      </c>
    </row>
    <row r="339" spans="1:3" ht="13" x14ac:dyDescent="0.15">
      <c r="A339" s="1" t="str">
        <f ca="1">IFERROR(__xludf.DUMMYFUNCTION("GOOGLETRANSLATE(A339, ""zh"", ""en"")"),"The company's holding subsidiary Wuchan Zhongda Outai Co., Ltd. is referred to as Outai Company")</f>
        <v>The company's holding subsidiary Wuchan Zhongda Outai Co., Ltd. is referred to as Outai Company</v>
      </c>
      <c r="B339" s="1" t="str">
        <f ca="1">IFERROR(__xludf.DUMMYFUNCTION("GOOGLETRANSLATE(A339, ""zh"", ""en"")"),"irrelevant text")</f>
        <v>irrelevant text</v>
      </c>
      <c r="C339" s="1" t="str">
        <f ca="1">IFERROR(__xludf.DUMMYFUNCTION("GOOGLETRANSLATE(E339, ""zh"", ""en"")"),"irrelevant text")</f>
        <v>irrelevant text</v>
      </c>
    </row>
    <row r="340" spans="1:3" ht="13" x14ac:dyDescent="0.15">
      <c r="A340" s="1" t="str">
        <f ca="1">IFERROR(__xludf.DUMMYFUNCTION("GOOGLETRANSLATE(A340, ""zh"", ""en"")"),"The company and its overseas partners promptly correct any contracts that contain competition or monopoly clauses.")</f>
        <v>The company and its overseas partners promptly correct any contracts that contain competition or monopoly clauses.</v>
      </c>
      <c r="B340" s="1" t="str">
        <f ca="1">IFERROR(__xludf.DUMMYFUNCTION("GOOGLETRANSLATE(A340, ""zh"", ""en"")"),"Anti-unfair competition")</f>
        <v>Anti-unfair competition</v>
      </c>
      <c r="C340" s="1" t="str">
        <f ca="1">IFERROR(__xludf.DUMMYFUNCTION("GOOGLETRANSLATE(E340, ""zh"", ""en"")"),"Qualitative text")</f>
        <v>Qualitative text</v>
      </c>
    </row>
    <row r="341" spans="1:3" ht="13" x14ac:dyDescent="0.15">
      <c r="A341" s="1" t="str">
        <f ca="1">IFERROR(__xludf.DUMMYFUNCTION("GOOGLETRANSLATE(A341, ""zh"", ""en"")"),"At the same time, Shanghai Electric is seizing new opportunities and is a high-quality company with growth potential.")</f>
        <v>At the same time, Shanghai Electric is seizing new opportunities and is a high-quality company with growth potential.</v>
      </c>
      <c r="B341" s="1" t="str">
        <f ca="1">IFERROR(__xludf.DUMMYFUNCTION("GOOGLETRANSLATE(A341, ""zh"", ""en"")"),"irrelevant text")</f>
        <v>irrelevant text</v>
      </c>
      <c r="C341" s="1" t="str">
        <f ca="1">IFERROR(__xludf.DUMMYFUNCTION("GOOGLETRANSLATE(E341, ""zh"", ""en"")"),"irrelevant text")</f>
        <v>irrelevant text</v>
      </c>
    </row>
    <row r="342" spans="1:3" ht="13" x14ac:dyDescent="0.15">
      <c r="A342" s="1" t="str">
        <f ca="1">IFERROR(__xludf.DUMMYFUNCTION("GOOGLETRANSLATE(A342, ""zh"", ""en"")"),"Established a warm fund to focus on poor employees and strengthen harmonious labor relations")</f>
        <v>Established a warm fund to focus on poor employees and strengthen harmonious labor relations</v>
      </c>
      <c r="B342" s="1" t="str">
        <f ca="1">IFERROR(__xludf.DUMMYFUNCTION("GOOGLETRANSLATE(A342, ""zh"", ""en"")"),"staff")</f>
        <v>staff</v>
      </c>
      <c r="C342" s="1" t="str">
        <f ca="1">IFERROR(__xludf.DUMMYFUNCTION("GOOGLETRANSLATE(E342, ""zh"", ""en"")"),"Qualitative text")</f>
        <v>Qualitative text</v>
      </c>
    </row>
    <row r="343" spans="1:3" ht="13" x14ac:dyDescent="0.15">
      <c r="A343" s="1" t="str">
        <f ca="1">IFERROR(__xludf.DUMMYFUNCTION("GOOGLETRANSLATE(A343, ""zh"", ""en"")"),"We attach great importance to the protection of shareholders' rights and interests, especially the legitimate rights and interests of small and medium-sized shareholders.")</f>
        <v>We attach great importance to the protection of shareholders' rights and interests, especially the legitimate rights and interests of small and medium-sized shareholders.</v>
      </c>
      <c r="B343" s="1" t="str">
        <f ca="1">IFERROR(__xludf.DUMMYFUNCTION("GOOGLETRANSLATE(A343, ""zh"", ""en"")"),"Shareholder and creditor rights")</f>
        <v>Shareholder and creditor rights</v>
      </c>
      <c r="C343" s="1" t="str">
        <f ca="1">IFERROR(__xludf.DUMMYFUNCTION("GOOGLETRANSLATE(E343, ""zh"", ""en"")"),"Qualitative text")</f>
        <v>Qualitative text</v>
      </c>
    </row>
    <row r="344" spans="1:3" ht="13" x14ac:dyDescent="0.15">
      <c r="A344" s="1" t="str">
        <f ca="1">IFERROR(__xludf.DUMMYFUNCTION("GOOGLETRANSLATE(A344, ""zh"", ""en"")"),"Exploration, development, transportation, production and sales of crude oil and natural gas New energy business")</f>
        <v>Exploration, development, transportation, production and sales of crude oil and natural gas New energy business</v>
      </c>
      <c r="B344" s="1" t="str">
        <f ca="1">IFERROR(__xludf.DUMMYFUNCTION("GOOGLETRANSLATE(A344, ""zh"", ""en"")"),"Energy and resource consumption")</f>
        <v>Energy and resource consumption</v>
      </c>
      <c r="C344" s="1" t="str">
        <f ca="1">IFERROR(__xludf.DUMMYFUNCTION("GOOGLETRANSLATE(E344, ""zh"", ""en"")"),"Qualitative text")</f>
        <v>Qualitative text</v>
      </c>
    </row>
    <row r="345" spans="1:3" ht="13" x14ac:dyDescent="0.15">
      <c r="A345" s="1" t="str">
        <f ca="1">IFERROR(__xludf.DUMMYFUNCTION("GOOGLETRANSLATE(A345, ""zh"", ""en"")"),"In September, Yichang Renfu Hydrochloride Sustained-Release Tablets were approved for marketing, becoming the first generic drug in China.")</f>
        <v>In September, Yichang Renfu Hydrochloride Sustained-Release Tablets were approved for marketing, becoming the first generic drug in China.</v>
      </c>
      <c r="B345" s="1" t="str">
        <f ca="1">IFERROR(__xludf.DUMMYFUNCTION("GOOGLETRANSLATE(A345, ""zh"", ""en"")"),"Product quality")</f>
        <v>Product quality</v>
      </c>
      <c r="C345" s="1" t="str">
        <f ca="1">IFERROR(__xludf.DUMMYFUNCTION("GOOGLETRANSLATE(E345, ""zh"", ""en"")"),"Qualitative text")</f>
        <v>Qualitative text</v>
      </c>
    </row>
    <row r="346" spans="1:3" ht="13" x14ac:dyDescent="0.15">
      <c r="A346" s="1" t="str">
        <f ca="1">IFERROR(__xludf.DUMMYFUNCTION("GOOGLETRANSLATE(A346, ""zh"", ""en"")"),"In September, Yichang Renfuclobazam tablets were approved, marking the company's first foray into the field of rare diseases.")</f>
        <v>In September, Yichang Renfuclobazam tablets were approved, marking the company's first foray into the field of rare diseases.</v>
      </c>
      <c r="B346" s="1" t="str">
        <f ca="1">IFERROR(__xludf.DUMMYFUNCTION("GOOGLETRANSLATE(A346, ""zh"", ""en"")"),"Product quality")</f>
        <v>Product quality</v>
      </c>
      <c r="C346" s="1" t="str">
        <f ca="1">IFERROR(__xludf.DUMMYFUNCTION("GOOGLETRANSLATE(E346, ""zh"", ""en"")"),"Qualitative text")</f>
        <v>Qualitative text</v>
      </c>
    </row>
    <row r="347" spans="1:3" ht="13" x14ac:dyDescent="0.15">
      <c r="A347" s="1" t="str">
        <f ca="1">IFERROR(__xludf.DUMMYFUNCTION("GOOGLETRANSLATE(A347, ""zh"", ""en"")"),"The second is to actively communicate with family members to allow elderly people who are suitable for vaccination to receive the new crown vaccine")</f>
        <v>The second is to actively communicate with family members to allow elderly people who are suitable for vaccination to receive the new crown vaccine</v>
      </c>
      <c r="B347" s="1" t="str">
        <f ca="1">IFERROR(__xludf.DUMMYFUNCTION("GOOGLETRANSLATE(A347, ""zh"", ""en"")"),"Fighting the epidemic")</f>
        <v>Fighting the epidemic</v>
      </c>
      <c r="C347" s="1" t="str">
        <f ca="1">IFERROR(__xludf.DUMMYFUNCTION("GOOGLETRANSLATE(E347, ""zh"", ""en"")"),"Qualitative text")</f>
        <v>Qualitative text</v>
      </c>
    </row>
    <row r="348" spans="1:3" ht="13" x14ac:dyDescent="0.15">
      <c r="A348" s="1" t="str">
        <f ca="1">IFERROR(__xludf.DUMMYFUNCTION("GOOGLETRANSLATE(A348, ""zh"", ""en"")"),"Actively establish a talent pool of consumer protection experts and continuously improve the quality of the consumer protection talent team")</f>
        <v>Actively establish a talent pool of consumer protection experts and continuously improve the quality of the consumer protection talent team</v>
      </c>
      <c r="B348" s="1" t="str">
        <f ca="1">IFERROR(__xludf.DUMMYFUNCTION("GOOGLETRANSLATE(A348, ""zh"", ""en"")"),"Customers and Consumers")</f>
        <v>Customers and Consumers</v>
      </c>
      <c r="C348" s="1" t="str">
        <f ca="1">IFERROR(__xludf.DUMMYFUNCTION("GOOGLETRANSLATE(E348, ""zh"", ""en"")"),"Qualitative text")</f>
        <v>Qualitative text</v>
      </c>
    </row>
    <row r="349" spans="1:3" ht="13" x14ac:dyDescent="0.15">
      <c r="A349" s="1" t="str">
        <f ca="1">IFERROR(__xludf.DUMMYFUNCTION("GOOGLETRANSLATE(A349, ""zh"", ""en"")"),"The industry project has created a unique cultural community education sector with new breakthroughs")</f>
        <v>The industry project has created a unique cultural community education sector with new breakthroughs</v>
      </c>
      <c r="B349" s="1" t="str">
        <f ca="1">IFERROR(__xludf.DUMMYFUNCTION("GOOGLETRANSLATE(A349, ""zh"", ""en"")"),"irrelevant text")</f>
        <v>irrelevant text</v>
      </c>
      <c r="C349" s="1" t="str">
        <f ca="1">IFERROR(__xludf.DUMMYFUNCTION("GOOGLETRANSLATE(E349, ""zh"", ""en"")"),"irrelevant text")</f>
        <v>irrelevant text</v>
      </c>
    </row>
    <row r="350" spans="1:3" ht="13" x14ac:dyDescent="0.15">
      <c r="A350" s="1" t="str">
        <f ca="1">IFERROR(__xludf.DUMMYFUNCTION("GOOGLETRANSLATE(A350, ""zh"", ""en"")"),"Continue to build a core leadership curriculum system to strengthen management personnel training")</f>
        <v>Continue to build a core leadership curriculum system to strengthen management personnel training</v>
      </c>
      <c r="B350" s="1" t="str">
        <f ca="1">IFERROR(__xludf.DUMMYFUNCTION("GOOGLETRANSLATE(A350, ""zh"", ""en"")"),"Organizational structure and operations")</f>
        <v>Organizational structure and operations</v>
      </c>
      <c r="C350" s="1" t="str">
        <f ca="1">IFERROR(__xludf.DUMMYFUNCTION("GOOGLETRANSLATE(E350, ""zh"", ""en"")"),"Qualitative text")</f>
        <v>Qualitative text</v>
      </c>
    </row>
    <row r="351" spans="1:3" ht="13" x14ac:dyDescent="0.15">
      <c r="A351" s="1" t="str">
        <f ca="1">IFERROR(__xludf.DUMMYFUNCTION("GOOGLETRANSLATE(A351, ""zh"", ""en"")"),"Our team has the qualifications and experience required for this assessment and certification task")</f>
        <v>Our team has the qualifications and experience required for this assessment and certification task</v>
      </c>
      <c r="B351" s="1" t="str">
        <f ca="1">IFERROR(__xludf.DUMMYFUNCTION("GOOGLETRANSLATE(A351, ""zh"", ""en"")"),"irrelevant text")</f>
        <v>irrelevant text</v>
      </c>
      <c r="C351" s="1" t="str">
        <f ca="1">IFERROR(__xludf.DUMMYFUNCTION("GOOGLETRANSLATE(E351, ""zh"", ""en"")"),"irrelevant text")</f>
        <v>irrelevant text</v>
      </c>
    </row>
    <row r="352" spans="1:3" ht="13" x14ac:dyDescent="0.15">
      <c r="A352" s="1" t="str">
        <f ca="1">IFERROR(__xludf.DUMMYFUNCTION("GOOGLETRANSLATE(A352, ""zh"", ""en"")"),"Reporting rewards are distributed through exclusive channels to ensure that whistleblowers are effectively protected")</f>
        <v>Reporting rewards are distributed through exclusive channels to ensure that whistleblowers are effectively protected</v>
      </c>
      <c r="B352" s="1" t="str">
        <f ca="1">IFERROR(__xludf.DUMMYFUNCTION("GOOGLETRANSLATE(A352, ""zh"", ""en"")"),"Reporting System")</f>
        <v>Reporting System</v>
      </c>
      <c r="C352" s="1" t="str">
        <f ca="1">IFERROR(__xludf.DUMMYFUNCTION("GOOGLETRANSLATE(E352, ""zh"", ""en"")"),"Qualitative text")</f>
        <v>Qualitative text</v>
      </c>
    </row>
    <row r="353" spans="1:3" ht="13" x14ac:dyDescent="0.15">
      <c r="A353" s="1" t="str">
        <f ca="1">IFERROR(__xludf.DUMMYFUNCTION("GOOGLETRANSLATE(A353, ""zh"", ""en"")"),"Improving water supply facilities in Dongxiang County has enabled villagers in the Bulenggou River basin to have access to tap water.")</f>
        <v>Improving water supply facilities in Dongxiang County has enabled villagers in the Bulenggou River basin to have access to tap water.</v>
      </c>
      <c r="B353" s="1" t="str">
        <f ca="1">IFERROR(__xludf.DUMMYFUNCTION("GOOGLETRANSLATE(A353, ""zh"", ""en"")"),"Water resources")</f>
        <v>Water resources</v>
      </c>
      <c r="C353" s="1" t="str">
        <f ca="1">IFERROR(__xludf.DUMMYFUNCTION("GOOGLETRANSLATE(E353, ""zh"", ""en"")"),"Qualitative text")</f>
        <v>Qualitative text</v>
      </c>
    </row>
    <row r="354" spans="1:3" ht="13" x14ac:dyDescent="0.15">
      <c r="A354" s="1" t="str">
        <f ca="1">IFERROR(__xludf.DUMMYFUNCTION("GOOGLETRANSLATE(A354, ""zh"", ""en"")"),"P19B7.3 Describe the anti-corruption training provided to directors and employees")</f>
        <v>P19B7.3 Describe the anti-corruption training provided to directors and employees</v>
      </c>
      <c r="B354" s="1" t="str">
        <f ca="1">IFERROR(__xludf.DUMMYFUNCTION("GOOGLETRANSLATE(A354, ""zh"", ""en"")"),"Anti-corruption and anti-money laundering")</f>
        <v>Anti-corruption and anti-money laundering</v>
      </c>
      <c r="C354" s="1" t="str">
        <f ca="1">IFERROR(__xludf.DUMMYFUNCTION("GOOGLETRANSLATE(E354, ""zh"", ""en"")"),"Qualitative text")</f>
        <v>Qualitative text</v>
      </c>
    </row>
    <row r="355" spans="1:3" ht="13" x14ac:dyDescent="0.15">
      <c r="A355" s="1" t="str">
        <f ca="1">IFERROR(__xludf.DUMMYFUNCTION("GOOGLETRANSLATE(A355, ""zh"", ""en"")"),"Deeply implement the science and technology reform demonstration action to stimulate the endogenous motivation and vitality of scientific and technological innovation")</f>
        <v>Deeply implement the science and technology reform demonstration action to stimulate the endogenous motivation and vitality of scientific and technological innovation</v>
      </c>
      <c r="B355" s="1" t="str">
        <f ca="1">IFERROR(__xludf.DUMMYFUNCTION("GOOGLETRANSLATE(A355, ""zh"", ""en"")"),"Technological innovation")</f>
        <v>Technological innovation</v>
      </c>
      <c r="C355" s="1" t="str">
        <f ca="1">IFERROR(__xludf.DUMMYFUNCTION("GOOGLETRANSLATE(E355, ""zh"", ""en"")"),"Qualitative text")</f>
        <v>Qualitative text</v>
      </c>
    </row>
    <row r="356" spans="1:3" ht="13" x14ac:dyDescent="0.15">
      <c r="A356" s="1" t="str">
        <f ca="1">IFERROR(__xludf.DUMMYFUNCTION("GOOGLETRANSLATE(A356, ""zh"", ""en"")"),"The relevant meeting details are published in the form of announcements on the exchange and company websites")</f>
        <v>The relevant meeting details are published in the form of announcements on the exchange and company websites</v>
      </c>
      <c r="B356" s="1" t="str">
        <f ca="1">IFERROR(__xludf.DUMMYFUNCTION("GOOGLETRANSLATE(A356, ""zh"", ""en"")"),"Information Disclosure and Investor Communication")</f>
        <v>Information Disclosure and Investor Communication</v>
      </c>
      <c r="C356" s="1" t="str">
        <f ca="1">IFERROR(__xludf.DUMMYFUNCTION("GOOGLETRANSLATE(E356, ""zh"", ""en"")"),"Qualitative text")</f>
        <v>Qualitative text</v>
      </c>
    </row>
    <row r="357" spans="1:3" ht="13" x14ac:dyDescent="0.15">
      <c r="A357" s="1" t="str">
        <f ca="1">IFERROR(__xludf.DUMMYFUNCTION("GOOGLETRANSLATE(A357, ""zh"", ""en"")"),"Research, develop and promote carbon reduction technologies to strengthen greenhouse gas emissions monitoring and management")</f>
        <v>Research, develop and promote carbon reduction technologies to strengthen greenhouse gas emissions monitoring and management</v>
      </c>
      <c r="B357" s="1" t="str">
        <f ca="1">IFERROR(__xludf.DUMMYFUNCTION("GOOGLETRANSLATE(A357, ""zh"", ""en"")"),"carbon emissions")</f>
        <v>carbon emissions</v>
      </c>
      <c r="C357" s="1" t="str">
        <f ca="1">IFERROR(__xludf.DUMMYFUNCTION("GOOGLETRANSLATE(E357, ""zh"", ""en"")"),"Qualitative text")</f>
        <v>Qualitative text</v>
      </c>
    </row>
    <row r="358" spans="1:3" ht="13" x14ac:dyDescent="0.15">
      <c r="A358" s="1" t="str">
        <f ca="1">IFERROR(__xludf.DUMMYFUNCTION("GOOGLETRANSLATE(A358, ""zh"", ""en"")"),"Vigorously develop molecular refining and hydrogen-based refining to continuously increase the proportion of low-carbon raw materials")</f>
        <v>Vigorously develop molecular refining and hydrogen-based refining to continuously increase the proportion of low-carbon raw materials</v>
      </c>
      <c r="B358" s="1" t="str">
        <f ca="1">IFERROR(__xludf.DUMMYFUNCTION("GOOGLETRANSLATE(A358, ""zh"", ""en"")"),"raw materials")</f>
        <v>raw materials</v>
      </c>
      <c r="C358" s="1" t="str">
        <f ca="1">IFERROR(__xludf.DUMMYFUNCTION("GOOGLETRANSLATE(E358, ""zh"", ""en"")"),"Qualitative text")</f>
        <v>Qualitative text</v>
      </c>
    </row>
    <row r="359" spans="1:3" ht="13" x14ac:dyDescent="0.15">
      <c r="A359" s="1" t="str">
        <f ca="1">IFERROR(__xludf.DUMMYFUNCTION("GOOGLETRANSLATE(A359, ""zh"", ""en"")"),"A total of 1,150 employees participated in risk management training in 2022")</f>
        <v>A total of 1,150 employees participated in risk management training in 2022</v>
      </c>
      <c r="B359" s="1" t="str">
        <f ca="1">IFERROR(__xludf.DUMMYFUNCTION("GOOGLETRANSLATE(A359, ""zh"", ""en"")"),"staff")</f>
        <v>staff</v>
      </c>
      <c r="C359" s="1" t="str">
        <f ca="1">IFERROR(__xludf.DUMMYFUNCTION("GOOGLETRANSLATE(E359, ""zh"", ""en"")"),"Quantitative Text")</f>
        <v>Quantitative Text</v>
      </c>
    </row>
    <row r="360" spans="1:3" ht="13" x14ac:dyDescent="0.15">
      <c r="A360" s="1" t="str">
        <f ca="1">IFERROR(__xludf.DUMMYFUNCTION("GOOGLETRANSLATE(A360, ""zh"", ""en"")"),"B6.2 Number of complaints received about products and services and how they were handled")</f>
        <v>B6.2 Number of complaints received about products and services and how they were handled</v>
      </c>
      <c r="B360" s="1" t="str">
        <f ca="1">IFERROR(__xludf.DUMMYFUNCTION("GOOGLETRANSLATE(A360, ""zh"", ""en"")"),"Customers and Consumers")</f>
        <v>Customers and Consumers</v>
      </c>
      <c r="C360" s="1" t="str">
        <f ca="1">IFERROR(__xludf.DUMMYFUNCTION("GOOGLETRANSLATE(E360, ""zh"", ""en"")"),"Qualitative text")</f>
        <v>Qualitative text</v>
      </c>
    </row>
    <row r="361" spans="1:3" ht="13" x14ac:dyDescent="0.15">
      <c r="A361" s="1" t="str">
        <f ca="1">IFERROR(__xludf.DUMMYFUNCTION("GOOGLETRANSLATE(A361, ""zh"", ""en"")"),"In 2022, the company received no service complaints and the customer satisfaction rate was 98.8")</f>
        <v>In 2022, the company received no service complaints and the customer satisfaction rate was 98.8</v>
      </c>
      <c r="B361" s="1" t="str">
        <f ca="1">IFERROR(__xludf.DUMMYFUNCTION("GOOGLETRANSLATE(A361, ""zh"", ""en"")"),"Customers and Consumers")</f>
        <v>Customers and Consumers</v>
      </c>
      <c r="C361" s="1" t="str">
        <f ca="1">IFERROR(__xludf.DUMMYFUNCTION("GOOGLETRANSLATE(E361, ""zh"", ""en"")"),"Quantitative Text")</f>
        <v>Quantitative Text</v>
      </c>
    </row>
    <row r="362" spans="1:3" ht="13" x14ac:dyDescent="0.15">
      <c r="A362" s="1" t="str">
        <f ca="1">IFERROR(__xludf.DUMMYFUNCTION("GOOGLETRANSLATE(A362, ""zh"", ""en"")"),"P25B6.3 Describe practices related to maintaining and protecting intellectual property rights")</f>
        <v>P25B6.3 Describe practices related to maintaining and protecting intellectual property rights</v>
      </c>
      <c r="B362" s="1" t="str">
        <f ca="1">IFERROR(__xludf.DUMMYFUNCTION("GOOGLETRANSLATE(A362, ""zh"", ""en"")"),"Intellectual Property Protection")</f>
        <v>Intellectual Property Protection</v>
      </c>
      <c r="C362" s="1" t="str">
        <f ca="1">IFERROR(__xludf.DUMMYFUNCTION("GOOGLETRANSLATE(E362, ""zh"", ""en"")"),"Qualitative text")</f>
        <v>Qualitative text</v>
      </c>
    </row>
    <row r="363" spans="1:3" ht="13" x14ac:dyDescent="0.15">
      <c r="A363" s="1" t="str">
        <f ca="1">IFERROR(__xludf.DUMMYFUNCTION("GOOGLETRANSLATE(A363, ""zh"", ""en"")"),"Make the domestic and international markets complement each other organically and promote better development of the company")</f>
        <v>Make the domestic and international markets complement each other organically and promote better development of the company</v>
      </c>
      <c r="B363" s="1" t="str">
        <f ca="1">IFERROR(__xludf.DUMMYFUNCTION("GOOGLETRANSLATE(A363, ""zh"", ""en"")"),"irrelevant text")</f>
        <v>irrelevant text</v>
      </c>
      <c r="C363" s="1" t="str">
        <f ca="1">IFERROR(__xludf.DUMMYFUNCTION("GOOGLETRANSLATE(E363, ""zh"", ""en"")"),"irrelevant text")</f>
        <v>irrelevant text</v>
      </c>
    </row>
    <row r="364" spans="1:3" ht="13" x14ac:dyDescent="0.15">
      <c r="A364" s="1" t="str">
        <f ca="1">IFERROR(__xludf.DUMMYFUNCTION("GOOGLETRANSLATE(A364, ""zh"", ""en"")"),"Regularly prepare and publish board-related reports to disclose the board's performance")</f>
        <v>Regularly prepare and publish board-related reports to disclose the board's performance</v>
      </c>
      <c r="B364" s="1" t="str">
        <f ca="1">IFERROR(__xludf.DUMMYFUNCTION("GOOGLETRANSLATE(A364, ""zh"", ""en"")"),"Organizational structure and operations")</f>
        <v>Organizational structure and operations</v>
      </c>
      <c r="C364" s="1" t="str">
        <f ca="1">IFERROR(__xludf.DUMMYFUNCTION("GOOGLETRANSLATE(E364, ""zh"", ""en"")"),"Qualitative text")</f>
        <v>Qualitative text</v>
      </c>
    </row>
    <row r="365" spans="1:3" ht="13" x14ac:dyDescent="0.15">
      <c r="A365" s="1" t="str">
        <f ca="1">IFERROR(__xludf.DUMMYFUNCTION("GOOGLETRANSLATE(A365, ""zh"", ""en"")"),"The company's supervisory body consciously accepts supervision from the board of directors, the board of supervisors and all employees")</f>
        <v>The company's supervisory body consciously accepts supervision from the board of directors, the board of supervisors and all employees</v>
      </c>
      <c r="B365" s="1" t="str">
        <f ca="1">IFERROR(__xludf.DUMMYFUNCTION("GOOGLETRANSLATE(A365, ""zh"", ""en"")"),"Organizational structure and operations")</f>
        <v>Organizational structure and operations</v>
      </c>
      <c r="C365" s="1" t="str">
        <f ca="1">IFERROR(__xludf.DUMMYFUNCTION("GOOGLETRANSLATE(E365, ""zh"", ""en"")"),"Qualitative text")</f>
        <v>Qualitative text</v>
      </c>
    </row>
    <row r="366" spans="1:3" ht="13" x14ac:dyDescent="0.15">
      <c r="A366" s="1" t="str">
        <f ca="1">IFERROR(__xludf.DUMMYFUNCTION("GOOGLETRANSLATE(A366, ""zh"", ""en"")"),"Strictly abide by the relevant special management regulations of ecologically sensitive areas of the national and local governments")</f>
        <v>Strictly abide by the relevant special management regulations of ecologically sensitive areas of the national and local governments</v>
      </c>
      <c r="B366" s="1" t="str">
        <f ca="1">IFERROR(__xludf.DUMMYFUNCTION("GOOGLETRANSLATE(A366, ""zh"", ""en"")"),"biodiversity")</f>
        <v>biodiversity</v>
      </c>
      <c r="C366" s="1" t="str">
        <f ca="1">IFERROR(__xludf.DUMMYFUNCTION("GOOGLETRANSLATE(E366, ""zh"", ""en"")"),"Qualitative text")</f>
        <v>Qualitative text</v>
      </c>
    </row>
    <row r="367" spans="1:3" ht="13" x14ac:dyDescent="0.15">
      <c r="A367" s="1" t="str">
        <f ca="1">IFERROR(__xludf.DUMMYFUNCTION("GOOGLETRANSLATE(A367, ""zh"", ""en"")"),"If the reporting scope changes, the issuer should explain the difference and the reason for the change.")</f>
        <v>If the reporting scope changes, the issuer should explain the difference and the reason for the change.</v>
      </c>
      <c r="B367" s="1" t="str">
        <f ca="1">IFERROR(__xludf.DUMMYFUNCTION("GOOGLETRANSLATE(A367, ""zh"", ""en"")"),"irrelevant text")</f>
        <v>irrelevant text</v>
      </c>
      <c r="C367" s="1" t="str">
        <f ca="1">IFERROR(__xludf.DUMMYFUNCTION("GOOGLETRANSLATE(E367, ""zh"", ""en"")"),"irrelevant text")</f>
        <v>irrelevant text</v>
      </c>
    </row>
    <row r="368" spans="1:3" ht="13" x14ac:dyDescent="0.15">
      <c r="A368" s="1" t="str">
        <f ca="1">IFERROR(__xludf.DUMMYFUNCTION("GOOGLETRANSLATE(A368, ""zh"", ""en"")"),"Waste electronic equipment and waste office furniture are recycled and disposed of by recyclers")</f>
        <v>Waste electronic equipment and waste office furniture are recycled and disposed of by recyclers</v>
      </c>
      <c r="B368" s="1" t="str">
        <f ca="1">IFERROR(__xludf.DUMMYFUNCTION("GOOGLETRANSLATE(A368, ""zh"", ""en"")"),"Waste Management")</f>
        <v>Waste Management</v>
      </c>
      <c r="C368" s="1" t="str">
        <f ca="1">IFERROR(__xludf.DUMMYFUNCTION("GOOGLETRANSLATE(E368, ""zh"", ""en"")"),"Qualitative text")</f>
        <v>Qualitative text</v>
      </c>
    </row>
    <row r="369" spans="1:3" ht="13" x14ac:dyDescent="0.15">
      <c r="A369" s="1" t="str">
        <f ca="1">IFERROR(__xludf.DUMMYFUNCTION("GOOGLETRANSLATE(A369, ""zh"", ""en"")"),"CITIC Futures held a training course on futures services for agriculture, rural areas and farmers in grassroots townships")</f>
        <v>CITIC Futures held a training course on futures services for agriculture, rural areas and farmers in grassroots townships</v>
      </c>
      <c r="B369" s="1" t="str">
        <f ca="1">IFERROR(__xludf.DUMMYFUNCTION("GOOGLETRANSLATE(A369, ""zh"", ""en"")"),"Rural assistance")</f>
        <v>Rural assistance</v>
      </c>
      <c r="C369" s="1" t="str">
        <f ca="1">IFERROR(__xludf.DUMMYFUNCTION("GOOGLETRANSLATE(E369, ""zh"", ""en"")"),"Qualitative text")</f>
        <v>Qualitative text</v>
      </c>
    </row>
    <row r="370" spans="1:3" ht="13" x14ac:dyDescent="0.15">
      <c r="A370" s="1" t="str">
        <f ca="1">IFERROR(__xludf.DUMMYFUNCTION("GOOGLETRANSLATE(A370, ""zh"", ""en"")"),"Shanghai Electric's major industrial groups did not receive any customer complaints in 2022")</f>
        <v>Shanghai Electric's major industrial groups did not receive any customer complaints in 2022</v>
      </c>
      <c r="B370" s="1" t="str">
        <f ca="1">IFERROR(__xludf.DUMMYFUNCTION("GOOGLETRANSLATE(A370, ""zh"", ""en"")"),"Customers and Consumers")</f>
        <v>Customers and Consumers</v>
      </c>
      <c r="C370" s="1" t="str">
        <f ca="1">IFERROR(__xludf.DUMMYFUNCTION("GOOGLETRANSLATE(E370, ""zh"", ""en"")"),"Quantitative Text")</f>
        <v>Quantitative Text</v>
      </c>
    </row>
    <row r="371" spans="1:3" ht="13" x14ac:dyDescent="0.15">
      <c r="A371" s="1" t="str">
        <f ca="1">IFERROR(__xludf.DUMMYFUNCTION("GOOGLETRANSLATE(A371, ""zh"", ""en"")"),"In 2022, the company did not employ child labor or engage in forced or compulsory labor.")</f>
        <v>In 2022, the company did not employ child labor or engage in forced or compulsory labor.</v>
      </c>
      <c r="B371" s="1" t="str">
        <f ca="1">IFERROR(__xludf.DUMMYFUNCTION("GOOGLETRANSLATE(A371, ""zh"", ""en"")"),"staff")</f>
        <v>staff</v>
      </c>
      <c r="C371" s="1" t="str">
        <f ca="1">IFERROR(__xludf.DUMMYFUNCTION("GOOGLETRANSLATE(E371, ""zh"", ""en"")"),"Quantitative Text")</f>
        <v>Quantitative Text</v>
      </c>
    </row>
    <row r="372" spans="1:3" ht="13" x14ac:dyDescent="0.15">
      <c r="A372" s="1" t="str">
        <f ca="1">IFERROR(__xludf.DUMMYFUNCTION("GOOGLETRANSLATE(A372, ""zh"", ""en"")"),"We advocate integrity and promote honesty, uphold the Party's leadership and strengthen Party building.")</f>
        <v>We advocate integrity and promote honesty, uphold the Party's leadership and strengthen Party building.</v>
      </c>
      <c r="B372" s="1" t="str">
        <f ca="1">IFERROR(__xludf.DUMMYFUNCTION("GOOGLETRANSLATE(A372, ""zh"", ""en"")"),"Anti-corruption and anti-money laundering")</f>
        <v>Anti-corruption and anti-money laundering</v>
      </c>
      <c r="C372" s="1" t="str">
        <f ca="1">IFERROR(__xludf.DUMMYFUNCTION("GOOGLETRANSLATE(E372, ""zh"", ""en"")"),"Qualitative text")</f>
        <v>Qualitative text</v>
      </c>
    </row>
    <row r="373" spans="1:3" ht="13" x14ac:dyDescent="0.15">
      <c r="A373" s="1" t="str">
        <f ca="1">IFERROR(__xludf.DUMMYFUNCTION("GOOGLETRANSLATE(A373, ""zh"", ""en"")"),"No customer complaints occurred in the company's chemical product sales services in 2022")</f>
        <v>No customer complaints occurred in the company's chemical product sales services in 2022</v>
      </c>
      <c r="B373" s="1" t="str">
        <f ca="1">IFERROR(__xludf.DUMMYFUNCTION("GOOGLETRANSLATE(A373, ""zh"", ""en"")"),"Customers and Consumers")</f>
        <v>Customers and Consumers</v>
      </c>
      <c r="C373" s="1" t="str">
        <f ca="1">IFERROR(__xludf.DUMMYFUNCTION("GOOGLETRANSLATE(E373, ""zh"", ""en"")"),"Quantitative Text")</f>
        <v>Quantitative Text</v>
      </c>
    </row>
    <row r="374" spans="1:3" ht="13" x14ac:dyDescent="0.15">
      <c r="A374" s="1" t="str">
        <f ca="1">IFERROR(__xludf.DUMMYFUNCTION("GOOGLETRANSLATE(A374, ""zh"", ""en"")"),"The company did not find any violations related to employee health and safety in 2022")</f>
        <v>The company did not find any violations related to employee health and safety in 2022</v>
      </c>
      <c r="B374" s="1" t="str">
        <f ca="1">IFERROR(__xludf.DUMMYFUNCTION("GOOGLETRANSLATE(A374, ""zh"", ""en"")"),"staff")</f>
        <v>staff</v>
      </c>
      <c r="C374" s="1" t="str">
        <f ca="1">IFERROR(__xludf.DUMMYFUNCTION("GOOGLETRANSLATE(E374, ""zh"", ""en"")"),"Quantitative Text")</f>
        <v>Quantitative Text</v>
      </c>
    </row>
    <row r="375" spans="1:3" ht="13" x14ac:dyDescent="0.15">
      <c r="A375" s="1" t="str">
        <f ca="1">IFERROR(__xludf.DUMMYFUNCTION("GOOGLETRANSLATE(A375, ""zh"", ""en"")"),"The company also actively promotes the use of electronic meeting materials to gradually achieve paperless office")</f>
        <v>The company also actively promotes the use of electronic meeting materials to gradually achieve paperless office</v>
      </c>
      <c r="B375" s="1" t="str">
        <f ca="1">IFERROR(__xludf.DUMMYFUNCTION("GOOGLETRANSLATE(A375, ""zh"", ""en"")"),"Energy and resource consumption")</f>
        <v>Energy and resource consumption</v>
      </c>
      <c r="C375" s="1" t="str">
        <f ca="1">IFERROR(__xludf.DUMMYFUNCTION("GOOGLETRANSLATE(E375, ""zh"", ""en"")"),"Qualitative text")</f>
        <v>Qualitative text</v>
      </c>
    </row>
    <row r="376" spans="1:3" ht="13" x14ac:dyDescent="0.15">
      <c r="A376" s="1" t="str">
        <f ca="1">IFERROR(__xludf.DUMMYFUNCTION("GOOGLETRANSLATE(A376, ""zh"", ""en"")"),"The branch has 43 party members, including middle-level backbones of the Huogai management team and grassroots employees.")</f>
        <v>The branch has 43 party members, including middle-level backbones of the Huogai management team and grassroots employees.</v>
      </c>
      <c r="B376" s="1" t="str">
        <f ca="1">IFERROR(__xludf.DUMMYFUNCTION("GOOGLETRANSLATE(A376, ""zh"", ""en"")"),"Organizational structure and operations")</f>
        <v>Organizational structure and operations</v>
      </c>
      <c r="C376" s="1" t="str">
        <f ca="1">IFERROR(__xludf.DUMMYFUNCTION("GOOGLETRANSLATE(E376, ""zh"", ""en"")"),"Quantitative Text")</f>
        <v>Quantitative Text</v>
      </c>
    </row>
    <row r="377" spans="1:3" ht="13" x14ac:dyDescent="0.15">
      <c r="A377" s="1" t="str">
        <f ca="1">IFERROR(__xludf.DUMMYFUNCTION("GOOGLETRANSLATE(A377, ""zh"", ""en"")"),"Advanced and scientific nature of this collection of drawings and organization regularly collects and organizes engineering regulations and documents")</f>
        <v>Advanced and scientific nature of this collection of drawings and organization regularly collects and organizes engineering regulations and documents</v>
      </c>
      <c r="B377" s="1" t="str">
        <f ca="1">IFERROR(__xludf.DUMMYFUNCTION("GOOGLETRANSLATE(A377, ""zh"", ""en"")"),"Organizational structure and operations")</f>
        <v>Organizational structure and operations</v>
      </c>
      <c r="C377" s="1" t="str">
        <f ca="1">IFERROR(__xludf.DUMMYFUNCTION("GOOGLETRANSLATE(E377, ""zh"", ""en"")"),"Qualitative text")</f>
        <v>Qualitative text</v>
      </c>
    </row>
    <row r="378" spans="1:3" ht="13" x14ac:dyDescent="0.15">
      <c r="A378" s="1" t="str">
        <f ca="1">IFERROR(__xludf.DUMMYFUNCTION("GOOGLETRANSLATE(A378, ""zh"", ""en"")"),"Continue to conduct specialized audits on the management of key businesses such as R&amp;D, sales, and procurement expenses")</f>
        <v>Continue to conduct specialized audits on the management of key businesses such as R&amp;D, sales, and procurement expenses</v>
      </c>
      <c r="B378" s="1" t="str">
        <f ca="1">IFERROR(__xludf.DUMMYFUNCTION("GOOGLETRANSLATE(A378, ""zh"", ""en"")"),"Audit work")</f>
        <v>Audit work</v>
      </c>
      <c r="C378" s="1" t="str">
        <f ca="1">IFERROR(__xludf.DUMMYFUNCTION("GOOGLETRANSLATE(E378, ""zh"", ""en"")"),"Qualitative text")</f>
        <v>Qualitative text</v>
      </c>
    </row>
    <row r="379" spans="1:3" ht="13" x14ac:dyDescent="0.15">
      <c r="A379" s="1" t="str">
        <f ca="1">IFERROR(__xludf.DUMMYFUNCTION("GOOGLETRANSLATE(A379, ""zh"", ""en"")"),"We strive to promote R&amp;D innovation with a goal-oriented and high-tech driven R&amp;D policy")</f>
        <v>We strive to promote R&amp;D innovation with a goal-oriented and high-tech driven R&amp;D policy</v>
      </c>
      <c r="B379" s="1" t="str">
        <f ca="1">IFERROR(__xludf.DUMMYFUNCTION("GOOGLETRANSLATE(A379, ""zh"", ""en"")"),"Technological innovation")</f>
        <v>Technological innovation</v>
      </c>
      <c r="C379" s="1" t="str">
        <f ca="1">IFERROR(__xludf.DUMMYFUNCTION("GOOGLETRANSLATE(E379, ""zh"", ""en"")"),"Qualitative text")</f>
        <v>Qualitative text</v>
      </c>
    </row>
    <row r="380" spans="1:3" ht="13" x14ac:dyDescent="0.15">
      <c r="A380" s="1" t="str">
        <f ca="1">IFERROR(__xludf.DUMMYFUNCTION("GOOGLETRANSLATE(A380, ""zh"", ""en"")"),"At the same time, we support the development of key specialties and won the second prize in the provincial competition.")</f>
        <v>At the same time, we support the development of key specialties and won the second prize in the provincial competition.</v>
      </c>
      <c r="B380" s="1" t="str">
        <f ca="1">IFERROR(__xludf.DUMMYFUNCTION("GOOGLETRANSLATE(A380, ""zh"", ""en"")"),"Technological innovation")</f>
        <v>Technological innovation</v>
      </c>
      <c r="C380" s="1" t="str">
        <f ca="1">IFERROR(__xludf.DUMMYFUNCTION("GOOGLETRANSLATE(E380, ""zh"", ""en"")"),"Quantitative Text")</f>
        <v>Quantitative Text</v>
      </c>
    </row>
    <row r="381" spans="1:3" ht="13" x14ac:dyDescent="0.15">
      <c r="A381" s="1" t="str">
        <f ca="1">IFERROR(__xludf.DUMMYFUNCTION("GOOGLETRANSLATE(A381, ""zh"", ""en"")"),"In case of any discrepancy between the versions, please refer to the simplified Chinese version.")</f>
        <v>In case of any discrepancy between the versions, please refer to the simplified Chinese version.</v>
      </c>
      <c r="B381" s="1" t="str">
        <f ca="1">IFERROR(__xludf.DUMMYFUNCTION("GOOGLETRANSLATE(A381, ""zh"", ""en"")"),"irrelevant text")</f>
        <v>irrelevant text</v>
      </c>
      <c r="C381" s="1" t="str">
        <f ca="1">IFERROR(__xludf.DUMMYFUNCTION("GOOGLETRANSLATE(E381, ""zh"", ""en"")"),"irrelevant text")</f>
        <v>irrelevant text</v>
      </c>
    </row>
    <row r="382" spans="1:3" ht="13" x14ac:dyDescent="0.15">
      <c r="A382" s="1" t="str">
        <f ca="1">IFERROR(__xludf.DUMMYFUNCTION("GOOGLETRANSLATE(A382, ""zh"", ""en"")"),"Regularly organize central enterprises to promote agriculture activities and the majority of employees actively participate in helping farmers")</f>
        <v>Regularly organize central enterprises to promote agriculture activities and the majority of employees actively participate in helping farmers</v>
      </c>
      <c r="B382" s="1" t="str">
        <f ca="1">IFERROR(__xludf.DUMMYFUNCTION("GOOGLETRANSLATE(A382, ""zh"", ""en"")"),"Rural assistance")</f>
        <v>Rural assistance</v>
      </c>
      <c r="C382" s="1" t="str">
        <f ca="1">IFERROR(__xludf.DUMMYFUNCTION("GOOGLETRANSLATE(E382, ""zh"", ""en"")"),"Qualitative text")</f>
        <v>Qualitative text</v>
      </c>
    </row>
    <row r="383" spans="1:3" ht="13" x14ac:dyDescent="0.15">
      <c r="A383" s="1" t="str">
        <f ca="1">IFERROR(__xludf.DUMMYFUNCTION("GOOGLETRANSLATE(A383, ""zh"", ""en"")"),"2. Employee performance appraisal and incentives: Establish a full-level and full-staff tracking and appraisal mechanism")</f>
        <v>2. Employee performance appraisal and incentives: Establish a full-level and full-staff tracking and appraisal mechanism</v>
      </c>
      <c r="B383" s="1" t="str">
        <f ca="1">IFERROR(__xludf.DUMMYFUNCTION("GOOGLETRANSLATE(A383, ""zh"", ""en"")"),"staff")</f>
        <v>staff</v>
      </c>
      <c r="C383" s="1" t="str">
        <f ca="1">IFERROR(__xludf.DUMMYFUNCTION("GOOGLETRANSLATE(E383, ""zh"", ""en"")"),"Qualitative text")</f>
        <v>Qualitative text</v>
      </c>
    </row>
    <row r="384" spans="1:3" ht="13" x14ac:dyDescent="0.15">
      <c r="A384" s="1" t="str">
        <f ca="1">IFERROR(__xludf.DUMMYFUNCTION("GOOGLETRANSLATE(A384, ""zh"", ""en"")"),"The Bank collects customer data on a case-by-case basis and estimates corporate carbon emissions using a specific methodology.")</f>
        <v>The Bank collects customer data on a case-by-case basis and estimates corporate carbon emissions using a specific methodology.</v>
      </c>
      <c r="B384" s="1" t="str">
        <f ca="1">IFERROR(__xludf.DUMMYFUNCTION("GOOGLETRANSLATE(A384, ""zh"", ""en"")"),"carbon emissions")</f>
        <v>carbon emissions</v>
      </c>
      <c r="C384" s="1" t="str">
        <f ca="1">IFERROR(__xludf.DUMMYFUNCTION("GOOGLETRANSLATE(E384, ""zh"", ""en"")"),"Qualitative text")</f>
        <v>Qualitative text</v>
      </c>
    </row>
    <row r="385" spans="1:3" ht="13" x14ac:dyDescent="0.15">
      <c r="A385" s="1" t="str">
        <f ca="1">IFERROR(__xludf.DUMMYFUNCTION("GOOGLETRANSLATE(A385, ""zh"", ""en"")"),"At the same time, it intelligently identifies customer tags and recommends more suitable loan products to customers")</f>
        <v>At the same time, it intelligently identifies customer tags and recommends more suitable loan products to customers</v>
      </c>
      <c r="B385" s="1" t="str">
        <f ca="1">IFERROR(__xludf.DUMMYFUNCTION("GOOGLETRANSLATE(A385, ""zh"", ""en"")"),"Customers and Consumers")</f>
        <v>Customers and Consumers</v>
      </c>
      <c r="C385" s="1" t="str">
        <f ca="1">IFERROR(__xludf.DUMMYFUNCTION("GOOGLETRANSLATE(E385, ""zh"", ""en"")"),"Qualitative text")</f>
        <v>Qualitative text</v>
      </c>
    </row>
    <row r="386" spans="1:3" ht="13" x14ac:dyDescent="0.15">
      <c r="A386" s="1" t="str">
        <f ca="1">IFERROR(__xludf.DUMMYFUNCTION("GOOGLETRANSLATE(A386, ""zh"", ""en"")"),"The company received the highest grade A in the Shanghai Stock Exchange's information disclosure evaluation for the third consecutive year.")</f>
        <v>The company received the highest grade A in the Shanghai Stock Exchange's information disclosure evaluation for the third consecutive year.</v>
      </c>
      <c r="B386" s="1" t="str">
        <f ca="1">IFERROR(__xludf.DUMMYFUNCTION("GOOGLETRANSLATE(A386, ""zh"", ""en"")"),"Information Disclosure and Investor Communication")</f>
        <v>Information Disclosure and Investor Communication</v>
      </c>
      <c r="C386" s="1" t="str">
        <f ca="1">IFERROR(__xludf.DUMMYFUNCTION("GOOGLETRANSLATE(E386, ""zh"", ""en"")"),"Quantitative Text")</f>
        <v>Quantitative Text</v>
      </c>
    </row>
    <row r="387" spans="1:3" ht="13" x14ac:dyDescent="0.15">
      <c r="A387" s="1" t="str">
        <f ca="1">IFERROR(__xludf.DUMMYFUNCTION("GOOGLETRANSLATE(A387, ""zh"", ""en"")"),"Sunshine Running Club, dance, yoga, table tennis and other clubs enhance employees' vitality and happiness")</f>
        <v>Sunshine Running Club, dance, yoga, table tennis and other clubs enhance employees' vitality and happiness</v>
      </c>
      <c r="B387" s="1" t="str">
        <f ca="1">IFERROR(__xludf.DUMMYFUNCTION("GOOGLETRANSLATE(A387, ""zh"", ""en"")"),"staff")</f>
        <v>staff</v>
      </c>
      <c r="C387" s="1" t="str">
        <f ca="1">IFERROR(__xludf.DUMMYFUNCTION("GOOGLETRANSLATE(E387, ""zh"", ""en"")"),"Qualitative text")</f>
        <v>Qualitative text</v>
      </c>
    </row>
    <row r="388" spans="1:3" ht="13" x14ac:dyDescent="0.15">
      <c r="A388" s="1" t="str">
        <f ca="1">IFERROR(__xludf.DUMMYFUNCTION("GOOGLETRANSLATE(A388, ""zh"", ""en"")"),"If the reporting scope changes, the issuer should explain the difference and the reason for the change.")</f>
        <v>If the reporting scope changes, the issuer should explain the difference and the reason for the change.</v>
      </c>
      <c r="B388" s="1" t="str">
        <f ca="1">IFERROR(__xludf.DUMMYFUNCTION("GOOGLETRANSLATE(A388, ""zh"", ""en"")"),"irrelevant text")</f>
        <v>irrelevant text</v>
      </c>
      <c r="C388" s="1" t="str">
        <f ca="1">IFERROR(__xludf.DUMMYFUNCTION("GOOGLETRANSLATE(E388, ""zh"", ""en"")"),"irrelevant text")</f>
        <v>irrelevant text</v>
      </c>
    </row>
    <row r="389" spans="1:3" ht="13" x14ac:dyDescent="0.15">
      <c r="A389" s="1" t="str">
        <f ca="1">IFERROR(__xludf.DUMMYFUNCTION("GOOGLETRANSLATE(A389, ""zh"", ""en"")"),"In 2022, the company will build 10,635 mu of carbon sink forests and carbon neutral forests.")</f>
        <v>In 2022, the company will build 10,635 mu of carbon sink forests and carbon neutral forests.</v>
      </c>
      <c r="B389" s="1" t="str">
        <f ca="1">IFERROR(__xludf.DUMMYFUNCTION("GOOGLETRANSLATE(A389, ""zh"", ""en"")"),"carbon emissions")</f>
        <v>carbon emissions</v>
      </c>
      <c r="C389" s="1" t="str">
        <f ca="1">IFERROR(__xludf.DUMMYFUNCTION("GOOGLETRANSLATE(E389, ""zh"", ""en"")"),"Quantitative Text")</f>
        <v>Quantitative Text</v>
      </c>
    </row>
    <row r="390" spans="1:3" ht="13" x14ac:dyDescent="0.15">
      <c r="A390" s="1" t="str">
        <f ca="1">IFERROR(__xludf.DUMMYFUNCTION("GOOGLETRANSLATE(A390, ""zh"", ""en"")"),"The Supervisory Committee has effectively supervised the company's financial situation and internal control management")</f>
        <v>The Supervisory Committee has effectively supervised the company's financial situation and internal control management</v>
      </c>
      <c r="B390" s="1" t="str">
        <f ca="1">IFERROR(__xludf.DUMMYFUNCTION("GOOGLETRANSLATE(A390, ""zh"", ""en"")"),"Organizational structure and operations")</f>
        <v>Organizational structure and operations</v>
      </c>
      <c r="C390" s="1" t="str">
        <f ca="1">IFERROR(__xludf.DUMMYFUNCTION("GOOGLETRANSLATE(E390, ""zh"", ""en"")"),"Qualitative text")</f>
        <v>Qualitative text</v>
      </c>
    </row>
    <row r="391" spans="1:3" ht="13" x14ac:dyDescent="0.15">
      <c r="A391" s="1" t="str">
        <f ca="1">IFERROR(__xludf.DUMMYFUNCTION("GOOGLETRANSLATE(A391, ""zh"", ""en"")"),"Fosun Pharma and Shanghai Fosun Financial Association jointly established the Xingai 121 Special Fund")</f>
        <v>Fosun Pharma and Shanghai Fosun Financial Association jointly established the Xingai 121 Special Fund</v>
      </c>
      <c r="B391" s="1" t="str">
        <f ca="1">IFERROR(__xludf.DUMMYFUNCTION("GOOGLETRANSLATE(A391, ""zh"", ""en"")"),"Public welfare and volunteer service")</f>
        <v>Public welfare and volunteer service</v>
      </c>
      <c r="C391" s="1" t="str">
        <f ca="1">IFERROR(__xludf.DUMMYFUNCTION("GOOGLETRANSLATE(E391, ""zh"", ""en"")"),"Qualitative text")</f>
        <v>Qualitative text</v>
      </c>
    </row>
    <row r="392" spans="1:3" ht="13" x14ac:dyDescent="0.15">
      <c r="A392" s="1" t="str">
        <f ca="1">IFERROR(__xludf.DUMMYFUNCTION("GOOGLETRANSLATE(A392, ""zh"", ""en"")"),"The project realizes the transformation from traditional manual picking to intelligent equipment collaborative management and control")</f>
        <v>The project realizes the transformation from traditional manual picking to intelligent equipment collaborative management and control</v>
      </c>
      <c r="B392" s="1" t="str">
        <f ca="1">IFERROR(__xludf.DUMMYFUNCTION("GOOGLETRANSLATE(A392, ""zh"", ""en"")"),"Technological innovation")</f>
        <v>Technological innovation</v>
      </c>
      <c r="C392" s="1" t="str">
        <f ca="1">IFERROR(__xludf.DUMMYFUNCTION("GOOGLETRANSLATE(E392, ""zh"", ""en"")"),"Qualitative text")</f>
        <v>Qualitative text</v>
      </c>
    </row>
    <row r="393" spans="1:3" ht="13" x14ac:dyDescent="0.15">
      <c r="A393" s="1" t="str">
        <f ca="1">IFERROR(__xludf.DUMMYFUNCTION("GOOGLETRANSLATE(A393, ""zh"", ""en"")"),"In March 2022, the Xinjiang Uyghur Medicine Party Branch carried out a voluntary tree planting activity")</f>
        <v>In March 2022, the Xinjiang Uyghur Medicine Party Branch carried out a voluntary tree planting activity</v>
      </c>
      <c r="B393" s="1" t="str">
        <f ca="1">IFERROR(__xludf.DUMMYFUNCTION("GOOGLETRANSLATE(A393, ""zh"", ""en"")"),"Public welfare and volunteer service")</f>
        <v>Public welfare and volunteer service</v>
      </c>
      <c r="C393" s="1" t="str">
        <f ca="1">IFERROR(__xludf.DUMMYFUNCTION("GOOGLETRANSLATE(E393, ""zh"", ""en"")"),"Qualitative text")</f>
        <v>Qualitative text</v>
      </c>
    </row>
    <row r="394" spans="1:3" ht="13" x14ac:dyDescent="0.15">
      <c r="A394" s="1" t="str">
        <f ca="1">IFERROR(__xludf.DUMMYFUNCTION("GOOGLETRANSLATE(A394, ""zh"", ""en"")"),"During the reporting period, five subsidiaries of the company were rated as provincial-level industrial water-saving enterprises.")</f>
        <v>During the reporting period, five subsidiaries of the company were rated as provincial-level industrial water-saving enterprises.</v>
      </c>
      <c r="B394" s="1" t="str">
        <f ca="1">IFERROR(__xludf.DUMMYFUNCTION("GOOGLETRANSLATE(A394, ""zh"", ""en"")"),"Water resources")</f>
        <v>Water resources</v>
      </c>
      <c r="C394" s="1" t="str">
        <f ca="1">IFERROR(__xludf.DUMMYFUNCTION("GOOGLETRANSLATE(E394, ""zh"", ""en"")"),"Quantitative Text")</f>
        <v>Quantitative Text</v>
      </c>
    </row>
    <row r="395" spans="1:3" ht="13" x14ac:dyDescent="0.15">
      <c r="A395" s="1" t="str">
        <f ca="1">IFERROR(__xludf.DUMMYFUNCTION("GOOGLETRANSLATE(A395, ""zh"", ""en"")"),"The company's four subordinate production enterprises have successively passed ISO14001 certification")</f>
        <v>The company's four subordinate production enterprises have successively passed ISO14001 certification</v>
      </c>
      <c r="B395" s="1" t="str">
        <f ca="1">IFERROR(__xludf.DUMMYFUNCTION("GOOGLETRANSLATE(A395, ""zh"", ""en"")"),"Sustainable certification")</f>
        <v>Sustainable certification</v>
      </c>
      <c r="C395" s="1" t="str">
        <f ca="1">IFERROR(__xludf.DUMMYFUNCTION("GOOGLETRANSLATE(E395, ""zh"", ""en"")"),"Quantitative Text")</f>
        <v>Quantitative Text</v>
      </c>
    </row>
    <row r="396" spans="1:3" ht="13" x14ac:dyDescent="0.15">
      <c r="A396" s="1" t="str">
        <f ca="1">IFERROR(__xludf.DUMMYFUNCTION("GOOGLETRANSLATE(A396, ""zh"", ""en"")"),"280 patent applications in 2022 and 147 newly authorized patents")</f>
        <v>280 patent applications in 2022 and 147 newly authorized patents</v>
      </c>
      <c r="B396" s="1" t="str">
        <f ca="1">IFERROR(__xludf.DUMMYFUNCTION("GOOGLETRANSLATE(A396, ""zh"", ""en"")"),"Intellectual Property Protection")</f>
        <v>Intellectual Property Protection</v>
      </c>
      <c r="C396" s="1" t="str">
        <f ca="1">IFERROR(__xludf.DUMMYFUNCTION("GOOGLETRANSLATE(E396, ""zh"", ""en"")"),"Quantitative Text")</f>
        <v>Quantitative Text</v>
      </c>
    </row>
    <row r="397" spans="1:3" ht="13" x14ac:dyDescent="0.15">
      <c r="A397" s="1" t="str">
        <f ca="1">IFERROR(__xludf.DUMMYFUNCTION("GOOGLETRANSLATE(A397, ""zh"", ""en"")"),"Diverse training formats and employment assistance support, supporting online or offline dual-track learning")</f>
        <v>Diverse training formats and employment assistance support, supporting online or offline dual-track learning</v>
      </c>
      <c r="B397" s="1" t="str">
        <f ca="1">IFERROR(__xludf.DUMMYFUNCTION("GOOGLETRANSLATE(A397, ""zh"", ""en"")"),"Promoting employment")</f>
        <v>Promoting employment</v>
      </c>
      <c r="C397" s="1" t="str">
        <f ca="1">IFERROR(__xludf.DUMMYFUNCTION("GOOGLETRANSLATE(E397, ""zh"", ""en"")"),"Qualitative text")</f>
        <v>Qualitative text</v>
      </c>
    </row>
    <row r="398" spans="1:3" ht="13" x14ac:dyDescent="0.15">
      <c r="A398" s="1" t="str">
        <f ca="1">IFERROR(__xludf.DUMMYFUNCTION("GOOGLETRANSLATE(A398, ""zh"", ""en"")"),"Thymic tumors are a relatively rare type of chest tumor.")</f>
        <v>Thymic tumors are a relatively rare type of chest tumor.</v>
      </c>
      <c r="B398" s="1" t="str">
        <f ca="1">IFERROR(__xludf.DUMMYFUNCTION("GOOGLETRANSLATE(A398, ""zh"", ""en"")"),"irrelevant text")</f>
        <v>irrelevant text</v>
      </c>
      <c r="C398" s="1" t="str">
        <f ca="1">IFERROR(__xludf.DUMMYFUNCTION("GOOGLETRANSLATE(E398, ""zh"", ""en"")"),"irrelevant text")</f>
        <v>irrelevant text</v>
      </c>
    </row>
    <row r="399" spans="1:3" ht="13" x14ac:dyDescent="0.15">
      <c r="A399" s="1" t="str">
        <f ca="1">IFERROR(__xludf.DUMMYFUNCTION("GOOGLETRANSLATE(A399, ""zh"", ""en"")"),"The company encourages and arranges paid leave for employees in accordance with relevant national and corporate regulations")</f>
        <v>The company encourages and arranges paid leave for employees in accordance with relevant national and corporate regulations</v>
      </c>
      <c r="B399" s="1" t="str">
        <f ca="1">IFERROR(__xludf.DUMMYFUNCTION("GOOGLETRANSLATE(A399, ""zh"", ""en"")"),"staff")</f>
        <v>staff</v>
      </c>
      <c r="C399" s="1" t="str">
        <f ca="1">IFERROR(__xludf.DUMMYFUNCTION("GOOGLETRANSLATE(E399, ""zh"", ""en"")"),"Qualitative text")</f>
        <v>Qualitative text</v>
      </c>
    </row>
    <row r="400" spans="1:3" ht="13" x14ac:dyDescent="0.15">
      <c r="A400" s="1" t="str">
        <f ca="1">IFERROR(__xludf.DUMMYFUNCTION("GOOGLETRANSLATE(A400, ""zh"", ""en"")"),"The project has increased the income of village enterprises and helped the development of the local astragalus industry.")</f>
        <v>The project has increased the income of village enterprises and helped the development of the local astragalus industry.</v>
      </c>
      <c r="B400" s="1" t="str">
        <f ca="1">IFERROR(__xludf.DUMMYFUNCTION("GOOGLETRANSLATE(A400, ""zh"", ""en"")"),"Rural assistance")</f>
        <v>Rural assistance</v>
      </c>
      <c r="C400" s="1" t="str">
        <f ca="1">IFERROR(__xludf.DUMMYFUNCTION("GOOGLETRANSLATE(E400, ""zh"", ""en"")"),"Qualitative text")</f>
        <v>Qualitative text</v>
      </c>
    </row>
    <row r="401" spans="1:3" ht="13" x14ac:dyDescent="0.15">
      <c r="A401" s="1" t="str">
        <f ca="1">IFERROR(__xludf.DUMMYFUNCTION("GOOGLETRANSLATE(A401, ""zh"", ""en"")"),"The company improves and perfects the customer service management process to understand customer needs and customer problems")</f>
        <v>The company improves and perfects the customer service management process to understand customer needs and customer problems</v>
      </c>
      <c r="B401" s="1" t="str">
        <f ca="1">IFERROR(__xludf.DUMMYFUNCTION("GOOGLETRANSLATE(A401, ""zh"", ""en"")"),"Customers and Consumers")</f>
        <v>Customers and Consumers</v>
      </c>
      <c r="C401" s="1" t="str">
        <f ca="1">IFERROR(__xludf.DUMMYFUNCTION("GOOGLETRANSLATE(E401, ""zh"", ""en"")"),"Qualitative text")</f>
        <v>Qualitative text</v>
      </c>
    </row>
    <row r="402" spans="1:3" ht="13" x14ac:dyDescent="0.15">
      <c r="A402" s="1" t="str">
        <f ca="1">IFERROR(__xludf.DUMMYFUNCTION("GOOGLETRANSLATE(A402, ""zh"", ""en"")"),"The company has not had any information security leaks or customer privacy leaks.")</f>
        <v>The company has not had any information security leaks or customer privacy leaks.</v>
      </c>
      <c r="B402" s="1" t="str">
        <f ca="1">IFERROR(__xludf.DUMMYFUNCTION("GOOGLETRANSLATE(A402, ""zh"", ""en"")"),"Data security")</f>
        <v>Data security</v>
      </c>
      <c r="C402" s="1" t="str">
        <f ca="1">IFERROR(__xludf.DUMMYFUNCTION("GOOGLETRANSLATE(E402, ""zh"", ""en"")"),"Quantitative Text")</f>
        <v>Quantitative Text</v>
      </c>
    </row>
    <row r="403" spans="1:3" ht="13" x14ac:dyDescent="0.15">
      <c r="A403" s="1" t="str">
        <f ca="1">IFERROR(__xludf.DUMMYFUNCTION("GOOGLETRANSLATE(A403, ""zh"", ""en"")"),"Organize employee fitness activities and carry out sports competitions such as badminton, basketball, tug-of-war, etc.")</f>
        <v>Organize employee fitness activities and carry out sports competitions such as badminton, basketball, tug-of-war, etc.</v>
      </c>
      <c r="B403" s="1" t="str">
        <f ca="1">IFERROR(__xludf.DUMMYFUNCTION("GOOGLETRANSLATE(A403, ""zh"", ""en"")"),"staff")</f>
        <v>staff</v>
      </c>
      <c r="C403" s="1" t="str">
        <f ca="1">IFERROR(__xludf.DUMMYFUNCTION("GOOGLETRANSLATE(E403, ""zh"", ""en"")"),"Qualitative text")</f>
        <v>Qualitative text</v>
      </c>
    </row>
    <row r="404" spans="1:3" ht="13" x14ac:dyDescent="0.15">
      <c r="A404" s="1" t="str">
        <f ca="1">IFERROR(__xludf.DUMMYFUNCTION("GOOGLETRANSLATE(A404, ""zh"", ""en"")"),"Supporting the poverty alleviation campaign, the company adheres to fulfilling its social responsibilities and focuses on rural revitalization")</f>
        <v>Supporting the poverty alleviation campaign, the company adheres to fulfilling its social responsibilities and focuses on rural revitalization</v>
      </c>
      <c r="B404" s="1" t="str">
        <f ca="1">IFERROR(__xludf.DUMMYFUNCTION("GOOGLETRANSLATE(A404, ""zh"", ""en"")"),"Rural assistance")</f>
        <v>Rural assistance</v>
      </c>
      <c r="C404" s="1" t="str">
        <f ca="1">IFERROR(__xludf.DUMMYFUNCTION("GOOGLETRANSLATE(E404, ""zh"", ""en"")"),"Qualitative text")</f>
        <v>Qualitative text</v>
      </c>
    </row>
    <row r="405" spans="1:3" ht="13" x14ac:dyDescent="0.15">
      <c r="A405" s="1" t="str">
        <f ca="1">IFERROR(__xludf.DUMMYFUNCTION("GOOGLETRANSLATE(A405, ""zh"", ""en"")"),"Organized a series of salon activities for female employees, with more than 70 female employees participating")</f>
        <v>Organized a series of salon activities for female employees, with more than 70 female employees participating</v>
      </c>
      <c r="B405" s="1" t="str">
        <f ca="1">IFERROR(__xludf.DUMMYFUNCTION("GOOGLETRANSLATE(A405, ""zh"", ""en"")"),"staff")</f>
        <v>staff</v>
      </c>
      <c r="C405" s="1" t="str">
        <f ca="1">IFERROR(__xludf.DUMMYFUNCTION("GOOGLETRANSLATE(E405, ""zh"", ""en"")"),"Quantitative Text")</f>
        <v>Quantitative Text</v>
      </c>
    </row>
    <row r="406" spans="1:3" ht="13" x14ac:dyDescent="0.15">
      <c r="A406" s="1" t="str">
        <f ca="1">IFERROR(__xludf.DUMMYFUNCTION("GOOGLETRANSLATE(A406, ""zh"", ""en"")"),"If the reporting scope changes, the issuer should explain the difference and the reason for the change.")</f>
        <v>If the reporting scope changes, the issuer should explain the difference and the reason for the change.</v>
      </c>
      <c r="B406" s="1" t="str">
        <f ca="1">IFERROR(__xludf.DUMMYFUNCTION("GOOGLETRANSLATE(A406, ""zh"", ""en"")"),"irrelevant text")</f>
        <v>irrelevant text</v>
      </c>
      <c r="C406" s="1" t="str">
        <f ca="1">IFERROR(__xludf.DUMMYFUNCTION("GOOGLETRANSLATE(E406, ""zh"", ""en"")"),"irrelevant text")</f>
        <v>irrelevant text</v>
      </c>
    </row>
    <row r="407" spans="1:3" ht="13" x14ac:dyDescent="0.15">
      <c r="A407" s="1" t="str">
        <f ca="1">IFERROR(__xludf.DUMMYFUNCTION("GOOGLETRANSLATE(A407, ""zh"", ""en"")"),"Ningbo company develops spare parts business for mainstream automobile manufacturers and supplies monthly to famous enterprises such as Geely and Great Wall")</f>
        <v>Ningbo company develops spare parts business for mainstream automobile manufacturers and supplies monthly to famous enterprises such as Geely and Great Wall</v>
      </c>
      <c r="B407" s="1" t="str">
        <f ca="1">IFERROR(__xludf.DUMMYFUNCTION("GOOGLETRANSLATE(A407, ""zh"", ""en"")"),"supply chain management")</f>
        <v>supply chain management</v>
      </c>
      <c r="C407" s="1" t="str">
        <f ca="1">IFERROR(__xludf.DUMMYFUNCTION("GOOGLETRANSLATE(E407, ""zh"", ""en"")"),"Qualitative text")</f>
        <v>Qualitative text</v>
      </c>
    </row>
    <row r="408" spans="1:3" ht="13" x14ac:dyDescent="0.15">
      <c r="A408" s="1" t="str">
        <f ca="1">IFERROR(__xludf.DUMMYFUNCTION("GOOGLETRANSLATE(A408, ""zh"", ""en"")"),"P8081B6.4 Describe the quality inspection process and product recall procedures")</f>
        <v>P8081B6.4 Describe the quality inspection process and product recall procedures</v>
      </c>
      <c r="B408" s="1" t="str">
        <f ca="1">IFERROR(__xludf.DUMMYFUNCTION("GOOGLETRANSLATE(A408, ""zh"", ""en"")"),"Product quality")</f>
        <v>Product quality</v>
      </c>
      <c r="C408" s="1" t="str">
        <f ca="1">IFERROR(__xludf.DUMMYFUNCTION("GOOGLETRANSLATE(E408, ""zh"", ""en"")"),"Qualitative text")</f>
        <v>Qualitative text</v>
      </c>
    </row>
    <row r="409" spans="1:3" ht="13" x14ac:dyDescent="0.15">
      <c r="A409" s="1" t="str">
        <f ca="1">IFERROR(__xludf.DUMMYFUNCTION("GOOGLETRANSLATE(A409, ""zh"", ""en"")"),"Report the epidemic situation daily, carry out internal disinfection work, and establish an epidemic record.")</f>
        <v>Report the epidemic situation daily, carry out internal disinfection work, and establish an epidemic record.</v>
      </c>
      <c r="B409" s="1" t="str">
        <f ca="1">IFERROR(__xludf.DUMMYFUNCTION("GOOGLETRANSLATE(A409, ""zh"", ""en"")"),"Fighting the epidemic")</f>
        <v>Fighting the epidemic</v>
      </c>
      <c r="C409" s="1" t="str">
        <f ca="1">IFERROR(__xludf.DUMMYFUNCTION("GOOGLETRANSLATE(E409, ""zh"", ""en"")"),"Qualitative text")</f>
        <v>Qualitative text</v>
      </c>
    </row>
    <row r="410" spans="1:3" ht="13" x14ac:dyDescent="0.15">
      <c r="A410" s="1" t="str">
        <f ca="1">IFERROR(__xludf.DUMMYFUNCTION("GOOGLETRANSLATE(A410, ""zh"", ""en"")"),"P82B6.3 Describe practices related to maintaining and protecting intellectual property rights")</f>
        <v>P82B6.3 Describe practices related to maintaining and protecting intellectual property rights</v>
      </c>
      <c r="B410" s="1" t="str">
        <f ca="1">IFERROR(__xludf.DUMMYFUNCTION("GOOGLETRANSLATE(A410, ""zh"", ""en"")"),"Intellectual Property Protection")</f>
        <v>Intellectual Property Protection</v>
      </c>
      <c r="C410" s="1" t="str">
        <f ca="1">IFERROR(__xludf.DUMMYFUNCTION("GOOGLETRANSLATE(E410, ""zh"", ""en"")"),"Qualitative text")</f>
        <v>Qualitative text</v>
      </c>
    </row>
    <row r="411" spans="1:3" ht="13" x14ac:dyDescent="0.15">
      <c r="A411" s="1" t="str">
        <f ca="1">IFERROR(__xludf.DUMMYFUNCTION("GOOGLETRANSLATE(A411, ""zh"", ""en"")"),"P2021B7.2 Describe the anti-corruption training provided to directors and employees")</f>
        <v>P2021B7.2 Describe the anti-corruption training provided to directors and employees</v>
      </c>
      <c r="B411" s="1" t="str">
        <f ca="1">IFERROR(__xludf.DUMMYFUNCTION("GOOGLETRANSLATE(A411, ""zh"", ""en"")"),"Anti-corruption and anti-money laundering")</f>
        <v>Anti-corruption and anti-money laundering</v>
      </c>
      <c r="C411" s="1" t="str">
        <f ca="1">IFERROR(__xludf.DUMMYFUNCTION("GOOGLETRANSLATE(E411, ""zh"", ""en"")"),"Qualitative text")</f>
        <v>Qualitative text</v>
      </c>
    </row>
    <row r="412" spans="1:3" ht="13" x14ac:dyDescent="0.15">
      <c r="A412" s="1" t="str">
        <f ca="1">IFERROR(__xludf.DUMMYFUNCTION("GOOGLETRANSLATE(A412, ""zh"", ""en"")"),"In 2022, the company conducted two integrity inspections and five integrity training sessions.")</f>
        <v>In 2022, the company conducted two integrity inspections and five integrity training sessions.</v>
      </c>
      <c r="B412" s="1" t="str">
        <f ca="1">IFERROR(__xludf.DUMMYFUNCTION("GOOGLETRANSLATE(A412, ""zh"", ""en"")"),"Anti-corruption and anti-money laundering")</f>
        <v>Anti-corruption and anti-money laundering</v>
      </c>
      <c r="C412" s="1" t="str">
        <f ca="1">IFERROR(__xludf.DUMMYFUNCTION("GOOGLETRANSLATE(E412, ""zh"", ""en"")"),"Quantitative Text")</f>
        <v>Quantitative Text</v>
      </c>
    </row>
    <row r="413" spans="1:3" ht="13" x14ac:dyDescent="0.15">
      <c r="A413" s="1" t="str">
        <f ca="1">IFERROR(__xludf.DUMMYFUNCTION("GOOGLETRANSLATE(A413, ""zh"", ""en"")"),"The annual average power generation capacity is 8 million kWh and it is connected to the national grid in full grid-connected mode.")</f>
        <v>The annual average power generation capacity is 8 million kWh and it is connected to the national grid in full grid-connected mode.</v>
      </c>
      <c r="B413" s="1" t="str">
        <f ca="1">IFERROR(__xludf.DUMMYFUNCTION("GOOGLETRANSLATE(A413, ""zh"", ""en"")"),"Energy and resource consumption")</f>
        <v>Energy and resource consumption</v>
      </c>
      <c r="C413" s="1" t="str">
        <f ca="1">IFERROR(__xludf.DUMMYFUNCTION("GOOGLETRANSLATE(E413, ""zh"", ""en"")"),"Quantitative Text")</f>
        <v>Quantitative Text</v>
      </c>
    </row>
    <row r="414" spans="1:3" ht="13" x14ac:dyDescent="0.15">
      <c r="A414" s="1" t="str">
        <f ca="1">IFERROR(__xludf.DUMMYFUNCTION("GOOGLETRANSLATE(A414, ""zh"", ""en"")"),"23 Serving the construction of the free trade zone, the national strategic oil and gas resource allocation capabilities continue to improve")</f>
        <v>23 Serving the construction of the free trade zone, the national strategic oil and gas resource allocation capabilities continue to improve</v>
      </c>
      <c r="B414" s="1" t="str">
        <f ca="1">IFERROR(__xludf.DUMMYFUNCTION("GOOGLETRANSLATE(A414, ""zh"", ""en"")"),"Energy and resource consumption")</f>
        <v>Energy and resource consumption</v>
      </c>
      <c r="C414" s="1" t="str">
        <f ca="1">IFERROR(__xludf.DUMMYFUNCTION("GOOGLETRANSLATE(E414, ""zh"", ""en"")"),"Qualitative text")</f>
        <v>Qualitative text</v>
      </c>
    </row>
    <row r="415" spans="1:3" ht="13" x14ac:dyDescent="0.15">
      <c r="A415" s="1" t="str">
        <f ca="1">IFERROR(__xludf.DUMMYFUNCTION("GOOGLETRANSLATE(A415, ""zh"", ""en"")"),"There were no new cases of suspected occupational diseases or occupational contraindications in the Group this year.")</f>
        <v>There were no new cases of suspected occupational diseases or occupational contraindications in the Group this year.</v>
      </c>
      <c r="B415" s="1" t="str">
        <f ca="1">IFERROR(__xludf.DUMMYFUNCTION("GOOGLETRANSLATE(A415, ""zh"", ""en"")"),"staff")</f>
        <v>staff</v>
      </c>
      <c r="C415" s="1" t="str">
        <f ca="1">IFERROR(__xludf.DUMMYFUNCTION("GOOGLETRANSLATE(E415, ""zh"", ""en"")"),"Quantitative Text")</f>
        <v>Quantitative Text</v>
      </c>
    </row>
    <row r="416" spans="1:3" ht="13" x14ac:dyDescent="0.15">
      <c r="A416" s="1" t="str">
        <f ca="1">IFERROR(__xludf.DUMMYFUNCTION("GOOGLETRANSLATE(A416, ""zh"", ""en"")"),"The company's board of directors currently consists of 11 directors, including 4 independent directors.")</f>
        <v>The company's board of directors currently consists of 11 directors, including 4 independent directors.</v>
      </c>
      <c r="B416" s="1" t="str">
        <f ca="1">IFERROR(__xludf.DUMMYFUNCTION("GOOGLETRANSLATE(A416, ""zh"", ""en"")"),"Organizational structure and operations")</f>
        <v>Organizational structure and operations</v>
      </c>
      <c r="C416" s="1" t="str">
        <f ca="1">IFERROR(__xludf.DUMMYFUNCTION("GOOGLETRANSLATE(E416, ""zh"", ""en"")"),"Quantitative Text")</f>
        <v>Quantitative Text</v>
      </c>
    </row>
    <row r="417" spans="1:3" ht="13" x14ac:dyDescent="0.15">
      <c r="A417" s="1" t="str">
        <f ca="1">IFERROR(__xludf.DUMMYFUNCTION("GOOGLETRANSLATE(A417, ""zh"", ""en"")"),"The company has implemented paid annual leave and convalescent leave to improve the basic welfare of employees")</f>
        <v>The company has implemented paid annual leave and convalescent leave to improve the basic welfare of employees</v>
      </c>
      <c r="B417" s="1" t="str">
        <f ca="1">IFERROR(__xludf.DUMMYFUNCTION("GOOGLETRANSLATE(A417, ""zh"", ""en"")"),"staff")</f>
        <v>staff</v>
      </c>
      <c r="C417" s="1" t="str">
        <f ca="1">IFERROR(__xludf.DUMMYFUNCTION("GOOGLETRANSLATE(E417, ""zh"", ""en"")"),"Qualitative text")</f>
        <v>Qualitative text</v>
      </c>
    </row>
    <row r="418" spans="1:3" ht="13" x14ac:dyDescent="0.15">
      <c r="A418" s="1" t="str">
        <f ca="1">IFERROR(__xludf.DUMMYFUNCTION("GOOGLETRANSLATE(A418, ""zh"", ""en"")"),"The company's holding subsidiary, Wuchan Zhongda Group Finance Co., Ltd., is referred to as the Finance Company.")</f>
        <v>The company's holding subsidiary, Wuchan Zhongda Group Finance Co., Ltd., is referred to as the Finance Company.</v>
      </c>
      <c r="B418" s="1" t="str">
        <f ca="1">IFERROR(__xludf.DUMMYFUNCTION("GOOGLETRANSLATE(A418, ""zh"", ""en"")"),"irrelevant text")</f>
        <v>irrelevant text</v>
      </c>
      <c r="C418" s="1" t="str">
        <f ca="1">IFERROR(__xludf.DUMMYFUNCTION("GOOGLETRANSLATE(E418, ""zh"", ""en"")"),"irrelevant text")</f>
        <v>irrelevant text</v>
      </c>
    </row>
    <row r="419" spans="1:3" ht="13" x14ac:dyDescent="0.15">
      <c r="A419" s="1" t="str">
        <f ca="1">IFERROR(__xludf.DUMMYFUNCTION("GOOGLETRANSLATE(A419, ""zh"", ""en"")"),"Projects that require approval according to law may only carry out business activities after approval by relevant departments")</f>
        <v>Projects that require approval according to law may only carry out business activities after approval by relevant departments</v>
      </c>
      <c r="B419" s="1" t="str">
        <f ca="1">IFERROR(__xludf.DUMMYFUNCTION("GOOGLETRANSLATE(A419, ""zh"", ""en"")"),"irrelevant text")</f>
        <v>irrelevant text</v>
      </c>
      <c r="C419" s="1" t="str">
        <f ca="1">IFERROR(__xludf.DUMMYFUNCTION("GOOGLETRANSLATE(E419, ""zh"", ""en"")"),"irrelevant text")</f>
        <v>irrelevant text</v>
      </c>
    </row>
    <row r="420" spans="1:3" ht="13" x14ac:dyDescent="0.15">
      <c r="A420" s="1" t="str">
        <f ca="1">IFERROR(__xludf.DUMMYFUNCTION("GOOGLETRANSLATE(A420, ""zh"", ""en"")"),"Rated as a national-level forest health care pilot construction base by the China Forestry Industry Federation")</f>
        <v>Rated as a national-level forest health care pilot construction base by the China Forestry Industry Federation</v>
      </c>
      <c r="B420" s="1" t="str">
        <f ca="1">IFERROR(__xludf.DUMMYFUNCTION("GOOGLETRANSLATE(A420, ""zh"", ""en"")"),"biodiversity")</f>
        <v>biodiversity</v>
      </c>
      <c r="C420" s="1" t="str">
        <f ca="1">IFERROR(__xludf.DUMMYFUNCTION("GOOGLETRANSLATE(E420, ""zh"", ""en"")"),"Qualitative text")</f>
        <v>Qualitative text</v>
      </c>
    </row>
    <row r="421" spans="1:3" ht="13" x14ac:dyDescent="0.15">
      <c r="A421" s="1" t="str">
        <f ca="1">IFERROR(__xludf.DUMMYFUNCTION("GOOGLETRANSLATE(A421, ""zh"", ""en"")"),"The group headquarters has opened a medical clinic to provide employees with medical consultation, traditional Chinese medicine, physiotherapy and other services")</f>
        <v>The group headquarters has opened a medical clinic to provide employees with medical consultation, traditional Chinese medicine, physiotherapy and other services</v>
      </c>
      <c r="B421" s="1" t="str">
        <f ca="1">IFERROR(__xludf.DUMMYFUNCTION("GOOGLETRANSLATE(A421, ""zh"", ""en"")"),"staff")</f>
        <v>staff</v>
      </c>
      <c r="C421" s="1" t="str">
        <f ca="1">IFERROR(__xludf.DUMMYFUNCTION("GOOGLETRANSLATE(E421, ""zh"", ""en"")"),"Qualitative text")</f>
        <v>Qualitative text</v>
      </c>
    </row>
    <row r="422" spans="1:3" ht="13" x14ac:dyDescent="0.15">
      <c r="A422" s="1" t="str">
        <f ca="1">IFERROR(__xludf.DUMMYFUNCTION("GOOGLETRANSLATE(A422, ""zh"", ""en"")"),"Relying on the leading role of talents, Renmin Pharmaceutical has created multiple innovative R&amp;D technology platforms")</f>
        <v>Relying on the leading role of talents, Renmin Pharmaceutical has created multiple innovative R&amp;D technology platforms</v>
      </c>
      <c r="B422" s="1" t="str">
        <f ca="1">IFERROR(__xludf.DUMMYFUNCTION("GOOGLETRANSLATE(A422, ""zh"", ""en"")"),"Technological innovation")</f>
        <v>Technological innovation</v>
      </c>
      <c r="C422" s="1" t="str">
        <f ca="1">IFERROR(__xludf.DUMMYFUNCTION("GOOGLETRANSLATE(E422, ""zh"", ""en"")"),"Qualitative text")</f>
        <v>Qualitative text</v>
      </c>
    </row>
    <row r="423" spans="1:3" ht="13" x14ac:dyDescent="0.15">
      <c r="A423" s="1" t="str">
        <f ca="1">IFERROR(__xludf.DUMMYFUNCTION("GOOGLETRANSLATE(A423, ""zh"", ""en"")"),"Employees' awareness of biodiversity conservation continues to improve, and they are actively protecting and rescuing wild animals.")</f>
        <v>Employees' awareness of biodiversity conservation continues to improve, and they are actively protecting and rescuing wild animals.</v>
      </c>
      <c r="B423" s="1" t="str">
        <f ca="1">IFERROR(__xludf.DUMMYFUNCTION("GOOGLETRANSLATE(A423, ""zh"", ""en"")"),"biodiversity")</f>
        <v>biodiversity</v>
      </c>
      <c r="C423" s="1" t="str">
        <f ca="1">IFERROR(__xludf.DUMMYFUNCTION("GOOGLETRANSLATE(E423, ""zh"", ""en"")"),"Qualitative text")</f>
        <v>Qualitative text</v>
      </c>
    </row>
    <row r="424" spans="1:3" ht="13" x14ac:dyDescent="0.15">
      <c r="A424" s="1" t="str">
        <f ca="1">IFERROR(__xludf.DUMMYFUNCTION("GOOGLETRANSLATE(A424, ""zh"", ""en"")"),"By the end of the year, all ground works had been completed and the project entered the final commissioning phase.")</f>
        <v>By the end of the year, all ground works had been completed and the project entered the final commissioning phase.</v>
      </c>
      <c r="B424" s="1" t="str">
        <f ca="1">IFERROR(__xludf.DUMMYFUNCTION("GOOGLETRANSLATE(A424, ""zh"", ""en"")"),"irrelevant text")</f>
        <v>irrelevant text</v>
      </c>
      <c r="C424" s="1" t="str">
        <f ca="1">IFERROR(__xludf.DUMMYFUNCTION("GOOGLETRANSLATE(E424, ""zh"", ""en"")"),"irrelevant text")</f>
        <v>irrelevant text</v>
      </c>
    </row>
    <row r="425" spans="1:3" ht="13" x14ac:dyDescent="0.15">
      <c r="A425" s="1" t="str">
        <f ca="1">IFERROR(__xludf.DUMMYFUNCTION("GOOGLETRANSLATE(A425, ""zh"", ""en"")"),"If the problem rectification is ineffective, we will immediately stop cooperating with the supplier who seriously violates the regulations.")</f>
        <v>If the problem rectification is ineffective, we will immediately stop cooperating with the supplier who seriously violates the regulations.</v>
      </c>
      <c r="B425" s="1" t="str">
        <f ca="1">IFERROR(__xludf.DUMMYFUNCTION("GOOGLETRANSLATE(A425, ""zh"", ""en"")"),"supply chain management")</f>
        <v>supply chain management</v>
      </c>
      <c r="C425" s="1" t="str">
        <f ca="1">IFERROR(__xludf.DUMMYFUNCTION("GOOGLETRANSLATE(E425, ""zh"", ""en"")"),"Qualitative text")</f>
        <v>Qualitative text</v>
      </c>
    </row>
    <row r="426" spans="1:3" ht="13" x14ac:dyDescent="0.15">
      <c r="A426" s="1" t="str">
        <f ca="1">IFERROR(__xludf.DUMMYFUNCTION("GOOGLETRANSLATE(A426, ""zh"", ""en"")"),"In 2022, we organized 4 supplier training sessions with a total of 1,027 participants.")</f>
        <v>In 2022, we organized 4 supplier training sessions with a total of 1,027 participants.</v>
      </c>
      <c r="B426" s="1" t="str">
        <f ca="1">IFERROR(__xludf.DUMMYFUNCTION("GOOGLETRANSLATE(A426, ""zh"", ""en"")"),"supply chain management")</f>
        <v>supply chain management</v>
      </c>
      <c r="C426" s="1" t="str">
        <f ca="1">IFERROR(__xludf.DUMMYFUNCTION("GOOGLETRANSLATE(E426, ""zh"", ""en"")"),"Quantitative Text")</f>
        <v>Quantitative Text</v>
      </c>
    </row>
    <row r="427" spans="1:3" ht="13" x14ac:dyDescent="0.15">
      <c r="A427" s="1" t="str">
        <f ca="1">IFERROR(__xludf.DUMMYFUNCTION("GOOGLETRANSLATE(A427, ""zh"", ""en"")"),"We also provide training to investigators to enhance their anti-fraud execution capabilities.")</f>
        <v>We also provide training to investigators to enhance their anti-fraud execution capabilities.</v>
      </c>
      <c r="B427" s="1" t="str">
        <f ca="1">IFERROR(__xludf.DUMMYFUNCTION("GOOGLETRANSLATE(A427, ""zh"", ""en"")"),"Anti-corruption and anti-money laundering")</f>
        <v>Anti-corruption and anti-money laundering</v>
      </c>
      <c r="C427" s="1" t="str">
        <f ca="1">IFERROR(__xludf.DUMMYFUNCTION("GOOGLETRANSLATE(E427, ""zh"", ""en"")"),"Qualitative text")</f>
        <v>Qualitative text</v>
      </c>
    </row>
    <row r="428" spans="1:3" ht="13" x14ac:dyDescent="0.15">
      <c r="A428" s="1" t="str">
        <f ca="1">IFERROR(__xludf.DUMMYFUNCTION("GOOGLETRANSLATE(A428, ""zh"", ""en"")"),"In 2022, the company concluded two anti-corruption and anti-fraud litigation cases.")</f>
        <v>In 2022, the company concluded two anti-corruption and anti-fraud litigation cases.</v>
      </c>
      <c r="B428" s="1" t="str">
        <f ca="1">IFERROR(__xludf.DUMMYFUNCTION("GOOGLETRANSLATE(A428, ""zh"", ""en"")"),"Anti-corruption and anti-money laundering")</f>
        <v>Anti-corruption and anti-money laundering</v>
      </c>
      <c r="C428" s="1" t="str">
        <f ca="1">IFERROR(__xludf.DUMMYFUNCTION("GOOGLETRANSLATE(E428, ""zh"", ""en"")"),"Quantitative Text")</f>
        <v>Quantitative Text</v>
      </c>
    </row>
    <row r="429" spans="1:3" ht="13" x14ac:dyDescent="0.15">
      <c r="A429" s="1" t="str">
        <f ca="1">IFERROR(__xludf.DUMMYFUNCTION("GOOGLETRANSLATE(A429, ""zh"", ""en"")"),"Optimize employee promotion rules, highlight grassroots and practice orientation, and focus on competition and selection")</f>
        <v>Optimize employee promotion rules, highlight grassroots and practice orientation, and focus on competition and selection</v>
      </c>
      <c r="B429" s="1" t="str">
        <f ca="1">IFERROR(__xludf.DUMMYFUNCTION("GOOGLETRANSLATE(A429, ""zh"", ""en"")"),"staff")</f>
        <v>staff</v>
      </c>
      <c r="C429" s="1" t="str">
        <f ca="1">IFERROR(__xludf.DUMMYFUNCTION("GOOGLETRANSLATE(E429, ""zh"", ""en"")"),"Qualitative text")</f>
        <v>Qualitative text</v>
      </c>
    </row>
    <row r="430" spans="1:3" ht="13" x14ac:dyDescent="0.15">
      <c r="A430" s="1" t="str">
        <f ca="1">IFERROR(__xludf.DUMMYFUNCTION("GOOGLETRANSLATE(A430, ""zh"", ""en"")"),"Carry out the construction of enterprise-level learning product library and the learning project library has accumulated 410 projects")</f>
        <v>Carry out the construction of enterprise-level learning product library and the learning project library has accumulated 410 projects</v>
      </c>
      <c r="B430" s="1" t="str">
        <f ca="1">IFERROR(__xludf.DUMMYFUNCTION("GOOGLETRANSLATE(A430, ""zh"", ""en"")"),"Product quality")</f>
        <v>Product quality</v>
      </c>
      <c r="C430" s="1" t="str">
        <f ca="1">IFERROR(__xludf.DUMMYFUNCTION("GOOGLETRANSLATE(E430, ""zh"", ""en"")"),"Quantitative Text")</f>
        <v>Quantitative Text</v>
      </c>
    </row>
    <row r="431" spans="1:3" ht="13" x14ac:dyDescent="0.15">
      <c r="A431" s="1" t="str">
        <f ca="1">IFERROR(__xludf.DUMMYFUNCTION("GOOGLETRANSLATE(A431, ""zh"", ""en"")"),"Level B5 Supplier Management The Bank has taken multiple measures to further promote green procurement")</f>
        <v>Level B5 Supplier Management The Bank has taken multiple measures to further promote green procurement</v>
      </c>
      <c r="B431" s="1" t="str">
        <f ca="1">IFERROR(__xludf.DUMMYFUNCTION("GOOGLETRANSLATE(A431, ""zh"", ""en"")"),"supply chain management")</f>
        <v>supply chain management</v>
      </c>
      <c r="C431" s="1" t="str">
        <f ca="1">IFERROR(__xludf.DUMMYFUNCTION("GOOGLETRANSLATE(E431, ""zh"", ""en"")"),"Qualitative text")</f>
        <v>Qualitative text</v>
      </c>
    </row>
    <row r="432" spans="1:3" ht="13" x14ac:dyDescent="0.15">
      <c r="A432" s="1" t="str">
        <f ca="1">IFERROR(__xludf.DUMMYFUNCTION("GOOGLETRANSLATE(A432, ""zh"", ""en"")"),"Deepen consumer protection education and training. In terms of consumer protection training, first, integrate consumer protection training into business")</f>
        <v>Deepen consumer protection education and training. In terms of consumer protection training, first, integrate consumer protection training into business</v>
      </c>
      <c r="B432" s="1" t="str">
        <f ca="1">IFERROR(__xludf.DUMMYFUNCTION("GOOGLETRANSLATE(A432, ""zh"", ""en"")"),"Customers and Consumers")</f>
        <v>Customers and Consumers</v>
      </c>
      <c r="C432" s="1" t="str">
        <f ca="1">IFERROR(__xludf.DUMMYFUNCTION("GOOGLETRANSLATE(E432, ""zh"", ""en"")"),"Qualitative text")</f>
        <v>Qualitative text</v>
      </c>
    </row>
    <row r="433" spans="1:3" ht="13" x14ac:dyDescent="0.15">
      <c r="A433" s="1" t="str">
        <f ca="1">IFERROR(__xludf.DUMMYFUNCTION("GOOGLETRANSLATE(A433, ""zh"", ""en"")"),"At the same time, the CCB Asia Volunteer Team actively participated in related activities and services")</f>
        <v>At the same time, the CCB Asia Volunteer Team actively participated in related activities and services</v>
      </c>
      <c r="B433" s="1" t="str">
        <f ca="1">IFERROR(__xludf.DUMMYFUNCTION("GOOGLETRANSLATE(A433, ""zh"", ""en"")"),"Public welfare and volunteer service")</f>
        <v>Public welfare and volunteer service</v>
      </c>
      <c r="C433" s="1" t="str">
        <f ca="1">IFERROR(__xludf.DUMMYFUNCTION("GOOGLETRANSLATE(E433, ""zh"", ""en"")"),"Qualitative text")</f>
        <v>Qualitative text</v>
      </c>
    </row>
    <row r="434" spans="1:3" ht="13" x14ac:dyDescent="0.15">
      <c r="A434" s="1" t="str">
        <f ca="1">IFERROR(__xludf.DUMMYFUNCTION("GOOGLETRANSLATE(A434, ""zh"", ""en"")"),"2627 Key Performance Indicator B5.1 Number of suppliers by region")</f>
        <v>2627 Key Performance Indicator B5.1 Number of suppliers by region</v>
      </c>
      <c r="B434" s="1" t="str">
        <f ca="1">IFERROR(__xludf.DUMMYFUNCTION("GOOGLETRANSLATE(A434, ""zh"", ""en"")"),"supply chain management")</f>
        <v>supply chain management</v>
      </c>
      <c r="C434" s="1" t="str">
        <f ca="1">IFERROR(__xludf.DUMMYFUNCTION("GOOGLETRANSLATE(E434, ""zh"", ""en"")"),"Quantitative Text")</f>
        <v>Quantitative Text</v>
      </c>
    </row>
    <row r="435" spans="1:3" ht="13" x14ac:dyDescent="0.15">
      <c r="A435" s="1" t="str">
        <f ca="1">IFERROR(__xludf.DUMMYFUNCTION("GOOGLETRANSLATE(A435, ""zh"", ""en"")"),"The company has effectively embedded the requirements of honest employment into all business links and work processes of the company")</f>
        <v>The company has effectively embedded the requirements of honest employment into all business links and work processes of the company</v>
      </c>
      <c r="B435" s="1" t="str">
        <f ca="1">IFERROR(__xludf.DUMMYFUNCTION("GOOGLETRANSLATE(A435, ""zh"", ""en"")"),"Anti-corruption and anti-money laundering")</f>
        <v>Anti-corruption and anti-money laundering</v>
      </c>
      <c r="C435" s="1" t="str">
        <f ca="1">IFERROR(__xludf.DUMMYFUNCTION("GOOGLETRANSLATE(E435, ""zh"", ""en"")"),"Qualitative text")</f>
        <v>Qualitative text</v>
      </c>
    </row>
    <row r="436" spans="1:3" ht="13" x14ac:dyDescent="0.15">
      <c r="A436" s="1" t="str">
        <f ca="1">IFERROR(__xludf.DUMMYFUNCTION("GOOGLETRANSLATE(A436, ""zh"", ""en"")"),"Xinhua News Agency, China Securities Journal and other media have published relevant experiences and practices of the company.")</f>
        <v>Xinhua News Agency, China Securities Journal and other media have published relevant experiences and practices of the company.</v>
      </c>
      <c r="B436" s="1" t="str">
        <f ca="1">IFERROR(__xludf.DUMMYFUNCTION("GOOGLETRANSLATE(A436, ""zh"", ""en"")"),"irrelevant text")</f>
        <v>irrelevant text</v>
      </c>
      <c r="C436" s="1" t="str">
        <f ca="1">IFERROR(__xludf.DUMMYFUNCTION("GOOGLETRANSLATE(E436, ""zh"", ""en"")"),"irrelevant text")</f>
        <v>irrelevant text</v>
      </c>
    </row>
    <row r="437" spans="1:3" ht="13" x14ac:dyDescent="0.15">
      <c r="A437" s="1" t="str">
        <f ca="1">IFERROR(__xludf.DUMMYFUNCTION("GOOGLETRANSLATE(A437, ""zh"", ""en"")"),"In 2022, the company will cooperate with external professional organizations to provide joint training for employees")</f>
        <v>In 2022, the company will cooperate with external professional organizations to provide joint training for employees</v>
      </c>
      <c r="B437" s="1" t="str">
        <f ca="1">IFERROR(__xludf.DUMMYFUNCTION("GOOGLETRANSLATE(A437, ""zh"", ""en"")"),"staff")</f>
        <v>staff</v>
      </c>
      <c r="C437" s="1" t="str">
        <f ca="1">IFERROR(__xludf.DUMMYFUNCTION("GOOGLETRANSLATE(E437, ""zh"", ""en"")"),"Qualitative text")</f>
        <v>Qualitative text</v>
      </c>
    </row>
    <row r="438" spans="1:3" ht="13" x14ac:dyDescent="0.15">
      <c r="A438" s="1" t="str">
        <f ca="1">IFERROR(__xludf.DUMMYFUNCTION("GOOGLETRANSLATE(A438, ""zh"", ""en"")"),"To continuously improve the anti-money laundering performance capabilities of the company's employees and enhance their awareness of anti-money laundering responsibilities")</f>
        <v>To continuously improve the anti-money laundering performance capabilities of the company's employees and enhance their awareness of anti-money laundering responsibilities</v>
      </c>
      <c r="B438" s="1" t="str">
        <f ca="1">IFERROR(__xludf.DUMMYFUNCTION("GOOGLETRANSLATE(A438, ""zh"", ""en"")"),"Anti-corruption and anti-money laundering")</f>
        <v>Anti-corruption and anti-money laundering</v>
      </c>
      <c r="C438" s="1" t="str">
        <f ca="1">IFERROR(__xludf.DUMMYFUNCTION("GOOGLETRANSLATE(E438, ""zh"", ""en"")"),"Qualitative text")</f>
        <v>Qualitative text</v>
      </c>
    </row>
    <row r="439" spans="1:3" ht="13" x14ac:dyDescent="0.15">
      <c r="A439" s="1" t="str">
        <f ca="1">IFERROR(__xludf.DUMMYFUNCTION("GOOGLETRANSLATE(A439, ""zh"", ""en"")"),"The company actively carried out consumer assistance and effectively promoted the sales of agricultural products in the assisted areas")</f>
        <v>The company actively carried out consumer assistance and effectively promoted the sales of agricultural products in the assisted areas</v>
      </c>
      <c r="B439" s="1" t="str">
        <f ca="1">IFERROR(__xludf.DUMMYFUNCTION("GOOGLETRANSLATE(A439, ""zh"", ""en"")"),"Rural assistance")</f>
        <v>Rural assistance</v>
      </c>
      <c r="C439" s="1" t="str">
        <f ca="1">IFERROR(__xludf.DUMMYFUNCTION("GOOGLETRANSLATE(E439, ""zh"", ""en"")"),"Qualitative text")</f>
        <v>Qualitative text</v>
      </c>
    </row>
    <row r="440" spans="1:3" ht="13" x14ac:dyDescent="0.15">
      <c r="A440" s="1" t="str">
        <f ca="1">IFERROR(__xludf.DUMMYFUNCTION("GOOGLETRANSLATE(A440, ""zh"", ""en"")"),"4 Non-hazardous waste types mainly include discarded electronic equipment and discarded office furniture")</f>
        <v>4 Non-hazardous waste types mainly include discarded electronic equipment and discarded office furniture</v>
      </c>
      <c r="B440" s="1" t="str">
        <f ca="1">IFERROR(__xludf.DUMMYFUNCTION("GOOGLETRANSLATE(A440, ""zh"", ""en"")"),"Waste Management")</f>
        <v>Waste Management</v>
      </c>
      <c r="C440" s="1" t="str">
        <f ca="1">IFERROR(__xludf.DUMMYFUNCTION("GOOGLETRANSLATE(E440, ""zh"", ""en"")"),"Qualitative text")</f>
        <v>Qualitative text</v>
      </c>
    </row>
    <row r="441" spans="1:3" ht="13" x14ac:dyDescent="0.15">
      <c r="A441" s="1" t="str">
        <f ca="1">IFERROR(__xludf.DUMMYFUNCTION("GOOGLETRANSLATE(A441, ""zh"", ""en"")"),"The company is committed to maintaining effective employee communication mechanisms to promote positive employee relations")</f>
        <v>The company is committed to maintaining effective employee communication mechanisms to promote positive employee relations</v>
      </c>
      <c r="B441" s="1" t="str">
        <f ca="1">IFERROR(__xludf.DUMMYFUNCTION("GOOGLETRANSLATE(A441, ""zh"", ""en"")"),"staff")</f>
        <v>staff</v>
      </c>
      <c r="C441" s="1" t="str">
        <f ca="1">IFERROR(__xludf.DUMMYFUNCTION("GOOGLETRANSLATE(E441, ""zh"", ""en"")"),"Qualitative text")</f>
        <v>Qualitative text</v>
      </c>
    </row>
    <row r="442" spans="1:3" ht="13" x14ac:dyDescent="0.15">
      <c r="A442" s="1" t="str">
        <f ca="1">IFERROR(__xludf.DUMMYFUNCTION("GOOGLETRANSLATE(A442, ""zh"", ""en"")"),"For more details, please refer to CITIC Securities Co., Ltd.'s Responsible Investment Statement.")</f>
        <v>For more details, please refer to CITIC Securities Co., Ltd.'s Responsible Investment Statement.</v>
      </c>
      <c r="B442" s="1" t="str">
        <f ca="1">IFERROR(__xludf.DUMMYFUNCTION("GOOGLETRANSLATE(A442, ""zh"", ""en"")"),"irrelevant text")</f>
        <v>irrelevant text</v>
      </c>
      <c r="C442" s="1" t="str">
        <f ca="1">IFERROR(__xludf.DUMMYFUNCTION("GOOGLETRANSLATE(E442, ""zh"", ""en"")"),"irrelevant text")</f>
        <v>irrelevant text</v>
      </c>
    </row>
    <row r="443" spans="1:3" ht="13" x14ac:dyDescent="0.15">
      <c r="A443" s="1" t="str">
        <f ca="1">IFERROR(__xludf.DUMMYFUNCTION("GOOGLETRANSLATE(A443, ""zh"", ""en"")"),"In addition, we have also contributed to supporting the sustainable development of local agriculture")</f>
        <v>In addition, we have also contributed to supporting the sustainable development of local agriculture</v>
      </c>
      <c r="B443" s="1" t="str">
        <f ca="1">IFERROR(__xludf.DUMMYFUNCTION("GOOGLETRANSLATE(A443, ""zh"", ""en"")"),"Rural assistance")</f>
        <v>Rural assistance</v>
      </c>
      <c r="C443" s="1" t="str">
        <f ca="1">IFERROR(__xludf.DUMMYFUNCTION("GOOGLETRANSLATE(E443, ""zh"", ""en"")"),"Qualitative text")</f>
        <v>Qualitative text</v>
      </c>
    </row>
    <row r="444" spans="1:3" ht="13" x14ac:dyDescent="0.15">
      <c r="A444" s="1" t="str">
        <f ca="1">IFERROR(__xludf.DUMMYFUNCTION("GOOGLETRANSLATE(A444, ""zh"", ""en"")"),"The company's labor union always adheres to the people-oriented business philosophy and embodies humanistic care everywhere")</f>
        <v>The company's labor union always adheres to the people-oriented business philosophy and embodies humanistic care everywhere</v>
      </c>
      <c r="B444" s="1" t="str">
        <f ca="1">IFERROR(__xludf.DUMMYFUNCTION("GOOGLETRANSLATE(A444, ""zh"", ""en"")"),"staff")</f>
        <v>staff</v>
      </c>
      <c r="C444" s="1" t="str">
        <f ca="1">IFERROR(__xludf.DUMMYFUNCTION("GOOGLETRANSLATE(E444, ""zh"", ""en"")"),"Qualitative text")</f>
        <v>Qualitative text</v>
      </c>
    </row>
    <row r="445" spans="1:3" ht="13" x14ac:dyDescent="0.15">
      <c r="A445" s="1" t="str">
        <f ca="1">IFERROR(__xludf.DUMMYFUNCTION("GOOGLETRANSLATE(A445, ""zh"", ""en"")"),"We encourage employees to grow together with the company to empower the high-quality development of the company and the industry")</f>
        <v>We encourage employees to grow together with the company to empower the high-quality development of the company and the industry</v>
      </c>
      <c r="B445" s="1" t="str">
        <f ca="1">IFERROR(__xludf.DUMMYFUNCTION("GOOGLETRANSLATE(A445, ""zh"", ""en"")"),"staff")</f>
        <v>staff</v>
      </c>
      <c r="C445" s="1" t="str">
        <f ca="1">IFERROR(__xludf.DUMMYFUNCTION("GOOGLETRANSLATE(E445, ""zh"", ""en"")"),"Qualitative text")</f>
        <v>Qualitative text</v>
      </c>
    </row>
    <row r="446" spans="1:3" ht="13" x14ac:dyDescent="0.15">
      <c r="A446" s="1" t="str">
        <f ca="1">IFERROR(__xludf.DUMMYFUNCTION("GOOGLETRANSLATE(A446, ""zh"", ""en"")"),"Continuously strengthen product and service innovation. Data source: Wind Information Company internal statistics.")</f>
        <v>Continuously strengthen product and service innovation. Data source: Wind Information Company internal statistics.</v>
      </c>
      <c r="B446" s="1" t="str">
        <f ca="1">IFERROR(__xludf.DUMMYFUNCTION("GOOGLETRANSLATE(A446, ""zh"", ""en"")"),"Technological innovation")</f>
        <v>Technological innovation</v>
      </c>
      <c r="C446" s="1" t="str">
        <f ca="1">IFERROR(__xludf.DUMMYFUNCTION("GOOGLETRANSLATE(E446, ""zh"", ""en"")"),"Qualitative text")</f>
        <v>Qualitative text</v>
      </c>
    </row>
    <row r="447" spans="1:3" ht="13" x14ac:dyDescent="0.15">
      <c r="A447" s="1" t="str">
        <f ca="1">IFERROR(__xludf.DUMMYFUNCTION("GOOGLETRANSLATE(A447, ""zh"", ""en"")"),"This event is a microcosm of Tibet Everest’s active practice of social responsibility over the years.")</f>
        <v>This event is a microcosm of Tibet Everest’s active practice of social responsibility over the years.</v>
      </c>
      <c r="B447" s="1" t="str">
        <f ca="1">IFERROR(__xludf.DUMMYFUNCTION("GOOGLETRANSLATE(A447, ""zh"", ""en"")"),"irrelevant text")</f>
        <v>irrelevant text</v>
      </c>
      <c r="C447" s="1" t="str">
        <f ca="1">IFERROR(__xludf.DUMMYFUNCTION("GOOGLETRANSLATE(E447, ""zh"", ""en"")"),"irrelevant text")</f>
        <v>irrelevant text</v>
      </c>
    </row>
    <row r="448" spans="1:3" ht="13" x14ac:dyDescent="0.15">
      <c r="A448" s="1" t="str">
        <f ca="1">IFERROR(__xludf.DUMMYFUNCTION("GOOGLETRANSLATE(A448, ""zh"", ""en"")"),"Ecological tracking monitoring results show that local ecological functions have not been affected by gas field development")</f>
        <v>Ecological tracking monitoring results show that local ecological functions have not been affected by gas field development</v>
      </c>
      <c r="B448" s="1" t="str">
        <f ca="1">IFERROR(__xludf.DUMMYFUNCTION("GOOGLETRANSLATE(A448, ""zh"", ""en"")"),"biodiversity")</f>
        <v>biodiversity</v>
      </c>
      <c r="C448" s="1" t="str">
        <f ca="1">IFERROR(__xludf.DUMMYFUNCTION("GOOGLETRANSLATE(E448, ""zh"", ""en"")"),"Qualitative text")</f>
        <v>Qualitative text</v>
      </c>
    </row>
    <row r="449" spans="1:3" ht="13" x14ac:dyDescent="0.15">
      <c r="A449" s="1" t="str">
        <f ca="1">IFERROR(__xludf.DUMMYFUNCTION("GOOGLETRANSLATE(A449, ""zh"", ""en"")"),"For details, please refer to the company's 2022 annual report.")</f>
        <v>For details, please refer to the company's 2022 annual report.</v>
      </c>
      <c r="B449" s="1" t="str">
        <f ca="1">IFERROR(__xludf.DUMMYFUNCTION("GOOGLETRANSLATE(A449, ""zh"", ""en"")"),"irrelevant text")</f>
        <v>irrelevant text</v>
      </c>
      <c r="C449" s="1" t="str">
        <f ca="1">IFERROR(__xludf.DUMMYFUNCTION("GOOGLETRANSLATE(E449, ""zh"", ""en"")"),"irrelevant text")</f>
        <v>irrelevant text</v>
      </c>
    </row>
    <row r="450" spans="1:3" ht="13" x14ac:dyDescent="0.15">
      <c r="A450" s="1" t="str">
        <f ca="1">IFERROR(__xludf.DUMMYFUNCTION("GOOGLETRANSLATE(A450, ""zh"", ""en"")"),"During the trial operation, the unit operated smoothly and all economic and technical performance indicators were excellent.")</f>
        <v>During the trial operation, the unit operated smoothly and all economic and technical performance indicators were excellent.</v>
      </c>
      <c r="B450" s="1" t="str">
        <f ca="1">IFERROR(__xludf.DUMMYFUNCTION("GOOGLETRANSLATE(A450, ""zh"", ""en"")"),"Technological innovation")</f>
        <v>Technological innovation</v>
      </c>
      <c r="C450" s="1" t="str">
        <f ca="1">IFERROR(__xludf.DUMMYFUNCTION("GOOGLETRANSLATE(E450, ""zh"", ""en"")"),"Qualitative text")</f>
        <v>Qualitative text</v>
      </c>
    </row>
    <row r="451" spans="1:3" ht="13" x14ac:dyDescent="0.15">
      <c r="A451" s="1" t="str">
        <f ca="1">IFERROR(__xludf.DUMMYFUNCTION("GOOGLETRANSLATE(A451, ""zh"", ""en"")"),"Reporting Principles The preparation of the report has followed the principles of materiality, quantification, balance and consistency.")</f>
        <v>Reporting Principles The preparation of the report has followed the principles of materiality, quantification, balance and consistency.</v>
      </c>
      <c r="B451" s="1" t="str">
        <f ca="1">IFERROR(__xludf.DUMMYFUNCTION("GOOGLETRANSLATE(A451, ""zh"", ""en"")"),"irrelevant text")</f>
        <v>irrelevant text</v>
      </c>
      <c r="C451" s="1" t="str">
        <f ca="1">IFERROR(__xludf.DUMMYFUNCTION("GOOGLETRANSLATE(E451, ""zh"", ""en"")"),"irrelevant text")</f>
        <v>irrelevant text</v>
      </c>
    </row>
    <row r="452" spans="1:3" ht="13" x14ac:dyDescent="0.15">
      <c r="A452" s="1" t="str">
        <f ca="1">IFERROR(__xludf.DUMMYFUNCTION("GOOGLETRANSLATE(A452, ""zh"", ""en"")"),"In 2022, Shanghai Electric and its subsidiaries have donated a total of 337,000 yuan")</f>
        <v>In 2022, Shanghai Electric and its subsidiaries have donated a total of 337,000 yuan</v>
      </c>
      <c r="B452" s="1" t="str">
        <f ca="1">IFERROR(__xludf.DUMMYFUNCTION("GOOGLETRANSLATE(A452, ""zh"", ""en"")"),"Public welfare and volunteer service")</f>
        <v>Public welfare and volunteer service</v>
      </c>
      <c r="C452" s="1" t="str">
        <f ca="1">IFERROR(__xludf.DUMMYFUNCTION("GOOGLETRANSLATE(E452, ""zh"", ""en"")"),"Quantitative Text")</f>
        <v>Quantitative Text</v>
      </c>
    </row>
    <row r="453" spans="1:3" ht="13" x14ac:dyDescent="0.15">
      <c r="A453" s="1" t="str">
        <f ca="1">IFERROR(__xludf.DUMMYFUNCTION("GOOGLETRANSLATE(A453, ""zh"", ""en"")"),"Shanghai Electric formulates new policies and plans to build career development channels for different employee groups")</f>
        <v>Shanghai Electric formulates new policies and plans to build career development channels for different employee groups</v>
      </c>
      <c r="B453" s="1" t="str">
        <f ca="1">IFERROR(__xludf.DUMMYFUNCTION("GOOGLETRANSLATE(A453, ""zh"", ""en"")"),"staff")</f>
        <v>staff</v>
      </c>
      <c r="C453" s="1" t="str">
        <f ca="1">IFERROR(__xludf.DUMMYFUNCTION("GOOGLETRANSLATE(E453, ""zh"", ""en"")"),"Qualitative text")</f>
        <v>Qualitative text</v>
      </c>
    </row>
    <row r="454" spans="1:3" ht="13" x14ac:dyDescent="0.15">
      <c r="A454" s="1" t="str">
        <f ca="1">IFERROR(__xludf.DUMMYFUNCTION("GOOGLETRANSLATE(A454, ""zh"", ""en"")"),"Note 4 is the total amount of hazardous waste that the company entrusted to a third-party qualified agency for disposal")</f>
        <v>Note 4 is the total amount of hazardous waste that the company entrusted to a third-party qualified agency for disposal</v>
      </c>
      <c r="B454" s="1" t="str">
        <f ca="1">IFERROR(__xludf.DUMMYFUNCTION("GOOGLETRANSLATE(A454, ""zh"", ""en"")"),"Waste Management")</f>
        <v>Waste Management</v>
      </c>
      <c r="C454" s="1" t="str">
        <f ca="1">IFERROR(__xludf.DUMMYFUNCTION("GOOGLETRANSLATE(E454, ""zh"", ""en"")"),"Quantitative Text")</f>
        <v>Quantitative Text</v>
      </c>
    </row>
    <row r="455" spans="1:3" ht="13" x14ac:dyDescent="0.15">
      <c r="A455" s="1" t="str">
        <f ca="1">IFERROR(__xludf.DUMMYFUNCTION("GOOGLETRANSLATE(A455, ""zh"", ""en"")"),"9395 Key Performance Indicator B5.1 Number of suppliers by region")</f>
        <v>9395 Key Performance Indicator B5.1 Number of suppliers by region</v>
      </c>
      <c r="B455" s="1" t="str">
        <f ca="1">IFERROR(__xludf.DUMMYFUNCTION("GOOGLETRANSLATE(A455, ""zh"", ""en"")"),"supply chain management")</f>
        <v>supply chain management</v>
      </c>
      <c r="C455" s="1" t="str">
        <f ca="1">IFERROR(__xludf.DUMMYFUNCTION("GOOGLETRANSLATE(E455, ""zh"", ""en"")"),"Quantitative Text")</f>
        <v>Quantitative Text</v>
      </c>
    </row>
    <row r="456" spans="1:3" ht="13" x14ac:dyDescent="0.15">
      <c r="A456" s="1" t="str">
        <f ca="1">IFERROR(__xludf.DUMMYFUNCTION("GOOGLETRANSLATE(A456, ""zh"", ""en"")"),"More than 2,000 teachers were trained and more than 170 pairs of mentors and apprentices were established.")</f>
        <v>More than 2,000 teachers were trained and more than 170 pairs of mentors and apprentices were established.</v>
      </c>
      <c r="B456" s="1" t="str">
        <f ca="1">IFERROR(__xludf.DUMMYFUNCTION("GOOGLETRANSLATE(A456, ""zh"", ""en"")"),"staff")</f>
        <v>staff</v>
      </c>
      <c r="C456" s="1" t="str">
        <f ca="1">IFERROR(__xludf.DUMMYFUNCTION("GOOGLETRANSLATE(E456, ""zh"", ""en"")"),"Quantitative Text")</f>
        <v>Quantitative Text</v>
      </c>
    </row>
    <row r="457" spans="1:3" ht="13" x14ac:dyDescent="0.15">
      <c r="A457" s="1" t="str">
        <f ca="1">IFERROR(__xludf.DUMMYFUNCTION("GOOGLETRANSLATE(A457, ""zh"", ""en"")"),"In order to continuously improve our reporting, we would like to hear your opinions and suggestions.")</f>
        <v>In order to continuously improve our reporting, we would like to hear your opinions and suggestions.</v>
      </c>
      <c r="B457" s="1" t="str">
        <f ca="1">IFERROR(__xludf.DUMMYFUNCTION("GOOGLETRANSLATE(A457, ""zh"", ""en"")"),"irrelevant text")</f>
        <v>irrelevant text</v>
      </c>
      <c r="C457" s="1" t="str">
        <f ca="1">IFERROR(__xludf.DUMMYFUNCTION("GOOGLETRANSLATE(E457, ""zh"", ""en"")"),"irrelevant text")</f>
        <v>irrelevant text</v>
      </c>
    </row>
    <row r="458" spans="1:3" ht="13" x14ac:dyDescent="0.15">
      <c r="A458" s="1" t="str">
        <f ca="1">IFERROR(__xludf.DUMMYFUNCTION("GOOGLETRANSLATE(A458, ""zh"", ""en"")"),"Liu Ping, Deputy Secretary of the Party Committee and President of Shanghai Electric, and Cai Xiaoqing, Chairman of the Supervisory Board, participated in the study session.")</f>
        <v>Liu Ping, Deputy Secretary of the Party Committee and President of Shanghai Electric, and Cai Xiaoqing, Chairman of the Supervisory Board, participated in the study session.</v>
      </c>
      <c r="B458" s="1" t="str">
        <f ca="1">IFERROR(__xludf.DUMMYFUNCTION("GOOGLETRANSLATE(A458, ""zh"", ""en"")"),"Organizational structure and operations")</f>
        <v>Organizational structure and operations</v>
      </c>
      <c r="C458" s="1" t="str">
        <f ca="1">IFERROR(__xludf.DUMMYFUNCTION("GOOGLETRANSLATE(E458, ""zh"", ""en"")"),"Qualitative text")</f>
        <v>Qualitative text</v>
      </c>
    </row>
    <row r="459" spans="1:3" ht="13" x14ac:dyDescent="0.15">
      <c r="A459" s="1" t="str">
        <f ca="1">IFERROR(__xludf.DUMMYFUNCTION("GOOGLETRANSLATE(A459, ""zh"", ""en"")"),"Operation Supervision Key Performance Index B5.1 Supplier Performance Index by Region")</f>
        <v>Operation Supervision Key Performance Index B5.1 Supplier Performance Index by Region</v>
      </c>
      <c r="B459" s="1" t="str">
        <f ca="1">IFERROR(__xludf.DUMMYFUNCTION("GOOGLETRANSLATE(A459, ""zh"", ""en"")"),"supply chain management")</f>
        <v>supply chain management</v>
      </c>
      <c r="C459" s="1" t="str">
        <f ca="1">IFERROR(__xludf.DUMMYFUNCTION("GOOGLETRANSLATE(E459, ""zh"", ""en"")"),"Qualitative text")</f>
        <v>Qualitative text</v>
      </c>
    </row>
    <row r="460" spans="1:3" ht="13" x14ac:dyDescent="0.15">
      <c r="A460" s="1" t="str">
        <f ca="1">IFERROR(__xludf.DUMMYFUNCTION("GOOGLETRANSLATE(A460, ""zh"", ""en"")"),"The domestically developed remote-controlled deepwater cement head was successfully applied in international services for the first time")</f>
        <v>The domestically developed remote-controlled deepwater cement head was successfully applied in international services for the first time</v>
      </c>
      <c r="B460" s="1" t="str">
        <f ca="1">IFERROR(__xludf.DUMMYFUNCTION("GOOGLETRANSLATE(A460, ""zh"", ""en"")"),"Technological innovation")</f>
        <v>Technological innovation</v>
      </c>
      <c r="C460" s="1" t="str">
        <f ca="1">IFERROR(__xludf.DUMMYFUNCTION("GOOGLETRANSLATE(E460, ""zh"", ""en"")"),"Qualitative text")</f>
        <v>Qualitative text</v>
      </c>
    </row>
    <row r="461" spans="1:3" ht="13" x14ac:dyDescent="0.15">
      <c r="A461" s="1" t="str">
        <f ca="1">IFERROR(__xludf.DUMMYFUNCTION("GOOGLETRANSLATE(A461, ""zh"", ""en"")"),"Vigorously carry out warning education to build a culture of integrity that dares not to be corrupt and cannot be corrupt and honors the company's characteristics")</f>
        <v>Vigorously carry out warning education to build a culture of integrity that dares not to be corrupt and cannot be corrupt and honors the company's characteristics</v>
      </c>
      <c r="B461" s="1" t="str">
        <f ca="1">IFERROR(__xludf.DUMMYFUNCTION("GOOGLETRANSLATE(A461, ""zh"", ""en"")"),"Anti-corruption and anti-money laundering")</f>
        <v>Anti-corruption and anti-money laundering</v>
      </c>
      <c r="C461" s="1" t="str">
        <f ca="1">IFERROR(__xludf.DUMMYFUNCTION("GOOGLETRANSLATE(E461, ""zh"", ""en"")"),"Qualitative text")</f>
        <v>Qualitative text</v>
      </c>
    </row>
    <row r="462" spans="1:3" ht="13" x14ac:dyDescent="0.15">
      <c r="A462" s="1" t="str">
        <f ca="1">IFERROR(__xludf.DUMMYFUNCTION("GOOGLETRANSLATE(A462, ""zh"", ""en"")"),"Thanks to the Fosun Foundation for sending Axiovudine, the villagers recovered the next day after taking it.")</f>
        <v>Thanks to the Fosun Foundation for sending Axiovudine, the villagers recovered the next day after taking it.</v>
      </c>
      <c r="B462" s="1" t="str">
        <f ca="1">IFERROR(__xludf.DUMMYFUNCTION("GOOGLETRANSLATE(A462, ""zh"", ""en"")"),"Public welfare and volunteer service")</f>
        <v>Public welfare and volunteer service</v>
      </c>
      <c r="C462" s="1" t="str">
        <f ca="1">IFERROR(__xludf.DUMMYFUNCTION("GOOGLETRANSLATE(E462, ""zh"", ""en"")"),"Qualitative text")</f>
        <v>Qualitative text</v>
      </c>
    </row>
    <row r="463" spans="1:3" ht="13" x14ac:dyDescent="0.15">
      <c r="A463" s="1" t="str">
        <f ca="1">IFERROR(__xludf.DUMMYFUNCTION("GOOGLETRANSLATE(A463, ""zh"", ""en"")"),"Simplifying health management opens a new era for oral psoriasis treatment in China")</f>
        <v>Simplifying health management opens a new era for oral psoriasis treatment in China</v>
      </c>
      <c r="B463" s="1" t="str">
        <f ca="1">IFERROR(__xludf.DUMMYFUNCTION("GOOGLETRANSLATE(A463, ""zh"", ""en"")"),"Product quality")</f>
        <v>Product quality</v>
      </c>
      <c r="C463" s="1" t="str">
        <f ca="1">IFERROR(__xludf.DUMMYFUNCTION("GOOGLETRANSLATE(E463, ""zh"", ""en"")"),"Qualitative text")</f>
        <v>Qualitative text</v>
      </c>
    </row>
    <row r="464" spans="1:3" ht="13" x14ac:dyDescent="0.15">
      <c r="A464" s="1" t="str">
        <f ca="1">IFERROR(__xludf.DUMMYFUNCTION("GOOGLETRANSLATE(A464, ""zh"", ""en"")"),"The Group actively seizes the market to provide high-quality property management services to various types of customers")</f>
        <v>The Group actively seizes the market to provide high-quality property management services to various types of customers</v>
      </c>
      <c r="B464" s="1" t="str">
        <f ca="1">IFERROR(__xludf.DUMMYFUNCTION("GOOGLETRANSLATE(A464, ""zh"", ""en"")"),"Customers and Consumers")</f>
        <v>Customers and Consumers</v>
      </c>
      <c r="C464" s="1" t="str">
        <f ca="1">IFERROR(__xludf.DUMMYFUNCTION("GOOGLETRANSLATE(E464, ""zh"", ""en"")"),"Qualitative text")</f>
        <v>Qualitative text</v>
      </c>
    </row>
    <row r="465" spans="1:3" ht="13" x14ac:dyDescent="0.15">
      <c r="A465" s="1" t="str">
        <f ca="1">IFERROR(__xludf.DUMMYFUNCTION("GOOGLETRANSLATE(A465, ""zh"", ""en"")"),"Third, each institution shall set up three zones and two channels according to the requirements to prevent cross infection.")</f>
        <v>Third, each institution shall set up three zones and two channels according to the requirements to prevent cross infection.</v>
      </c>
      <c r="B465" s="1" t="str">
        <f ca="1">IFERROR(__xludf.DUMMYFUNCTION("GOOGLETRANSLATE(A465, ""zh"", ""en"")"),"Fighting the epidemic")</f>
        <v>Fighting the epidemic</v>
      </c>
      <c r="C465" s="1" t="str">
        <f ca="1">IFERROR(__xludf.DUMMYFUNCTION("GOOGLETRANSLATE(E465, ""zh"", ""en"")"),"Qualitative text")</f>
        <v>Qualitative text</v>
      </c>
    </row>
    <row r="466" spans="1:3" ht="13" x14ac:dyDescent="0.15">
      <c r="A466" s="1" t="str">
        <f ca="1">IFERROR(__xludf.DUMMYFUNCTION("GOOGLETRANSLATE(A466, ""zh"", ""en"")"),"During the reporting period, the company did not have any incidents of child labor, forced labor, discrimination or harassment.")</f>
        <v>During the reporting period, the company did not have any incidents of child labor, forced labor, discrimination or harassment.</v>
      </c>
      <c r="B466" s="1" t="str">
        <f ca="1">IFERROR(__xludf.DUMMYFUNCTION("GOOGLETRANSLATE(A466, ""zh"", ""en"")"),"staff")</f>
        <v>staff</v>
      </c>
      <c r="C466" s="1" t="str">
        <f ca="1">IFERROR(__xludf.DUMMYFUNCTION("GOOGLETRANSLATE(E466, ""zh"", ""en"")"),"Quantitative Text")</f>
        <v>Quantitative Text</v>
      </c>
    </row>
    <row r="467" spans="1:3" ht="13" x14ac:dyDescent="0.15">
      <c r="A467" s="1" t="str">
        <f ca="1">IFERROR(__xludf.DUMMYFUNCTION("GOOGLETRANSLATE(A467, ""zh"", ""en"")"),"Regularly conduct human rights and labor rights training for all employees with a training coverage rate of 100%")</f>
        <v>Regularly conduct human rights and labor rights training for all employees with a training coverage rate of 100%</v>
      </c>
      <c r="B467" s="1" t="str">
        <f ca="1">IFERROR(__xludf.DUMMYFUNCTION("GOOGLETRANSLATE(A467, ""zh"", ""en"")"),"staff")</f>
        <v>staff</v>
      </c>
      <c r="C467" s="1" t="str">
        <f ca="1">IFERROR(__xludf.DUMMYFUNCTION("GOOGLETRANSLATE(E467, ""zh"", ""en"")"),"Quantitative Text")</f>
        <v>Quantitative Text</v>
      </c>
    </row>
    <row r="468" spans="1:3" ht="13" x14ac:dyDescent="0.15">
      <c r="A468" s="1" t="str">
        <f ca="1">IFERROR(__xludf.DUMMYFUNCTION("GOOGLETRANSLATE(A468, ""zh"", ""en"")"),"We conducted an assessment of the importance of the topic through the following four rigorous and effective procedures")</f>
        <v>We conducted an assessment of the importance of the topic through the following four rigorous and effective procedures</v>
      </c>
      <c r="B468" s="1" t="str">
        <f ca="1">IFERROR(__xludf.DUMMYFUNCTION("GOOGLETRANSLATE(A468, ""zh"", ""en"")"),"irrelevant text")</f>
        <v>irrelevant text</v>
      </c>
      <c r="C468" s="1" t="str">
        <f ca="1">IFERROR(__xludf.DUMMYFUNCTION("GOOGLETRANSLATE(E468, ""zh"", ""en"")"),"irrelevant text")</f>
        <v>irrelevant text</v>
      </c>
    </row>
    <row r="469" spans="1:3" ht="13" x14ac:dyDescent="0.15">
      <c r="A469" s="1" t="str">
        <f ca="1">IFERROR(__xludf.DUMMYFUNCTION("GOOGLETRANSLATE(A469, ""zh"", ""en"")"),"3. The Supervisory Board is the company's supervisory body and is responsible to the company's shareholders' meeting.")</f>
        <v>3. The Supervisory Board is the company's supervisory body and is responsible to the company's shareholders' meeting.</v>
      </c>
      <c r="B469" s="1" t="str">
        <f ca="1">IFERROR(__xludf.DUMMYFUNCTION("GOOGLETRANSLATE(A469, ""zh"", ""en"")"),"Organizational structure and operations")</f>
        <v>Organizational structure and operations</v>
      </c>
      <c r="C469" s="1" t="str">
        <f ca="1">IFERROR(__xludf.DUMMYFUNCTION("GOOGLETRANSLATE(E469, ""zh"", ""en"")"),"Qualitative text")</f>
        <v>Qualitative text</v>
      </c>
    </row>
    <row r="470" spans="1:3" ht="13" x14ac:dyDescent="0.15">
      <c r="A470" s="1" t="str">
        <f ca="1">IFERROR(__xludf.DUMMYFUNCTION("GOOGLETRANSLATE(A470, ""zh"", ""en"")"),"We value the opinions of stakeholders and welcome readers to contact us through the following means")</f>
        <v>We value the opinions of stakeholders and welcome readers to contact us through the following means</v>
      </c>
      <c r="B470" s="1" t="str">
        <f ca="1">IFERROR(__xludf.DUMMYFUNCTION("GOOGLETRANSLATE(A470, ""zh"", ""en"")"),"irrelevant text")</f>
        <v>irrelevant text</v>
      </c>
      <c r="C470" s="1" t="str">
        <f ca="1">IFERROR(__xludf.DUMMYFUNCTION("GOOGLETRANSLATE(E470, ""zh"", ""en"")"),"irrelevant text")</f>
        <v>irrelevant text</v>
      </c>
    </row>
    <row r="471" spans="1:3" ht="13" x14ac:dyDescent="0.15">
      <c r="A471" s="1" t="str">
        <f ca="1">IFERROR(__xludf.DUMMYFUNCTION("GOOGLETRANSLATE(A471, ""zh"", ""en"")"),"The suppliers audited in 2021 and 2022 accounted for 59% of the procurement amount.")</f>
        <v>The suppliers audited in 2021 and 2022 accounted for 59% of the procurement amount.</v>
      </c>
      <c r="B471" s="1" t="str">
        <f ca="1">IFERROR(__xludf.DUMMYFUNCTION("GOOGLETRANSLATE(A471, ""zh"", ""en"")"),"supply chain management")</f>
        <v>supply chain management</v>
      </c>
      <c r="C471" s="1" t="str">
        <f ca="1">IFERROR(__xludf.DUMMYFUNCTION("GOOGLETRANSLATE(E471, ""zh"", ""en"")"),"Quantitative Text")</f>
        <v>Quantitative Text</v>
      </c>
    </row>
    <row r="472" spans="1:3" ht="13" x14ac:dyDescent="0.15">
      <c r="A472" s="1" t="str">
        <f ca="1">IFERROR(__xludf.DUMMYFUNCTION("GOOGLETRANSLATE(A472, ""zh"", ""en"")"),"In 2022, more than 4,600 employee innovation proposals were submitted, of which more than 800 were adopted.")</f>
        <v>In 2022, more than 4,600 employee innovation proposals were submitted, of which more than 800 were adopted.</v>
      </c>
      <c r="B472" s="1" t="str">
        <f ca="1">IFERROR(__xludf.DUMMYFUNCTION("GOOGLETRANSLATE(A472, ""zh"", ""en"")"),"staff")</f>
        <v>staff</v>
      </c>
      <c r="C472" s="1" t="str">
        <f ca="1">IFERROR(__xludf.DUMMYFUNCTION("GOOGLETRANSLATE(E472, ""zh"", ""en"")"),"Quantitative Text")</f>
        <v>Quantitative Text</v>
      </c>
    </row>
    <row r="473" spans="1:3" ht="13" x14ac:dyDescent="0.15">
      <c r="A473" s="1" t="str">
        <f ca="1">IFERROR(__xludf.DUMMYFUNCTION("GOOGLETRANSLATE(A473, ""zh"", ""en"")"),"In 2022, a total of 27 customer complaints were received, a year-on-year decrease of 37.21%.")</f>
        <v>In 2022, a total of 27 customer complaints were received, a year-on-year decrease of 37.21%.</v>
      </c>
      <c r="B473" s="1" t="str">
        <f ca="1">IFERROR(__xludf.DUMMYFUNCTION("GOOGLETRANSLATE(A473, ""zh"", ""en"")"),"Customers and Consumers")</f>
        <v>Customers and Consumers</v>
      </c>
      <c r="C473" s="1" t="str">
        <f ca="1">IFERROR(__xludf.DUMMYFUNCTION("GOOGLETRANSLATE(E473, ""zh"", ""en"")"),"Quantitative Text")</f>
        <v>Quantitative Text</v>
      </c>
    </row>
    <row r="474" spans="1:3" ht="13" x14ac:dyDescent="0.15">
      <c r="A474" s="1" t="str">
        <f ca="1">IFERROR(__xludf.DUMMYFUNCTION("GOOGLETRANSLATE(A474, ""zh"", ""en"")"),"During the reporting period, the Board of Supervisors effectively supervised the performance of duties of the Board of Directors and senior executives.")</f>
        <v>During the reporting period, the Board of Supervisors effectively supervised the performance of duties of the Board of Directors and senior executives.</v>
      </c>
      <c r="B474" s="1" t="str">
        <f ca="1">IFERROR(__xludf.DUMMYFUNCTION("GOOGLETRANSLATE(A474, ""zh"", ""en"")"),"Organizational structure and operations")</f>
        <v>Organizational structure and operations</v>
      </c>
      <c r="C474" s="1" t="str">
        <f ca="1">IFERROR(__xludf.DUMMYFUNCTION("GOOGLETRANSLATE(E474, ""zh"", ""en"")"),"Qualitative text")</f>
        <v>Qualitative text</v>
      </c>
    </row>
    <row r="475" spans="1:3" ht="13" x14ac:dyDescent="0.15">
      <c r="A475" s="1" t="str">
        <f ca="1">IFERROR(__xludf.DUMMYFUNCTION("GOOGLETRANSLATE(A475, ""zh"", ""en"")"),"Actively develop international trade and establish three major oil and gas operation centers in Asia, Europe and America")</f>
        <v>Actively develop international trade and establish three major oil and gas operation centers in Asia, Europe and America</v>
      </c>
      <c r="B475" s="1" t="str">
        <f ca="1">IFERROR(__xludf.DUMMYFUNCTION("GOOGLETRANSLATE(A475, ""zh"", ""en"")"),"raw materials")</f>
        <v>raw materials</v>
      </c>
      <c r="C475" s="1" t="str">
        <f ca="1">IFERROR(__xludf.DUMMYFUNCTION("GOOGLETRANSLATE(E475, ""zh"", ""en"")"),"Qualitative text")</f>
        <v>Qualitative text</v>
      </c>
    </row>
    <row r="476" spans="1:3" ht="13" x14ac:dyDescent="0.15">
      <c r="A476" s="1" t="str">
        <f ca="1">IFERROR(__xludf.DUMMYFUNCTION("GOOGLETRANSLATE(A476, ""zh"", ""en"")"),"The fundraising period for this activity is 5 years and the plan is to raise 100 million yuan to plant 15,000 mu of trees.")</f>
        <v>The fundraising period for this activity is 5 years and the plan is to raise 100 million yuan to plant 15,000 mu of trees.</v>
      </c>
      <c r="B476" s="1" t="str">
        <f ca="1">IFERROR(__xludf.DUMMYFUNCTION("GOOGLETRANSLATE(A476, ""zh"", ""en"")"),"Public welfare and volunteer service")</f>
        <v>Public welfare and volunteer service</v>
      </c>
      <c r="C476" s="1" t="str">
        <f ca="1">IFERROR(__xludf.DUMMYFUNCTION("GOOGLETRANSLATE(E476, ""zh"", ""en"")"),"Quantitative Text")</f>
        <v>Quantitative Text</v>
      </c>
    </row>
    <row r="477" spans="1:3" ht="13" x14ac:dyDescent="0.15">
      <c r="A477" s="1" t="str">
        <f ca="1">IFERROR(__xludf.DUMMYFUNCTION("GOOGLETRANSLATE(A477, ""zh"", ""en"")"),"Based on the consideration of continuity and comparability, appropriate explanations were given for individual matters.")</f>
        <v>Based on the consideration of continuity and comparability, appropriate explanations were given for individual matters.</v>
      </c>
      <c r="B477" s="1" t="str">
        <f ca="1">IFERROR(__xludf.DUMMYFUNCTION("GOOGLETRANSLATE(A477, ""zh"", ""en"")"),"irrelevant text")</f>
        <v>irrelevant text</v>
      </c>
      <c r="C477" s="1" t="str">
        <f ca="1">IFERROR(__xludf.DUMMYFUNCTION("GOOGLETRANSLATE(E477, ""zh"", ""en"")"),"irrelevant text")</f>
        <v>irrelevant text</v>
      </c>
    </row>
    <row r="478" spans="1:3" ht="13" x14ac:dyDescent="0.15">
      <c r="A478" s="1" t="str">
        <f ca="1">IFERROR(__xludf.DUMMYFUNCTION("GOOGLETRANSLATE(A478, ""zh"", ""en"")"),"Optimize water use structure and use unconventional water resources instead of fresh water to reduce fresh water consumption")</f>
        <v>Optimize water use structure and use unconventional water resources instead of fresh water to reduce fresh water consumption</v>
      </c>
      <c r="B478" s="1" t="str">
        <f ca="1">IFERROR(__xludf.DUMMYFUNCTION("GOOGLETRANSLATE(A478, ""zh"", ""en"")"),"Water resources")</f>
        <v>Water resources</v>
      </c>
      <c r="C478" s="1" t="str">
        <f ca="1">IFERROR(__xludf.DUMMYFUNCTION("GOOGLETRANSLATE(E478, ""zh"", ""en"")"),"Qualitative text")</f>
        <v>Qualitative text</v>
      </c>
    </row>
    <row r="479" spans="1:3" ht="13" x14ac:dyDescent="0.15">
      <c r="A479" s="1" t="str">
        <f ca="1">IFERROR(__xludf.DUMMYFUNCTION("GOOGLETRANSLATE(A479, ""zh"", ""en"")"),"Green Power Technology was jointly established by Shenneng Group Holding and Shanghai Electric.")</f>
        <v>Green Power Technology was jointly established by Shenneng Group Holding and Shanghai Electric.</v>
      </c>
      <c r="B479" s="1" t="str">
        <f ca="1">IFERROR(__xludf.DUMMYFUNCTION("GOOGLETRANSLATE(A479, ""zh"", ""en"")"),"irrelevant text")</f>
        <v>irrelevant text</v>
      </c>
      <c r="C479" s="1" t="str">
        <f ca="1">IFERROR(__xludf.DUMMYFUNCTION("GOOGLETRANSLATE(E479, ""zh"", ""en"")"),"irrelevant text")</f>
        <v>irrelevant text</v>
      </c>
    </row>
    <row r="480" spans="1:3" ht="13" x14ac:dyDescent="0.15">
      <c r="A480" s="1" t="str">
        <f ca="1">IFERROR(__xludf.DUMMYFUNCTION("GOOGLETRANSLATE(A480, ""zh"", ""en"")"),"The company reviews and confirms its recruitment practices and systems annually to avoid child labor and forced labor")</f>
        <v>The company reviews and confirms its recruitment practices and systems annually to avoid child labor and forced labor</v>
      </c>
      <c r="B480" s="1" t="str">
        <f ca="1">IFERROR(__xludf.DUMMYFUNCTION("GOOGLETRANSLATE(A480, ""zh"", ""en"")"),"staff")</f>
        <v>staff</v>
      </c>
      <c r="C480" s="1" t="str">
        <f ca="1">IFERROR(__xludf.DUMMYFUNCTION("GOOGLETRANSLATE(E480, ""zh"", ""en"")"),"Qualitative text")</f>
        <v>Qualitative text</v>
      </c>
    </row>
    <row r="481" spans="1:3" ht="13" x14ac:dyDescent="0.15">
      <c r="A481" s="1" t="str">
        <f ca="1">IFERROR(__xludf.DUMMYFUNCTION("GOOGLETRANSLATE(A481, ""zh"", ""en"")"),"The company also actively invests R&amp;D resources in the field of rare diseases to meet the needs of minority groups")</f>
        <v>The company also actively invests R&amp;D resources in the field of rare diseases to meet the needs of minority groups</v>
      </c>
      <c r="B481" s="1" t="str">
        <f ca="1">IFERROR(__xludf.DUMMYFUNCTION("GOOGLETRANSLATE(A481, ""zh"", ""en"")"),"Fighting the epidemic")</f>
        <v>Fighting the epidemic</v>
      </c>
      <c r="C481" s="1" t="str">
        <f ca="1">IFERROR(__xludf.DUMMYFUNCTION("GOOGLETRANSLATE(E481, ""zh"", ""en"")"),"Qualitative text")</f>
        <v>Qualitative text</v>
      </c>
    </row>
    <row r="482" spans="1:3" ht="13" x14ac:dyDescent="0.15">
      <c r="A482" s="1" t="str">
        <f ca="1">IFERROR(__xludf.DUMMYFUNCTION("GOOGLETRANSLATE(A482, ""zh"", ""en"")"),"In 2022, the company has more than 350 products under development and more than 30 Class 1 new drugs under development")</f>
        <v>In 2022, the company has more than 350 products under development and more than 30 Class 1 new drugs under development</v>
      </c>
      <c r="B482" s="1" t="str">
        <f ca="1">IFERROR(__xludf.DUMMYFUNCTION("GOOGLETRANSLATE(A482, ""zh"", ""en"")"),"Technological innovation")</f>
        <v>Technological innovation</v>
      </c>
      <c r="C482" s="1" t="str">
        <f ca="1">IFERROR(__xludf.DUMMYFUNCTION("GOOGLETRANSLATE(E482, ""zh"", ""en"")"),"Quantitative Text")</f>
        <v>Quantitative Text</v>
      </c>
    </row>
    <row r="483" spans="1:3" ht="13" x14ac:dyDescent="0.15">
      <c r="A483" s="1" t="str">
        <f ca="1">IFERROR(__xludf.DUMMYFUNCTION("GOOGLETRANSLATE(A483, ""zh"", ""en"")"),"Facing the future, Century Electric is in its youth. We will continue to strive and create the future together with creators.")</f>
        <v>Facing the future, Century Electric is in its youth. We will continue to strive and create the future together with creators.</v>
      </c>
      <c r="B483" s="1" t="str">
        <f ca="1">IFERROR(__xludf.DUMMYFUNCTION("GOOGLETRANSLATE(A483, ""zh"", ""en"")"),"irrelevant text")</f>
        <v>irrelevant text</v>
      </c>
      <c r="C483" s="1" t="str">
        <f ca="1">IFERROR(__xludf.DUMMYFUNCTION("GOOGLETRANSLATE(E483, ""zh"", ""en"")"),"irrelevant text")</f>
        <v>irrelevant text</v>
      </c>
    </row>
    <row r="484" spans="1:3" ht="13" x14ac:dyDescent="0.15">
      <c r="A484" s="1" t="str">
        <f ca="1">IFERROR(__xludf.DUMMYFUNCTION("GOOGLETRANSLATE(A484, ""zh"", ""en"")"),"Actively recruit female employees, foreign employees, and provide equal employment opportunities to ethnic minority employees.")</f>
        <v>Actively recruit female employees, foreign employees, and provide equal employment opportunities to ethnic minority employees.</v>
      </c>
      <c r="B484" s="1" t="str">
        <f ca="1">IFERROR(__xludf.DUMMYFUNCTION("GOOGLETRANSLATE(A484, ""zh"", ""en"")"),"Promoting employment")</f>
        <v>Promoting employment</v>
      </c>
      <c r="C484" s="1" t="str">
        <f ca="1">IFERROR(__xludf.DUMMYFUNCTION("GOOGLETRANSLATE(E484, ""zh"", ""en"")"),"Qualitative text")</f>
        <v>Qualitative text</v>
      </c>
    </row>
    <row r="485" spans="1:3" ht="13" x14ac:dyDescent="0.15">
      <c r="A485" s="1" t="str">
        <f ca="1">IFERROR(__xludf.DUMMYFUNCTION("GOOGLETRANSLATE(A485, ""zh"", ""en"")"),"Carry out audit supervision in a solid manner")</f>
        <v>Carry out audit supervision in a solid manner</v>
      </c>
      <c r="B485" s="1" t="str">
        <f ca="1">IFERROR(__xludf.DUMMYFUNCTION("GOOGLETRANSLATE(A485, ""zh"", ""en"")"),"Audit work")</f>
        <v>Audit work</v>
      </c>
      <c r="C485" s="1" t="str">
        <f ca="1">IFERROR(__xludf.DUMMYFUNCTION("GOOGLETRANSLATE(E485, ""zh"", ""en"")"),"Qualitative text")</f>
        <v>Qualitative text</v>
      </c>
    </row>
    <row r="486" spans="1:3" ht="13" x14ac:dyDescent="0.15">
      <c r="A486" s="1" t="str">
        <f ca="1">IFERROR(__xludf.DUMMYFUNCTION("GOOGLETRANSLATE(A486, ""zh"", ""en"")"),"The company is accelerating the construction of its natural gas production, supply, storage and sales system and continuously improving its natural gas supply capacity.")</f>
        <v>The company is accelerating the construction of its natural gas production, supply, storage and sales system and continuously improving its natural gas supply capacity.</v>
      </c>
      <c r="B486" s="1" t="str">
        <f ca="1">IFERROR(__xludf.DUMMYFUNCTION("GOOGLETRANSLATE(A486, ""zh"", ""en"")"),"Energy and resource consumption")</f>
        <v>Energy and resource consumption</v>
      </c>
      <c r="C486" s="1" t="str">
        <f ca="1">IFERROR(__xludf.DUMMYFUNCTION("GOOGLETRANSLATE(E486, ""zh"", ""en"")"),"Qualitative text")</f>
        <v>Qualitative text</v>
      </c>
    </row>
    <row r="487" spans="1:3" ht="13" x14ac:dyDescent="0.15">
      <c r="A487" s="1" t="str">
        <f ca="1">IFERROR(__xludf.DUMMYFUNCTION("GOOGLETRANSLATE(A487, ""zh"", ""en"")"),"The Board of Directors has an Audit Committee that fully participates in risk management and reports to the Board of Directors")</f>
        <v>The Board of Directors has an Audit Committee that fully participates in risk management and reports to the Board of Directors</v>
      </c>
      <c r="B487" s="1" t="str">
        <f ca="1">IFERROR(__xludf.DUMMYFUNCTION("GOOGLETRANSLATE(A487, ""zh"", ""en"")"),"Audit work")</f>
        <v>Audit work</v>
      </c>
      <c r="C487" s="1" t="str">
        <f ca="1">IFERROR(__xludf.DUMMYFUNCTION("GOOGLETRANSLATE(E487, ""zh"", ""en"")"),"Qualitative text")</f>
        <v>Qualitative text</v>
      </c>
    </row>
    <row r="488" spans="1:3" ht="13" x14ac:dyDescent="0.15">
      <c r="A488" s="1" t="str">
        <f ca="1">IFERROR(__xludf.DUMMYFUNCTION("GOOGLETRANSLATE(A488, ""zh"", ""en"")"),"06Sound Operations - Standardized Management B5.1Number of Suppliers by Region")</f>
        <v>06Sound Operations - Standardized Management B5.1Number of Suppliers by Region</v>
      </c>
      <c r="B488" s="1" t="str">
        <f ca="1">IFERROR(__xludf.DUMMYFUNCTION("GOOGLETRANSLATE(A488, ""zh"", ""en"")"),"supply chain management")</f>
        <v>supply chain management</v>
      </c>
      <c r="C488" s="1" t="str">
        <f ca="1">IFERROR(__xludf.DUMMYFUNCTION("GOOGLETRANSLATE(E488, ""zh"", ""en"")"),"Quantitative Text")</f>
        <v>Quantitative Text</v>
      </c>
    </row>
    <row r="489" spans="1:3" ht="13" x14ac:dyDescent="0.15">
      <c r="A489" s="1" t="str">
        <f ca="1">IFERROR(__xludf.DUMMYFUNCTION("GOOGLETRANSLATE(A489, ""zh"", ""en"")"),"In 2022, the proportion of foreign employees in the company's overseas projects reached 96.69")</f>
        <v>In 2022, the proportion of foreign employees in the company's overseas projects reached 96.69</v>
      </c>
      <c r="B489" s="1" t="str">
        <f ca="1">IFERROR(__xludf.DUMMYFUNCTION("GOOGLETRANSLATE(A489, ""zh"", ""en"")"),"staff")</f>
        <v>staff</v>
      </c>
      <c r="C489" s="1" t="str">
        <f ca="1">IFERROR(__xludf.DUMMYFUNCTION("GOOGLETRANSLATE(E489, ""zh"", ""en"")"),"Quantitative Text")</f>
        <v>Quantitative Text</v>
      </c>
    </row>
    <row r="490" spans="1:3" ht="13" x14ac:dyDescent="0.15">
      <c r="A490" s="1" t="str">
        <f ca="1">IFERROR(__xludf.DUMMYFUNCTION("GOOGLETRANSLATE(A490, ""zh"", ""en"")"),"Strictly implement the maternity, childbirth and breastfeeding leave regulations for female employees to protect their rights and interests")</f>
        <v>Strictly implement the maternity, childbirth and breastfeeding leave regulations for female employees to protect their rights and interests</v>
      </c>
      <c r="B490" s="1" t="str">
        <f ca="1">IFERROR(__xludf.DUMMYFUNCTION("GOOGLETRANSLATE(A490, ""zh"", ""en"")"),"staff")</f>
        <v>staff</v>
      </c>
      <c r="C490" s="1" t="str">
        <f ca="1">IFERROR(__xludf.DUMMYFUNCTION("GOOGLETRANSLATE(E490, ""zh"", ""en"")"),"Qualitative text")</f>
        <v>Qualitative text</v>
      </c>
    </row>
    <row r="491" spans="1:3" ht="13" x14ac:dyDescent="0.15">
      <c r="A491" s="1" t="str">
        <f ca="1">IFERROR(__xludf.DUMMYFUNCTION("GOOGLETRANSLATE(A491, ""zh"", ""en"")"),"Integrate and optimize the internal training system to form a unique Y-shaped employee training system")</f>
        <v>Integrate and optimize the internal training system to form a unique Y-shaped employee training system</v>
      </c>
      <c r="B491" s="1" t="str">
        <f ca="1">IFERROR(__xludf.DUMMYFUNCTION("GOOGLETRANSLATE(A491, ""zh"", ""en"")"),"staff")</f>
        <v>staff</v>
      </c>
      <c r="C491" s="1" t="str">
        <f ca="1">IFERROR(__xludf.DUMMYFUNCTION("GOOGLETRANSLATE(E491, ""zh"", ""en"")"),"Qualitative text")</f>
        <v>Qualitative text</v>
      </c>
    </row>
    <row r="492" spans="1:3" ht="13" x14ac:dyDescent="0.15">
      <c r="A492" s="1" t="str">
        <f ca="1">IFERROR(__xludf.DUMMYFUNCTION("GOOGLETRANSLATE(A492, ""zh"", ""en"")"),"The company insists on taking the study, publicity and implementation of the spirit of the 20th CPC National Congress as its primary political task")</f>
        <v>The company insists on taking the study, publicity and implementation of the spirit of the 20th CPC National Congress as its primary political task</v>
      </c>
      <c r="B492" s="1" t="str">
        <f ca="1">IFERROR(__xludf.DUMMYFUNCTION("GOOGLETRANSLATE(A492, ""zh"", ""en"")"),"irrelevant text")</f>
        <v>irrelevant text</v>
      </c>
      <c r="C492" s="1" t="str">
        <f ca="1">IFERROR(__xludf.DUMMYFUNCTION("GOOGLETRANSLATE(E492, ""zh"", ""en"")"),"irrelevant text")</f>
        <v>irrelevant text</v>
      </c>
    </row>
    <row r="493" spans="1:3" ht="13" x14ac:dyDescent="0.15">
      <c r="A493" s="1" t="str">
        <f ca="1">IFERROR(__xludf.DUMMYFUNCTION("GOOGLETRANSLATE(A493, ""zh"", ""en"")"),"In terms of waste management, CITIC Securities requires 100% compliance with the disposal regulations for hazardous waste.")</f>
        <v>In terms of waste management, CITIC Securities requires 100% compliance with the disposal regulations for hazardous waste.</v>
      </c>
      <c r="B493" s="1" t="str">
        <f ca="1">IFERROR(__xludf.DUMMYFUNCTION("GOOGLETRANSLATE(A493, ""zh"", ""en"")"),"Waste Management")</f>
        <v>Waste Management</v>
      </c>
      <c r="C493" s="1" t="str">
        <f ca="1">IFERROR(__xludf.DUMMYFUNCTION("GOOGLETRANSLATE(E493, ""zh"", ""en"")"),"Quantitative Text")</f>
        <v>Quantitative Text</v>
      </c>
    </row>
    <row r="494" spans="1:3" ht="13" x14ac:dyDescent="0.15">
      <c r="A494" s="1" t="str">
        <f ca="1">IFERROR(__xludf.DUMMYFUNCTION("GOOGLETRANSLATE(A494, ""zh"", ""en"")"),"The number of overseas employees refers to employees of overseas branches of China Construction Bank")</f>
        <v>The number of overseas employees refers to employees of overseas branches of China Construction Bank</v>
      </c>
      <c r="B494" s="1" t="str">
        <f ca="1">IFERROR(__xludf.DUMMYFUNCTION("GOOGLETRANSLATE(A494, ""zh"", ""en"")"),"staff")</f>
        <v>staff</v>
      </c>
      <c r="C494" s="1" t="str">
        <f ca="1">IFERROR(__xludf.DUMMYFUNCTION("GOOGLETRANSLATE(E494, ""zh"", ""en"")"),"Qualitative text")</f>
        <v>Qualitative text</v>
      </c>
    </row>
    <row r="495" spans="1:3" ht="13" x14ac:dyDescent="0.15">
      <c r="A495" s="1" t="str">
        <f ca="1">IFERROR(__xludf.DUMMYFUNCTION("GOOGLETRANSLATE(A495, ""zh"", ""en"")"),"The development and launch of CCB's learning training camp promotes the transformation and upgrading of digital learning concepts across the bank")</f>
        <v>The development and launch of CCB's learning training camp promotes the transformation and upgrading of digital learning concepts across the bank</v>
      </c>
      <c r="B495" s="1" t="str">
        <f ca="1">IFERROR(__xludf.DUMMYFUNCTION("GOOGLETRANSLATE(A495, ""zh"", ""en"")"),"Technological innovation")</f>
        <v>Technological innovation</v>
      </c>
      <c r="C495" s="1" t="str">
        <f ca="1">IFERROR(__xludf.DUMMYFUNCTION("GOOGLETRANSLATE(E495, ""zh"", ""en"")"),"Qualitative text")</f>
        <v>Qualitative text</v>
      </c>
    </row>
    <row r="496" spans="1:3" ht="13" x14ac:dyDescent="0.15">
      <c r="A496" s="1" t="str">
        <f ca="1">IFERROR(__xludf.DUMMYFUNCTION("GOOGLETRANSLATE(A496, ""zh"", ""en"")"),"When employees participate in training online, their attendance will be recorded on-site")</f>
        <v>When employees participate in training online, their attendance will be recorded on-site</v>
      </c>
      <c r="B496" s="1" t="str">
        <f ca="1">IFERROR(__xludf.DUMMYFUNCTION("GOOGLETRANSLATE(A496, ""zh"", ""en"")"),"staff")</f>
        <v>staff</v>
      </c>
      <c r="C496" s="1" t="str">
        <f ca="1">IFERROR(__xludf.DUMMYFUNCTION("GOOGLETRANSLATE(E496, ""zh"", ""en"")"),"Qualitative text")</f>
        <v>Qualitative text</v>
      </c>
    </row>
    <row r="497" spans="1:3" ht="13" x14ac:dyDescent="0.15">
      <c r="A497" s="1" t="str">
        <f ca="1">IFERROR(__xludf.DUMMYFUNCTION("GOOGLETRANSLATE(A497, ""zh"", ""en"")"),"Nylon Chemical Company's wastewater treatment plant conducts total nitrogen concentration control to reduce pollutant emissions")</f>
        <v>Nylon Chemical Company's wastewater treatment plant conducts total nitrogen concentration control to reduce pollutant emissions</v>
      </c>
      <c r="B497" s="1" t="str">
        <f ca="1">IFERROR(__xludf.DUMMYFUNCTION("GOOGLETRANSLATE(A497, ""zh"", ""en"")"),"Waste Management")</f>
        <v>Waste Management</v>
      </c>
      <c r="C497" s="1" t="str">
        <f ca="1">IFERROR(__xludf.DUMMYFUNCTION("GOOGLETRANSLATE(E497, ""zh"", ""en"")"),"Qualitative text")</f>
        <v>Qualitative text</v>
      </c>
    </row>
    <row r="498" spans="1:3" ht="13" x14ac:dyDescent="0.15">
      <c r="A498" s="1" t="str">
        <f ca="1">IFERROR(__xludf.DUMMYFUNCTION("GOOGLETRANSLATE(A498, ""zh"", ""en"")"),"Since the establishment of the factory, the company has paid attention to the greening and beautification of the factory area, with a green coverage rate of 34.2")</f>
        <v>Since the establishment of the factory, the company has paid attention to the greening and beautification of the factory area, with a green coverage rate of 34.2</v>
      </c>
      <c r="B498" s="1" t="str">
        <f ca="1">IFERROR(__xludf.DUMMYFUNCTION("GOOGLETRANSLATE(A498, ""zh"", ""en"")"),"Green Building")</f>
        <v>Green Building</v>
      </c>
      <c r="C498" s="1" t="str">
        <f ca="1">IFERROR(__xludf.DUMMYFUNCTION("GOOGLETRANSLATE(E498, ""zh"", ""en"")"),"Quantitative Text")</f>
        <v>Quantitative Text</v>
      </c>
    </row>
    <row r="499" spans="1:3" ht="13" x14ac:dyDescent="0.15">
      <c r="A499" s="1" t="str">
        <f ca="1">IFERROR(__xludf.DUMMYFUNCTION("GOOGLETRANSLATE(A499, ""zh"", ""en"")"),"Case Study: Waste Utilization and Profit Creation Company Actively Explores Material Selection for Cargo Transportation Reinforcement")</f>
        <v>Case Study: Waste Utilization and Profit Creation Company Actively Explores Material Selection for Cargo Transportation Reinforcement</v>
      </c>
      <c r="B499" s="1" t="str">
        <f ca="1">IFERROR(__xludf.DUMMYFUNCTION("GOOGLETRANSLATE(A499, ""zh"", ""en"")"),"Waste Management")</f>
        <v>Waste Management</v>
      </c>
      <c r="C499" s="1" t="str">
        <f ca="1">IFERROR(__xludf.DUMMYFUNCTION("GOOGLETRANSLATE(E499, ""zh"", ""en"")"),"Qualitative text")</f>
        <v>Qualitative text</v>
      </c>
    </row>
    <row r="500" spans="1:3" ht="13" x14ac:dyDescent="0.15">
      <c r="A500" s="1" t="str">
        <f ca="1">IFERROR(__xludf.DUMMYFUNCTION("GOOGLETRANSLATE(A500, ""zh"", ""en"")"),"This improvement not only reduces the risk of injuries caused by falls in the occupational exposure of spiritual workers, but also")</f>
        <v>This improvement not only reduces the risk of injuries caused by falls in the occupational exposure of spiritual workers, but also</v>
      </c>
      <c r="B500" s="1" t="str">
        <f ca="1">IFERROR(__xludf.DUMMYFUNCTION("GOOGLETRANSLATE(A500, ""zh"", ""en"")"),"staff")</f>
        <v>staff</v>
      </c>
      <c r="C500" s="1" t="str">
        <f ca="1">IFERROR(__xludf.DUMMYFUNCTION("GOOGLETRANSLATE(E500, ""zh"", ""en"")"),"Qualitative text")</f>
        <v>Qualitative text</v>
      </c>
    </row>
    <row r="501" spans="1:3" ht="13" x14ac:dyDescent="0.15">
      <c r="A501" s="1" t="str">
        <f ca="1">IFERROR(__xludf.DUMMYFUNCTION("GOOGLETRANSLATE(A501, ""zh"", ""en"")"),"The company actively includes suppliers and contractors in occupational health and safety considerations")</f>
        <v>The company actively includes suppliers and contractors in occupational health and safety considerations</v>
      </c>
      <c r="B501" s="1" t="str">
        <f ca="1">IFERROR(__xludf.DUMMYFUNCTION("GOOGLETRANSLATE(A501, ""zh"", ""en"")"),"staff")</f>
        <v>staff</v>
      </c>
      <c r="C501" s="1" t="str">
        <f ca="1">IFERROR(__xludf.DUMMYFUNCTION("GOOGLETRANSLATE(E501, ""zh"", ""en"")"),"Qualitative text")</f>
        <v>Qualitative text</v>
      </c>
    </row>
    <row r="502" spans="1:3" ht="13" x14ac:dyDescent="0.15">
      <c r="A502" s="1" t="str">
        <f ca="1">IFERROR(__xludf.DUMMYFUNCTION("GOOGLETRANSLATE(A502, ""zh"", ""en"")"),"In the project, we selected adsorption equipment and adopted continuous ion exchange process")</f>
        <v>In the project, we selected adsorption equipment and adopted continuous ion exchange process</v>
      </c>
      <c r="B502" s="1" t="str">
        <f ca="1">IFERROR(__xludf.DUMMYFUNCTION("GOOGLETRANSLATE(A502, ""zh"", ""en"")"),"Clean Technology")</f>
        <v>Clean Technology</v>
      </c>
      <c r="C502" s="1" t="str">
        <f ca="1">IFERROR(__xludf.DUMMYFUNCTION("GOOGLETRANSLATE(E502, ""zh"", ""en"")"),"Qualitative text")</f>
        <v>Qualitative text</v>
      </c>
    </row>
    <row r="503" spans="1:3" ht="13" x14ac:dyDescent="0.15">
      <c r="A503" s="1" t="str">
        <f ca="1">IFERROR(__xludf.DUMMYFUNCTION("GOOGLETRANSLATE(A503, ""zh"", ""en"")"),"We jointly train local technicians in Tajikistan and encourage local employees to learn Chinese")</f>
        <v>We jointly train local technicians in Tajikistan and encourage local employees to learn Chinese</v>
      </c>
      <c r="B503" s="1" t="str">
        <f ca="1">IFERROR(__xludf.DUMMYFUNCTION("GOOGLETRANSLATE(A503, ""zh"", ""en"")"),"Promoting employment")</f>
        <v>Promoting employment</v>
      </c>
      <c r="C503" s="1" t="str">
        <f ca="1">IFERROR(__xludf.DUMMYFUNCTION("GOOGLETRANSLATE(E503, ""zh"", ""en"")"),"Qualitative text")</f>
        <v>Qualitative text</v>
      </c>
    </row>
    <row r="504" spans="1:3" ht="13" x14ac:dyDescent="0.15">
      <c r="A504" s="1" t="str">
        <f ca="1">IFERROR(__xludf.DUMMYFUNCTION("GOOGLETRANSLATE(A504, ""zh"", ""en"")"),"The company has rich mineral resource reserves in the Republic of Tajikistan and Argentina")</f>
        <v>The company has rich mineral resource reserves in the Republic of Tajikistan and Argentina</v>
      </c>
      <c r="B504" s="1" t="str">
        <f ca="1">IFERROR(__xludf.DUMMYFUNCTION("GOOGLETRANSLATE(A504, ""zh"", ""en"")"),"raw materials")</f>
        <v>raw materials</v>
      </c>
      <c r="C504" s="1" t="str">
        <f ca="1">IFERROR(__xludf.DUMMYFUNCTION("GOOGLETRANSLATE(E504, ""zh"", ""en"")"),"Qualitative text")</f>
        <v>Qualitative text</v>
      </c>
    </row>
    <row r="505" spans="1:3" ht="13" x14ac:dyDescent="0.15">
      <c r="A505" s="1" t="str">
        <f ca="1">IFERROR(__xludf.DUMMYFUNCTION("GOOGLETRANSLATE(A505, ""zh"", ""en"")"),"In the future, we will continue to enhance our scientific and technological innovation capabilities to support the high-quality development of the pharmaceutical industry.")</f>
        <v>In the future, we will continue to enhance our scientific and technological innovation capabilities to support the high-quality development of the pharmaceutical industry.</v>
      </c>
      <c r="B505" s="1" t="str">
        <f ca="1">IFERROR(__xludf.DUMMYFUNCTION("GOOGLETRANSLATE(A505, ""zh"", ""en"")"),"Technological innovation")</f>
        <v>Technological innovation</v>
      </c>
      <c r="C505" s="1" t="str">
        <f ca="1">IFERROR(__xludf.DUMMYFUNCTION("GOOGLETRANSLATE(E505, ""zh"", ""en"")"),"Qualitative text")</f>
        <v>Qualitative text</v>
      </c>
    </row>
    <row r="506" spans="1:3" ht="13" x14ac:dyDescent="0.15">
      <c r="A506" s="1" t="str">
        <f ca="1">IFERROR(__xludf.DUMMYFUNCTION("GOOGLETRANSLATE(A506, ""zh"", ""en"")"),"In 2022, Kangyuan collected a total of 31 adverse events from its products through active collection.")</f>
        <v>In 2022, Kangyuan collected a total of 31 adverse events from its products through active collection.</v>
      </c>
      <c r="B506" s="1" t="str">
        <f ca="1">IFERROR(__xludf.DUMMYFUNCTION("GOOGLETRANSLATE(A506, ""zh"", ""en"")"),"Product quality")</f>
        <v>Product quality</v>
      </c>
      <c r="C506" s="1" t="str">
        <f ca="1">IFERROR(__xludf.DUMMYFUNCTION("GOOGLETRANSLATE(E506, ""zh"", ""en"")"),"Quantitative Text")</f>
        <v>Quantitative Text</v>
      </c>
    </row>
    <row r="507" spans="1:3" ht="13" x14ac:dyDescent="0.15">
      <c r="A507" s="1" t="str">
        <f ca="1">IFERROR(__xludf.DUMMYFUNCTION("GOOGLETRANSLATE(A507, ""zh"", ""en"")"),"The Group's domestic pharmaceutical division will formulate its own product recall management procedures in 2022.")</f>
        <v>The Group's domestic pharmaceutical division will formulate its own product recall management procedures in 2022.</v>
      </c>
      <c r="B507" s="1" t="str">
        <f ca="1">IFERROR(__xludf.DUMMYFUNCTION("GOOGLETRANSLATE(A507, ""zh"", ""en"")"),"Product quality")</f>
        <v>Product quality</v>
      </c>
      <c r="C507" s="1" t="str">
        <f ca="1">IFERROR(__xludf.DUMMYFUNCTION("GOOGLETRANSLATE(E507, ""zh"", ""en"")"),"Qualitative text")</f>
        <v>Qualitative text</v>
      </c>
    </row>
    <row r="508" spans="1:3" ht="13" x14ac:dyDescent="0.15">
      <c r="A508" s="1" t="str">
        <f ca="1">IFERROR(__xludf.DUMMYFUNCTION("GOOGLETRANSLATE(A508, ""zh"", ""en"")"),"The main target is newly promoted managers or employees who have received good feedback from supervisors.")</f>
        <v>The main target is newly promoted managers or employees who have received good feedback from supervisors.</v>
      </c>
      <c r="B508" s="1" t="str">
        <f ca="1">IFERROR(__xludf.DUMMYFUNCTION("GOOGLETRANSLATE(A508, ""zh"", ""en"")"),"staff")</f>
        <v>staff</v>
      </c>
      <c r="C508" s="1" t="str">
        <f ca="1">IFERROR(__xludf.DUMMYFUNCTION("GOOGLETRANSLATE(E508, ""zh"", ""en"")"),"Qualitative text")</f>
        <v>Qualitative text</v>
      </c>
    </row>
    <row r="509" spans="1:3" ht="13" x14ac:dyDescent="0.15">
      <c r="A509" s="1" t="str">
        <f ca="1">IFERROR(__xludf.DUMMYFUNCTION("GOOGLETRANSLATE(A509, ""zh"", ""en"")"),"The audit opinions issued by the institutions fully demonstrate the transparent operation of the Group")</f>
        <v>The audit opinions issued by the institutions fully demonstrate the transparent operation of the Group</v>
      </c>
      <c r="B509" s="1" t="str">
        <f ca="1">IFERROR(__xludf.DUMMYFUNCTION("GOOGLETRANSLATE(A509, ""zh"", ""en"")"),"Audit work")</f>
        <v>Audit work</v>
      </c>
      <c r="C509" s="1" t="str">
        <f ca="1">IFERROR(__xludf.DUMMYFUNCTION("GOOGLETRANSLATE(E509, ""zh"", ""en"")"),"Qualitative text")</f>
        <v>Qualitative text</v>
      </c>
    </row>
    <row r="510" spans="1:3" ht="13" x14ac:dyDescent="0.15">
      <c r="A510" s="1" t="str">
        <f ca="1">IFERROR(__xludf.DUMMYFUNCTION("GOOGLETRANSLATE(A510, ""zh"", ""en"")"),"Except for projects that require approval according to law, the company can independently carry out business activities in accordance with the law with a business license.")</f>
        <v>Except for projects that require approval according to law, the company can independently carry out business activities in accordance with the law with a business license.</v>
      </c>
      <c r="B510" s="1" t="str">
        <f ca="1">IFERROR(__xludf.DUMMYFUNCTION("GOOGLETRANSLATE(A510, ""zh"", ""en"")"),"irrelevant text")</f>
        <v>irrelevant text</v>
      </c>
      <c r="C510" s="1" t="str">
        <f ca="1">IFERROR(__xludf.DUMMYFUNCTION("GOOGLETRANSLATE(E510, ""zh"", ""en"")"),"irrelevant text")</f>
        <v>irrelevant text</v>
      </c>
    </row>
    <row r="511" spans="1:3" ht="13" x14ac:dyDescent="0.15">
      <c r="A511" s="1" t="str">
        <f ca="1">IFERROR(__xludf.DUMMYFUNCTION("GOOGLETRANSLATE(A511, ""zh"", ""en"")"),"Wang Haibo's Skill Master Studio was awarded the title of Zhejiang Province Youth Worker Innovation and Creativity Studio")</f>
        <v>Wang Haibo's Skill Master Studio was awarded the title of Zhejiang Province Youth Worker Innovation and Creativity Studio</v>
      </c>
      <c r="B511" s="1" t="str">
        <f ca="1">IFERROR(__xludf.DUMMYFUNCTION("GOOGLETRANSLATE(A511, ""zh"", ""en"")"),"Technological innovation")</f>
        <v>Technological innovation</v>
      </c>
      <c r="C511" s="1" t="str">
        <f ca="1">IFERROR(__xludf.DUMMYFUNCTION("GOOGLETRANSLATE(E511, ""zh"", ""en"")"),"Qualitative text")</f>
        <v>Qualitative text</v>
      </c>
    </row>
    <row r="512" spans="1:3" ht="13" x14ac:dyDescent="0.15">
      <c r="A512" s="1" t="str">
        <f ca="1">IFERROR(__xludf.DUMMYFUNCTION("GOOGLETRANSLATE(A512, ""zh"", ""en"")"),"Focusing on talent growth and career development requires further strengthening of the talent training system")</f>
        <v>Focusing on talent growth and career development requires further strengthening of the talent training system</v>
      </c>
      <c r="B512" s="1" t="str">
        <f ca="1">IFERROR(__xludf.DUMMYFUNCTION("GOOGLETRANSLATE(A512, ""zh"", ""en"")"),"staff")</f>
        <v>staff</v>
      </c>
      <c r="C512" s="1" t="str">
        <f ca="1">IFERROR(__xludf.DUMMYFUNCTION("GOOGLETRANSLATE(E512, ""zh"", ""en"")"),"Qualitative text")</f>
        <v>Qualitative text</v>
      </c>
    </row>
    <row r="513" spans="1:3" ht="13" x14ac:dyDescent="0.15">
      <c r="A513" s="1" t="str">
        <f ca="1">IFERROR(__xludf.DUMMYFUNCTION("GOOGLETRANSLATE(A513, ""zh"", ""en"")"),"Together Against the Epidemic, we carried out volunteer epidemic prevention services and donated epidemic prevention materials to Chaoming Street where we are located")</f>
        <v>Together Against the Epidemic, we carried out volunteer epidemic prevention services and donated epidemic prevention materials to Chaoming Street where we are located</v>
      </c>
      <c r="B513" s="1" t="str">
        <f ca="1">IFERROR(__xludf.DUMMYFUNCTION("GOOGLETRANSLATE(A513, ""zh"", ""en"")"),"Fighting the epidemic")</f>
        <v>Fighting the epidemic</v>
      </c>
      <c r="C513" s="1" t="str">
        <f ca="1">IFERROR(__xludf.DUMMYFUNCTION("GOOGLETRANSLATE(E513, ""zh"", ""en"")"),"Qualitative text")</f>
        <v>Qualitative text</v>
      </c>
    </row>
    <row r="514" spans="1:3" ht="13" x14ac:dyDescent="0.15">
      <c r="A514" s="1" t="str">
        <f ca="1">IFERROR(__xludf.DUMMYFUNCTION("GOOGLETRANSLATE(A514, ""zh"", ""en"")"),"Negotiate with Hangzhou Qingzhilan Art Troupe to promote music aid project for disabled children")</f>
        <v>Negotiate with Hangzhou Qingzhilan Art Troupe to promote music aid project for disabled children</v>
      </c>
      <c r="B514" s="1" t="str">
        <f ca="1">IFERROR(__xludf.DUMMYFUNCTION("GOOGLETRANSLATE(A514, ""zh"", ""en"")"),"Public welfare and volunteer service")</f>
        <v>Public welfare and volunteer service</v>
      </c>
      <c r="C514" s="1" t="str">
        <f ca="1">IFERROR(__xludf.DUMMYFUNCTION("GOOGLETRANSLATE(E514, ""zh"", ""en"")"),"Qualitative text")</f>
        <v>Qualitative text</v>
      </c>
    </row>
    <row r="515" spans="1:3" ht="13" x14ac:dyDescent="0.15">
      <c r="A515" s="1" t="str">
        <f ca="1">IFERROR(__xludf.DUMMYFUNCTION("GOOGLETRANSLATE(A515, ""zh"", ""en"")"),"Housing for New Citizens: China Construction Bank Deepens Industry Understanding and Innovates Financing Products and Services")</f>
        <v>Housing for New Citizens: China Construction Bank Deepens Industry Understanding and Innovates Financing Products and Services</v>
      </c>
      <c r="B515" s="1" t="str">
        <f ca="1">IFERROR(__xludf.DUMMYFUNCTION("GOOGLETRANSLATE(A515, ""zh"", ""en"")"),"Green Finance")</f>
        <v>Green Finance</v>
      </c>
      <c r="C515" s="1" t="str">
        <f ca="1">IFERROR(__xludf.DUMMYFUNCTION("GOOGLETRANSLATE(E515, ""zh"", ""en"")"),"Qualitative text")</f>
        <v>Qualitative text</v>
      </c>
    </row>
    <row r="516" spans="1:3" ht="13" x14ac:dyDescent="0.15">
      <c r="A516" s="1" t="str">
        <f ca="1">IFERROR(__xludf.DUMMYFUNCTION("GOOGLETRANSLATE(A516, ""zh"", ""en"")"),"Reporting Principles This report has been prepared in accordance with the principles of materiality, quantification, balance and consistency.")</f>
        <v>Reporting Principles This report has been prepared in accordance with the principles of materiality, quantification, balance and consistency.</v>
      </c>
      <c r="B516" s="1" t="str">
        <f ca="1">IFERROR(__xludf.DUMMYFUNCTION("GOOGLETRANSLATE(A516, ""zh"", ""en"")"),"irrelevant text")</f>
        <v>irrelevant text</v>
      </c>
      <c r="C516" s="1" t="str">
        <f ca="1">IFERROR(__xludf.DUMMYFUNCTION("GOOGLETRANSLATE(E516, ""zh"", ""en"")"),"irrelevant text")</f>
        <v>irrelevant text</v>
      </c>
    </row>
    <row r="517" spans="1:3" ht="13" x14ac:dyDescent="0.15">
      <c r="A517" s="1" t="str">
        <f ca="1">IFERROR(__xludf.DUMMYFUNCTION("GOOGLETRANSLATE(A517, ""zh"", ""en"")"),"23 Key Performance Indicator B6.4 Description of quality inspection process and product recall procedures")</f>
        <v>23 Key Performance Indicator B6.4 Description of quality inspection process and product recall procedures</v>
      </c>
      <c r="B517" s="1" t="str">
        <f ca="1">IFERROR(__xludf.DUMMYFUNCTION("GOOGLETRANSLATE(A517, ""zh"", ""en"")"),"Product quality")</f>
        <v>Product quality</v>
      </c>
      <c r="C517" s="1" t="str">
        <f ca="1">IFERROR(__xludf.DUMMYFUNCTION("GOOGLETRANSLATE(E517, ""zh"", ""en"")"),"Qualitative text")</f>
        <v>Qualitative text</v>
      </c>
    </row>
    <row r="518" spans="1:3" ht="13" x14ac:dyDescent="0.15">
      <c r="A518" s="1" t="str">
        <f ca="1">IFERROR(__xludf.DUMMYFUNCTION("GOOGLETRANSLATE(A518, ""zh"", ""en"")"),"In 2022, trade unions at all levels provided targeted assistance to 196,164 people of all kinds.")</f>
        <v>In 2022, trade unions at all levels provided targeted assistance to 196,164 people of all kinds.</v>
      </c>
      <c r="B518" s="1" t="str">
        <f ca="1">IFERROR(__xludf.DUMMYFUNCTION("GOOGLETRANSLATE(A518, ""zh"", ""en"")"),"Promoting employment")</f>
        <v>Promoting employment</v>
      </c>
      <c r="C518" s="1" t="str">
        <f ca="1">IFERROR(__xludf.DUMMYFUNCTION("GOOGLETRANSLATE(E518, ""zh"", ""en"")"),"Quantitative Text")</f>
        <v>Quantitative Text</v>
      </c>
    </row>
    <row r="519" spans="1:3" ht="13" x14ac:dyDescent="0.15">
      <c r="A519" s="1" t="str">
        <f ca="1">IFERROR(__xludf.DUMMYFUNCTION("GOOGLETRANSLATE(A519, ""zh"", ""en"")"),"Solicit opinions and suggestions from surrounding residents during the public participation phase of the environmental impact assessment")</f>
        <v>Solicit opinions and suggestions from surrounding residents during the public participation phase of the environmental impact assessment</v>
      </c>
      <c r="B519" s="1" t="str">
        <f ca="1">IFERROR(__xludf.DUMMYFUNCTION("GOOGLETRANSLATE(A519, ""zh"", ""en"")"),"Environmental Policy")</f>
        <v>Environmental Policy</v>
      </c>
      <c r="C519" s="1" t="str">
        <f ca="1">IFERROR(__xludf.DUMMYFUNCTION("GOOGLETRANSLATE(E519, ""zh"", ""en"")"),"Qualitative text")</f>
        <v>Qualitative text</v>
      </c>
    </row>
    <row r="520" spans="1:3" ht="13" x14ac:dyDescent="0.15">
      <c r="A520" s="1" t="str">
        <f ca="1">IFERROR(__xludf.DUMMYFUNCTION("GOOGLETRANSLATE(A520, ""zh"", ""en"")"),"Focus on corporate governance compliance, including management compliance, business ethics, litigation disputes, etc.")</f>
        <v>Focus on corporate governance compliance, including management compliance, business ethics, litigation disputes, etc.</v>
      </c>
      <c r="B520" s="1" t="str">
        <f ca="1">IFERROR(__xludf.DUMMYFUNCTION("GOOGLETRANSLATE(A520, ""zh"", ""en"")"),"Legal proceedings and external sanctions")</f>
        <v>Legal proceedings and external sanctions</v>
      </c>
      <c r="C520" s="1" t="str">
        <f ca="1">IFERROR(__xludf.DUMMYFUNCTION("GOOGLETRANSLATE(E520, ""zh"", ""en"")"),"Qualitative text")</f>
        <v>Qualitative text</v>
      </c>
    </row>
    <row r="521" spans="1:3" ht="13" x14ac:dyDescent="0.15">
      <c r="A521" s="1" t="str">
        <f ca="1">IFERROR(__xludf.DUMMYFUNCTION("GOOGLETRANSLATE(A521, ""zh"", ""en"")"),"More than 20 mid-level and reserve cadres were selected to study in universities to systematically improve their comprehensive abilities.")</f>
        <v>More than 20 mid-level and reserve cadres were selected to study in universities to systematically improve their comprehensive abilities.</v>
      </c>
      <c r="B521" s="1" t="str">
        <f ca="1">IFERROR(__xludf.DUMMYFUNCTION("GOOGLETRANSLATE(A521, ""zh"", ""en"")"),"staff")</f>
        <v>staff</v>
      </c>
      <c r="C521" s="1" t="str">
        <f ca="1">IFERROR(__xludf.DUMMYFUNCTION("GOOGLETRANSLATE(E521, ""zh"", ""en"")"),"Quantitative Text")</f>
        <v>Quantitative Text</v>
      </c>
    </row>
    <row r="522" spans="1:3" ht="13" x14ac:dyDescent="0.15">
      <c r="A522" s="1" t="str">
        <f ca="1">IFERROR(__xludf.DUMMYFUNCTION("GOOGLETRANSLATE(A522, ""zh"", ""en"")"),"Through the Dima Employee Care Fund, RMB 100,000 was allocated to the families of employees to provide them with assistance.")</f>
        <v>Through the Dima Employee Care Fund, RMB 100,000 was allocated to the families of employees to provide them with assistance.</v>
      </c>
      <c r="B522" s="1" t="str">
        <f ca="1">IFERROR(__xludf.DUMMYFUNCTION("GOOGLETRANSLATE(A522, ""zh"", ""en"")"),"staff")</f>
        <v>staff</v>
      </c>
      <c r="C522" s="1" t="str">
        <f ca="1">IFERROR(__xludf.DUMMYFUNCTION("GOOGLETRANSLATE(E522, ""zh"", ""en"")"),"Quantitative Text")</f>
        <v>Quantitative Text</v>
      </c>
    </row>
    <row r="523" spans="1:3" ht="13" x14ac:dyDescent="0.15">
      <c r="A523" s="1" t="str">
        <f ca="1">IFERROR(__xludf.DUMMYFUNCTION("GOOGLETRANSLATE(A523, ""zh"", ""en"")"),"At present, Dongyuan Zhixin has achieved fruitful results in both area renewal and single-unit renewal.")</f>
        <v>At present, Dongyuan Zhixin has achieved fruitful results in both area renewal and single-unit renewal.</v>
      </c>
      <c r="B523" s="1" t="str">
        <f ca="1">IFERROR(__xludf.DUMMYFUNCTION("GOOGLETRANSLATE(A523, ""zh"", ""en"")"),"Green Building")</f>
        <v>Green Building</v>
      </c>
      <c r="C523" s="1" t="str">
        <f ca="1">IFERROR(__xludf.DUMMYFUNCTION("GOOGLETRANSLATE(E523, ""zh"", ""en"")"),"Qualitative text")</f>
        <v>Qualitative text</v>
      </c>
    </row>
    <row r="524" spans="1:3" ht="13" x14ac:dyDescent="0.15">
      <c r="A524" s="1" t="str">
        <f ca="1">IFERROR(__xludf.DUMMYFUNCTION("GOOGLETRANSLATE(A524, ""zh"", ""en"")"),"In addition, the application of new technologies such as 5GAI has effectively improved the level of safe and environmentally friendly production operations.")</f>
        <v>In addition, the application of new technologies such as 5GAI has effectively improved the level of safe and environmentally friendly production operations.</v>
      </c>
      <c r="B524" s="1" t="str">
        <f ca="1">IFERROR(__xludf.DUMMYFUNCTION("GOOGLETRANSLATE(A524, ""zh"", ""en"")"),"Technological innovation")</f>
        <v>Technological innovation</v>
      </c>
      <c r="C524" s="1" t="str">
        <f ca="1">IFERROR(__xludf.DUMMYFUNCTION("GOOGLETRANSLATE(E524, ""zh"", ""en"")"),"Qualitative text")</f>
        <v>Qualitative text</v>
      </c>
    </row>
    <row r="525" spans="1:3" ht="13" x14ac:dyDescent="0.15">
      <c r="A525" s="1" t="str">
        <f ca="1">IFERROR(__xludf.DUMMYFUNCTION("GOOGLETRANSLATE(A525, ""zh"", ""en"")"),"The committee is composed of four independent directors, with the chairman being an independent director with accounting expertise.")</f>
        <v>The committee is composed of four independent directors, with the chairman being an independent director with accounting expertise.</v>
      </c>
      <c r="B525" s="1" t="str">
        <f ca="1">IFERROR(__xludf.DUMMYFUNCTION("GOOGLETRANSLATE(A525, ""zh"", ""en"")"),"Organizational structure and operations")</f>
        <v>Organizational structure and operations</v>
      </c>
      <c r="C525" s="1" t="str">
        <f ca="1">IFERROR(__xludf.DUMMYFUNCTION("GOOGLETRANSLATE(E525, ""zh"", ""en"")"),"Qualitative text")</f>
        <v>Qualitative text</v>
      </c>
    </row>
    <row r="526" spans="1:3" ht="13" x14ac:dyDescent="0.15">
      <c r="A526" s="1" t="str">
        <f ca="1">IFERROR(__xludf.DUMMYFUNCTION("GOOGLETRANSLATE(A526, ""zh"", ""en"")"),"Each specialized committee conducts research on professional matters and provides advice to the board of directors for decision-making.")</f>
        <v>Each specialized committee conducts research on professional matters and provides advice to the board of directors for decision-making.</v>
      </c>
      <c r="B526" s="1" t="str">
        <f ca="1">IFERROR(__xludf.DUMMYFUNCTION("GOOGLETRANSLATE(A526, ""zh"", ""en"")"),"Organizational structure and operations")</f>
        <v>Organizational structure and operations</v>
      </c>
      <c r="C526" s="1" t="str">
        <f ca="1">IFERROR(__xludf.DUMMYFUNCTION("GOOGLETRANSLATE(E526, ""zh"", ""en"")"),"Qualitative text")</f>
        <v>Qualitative text</v>
      </c>
    </row>
    <row r="527" spans="1:3" ht="13" x14ac:dyDescent="0.15">
      <c r="A527" s="1" t="str">
        <f ca="1">IFERROR(__xludf.DUMMYFUNCTION("GOOGLETRANSLATE(A527, ""zh"", ""en"")"),"Vigorously develop natural gas and actively deploy new energy businesses to increase the proportion of clean energy supply")</f>
        <v>Vigorously develop natural gas and actively deploy new energy businesses to increase the proportion of clean energy supply</v>
      </c>
      <c r="B527" s="1" t="str">
        <f ca="1">IFERROR(__xludf.DUMMYFUNCTION("GOOGLETRANSLATE(A527, ""zh"", ""en"")"),"Energy and resource consumption")</f>
        <v>Energy and resource consumption</v>
      </c>
      <c r="C527" s="1" t="str">
        <f ca="1">IFERROR(__xludf.DUMMYFUNCTION("GOOGLETRANSLATE(E527, ""zh"", ""en"")"),"Qualitative text")</f>
        <v>Qualitative text</v>
      </c>
    </row>
    <row r="528" spans="1:3" ht="13" x14ac:dyDescent="0.15">
      <c r="A528" s="1" t="str">
        <f ca="1">IFERROR(__xludf.DUMMYFUNCTION("GOOGLETRANSLATE(A528, ""zh"", ""en"")"),"The company also continues to manage climate change risk mitigation targets in its daily operations.")</f>
        <v>The company also continues to manage climate change risk mitigation targets in its daily operations.</v>
      </c>
      <c r="B528" s="1" t="str">
        <f ca="1">IFERROR(__xludf.DUMMYFUNCTION("GOOGLETRANSLATE(A528, ""zh"", ""en"")"),"Addressing climate change")</f>
        <v>Addressing climate change</v>
      </c>
      <c r="C528" s="1" t="str">
        <f ca="1">IFERROR(__xludf.DUMMYFUNCTION("GOOGLETRANSLATE(E528, ""zh"", ""en"")"),"Qualitative text")</f>
        <v>Qualitative text</v>
      </c>
    </row>
    <row r="529" spans="1:3" ht="13" x14ac:dyDescent="0.15">
      <c r="A529" s="1" t="str">
        <f ca="1">IFERROR(__xludf.DUMMYFUNCTION("GOOGLETRANSLATE(A529, ""zh"", ""en"")"),"The company disclosed greenhouse gas emissions data and major achievements in green finance")</f>
        <v>The company disclosed greenhouse gas emissions data and major achievements in green finance</v>
      </c>
      <c r="B529" s="1" t="str">
        <f ca="1">IFERROR(__xludf.DUMMYFUNCTION("GOOGLETRANSLATE(A529, ""zh"", ""en"")"),"carbon emissions")</f>
        <v>carbon emissions</v>
      </c>
      <c r="C529" s="1" t="str">
        <f ca="1">IFERROR(__xludf.DUMMYFUNCTION("GOOGLETRANSLATE(E529, ""zh"", ""en"")"),"Qualitative text")</f>
        <v>Qualitative text</v>
      </c>
    </row>
    <row r="530" spans="1:3" ht="13" x14ac:dyDescent="0.15">
      <c r="A530" s="1" t="str">
        <f ca="1">IFERROR(__xludf.DUMMYFUNCTION("GOOGLETRANSLATE(A530, ""zh"", ""en"")"),"Domestic waste is collected, transported and processed by qualified units approved by the local government.")</f>
        <v>Domestic waste is collected, transported and processed by qualified units approved by the local government.</v>
      </c>
      <c r="B530" s="1" t="str">
        <f ca="1">IFERROR(__xludf.DUMMYFUNCTION("GOOGLETRANSLATE(A530, ""zh"", ""en"")"),"Waste Management")</f>
        <v>Waste Management</v>
      </c>
      <c r="C530" s="1" t="str">
        <f ca="1">IFERROR(__xludf.DUMMYFUNCTION("GOOGLETRANSLATE(E530, ""zh"", ""en"")"),"Qualitative text")</f>
        <v>Qualitative text</v>
      </c>
    </row>
    <row r="531" spans="1:3" ht="13" x14ac:dyDescent="0.15">
      <c r="A531" s="1" t="str">
        <f ca="1">IFERROR(__xludf.DUMMYFUNCTION("GOOGLETRANSLATE(A531, ""zh"", ""en"")"),"GSPGoodSupplyPracticeGood Supply Practice")</f>
        <v>GSPGoodSupplyPracticeGood Supply Practice</v>
      </c>
      <c r="B531" s="1" t="str">
        <f ca="1">IFERROR(__xludf.DUMMYFUNCTION("GOOGLETRANSLATE(A531, ""zh"", ""en"")"),"irrelevant text")</f>
        <v>irrelevant text</v>
      </c>
      <c r="C531" s="1" t="str">
        <f ca="1">IFERROR(__xludf.DUMMYFUNCTION("GOOGLETRANSLATE(E531, ""zh"", ""en"")"),"irrelevant text")</f>
        <v>irrelevant text</v>
      </c>
    </row>
    <row r="532" spans="1:3" ht="13" x14ac:dyDescent="0.15">
      <c r="A532" s="1" t="str">
        <f ca="1">IFERROR(__xludf.DUMMYFUNCTION("GOOGLETRANSLATE(A532, ""zh"", ""en"")"),"In June 2022, Yichang Renfu held a celebration and commendation meeting for the 101st anniversary of the founding of the Communist Party of China")</f>
        <v>In June 2022, Yichang Renfu held a celebration and commendation meeting for the 101st anniversary of the founding of the Communist Party of China</v>
      </c>
      <c r="B532" s="1" t="str">
        <f ca="1">IFERROR(__xludf.DUMMYFUNCTION("GOOGLETRANSLATE(A532, ""zh"", ""en"")"),"irrelevant text")</f>
        <v>irrelevant text</v>
      </c>
      <c r="C532" s="1" t="str">
        <f ca="1">IFERROR(__xludf.DUMMYFUNCTION("GOOGLETRANSLATE(E532, ""zh"", ""en"")"),"irrelevant text")</f>
        <v>irrelevant text</v>
      </c>
    </row>
    <row r="533" spans="1:3" ht="13" x14ac:dyDescent="0.15">
      <c r="A533" s="1" t="str">
        <f ca="1">IFERROR(__xludf.DUMMYFUNCTION("GOOGLETRANSLATE(A533, ""zh"", ""en"")"),"Currently, there are few drugs approved for stone removal in China, and there is a great demand from stone patients.")</f>
        <v>Currently, there are few drugs approved for stone removal in China, and there is a great demand from stone patients.</v>
      </c>
      <c r="B533" s="1" t="str">
        <f ca="1">IFERROR(__xludf.DUMMYFUNCTION("GOOGLETRANSLATE(A533, ""zh"", ""en"")"),"irrelevant text")</f>
        <v>irrelevant text</v>
      </c>
      <c r="C533" s="1" t="str">
        <f ca="1">IFERROR(__xludf.DUMMYFUNCTION("GOOGLETRANSLATE(E533, ""zh"", ""en"")"),"irrelevant text")</f>
        <v>irrelevant text</v>
      </c>
    </row>
    <row r="534" spans="1:3" ht="13" x14ac:dyDescent="0.15">
      <c r="A534" s="1" t="str">
        <f ca="1">IFERROR(__xludf.DUMMYFUNCTION("GOOGLETRANSLATE(A534, ""zh"", ""en"")"),"Haining Warp Knitting Industry Brain won the title of Zhejiang Province's Excellent Industry Brain in 2022")</f>
        <v>Haining Warp Knitting Industry Brain won the title of Zhejiang Province's Excellent Industry Brain in 2022</v>
      </c>
      <c r="B534" s="1" t="str">
        <f ca="1">IFERROR(__xludf.DUMMYFUNCTION("GOOGLETRANSLATE(A534, ""zh"", ""en"")"),"Technological innovation")</f>
        <v>Technological innovation</v>
      </c>
      <c r="C534" s="1" t="str">
        <f ca="1">IFERROR(__xludf.DUMMYFUNCTION("GOOGLETRANSLATE(E534, ""zh"", ""en"")"),"Quantitative Text")</f>
        <v>Quantitative Text</v>
      </c>
    </row>
    <row r="535" spans="1:3" ht="13" x14ac:dyDescent="0.15">
      <c r="A535" s="1" t="str">
        <f ca="1">IFERROR(__xludf.DUMMYFUNCTION("GOOGLETRANSLATE(A535, ""zh"", ""en"")"),"At the same time, we have training video suppliers in the Haidayuan system so that you can study at any time")</f>
        <v>At the same time, we have training video suppliers in the Haidayuan system so that you can study at any time</v>
      </c>
      <c r="B535" s="1" t="str">
        <f ca="1">IFERROR(__xludf.DUMMYFUNCTION("GOOGLETRANSLATE(A535, ""zh"", ""en"")"),"staff")</f>
        <v>staff</v>
      </c>
      <c r="C535" s="1" t="str">
        <f ca="1">IFERROR(__xludf.DUMMYFUNCTION("GOOGLETRANSLATE(E535, ""zh"", ""en"")"),"Qualitative text")</f>
        <v>Qualitative text</v>
      </c>
    </row>
    <row r="536" spans="1:3" ht="13" x14ac:dyDescent="0.15">
      <c r="A536" s="1" t="str">
        <f ca="1">IFERROR(__xludf.DUMMYFUNCTION("GOOGLETRANSLATE(A536, ""zh"", ""en"")"),"We plan to conduct routine research on conflict minerals on all suppliers every year.")</f>
        <v>We plan to conduct routine research on conflict minerals on all suppliers every year.</v>
      </c>
      <c r="B536" s="1" t="str">
        <f ca="1">IFERROR(__xludf.DUMMYFUNCTION("GOOGLETRANSLATE(A536, ""zh"", ""en"")"),"raw materials")</f>
        <v>raw materials</v>
      </c>
      <c r="C536" s="1" t="str">
        <f ca="1">IFERROR(__xludf.DUMMYFUNCTION("GOOGLETRANSLATE(E536, ""zh"", ""en"")"),"Qualitative text")</f>
        <v>Qualitative text</v>
      </c>
    </row>
    <row r="537" spans="1:3" ht="13" x14ac:dyDescent="0.15">
      <c r="A537" s="1" t="str">
        <f ca="1">IFERROR(__xludf.DUMMYFUNCTION("GOOGLETRANSLATE(A537, ""zh"", ""en"")"),"In 2022, about 74% of Haier Smart Home's product purchases will be related to local suppliers.")</f>
        <v>In 2022, about 74% of Haier Smart Home's product purchases will be related to local suppliers.</v>
      </c>
      <c r="B537" s="1" t="str">
        <f ca="1">IFERROR(__xludf.DUMMYFUNCTION("GOOGLETRANSLATE(A537, ""zh"", ""en"")"),"supply chain management")</f>
        <v>supply chain management</v>
      </c>
      <c r="C537" s="1" t="str">
        <f ca="1">IFERROR(__xludf.DUMMYFUNCTION("GOOGLETRANSLATE(E537, ""zh"", ""en"")"),"Quantitative Text")</f>
        <v>Quantitative Text</v>
      </c>
    </row>
    <row r="538" spans="1:3" ht="13" x14ac:dyDescent="0.15">
      <c r="A538" s="1" t="str">
        <f ca="1">IFERROR(__xludf.DUMMYFUNCTION("GOOGLETRANSLATE(A538, ""zh"", ""en"")"),"Safety drills This year, the company's safety management has been recognized by many parties and has achieved fruitful results.")</f>
        <v>Safety drills This year, the company's safety management has been recognized by many parties and has achieved fruitful results.</v>
      </c>
      <c r="B538" s="1" t="str">
        <f ca="1">IFERROR(__xludf.DUMMYFUNCTION("GOOGLETRANSLATE(A538, ""zh"", ""en"")"),"Data security")</f>
        <v>Data security</v>
      </c>
      <c r="C538" s="1" t="str">
        <f ca="1">IFERROR(__xludf.DUMMYFUNCTION("GOOGLETRANSLATE(E538, ""zh"", ""en"")"),"Qualitative text")</f>
        <v>Qualitative text</v>
      </c>
    </row>
    <row r="539" spans="1:3" ht="13" x14ac:dyDescent="0.15">
      <c r="A539" s="1" t="str">
        <f ca="1">IFERROR(__xludf.DUMMYFUNCTION("GOOGLETRANSLATE(A539, ""zh"", ""en"")"),"Haier Smart Home provides employees with diversified development paths to facilitate their career development")</f>
        <v>Haier Smart Home provides employees with diversified development paths to facilitate their career development</v>
      </c>
      <c r="B539" s="1" t="str">
        <f ca="1">IFERROR(__xludf.DUMMYFUNCTION("GOOGLETRANSLATE(A539, ""zh"", ""en"")"),"staff")</f>
        <v>staff</v>
      </c>
      <c r="C539" s="1" t="str">
        <f ca="1">IFERROR(__xludf.DUMMYFUNCTION("GOOGLETRANSLATE(E539, ""zh"", ""en"")"),"Qualitative text")</f>
        <v>Qualitative text</v>
      </c>
    </row>
    <row r="540" spans="1:3" ht="13" x14ac:dyDescent="0.15">
      <c r="A540" s="1" t="str">
        <f ca="1">IFERROR(__xludf.DUMMYFUNCTION("GOOGLETRANSLATE(A540, ""zh"", ""en"")"),"Avoid building factories in areas with high water supply risks and continue to promote water conservation efforts")</f>
        <v>Avoid building factories in areas with high water supply risks and continue to promote water conservation efforts</v>
      </c>
      <c r="B540" s="1" t="str">
        <f ca="1">IFERROR(__xludf.DUMMYFUNCTION("GOOGLETRANSLATE(A540, ""zh"", ""en"")"),"Water resources")</f>
        <v>Water resources</v>
      </c>
      <c r="C540" s="1" t="str">
        <f ca="1">IFERROR(__xludf.DUMMYFUNCTION("GOOGLETRANSLATE(E540, ""zh"", ""en"")"),"Qualitative text")</f>
        <v>Qualitative text</v>
      </c>
    </row>
    <row r="541" spans="1:3" ht="13" x14ac:dyDescent="0.15">
      <c r="A541" s="1" t="str">
        <f ca="1">IFERROR(__xludf.DUMMYFUNCTION("GOOGLETRANSLATE(A541, ""zh"", ""en"")"),"The company's holding subsidiary, Wuchan Zhongda Zhejiang Industrial Investment Co., Ltd., referred to as the Industrial Investment Company")</f>
        <v>The company's holding subsidiary, Wuchan Zhongda Zhejiang Industrial Investment Co., Ltd., referred to as the Industrial Investment Company</v>
      </c>
      <c r="B541" s="1" t="str">
        <f ca="1">IFERROR(__xludf.DUMMYFUNCTION("GOOGLETRANSLATE(A541, ""zh"", ""en"")"),"irrelevant text")</f>
        <v>irrelevant text</v>
      </c>
      <c r="C541" s="1" t="str">
        <f ca="1">IFERROR(__xludf.DUMMYFUNCTION("GOOGLETRANSLATE(E541, ""zh"", ""en"")"),"irrelevant text")</f>
        <v>irrelevant text</v>
      </c>
    </row>
    <row r="542" spans="1:3" ht="13" x14ac:dyDescent="0.15">
      <c r="A542" s="1" t="str">
        <f ca="1">IFERROR(__xludf.DUMMYFUNCTION("GOOGLETRANSLATE(A542, ""zh"", ""en"")"),"The company's holding subsidiary Wuchan Zhongda International Trade Group Co., Ltd. is referred to as the International Company")</f>
        <v>The company's holding subsidiary Wuchan Zhongda International Trade Group Co., Ltd. is referred to as the International Company</v>
      </c>
      <c r="B542" s="1" t="str">
        <f ca="1">IFERROR(__xludf.DUMMYFUNCTION("GOOGLETRANSLATE(A542, ""zh"", ""en"")"),"irrelevant text")</f>
        <v>irrelevant text</v>
      </c>
      <c r="C542" s="1" t="str">
        <f ca="1">IFERROR(__xludf.DUMMYFUNCTION("GOOGLETRANSLATE(E542, ""zh"", ""en"")"),"irrelevant text")</f>
        <v>irrelevant text</v>
      </c>
    </row>
    <row r="543" spans="1:3" ht="13" x14ac:dyDescent="0.15">
      <c r="A543" s="1" t="str">
        <f ca="1">IFERROR(__xludf.DUMMYFUNCTION("GOOGLETRANSLATE(A543, ""zh"", ""en"")"),"Zhejiang Wuchan Environmental Protection Energy Co., Ltd., a holding subsidiary of the company, is referred to as Huanneng Company.")</f>
        <v>Zhejiang Wuchan Environmental Protection Energy Co., Ltd., a holding subsidiary of the company, is referred to as Huanneng Company.</v>
      </c>
      <c r="B543" s="1" t="str">
        <f ca="1">IFERROR(__xludf.DUMMYFUNCTION("GOOGLETRANSLATE(A543, ""zh"", ""en"")"),"irrelevant text")</f>
        <v>irrelevant text</v>
      </c>
      <c r="C543" s="1" t="str">
        <f ca="1">IFERROR(__xludf.DUMMYFUNCTION("GOOGLETRANSLATE(E543, ""zh"", ""en"")"),"irrelevant text")</f>
        <v>irrelevant text</v>
      </c>
    </row>
    <row r="544" spans="1:3" ht="13" x14ac:dyDescent="0.15">
      <c r="A544" s="1" t="str">
        <f ca="1">IFERROR(__xludf.DUMMYFUNCTION("GOOGLETRANSLATE(A544, ""zh"", ""en"")"),"The company's holding subsidiary, Wuchan Zhongda Financial Leasing Group Co., Ltd., is referred to as the Financial Leasing Company.")</f>
        <v>The company's holding subsidiary, Wuchan Zhongda Financial Leasing Group Co., Ltd., is referred to as the Financial Leasing Company.</v>
      </c>
      <c r="B544" s="1" t="str">
        <f ca="1">IFERROR(__xludf.DUMMYFUNCTION("GOOGLETRANSLATE(A544, ""zh"", ""en"")"),"irrelevant text")</f>
        <v>irrelevant text</v>
      </c>
      <c r="C544" s="1" t="str">
        <f ca="1">IFERROR(__xludf.DUMMYFUNCTION("GOOGLETRANSLATE(E544, ""zh"", ""en"")"),"irrelevant text")</f>
        <v>irrelevant text</v>
      </c>
    </row>
    <row r="545" spans="1:3" ht="13" x14ac:dyDescent="0.15">
      <c r="A545" s="1" t="str">
        <f ca="1">IFERROR(__xludf.DUMMYFUNCTION("GOOGLETRANSLATE(A545, ""zh"", ""en"")"),"The company's holding subsidiary Zhejiang International Oil and Gas Trading Center Co., Ltd. is referred to as Zhejiang Oil Center")</f>
        <v>The company's holding subsidiary Zhejiang International Oil and Gas Trading Center Co., Ltd. is referred to as Zhejiang Oil Center</v>
      </c>
      <c r="B545" s="1" t="str">
        <f ca="1">IFERROR(__xludf.DUMMYFUNCTION("GOOGLETRANSLATE(A545, ""zh"", ""en"")"),"irrelevant text")</f>
        <v>irrelevant text</v>
      </c>
      <c r="C545" s="1" t="str">
        <f ca="1">IFERROR(__xludf.DUMMYFUNCTION("GOOGLETRANSLATE(E545, ""zh"", ""en"")"),"irrelevant text")</f>
        <v>irrelevant text</v>
      </c>
    </row>
    <row r="546" spans="1:3" ht="13" x14ac:dyDescent="0.15">
      <c r="A546" s="1" t="str">
        <f ca="1">IFERROR(__xludf.DUMMYFUNCTION("GOOGLETRANSLATE(A546, ""zh"", ""en"")"),"The company's holding subsidiary, Wuchan Zhongda Asset Management Zhejiang Co., Ltd., is referred to as the Asset Management Company.")</f>
        <v>The company's holding subsidiary, Wuchan Zhongda Asset Management Zhejiang Co., Ltd., is referred to as the Asset Management Company.</v>
      </c>
      <c r="B546" s="1" t="str">
        <f ca="1">IFERROR(__xludf.DUMMYFUNCTION("GOOGLETRANSLATE(A546, ""zh"", ""en"")"),"irrelevant text")</f>
        <v>irrelevant text</v>
      </c>
      <c r="C546" s="1" t="str">
        <f ca="1">IFERROR(__xludf.DUMMYFUNCTION("GOOGLETRANSLATE(E546, ""zh"", ""en"")"),"irrelevant text")</f>
        <v>irrelevant text</v>
      </c>
    </row>
    <row r="547" spans="1:3" ht="13" x14ac:dyDescent="0.15">
      <c r="A547" s="1" t="str">
        <f ca="1">IFERROR(__xludf.DUMMYFUNCTION("GOOGLETRANSLATE(A547, ""zh"", ""en"")"),"The company's holding subsidiary, Wuchan Zhongda Commercial Factoring Zhejiang Co., Ltd., referred to as the Factoring Company")</f>
        <v>The company's holding subsidiary, Wuchan Zhongda Commercial Factoring Zhejiang Co., Ltd., referred to as the Factoring Company</v>
      </c>
      <c r="B547" s="1" t="str">
        <f ca="1">IFERROR(__xludf.DUMMYFUNCTION("GOOGLETRANSLATE(A547, ""zh"", ""en"")"),"irrelevant text")</f>
        <v>irrelevant text</v>
      </c>
      <c r="C547" s="1" t="str">
        <f ca="1">IFERROR(__xludf.DUMMYFUNCTION("GOOGLETRANSLATE(E547, ""zh"", ""en"")"),"irrelevant text")</f>
        <v>irrelevant text</v>
      </c>
    </row>
    <row r="548" spans="1:3" ht="13" x14ac:dyDescent="0.15">
      <c r="A548" s="1" t="str">
        <f ca="1">IFERROR(__xludf.DUMMYFUNCTION("GOOGLETRANSLATE(A548, ""zh"", ""en"")"),"The company's holding subsidiary, Wuchan Zhongda Medical Health Investment Co., Ltd., referred to as Health Company")</f>
        <v>The company's holding subsidiary, Wuchan Zhongda Medical Health Investment Co., Ltd., referred to as Health Company</v>
      </c>
      <c r="B548" s="1" t="str">
        <f ca="1">IFERROR(__xludf.DUMMYFUNCTION("GOOGLETRANSLATE(A548, ""zh"", ""en"")"),"irrelevant text")</f>
        <v>irrelevant text</v>
      </c>
      <c r="C548" s="1" t="str">
        <f ca="1">IFERROR(__xludf.DUMMYFUNCTION("GOOGLETRANSLATE(E548, ""zh"", ""en"")"),"irrelevant text")</f>
        <v>irrelevant text</v>
      </c>
    </row>
    <row r="549" spans="1:3" ht="13" x14ac:dyDescent="0.15">
      <c r="A549" s="1" t="str">
        <f ca="1">IFERROR(__xludf.DUMMYFUNCTION("GOOGLETRANSLATE(A549, ""zh"", ""en"")"),"The company's holding subsidiary, Wuchan Zhongda Yuantong Industrial Group Co., Ltd., referred to as the Industrial Company")</f>
        <v>The company's holding subsidiary, Wuchan Zhongda Yuantong Industrial Group Co., Ltd., referred to as the Industrial Company</v>
      </c>
      <c r="B549" s="1" t="str">
        <f ca="1">IFERROR(__xludf.DUMMYFUNCTION("GOOGLETRANSLATE(A549, ""zh"", ""en"")"),"irrelevant text")</f>
        <v>irrelevant text</v>
      </c>
      <c r="C549" s="1" t="str">
        <f ca="1">IFERROR(__xludf.DUMMYFUNCTION("GOOGLETRANSLATE(E549, ""zh"", ""en"")"),"irrelevant text")</f>
        <v>irrelevant text</v>
      </c>
    </row>
    <row r="550" spans="1:3" ht="13" x14ac:dyDescent="0.15">
      <c r="A550" s="1" t="str">
        <f ca="1">IFERROR(__xludf.DUMMYFUNCTION("GOOGLETRANSLATE(A550, ""zh"", ""en"")"),"The company's holding subsidiary Wuchan Zhongda Public Utility Environment Investment Co., Ltd. is referred to as the Environment Company")</f>
        <v>The company's holding subsidiary Wuchan Zhongda Public Utility Environment Investment Co., Ltd. is referred to as the Environment Company</v>
      </c>
      <c r="B550" s="1" t="str">
        <f ca="1">IFERROR(__xludf.DUMMYFUNCTION("GOOGLETRANSLATE(A550, ""zh"", ""en"")"),"irrelevant text")</f>
        <v>irrelevant text</v>
      </c>
      <c r="C550" s="1" t="str">
        <f ca="1">IFERROR(__xludf.DUMMYFUNCTION("GOOGLETRANSLATE(E550, ""zh"", ""en"")"),"irrelevant text")</f>
        <v>irrelevant text</v>
      </c>
    </row>
    <row r="551" spans="1:3" ht="13" x14ac:dyDescent="0.15">
      <c r="A551" s="1" t="str">
        <f ca="1">IFERROR(__xludf.DUMMYFUNCTION("GOOGLETRANSLATE(A551, ""zh"", ""en"")"),"Seven major brands and global layout corporate strategy There are no successful companies, only companies of the times")</f>
        <v>Seven major brands and global layout corporate strategy There are no successful companies, only companies of the times</v>
      </c>
      <c r="B551" s="1" t="str">
        <f ca="1">IFERROR(__xludf.DUMMYFUNCTION("GOOGLETRANSLATE(A551, ""zh"", ""en"")"),"irrelevant text")</f>
        <v>irrelevant text</v>
      </c>
      <c r="C551" s="1" t="str">
        <f ca="1">IFERROR(__xludf.DUMMYFUNCTION("GOOGLETRANSLATE(E551, ""zh"", ""en"")"),"irrelevant text")</f>
        <v>irrelevant text</v>
      </c>
    </row>
    <row r="552" spans="1:3" ht="13" x14ac:dyDescent="0.15">
      <c r="A552" s="1" t="str">
        <f ca="1">IFERROR(__xludf.DUMMYFUNCTION("GOOGLETRANSLATE(A552, ""zh"", ""en"")"),"Suqian Zhongwu Hospital's biological review key discipline construction talent team training and other work")</f>
        <v>Suqian Zhongwu Hospital's biological review key discipline construction talent team training and other work</v>
      </c>
      <c r="B552" s="1" t="str">
        <f ca="1">IFERROR(__xludf.DUMMYFUNCTION("GOOGLETRANSLATE(A552, ""zh"", ""en"")"),"Technological innovation")</f>
        <v>Technological innovation</v>
      </c>
      <c r="C552" s="1" t="str">
        <f ca="1">IFERROR(__xludf.DUMMYFUNCTION("GOOGLETRANSLATE(E552, ""zh"", ""en"")"),"Qualitative text")</f>
        <v>Qualitative text</v>
      </c>
    </row>
    <row r="553" spans="1:3" ht="13" x14ac:dyDescent="0.15">
      <c r="A553" s="1" t="str">
        <f ca="1">IFERROR(__xludf.DUMMYFUNCTION("GOOGLETRANSLATE(A553, ""zh"", ""en"")"),"We gather global innovative resources to track and develop microbial treatment technologies and build an international R&amp;D platform")</f>
        <v>We gather global innovative resources to track and develop microbial treatment technologies and build an international R&amp;D platform</v>
      </c>
      <c r="B553" s="1" t="str">
        <f ca="1">IFERROR(__xludf.DUMMYFUNCTION("GOOGLETRANSLATE(A553, ""zh"", ""en"")"),"Technological innovation")</f>
        <v>Technological innovation</v>
      </c>
      <c r="C553" s="1" t="str">
        <f ca="1">IFERROR(__xludf.DUMMYFUNCTION("GOOGLETRANSLATE(E553, ""zh"", ""en"")"),"Qualitative text")</f>
        <v>Qualitative text</v>
      </c>
    </row>
    <row r="554" spans="1:3" ht="13" x14ac:dyDescent="0.15">
      <c r="A554" s="1" t="str">
        <f ca="1">IFERROR(__xludf.DUMMYFUNCTION("GOOGLETRANSLATE(A554, ""zh"", ""en"")"),"In addition, the project further creates a learning atmosphere by honing knowledge and skills through internal lecturer training")</f>
        <v>In addition, the project further creates a learning atmosphere by honing knowledge and skills through internal lecturer training</v>
      </c>
      <c r="B554" s="1" t="str">
        <f ca="1">IFERROR(__xludf.DUMMYFUNCTION("GOOGLETRANSLATE(A554, ""zh"", ""en"")"),"staff")</f>
        <v>staff</v>
      </c>
      <c r="C554" s="1" t="str">
        <f ca="1">IFERROR(__xludf.DUMMYFUNCTION("GOOGLETRANSLATE(E554, ""zh"", ""en"")"),"Qualitative text")</f>
        <v>Qualitative text</v>
      </c>
    </row>
    <row r="555" spans="1:3" ht="13" x14ac:dyDescent="0.15">
      <c r="A555" s="1" t="str">
        <f ca="1">IFERROR(__xludf.DUMMYFUNCTION("GOOGLETRANSLATE(A555, ""zh"", ""en"")"),"The Group has organized irregular training sessions and the overall safety situation remains stable, with the exception of major fire incidents.")</f>
        <v>The Group has organized irregular training sessions and the overall safety situation remains stable, with the exception of major fire incidents.</v>
      </c>
      <c r="B555" s="1" t="str">
        <f ca="1">IFERROR(__xludf.DUMMYFUNCTION("GOOGLETRANSLATE(A555, ""zh"", ""en"")"),"staff")</f>
        <v>staff</v>
      </c>
      <c r="C555" s="1" t="str">
        <f ca="1">IFERROR(__xludf.DUMMYFUNCTION("GOOGLETRANSLATE(E555, ""zh"", ""en"")"),"Qualitative text")</f>
        <v>Qualitative text</v>
      </c>
    </row>
    <row r="556" spans="1:3" ht="13" x14ac:dyDescent="0.15">
      <c r="A556" s="1" t="str">
        <f ca="1">IFERROR(__xludf.DUMMYFUNCTION("GOOGLETRANSLATE(A556, ""zh"", ""en"")"),"Exchange and sharing of knowledge between lecturers and students in the Learning and Growth Camp for Excellent Managers")</f>
        <v>Exchange and sharing of knowledge between lecturers and students in the Learning and Growth Camp for Excellent Managers</v>
      </c>
      <c r="B556" s="1" t="str">
        <f ca="1">IFERROR(__xludf.DUMMYFUNCTION("GOOGLETRANSLATE(A556, ""zh"", ""en"")"),"irrelevant text")</f>
        <v>irrelevant text</v>
      </c>
      <c r="C556" s="1" t="str">
        <f ca="1">IFERROR(__xludf.DUMMYFUNCTION("GOOGLETRANSLATE(E556, ""zh"", ""en"")"),"irrelevant text")</f>
        <v>irrelevant text</v>
      </c>
    </row>
    <row r="557" spans="1:3" ht="13" x14ac:dyDescent="0.15">
      <c r="A557" s="1" t="str">
        <f ca="1">IFERROR(__xludf.DUMMYFUNCTION("GOOGLETRANSLATE(A557, ""zh"", ""en"")"),"We will start a new business together with Fosun Pharma through the continuous growth of the organization and the opportunity")</f>
        <v>We will start a new business together with Fosun Pharma through the continuous growth of the organization and the opportunity</v>
      </c>
      <c r="B557" s="1" t="str">
        <f ca="1">IFERROR(__xludf.DUMMYFUNCTION("GOOGLETRANSLATE(A557, ""zh"", ""en"")"),"irrelevant text")</f>
        <v>irrelevant text</v>
      </c>
      <c r="C557" s="1" t="str">
        <f ca="1">IFERROR(__xludf.DUMMYFUNCTION("GOOGLETRANSLATE(E557, ""zh"", ""en"")"),"irrelevant text")</f>
        <v>irrelevant text</v>
      </c>
    </row>
    <row r="558" spans="1:3" ht="13" x14ac:dyDescent="0.15">
      <c r="A558" s="1" t="str">
        <f ca="1">IFERROR(__xludf.DUMMYFUNCTION("GOOGLETRANSLATE(A558, ""zh"", ""en"")"),"Classified management of recyclable packaging materials was recycled and reused within the company by 878g")</f>
        <v>Classified management of recyclable packaging materials was recycled and reused within the company by 878g</v>
      </c>
      <c r="B558" s="1" t="str">
        <f ca="1">IFERROR(__xludf.DUMMYFUNCTION("GOOGLETRANSLATE(A558, ""zh"", ""en"")"),"Waste Management")</f>
        <v>Waste Management</v>
      </c>
      <c r="C558" s="1" t="str">
        <f ca="1">IFERROR(__xludf.DUMMYFUNCTION("GOOGLETRANSLATE(E558, ""zh"", ""en"")"),"Quantitative Text")</f>
        <v>Quantitative Text</v>
      </c>
    </row>
    <row r="559" spans="1:3" ht="13" x14ac:dyDescent="0.15">
      <c r="A559" s="1" t="str">
        <f ca="1">IFERROR(__xludf.DUMMYFUNCTION("GOOGLETRANSLATE(A559, ""zh"", ""en"")"),"High-quality promotion of Henan's ""everyone holds a certificate and is empowered"" construction to increase the proportion of senior workers and above")</f>
        <v>High-quality promotion of Henan's "everyone holds a certificate and is empowered" construction to increase the proportion of senior workers and above</v>
      </c>
      <c r="B559" s="1" t="str">
        <f ca="1">IFERROR(__xludf.DUMMYFUNCTION("GOOGLETRANSLATE(A559, ""zh"", ""en"")"),"staff")</f>
        <v>staff</v>
      </c>
      <c r="C559" s="1" t="str">
        <f ca="1">IFERROR(__xludf.DUMMYFUNCTION("GOOGLETRANSLATE(E559, ""zh"", ""en"")"),"Quantitative Text")</f>
        <v>Quantitative Text</v>
      </c>
    </row>
    <row r="560" spans="1:3" ht="13" x14ac:dyDescent="0.15">
      <c r="A560" s="1" t="str">
        <f ca="1">IFERROR(__xludf.DUMMYFUNCTION("GOOGLETRANSLATE(A560, ""zh"", ""en"")"),"Carry out daily environmental inspections to improve employees' ability to identify environmental hazards and handle emergencies")</f>
        <v>Carry out daily environmental inspections to improve employees' ability to identify environmental hazards and handle emergencies</v>
      </c>
      <c r="B560" s="1" t="str">
        <f ca="1">IFERROR(__xludf.DUMMYFUNCTION("GOOGLETRANSLATE(A560, ""zh"", ""en"")"),"staff")</f>
        <v>staff</v>
      </c>
      <c r="C560" s="1" t="str">
        <f ca="1">IFERROR(__xludf.DUMMYFUNCTION("GOOGLETRANSLATE(E560, ""zh"", ""en"")"),"Qualitative text")</f>
        <v>Qualitative text</v>
      </c>
    </row>
    <row r="561" spans="1:3" ht="13" x14ac:dyDescent="0.15">
      <c r="A561" s="1" t="str">
        <f ca="1">IFERROR(__xludf.DUMMYFUNCTION("GOOGLETRANSLATE(A561, ""zh"", ""en"")"),"Exhaust Gas Management Company vigorously promotes ultra-low emission transformation to strengthen comprehensive air pollution control")</f>
        <v>Exhaust Gas Management Company vigorously promotes ultra-low emission transformation to strengthen comprehensive air pollution control</v>
      </c>
      <c r="B561" s="1" t="str">
        <f ca="1">IFERROR(__xludf.DUMMYFUNCTION("GOOGLETRANSLATE(A561, ""zh"", ""en"")"),"Waste Management")</f>
        <v>Waste Management</v>
      </c>
      <c r="C561" s="1" t="str">
        <f ca="1">IFERROR(__xludf.DUMMYFUNCTION("GOOGLETRANSLATE(E561, ""zh"", ""en"")"),"Qualitative text")</f>
        <v>Qualitative text</v>
      </c>
    </row>
    <row r="562" spans="1:3" ht="13" x14ac:dyDescent="0.15">
      <c r="A562" s="1" t="str">
        <f ca="1">IFERROR(__xludf.DUMMYFUNCTION("GOOGLETRANSLATE(A562, ""zh"", ""en"")"),"During the reporting period, the company fully supported the ultra-low emission transformation organization to complete a series of governance transformations")</f>
        <v>During the reporting period, the company fully supported the ultra-low emission transformation organization to complete a series of governance transformations</v>
      </c>
      <c r="B562" s="1" t="str">
        <f ca="1">IFERROR(__xludf.DUMMYFUNCTION("GOOGLETRANSLATE(A562, ""zh"", ""en"")"),"carbon emissions")</f>
        <v>carbon emissions</v>
      </c>
      <c r="C562" s="1" t="str">
        <f ca="1">IFERROR(__xludf.DUMMYFUNCTION("GOOGLETRANSLATE(E562, ""zh"", ""en"")"),"Qualitative text")</f>
        <v>Qualitative text</v>
      </c>
    </row>
    <row r="563" spans="1:3" ht="13" x14ac:dyDescent="0.15">
      <c r="A563" s="1" t="str">
        <f ca="1">IFERROR(__xludf.DUMMYFUNCTION("GOOGLETRANSLATE(A563, ""zh"", ""en"")"),"No discrimination incidents occurred during the reporting period, and no child or forced labor was employed.")</f>
        <v>No discrimination incidents occurred during the reporting period, and no child or forced labor was employed.</v>
      </c>
      <c r="B563" s="1" t="str">
        <f ca="1">IFERROR(__xludf.DUMMYFUNCTION("GOOGLETRANSLATE(A563, ""zh"", ""en"")"),"staff")</f>
        <v>staff</v>
      </c>
      <c r="C563" s="1" t="str">
        <f ca="1">IFERROR(__xludf.DUMMYFUNCTION("GOOGLETRANSLATE(E563, ""zh"", ""en"")"),"Quantitative Text")</f>
        <v>Quantitative Text</v>
      </c>
    </row>
    <row r="564" spans="1:3" ht="13" x14ac:dyDescent="0.15">
      <c r="A564" s="1" t="str">
        <f ca="1">IFERROR(__xludf.DUMMYFUNCTION("GOOGLETRANSLATE(A564, ""zh"", ""en"")"),"To ensure the consistency and completeness of the report, some content of Brand Architecture 04 is out of scope.")</f>
        <v>To ensure the consistency and completeness of the report, some content of Brand Architecture 04 is out of scope.</v>
      </c>
      <c r="B564" s="1" t="str">
        <f ca="1">IFERROR(__xludf.DUMMYFUNCTION("GOOGLETRANSLATE(A564, ""zh"", ""en"")"),"irrelevant text")</f>
        <v>irrelevant text</v>
      </c>
      <c r="C564" s="1" t="str">
        <f ca="1">IFERROR(__xludf.DUMMYFUNCTION("GOOGLETRANSLATE(E564, ""zh"", ""en"")"),"irrelevant text")</f>
        <v>irrelevant text</v>
      </c>
    </row>
    <row r="565" spans="1:3" ht="13" x14ac:dyDescent="0.15">
      <c r="A565" s="1" t="str">
        <f ca="1">IFERROR(__xludf.DUMMYFUNCTION("GOOGLETRANSLATE(A565, ""zh"", ""en"")"),"In addition, we actively responded to the call and organized group volunteers to support the front-line epidemic prevention work in the community.")</f>
        <v>In addition, we actively responded to the call and organized group volunteers to support the front-line epidemic prevention work in the community.</v>
      </c>
      <c r="B565" s="1" t="str">
        <f ca="1">IFERROR(__xludf.DUMMYFUNCTION("GOOGLETRANSLATE(A565, ""zh"", ""en"")"),"Fighting the epidemic")</f>
        <v>Fighting the epidemic</v>
      </c>
      <c r="C565" s="1" t="str">
        <f ca="1">IFERROR(__xludf.DUMMYFUNCTION("GOOGLETRANSLATE(E565, ""zh"", ""en"")"),"Qualitative text")</f>
        <v>Qualitative text</v>
      </c>
    </row>
    <row r="566" spans="1:3" ht="13" x14ac:dyDescent="0.15">
      <c r="A566" s="1" t="str">
        <f ca="1">IFERROR(__xludf.DUMMYFUNCTION("GOOGLETRANSLATE(A566, ""zh"", ""en"")"),"A total of 129 non-conforming items were found in the EHS internal audit throughout the year, with a rectification completion rate of 100%.")</f>
        <v>A total of 129 non-conforming items were found in the EHS internal audit throughout the year, with a rectification completion rate of 100%.</v>
      </c>
      <c r="B566" s="1" t="str">
        <f ca="1">IFERROR(__xludf.DUMMYFUNCTION("GOOGLETRANSLATE(A566, ""zh"", ""en"")"),"Audit work")</f>
        <v>Audit work</v>
      </c>
      <c r="C566" s="1" t="str">
        <f ca="1">IFERROR(__xludf.DUMMYFUNCTION("GOOGLETRANSLATE(E566, ""zh"", ""en"")"),"Quantitative Text")</f>
        <v>Quantitative Text</v>
      </c>
    </row>
    <row r="567" spans="1:3" ht="13" x14ac:dyDescent="0.15">
      <c r="A567" s="1" t="str">
        <f ca="1">IFERROR(__xludf.DUMMYFUNCTION("GOOGLETRANSLATE(A567, ""zh"", ""en"")"),"Report review The data and case collection of the report are mainly compiled by the internal statistics of China Storage Co., Ltd.")</f>
        <v>Report review The data and case collection of the report are mainly compiled by the internal statistics of China Storage Co., Ltd.</v>
      </c>
      <c r="B567" s="1" t="str">
        <f ca="1">IFERROR(__xludf.DUMMYFUNCTION("GOOGLETRANSLATE(A567, ""zh"", ""en"")"),"irrelevant text")</f>
        <v>irrelevant text</v>
      </c>
      <c r="C567" s="1" t="str">
        <f ca="1">IFERROR(__xludf.DUMMYFUNCTION("GOOGLETRANSLATE(E567, ""zh"", ""en"")"),"irrelevant text")</f>
        <v>irrelevant text</v>
      </c>
    </row>
    <row r="568" spans="1:3" ht="13" x14ac:dyDescent="0.15">
      <c r="A568" s="1" t="str">
        <f ca="1">IFERROR(__xludf.DUMMYFUNCTION("GOOGLETRANSLATE(A568, ""zh"", ""en"")"),"At the same time, the company organizes management promotion and professional promotion every year according to the setting of development channels.")</f>
        <v>At the same time, the company organizes management promotion and professional promotion every year according to the setting of development channels.</v>
      </c>
      <c r="B568" s="1" t="str">
        <f ca="1">IFERROR(__xludf.DUMMYFUNCTION("GOOGLETRANSLATE(A568, ""zh"", ""en"")"),"Organizational structure and operations")</f>
        <v>Organizational structure and operations</v>
      </c>
      <c r="C568" s="1" t="str">
        <f ca="1">IFERROR(__xludf.DUMMYFUNCTION("GOOGLETRANSLATE(E568, ""zh"", ""en"")"),"Quantitative Text")</f>
        <v>Quantitative Text</v>
      </c>
    </row>
    <row r="569" spans="1:3" ht="13" x14ac:dyDescent="0.15">
      <c r="A569" s="1" t="str">
        <f ca="1">IFERROR(__xludf.DUMMYFUNCTION("GOOGLETRANSLATE(A569, ""zh"", ""en"")"),"We actively conduct internal audits on R&amp;D quality management to improve quality management level")</f>
        <v>We actively conduct internal audits on R&amp;D quality management to improve quality management level</v>
      </c>
      <c r="B569" s="1" t="str">
        <f ca="1">IFERROR(__xludf.DUMMYFUNCTION("GOOGLETRANSLATE(A569, ""zh"", ""en"")"),"Audit work")</f>
        <v>Audit work</v>
      </c>
      <c r="C569" s="1" t="str">
        <f ca="1">IFERROR(__xludf.DUMMYFUNCTION("GOOGLETRANSLATE(E569, ""zh"", ""en"")"),"Qualitative text")</f>
        <v>Qualitative text</v>
      </c>
    </row>
    <row r="570" spans="1:3" ht="13" x14ac:dyDescent="0.15">
      <c r="A570" s="1" t="str">
        <f ca="1">IFERROR(__xludf.DUMMYFUNCTION("GOOGLETRANSLATE(A570, ""zh"", ""en"")"),"In 2022, a total of more than 20,000 educators in 10 designated counties were trained.")</f>
        <v>In 2022, a total of more than 20,000 educators in 10 designated counties were trained.</v>
      </c>
      <c r="B570" s="1" t="str">
        <f ca="1">IFERROR(__xludf.DUMMYFUNCTION("GOOGLETRANSLATE(A570, ""zh"", ""en"")"),"Rural assistance")</f>
        <v>Rural assistance</v>
      </c>
      <c r="C570" s="1" t="str">
        <f ca="1">IFERROR(__xludf.DUMMYFUNCTION("GOOGLETRANSLATE(E570, ""zh"", ""en"")"),"Quantitative Text")</f>
        <v>Quantitative Text</v>
      </c>
    </row>
    <row r="571" spans="1:3" ht="13" x14ac:dyDescent="0.15">
      <c r="A571" s="1" t="str">
        <f ca="1">IFERROR(__xludf.DUMMYFUNCTION("GOOGLETRANSLATE(A571, ""zh"", ""en"")"),"As of December 31, 2022, all employees of Shanghai Electric are members of the trade union.")</f>
        <v>As of December 31, 2022, all employees of Shanghai Electric are members of the trade union.</v>
      </c>
      <c r="B571" s="1" t="str">
        <f ca="1">IFERROR(__xludf.DUMMYFUNCTION("GOOGLETRANSLATE(A571, ""zh"", ""en"")"),"staff")</f>
        <v>staff</v>
      </c>
      <c r="C571" s="1" t="str">
        <f ca="1">IFERROR(__xludf.DUMMYFUNCTION("GOOGLETRANSLATE(E571, ""zh"", ""en"")"),"Quantitative Text")</f>
        <v>Quantitative Text</v>
      </c>
    </row>
    <row r="572" spans="1:3" ht="13" x14ac:dyDescent="0.15">
      <c r="A572" s="1" t="str">
        <f ca="1">IFERROR(__xludf.DUMMYFUNCTION("GOOGLETRANSLATE(A572, ""zh"", ""en"")"),"China Construction Bank's rural revitalization financial services ranked excellent in regulatory assessments")</f>
        <v>China Construction Bank's rural revitalization financial services ranked excellent in regulatory assessments</v>
      </c>
      <c r="B572" s="1" t="str">
        <f ca="1">IFERROR(__xludf.DUMMYFUNCTION("GOOGLETRANSLATE(A572, ""zh"", ""en"")"),"Rural assistance")</f>
        <v>Rural assistance</v>
      </c>
      <c r="C572" s="1" t="str">
        <f ca="1">IFERROR(__xludf.DUMMYFUNCTION("GOOGLETRANSLATE(E572, ""zh"", ""en"")"),"Quantitative Text")</f>
        <v>Quantitative Text</v>
      </c>
    </row>
    <row r="573" spans="1:3" ht="13" x14ac:dyDescent="0.15">
      <c r="A573" s="1" t="str">
        <f ca="1">IFERROR(__xludf.DUMMYFUNCTION("GOOGLETRANSLATE(A573, ""zh"", ""en"")"),"In terms of customer access, we assess the level of environmental and climate risk of customers and implement a veto mechanism")</f>
        <v>In terms of customer access, we assess the level of environmental and climate risk of customers and implement a veto mechanism</v>
      </c>
      <c r="B573" s="1" t="str">
        <f ca="1">IFERROR(__xludf.DUMMYFUNCTION("GOOGLETRANSLATE(A573, ""zh"", ""en"")"),"Customers and Consumers")</f>
        <v>Customers and Consumers</v>
      </c>
      <c r="C573" s="1" t="str">
        <f ca="1">IFERROR(__xludf.DUMMYFUNCTION("GOOGLETRANSLATE(E573, ""zh"", ""en"")"),"Qualitative text")</f>
        <v>Qualitative text</v>
      </c>
    </row>
    <row r="574" spans="1:3" ht="13" x14ac:dyDescent="0.15">
      <c r="A574" s="1" t="str">
        <f ca="1">IFERROR(__xludf.DUMMYFUNCTION("GOOGLETRANSLATE(A574, ""zh"", ""en"")"),"This report is written in Chinese with English and Traditional Chinese versions attached. In case of any discrepancy, the Simplified Chinese version shall prevail.")</f>
        <v>This report is written in Chinese with English and Traditional Chinese versions attached. In case of any discrepancy, the Simplified Chinese version shall prevail.</v>
      </c>
      <c r="B574" s="1" t="str">
        <f ca="1">IFERROR(__xludf.DUMMYFUNCTION("GOOGLETRANSLATE(A574, ""zh"", ""en"")"),"irrelevant text")</f>
        <v>irrelevant text</v>
      </c>
      <c r="C574" s="1" t="str">
        <f ca="1">IFERROR(__xludf.DUMMYFUNCTION("GOOGLETRANSLATE(E574, ""zh"", ""en"")"),"irrelevant text")</f>
        <v>irrelevant text</v>
      </c>
    </row>
    <row r="575" spans="1:3" ht="13" x14ac:dyDescent="0.15">
      <c r="A575" s="1" t="str">
        <f ca="1">IFERROR(__xludf.DUMMYFUNCTION("GOOGLETRANSLATE(A575, ""zh"", ""en"")"),"Conduct risk assessment and review of new products and strictly stipulate the review requirements before new products are launched on the market")</f>
        <v>Conduct risk assessment and review of new products and strictly stipulate the review requirements before new products are launched on the market</v>
      </c>
      <c r="B575" s="1" t="str">
        <f ca="1">IFERROR(__xludf.DUMMYFUNCTION("GOOGLETRANSLATE(A575, ""zh"", ""en"")"),"Product quality")</f>
        <v>Product quality</v>
      </c>
      <c r="C575" s="1" t="str">
        <f ca="1">IFERROR(__xludf.DUMMYFUNCTION("GOOGLETRANSLATE(E575, ""zh"", ""en"")"),"Qualitative text")</f>
        <v>Qualitative text</v>
      </c>
    </row>
    <row r="576" spans="1:3" ht="13" x14ac:dyDescent="0.15">
      <c r="A576" s="1" t="str">
        <f ca="1">IFERROR(__xludf.DUMMYFUNCTION("GOOGLETRANSLATE(A576, ""zh"", ""en"")"),"Promote the orderly operation of the New Financial Talent Industry-Education Integration Alliance and extend the service radius")</f>
        <v>Promote the orderly operation of the New Financial Talent Industry-Education Integration Alliance and extend the service radius</v>
      </c>
      <c r="B576" s="1" t="str">
        <f ca="1">IFERROR(__xludf.DUMMYFUNCTION("GOOGLETRANSLATE(A576, ""zh"", ""en"")"),"Promoting employment")</f>
        <v>Promoting employment</v>
      </c>
      <c r="C576" s="1" t="str">
        <f ca="1">IFERROR(__xludf.DUMMYFUNCTION("GOOGLETRANSLATE(E576, ""zh"", ""en"")"),"Qualitative text")</f>
        <v>Qualitative text</v>
      </c>
    </row>
    <row r="577" spans="1:3" ht="13" x14ac:dyDescent="0.15">
      <c r="A577" s="1" t="str">
        <f ca="1">IFERROR(__xludf.DUMMYFUNCTION("GOOGLETRANSLATE(A577, ""zh"", ""en"")"),"Language Version: This report is published in both Chinese and English. In case of any discrepancy, the Chinese version shall prevail.")</f>
        <v>Language Version: This report is published in both Chinese and English. In case of any discrepancy, the Chinese version shall prevail.</v>
      </c>
      <c r="B577" s="1" t="str">
        <f ca="1">IFERROR(__xludf.DUMMYFUNCTION("GOOGLETRANSLATE(A577, ""zh"", ""en"")"),"irrelevant text")</f>
        <v>irrelevant text</v>
      </c>
      <c r="C577" s="1" t="str">
        <f ca="1">IFERROR(__xludf.DUMMYFUNCTION("GOOGLETRANSLATE(E577, ""zh"", ""en"")"),"irrelevant text")</f>
        <v>irrelevant text</v>
      </c>
    </row>
    <row r="578" spans="1:3" ht="13" x14ac:dyDescent="0.15">
      <c r="A578" s="1" t="str">
        <f ca="1">IFERROR(__xludf.DUMMYFUNCTION("GOOGLETRANSLATE(A578, ""zh"", ""en"")"),"We independently developed nine types of ultra-high temperature and high pressure completion tools and implemented them continuously in the Tarim Oilfield.")</f>
        <v>We independently developed nine types of ultra-high temperature and high pressure completion tools and implemented them continuously in the Tarim Oilfield.</v>
      </c>
      <c r="B578" s="1" t="str">
        <f ca="1">IFERROR(__xludf.DUMMYFUNCTION("GOOGLETRANSLATE(A578, ""zh"", ""en"")"),"Technological innovation")</f>
        <v>Technological innovation</v>
      </c>
      <c r="C578" s="1" t="str">
        <f ca="1">IFERROR(__xludf.DUMMYFUNCTION("GOOGLETRANSLATE(E578, ""zh"", ""en"")"),"Qualitative text")</f>
        <v>Qualitative text</v>
      </c>
    </row>
    <row r="579" spans="1:3" ht="13" x14ac:dyDescent="0.15">
      <c r="A579" s="1" t="str">
        <f ca="1">IFERROR(__xludf.DUMMYFUNCTION("GOOGLETRANSLATE(A579, ""zh"", ""en"")"),"2022 is the final year of Shanghai Electric's three-year special rectification campaign for production safety.")</f>
        <v>2022 is the final year of Shanghai Electric's three-year special rectification campaign for production safety.</v>
      </c>
      <c r="B579" s="1" t="str">
        <f ca="1">IFERROR(__xludf.DUMMYFUNCTION("GOOGLETRANSLATE(A579, ""zh"", ""en"")"),"staff")</f>
        <v>staff</v>
      </c>
      <c r="C579" s="1" t="str">
        <f ca="1">IFERROR(__xludf.DUMMYFUNCTION("GOOGLETRANSLATE(E579, ""zh"", ""en"")"),"Qualitative text")</f>
        <v>Qualitative text</v>
      </c>
    </row>
    <row r="580" spans="1:3" ht="13" x14ac:dyDescent="0.15">
      <c r="A580" s="1" t="str">
        <f ca="1">IFERROR(__xludf.DUMMYFUNCTION("GOOGLETRANSLATE(A580, ""zh"", ""en"")"),"We categorize different types of employee demands and implement effective solutions to address them.")</f>
        <v>We categorize different types of employee demands and implement effective solutions to address them.</v>
      </c>
      <c r="B580" s="1" t="str">
        <f ca="1">IFERROR(__xludf.DUMMYFUNCTION("GOOGLETRANSLATE(A580, ""zh"", ""en"")"),"staff")</f>
        <v>staff</v>
      </c>
      <c r="C580" s="1" t="str">
        <f ca="1">IFERROR(__xludf.DUMMYFUNCTION("GOOGLETRANSLATE(E580, ""zh"", ""en"")"),"Qualitative text")</f>
        <v>Qualitative text</v>
      </c>
    </row>
    <row r="581" spans="1:3" ht="13" x14ac:dyDescent="0.15">
      <c r="A581" s="1" t="str">
        <f ca="1">IFERROR(__xludf.DUMMYFUNCTION("GOOGLETRANSLATE(A581, ""zh"", ""en"")"),"Accelerate the deep integration of digital technology and business, and steadily advance digital transformation and intelligent development")</f>
        <v>Accelerate the deep integration of digital technology and business, and steadily advance digital transformation and intelligent development</v>
      </c>
      <c r="B581" s="1" t="str">
        <f ca="1">IFERROR(__xludf.DUMMYFUNCTION("GOOGLETRANSLATE(A581, ""zh"", ""en"")"),"Technological innovation")</f>
        <v>Technological innovation</v>
      </c>
      <c r="C581" s="1" t="str">
        <f ca="1">IFERROR(__xludf.DUMMYFUNCTION("GOOGLETRANSLATE(E581, ""zh"", ""en"")"),"Qualitative text")</f>
        <v>Qualitative text</v>
      </c>
    </row>
    <row r="582" spans="1:3" ht="13" x14ac:dyDescent="0.15">
      <c r="A582" s="1" t="str">
        <f ca="1">IFERROR(__xludf.DUMMYFUNCTION("GOOGLETRANSLATE(A582, ""zh"", ""en"")"),"Since the service was launched in August, 273 overseas employees have received remote video medical consultation services.")</f>
        <v>Since the service was launched in August, 273 overseas employees have received remote video medical consultation services.</v>
      </c>
      <c r="B582" s="1" t="str">
        <f ca="1">IFERROR(__xludf.DUMMYFUNCTION("GOOGLETRANSLATE(A582, ""zh"", ""en"")"),"staff")</f>
        <v>staff</v>
      </c>
      <c r="C582" s="1" t="str">
        <f ca="1">IFERROR(__xludf.DUMMYFUNCTION("GOOGLETRANSLATE(E582, ""zh"", ""en"")"),"Quantitative Text")</f>
        <v>Quantitative Text</v>
      </c>
    </row>
    <row r="583" spans="1:3" ht="13" x14ac:dyDescent="0.15">
      <c r="A583" s="1" t="str">
        <f ca="1">IFERROR(__xludf.DUMMYFUNCTION("GOOGLETRANSLATE(A583, ""zh"", ""en"")"),"This report is the fifth consecutive corporate social responsibility report released by Dima Group.")</f>
        <v>This report is the fifth consecutive corporate social responsibility report released by Dima Group.</v>
      </c>
      <c r="B583" s="1" t="str">
        <f ca="1">IFERROR(__xludf.DUMMYFUNCTION("GOOGLETRANSLATE(A583, ""zh"", ""en"")"),"irrelevant text")</f>
        <v>irrelevant text</v>
      </c>
      <c r="C583" s="1" t="str">
        <f ca="1">IFERROR(__xludf.DUMMYFUNCTION("GOOGLETRANSLATE(E583, ""zh"", ""en"")"),"irrelevant text")</f>
        <v>irrelevant text</v>
      </c>
    </row>
    <row r="584" spans="1:3" ht="13" x14ac:dyDescent="0.15">
      <c r="A584" s="1" t="str">
        <f ca="1">IFERROR(__xludf.DUMMYFUNCTION("GOOGLETRANSLATE(A584, ""zh"", ""en"")"),"Full-process quality control Strengthen quality inspection and training to standardize product quality through systematic quality control")</f>
        <v>Full-process quality control Strengthen quality inspection and training to standardize product quality through systematic quality control</v>
      </c>
      <c r="B584" s="1" t="str">
        <f ca="1">IFERROR(__xludf.DUMMYFUNCTION("GOOGLETRANSLATE(A584, ""zh"", ""en"")"),"Product quality")</f>
        <v>Product quality</v>
      </c>
      <c r="C584" s="1" t="str">
        <f ca="1">IFERROR(__xludf.DUMMYFUNCTION("GOOGLETRANSLATE(E584, ""zh"", ""en"")"),"Qualitative text")</f>
        <v>Qualitative text</v>
      </c>
    </row>
    <row r="585" spans="1:3" ht="13" x14ac:dyDescent="0.15">
      <c r="A585" s="1" t="str">
        <f ca="1">IFERROR(__xludf.DUMMYFUNCTION("GOOGLETRANSLATE(A585, ""zh"", ""en"")"),"At the same time, the Qunyinghui section of the employee culture platform Dongdongqiang allows users to communicate directly with senior executives anonymously.")</f>
        <v>At the same time, the Qunyinghui section of the employee culture platform Dongdongqiang allows users to communicate directly with senior executives anonymously.</v>
      </c>
      <c r="B585" s="1" t="str">
        <f ca="1">IFERROR(__xludf.DUMMYFUNCTION("GOOGLETRANSLATE(A585, ""zh"", ""en"")"),"staff")</f>
        <v>staff</v>
      </c>
      <c r="C585" s="1" t="str">
        <f ca="1">IFERROR(__xludf.DUMMYFUNCTION("GOOGLETRANSLATE(E585, ""zh"", ""en"")"),"Qualitative text")</f>
        <v>Qualitative text</v>
      </c>
    </row>
    <row r="586" spans="1:3" ht="13" x14ac:dyDescent="0.15">
      <c r="A586" s="1" t="str">
        <f ca="1">IFERROR(__xludf.DUMMYFUNCTION("GOOGLETRANSLATE(A586, ""zh"", ""en"")"),"The company took immediate action to address the financial difficulties faced by the employee and to address the loss of his financial resources.")</f>
        <v>The company took immediate action to address the financial difficulties faced by the employee and to address the loss of his financial resources.</v>
      </c>
      <c r="B586" s="1" t="str">
        <f ca="1">IFERROR(__xludf.DUMMYFUNCTION("GOOGLETRANSLATE(A586, ""zh"", ""en"")"),"staff")</f>
        <v>staff</v>
      </c>
      <c r="C586" s="1" t="str">
        <f ca="1">IFERROR(__xludf.DUMMYFUNCTION("GOOGLETRANSLATE(E586, ""zh"", ""en"")"),"Qualitative text")</f>
        <v>Qualitative text</v>
      </c>
    </row>
    <row r="587" spans="1:3" ht="13" x14ac:dyDescent="0.15">
      <c r="A587" s="1" t="str">
        <f ca="1">IFERROR(__xludf.DUMMYFUNCTION("GOOGLETRANSLATE(A587, ""zh"", ""en"")"),"We encourage employees to actively participate in public welfare activities and help local residents starting from themselves.")</f>
        <v>We encourage employees to actively participate in public welfare activities and help local residents starting from themselves.</v>
      </c>
      <c r="B587" s="1" t="str">
        <f ca="1">IFERROR(__xludf.DUMMYFUNCTION("GOOGLETRANSLATE(A587, ""zh"", ""en"")"),"Public welfare and volunteer service")</f>
        <v>Public welfare and volunteer service</v>
      </c>
      <c r="C587" s="1" t="str">
        <f ca="1">IFERROR(__xludf.DUMMYFUNCTION("GOOGLETRANSLATE(E587, ""zh"", ""en"")"),"Qualitative text")</f>
        <v>Qualitative text</v>
      </c>
    </row>
    <row r="588" spans="1:3" ht="13" x14ac:dyDescent="0.15">
      <c r="A588" s="1" t="str">
        <f ca="1">IFERROR(__xludf.DUMMYFUNCTION("GOOGLETRANSLATE(A588, ""zh"", ""en"")"),"During the reporting period, we established a trade union in the mining area where we operate and covered every employee.")</f>
        <v>During the reporting period, we established a trade union in the mining area where we operate and covered every employee.</v>
      </c>
      <c r="B588" s="1" t="str">
        <f ca="1">IFERROR(__xludf.DUMMYFUNCTION("GOOGLETRANSLATE(A588, ""zh"", ""en"")"),"staff")</f>
        <v>staff</v>
      </c>
      <c r="C588" s="1" t="str">
        <f ca="1">IFERROR(__xludf.DUMMYFUNCTION("GOOGLETRANSLATE(E588, ""zh"", ""en"")"),"Quantitative Text")</f>
        <v>Quantitative Text</v>
      </c>
    </row>
    <row r="589" spans="1:3" ht="13" x14ac:dyDescent="0.15">
      <c r="A589" s="1" t="str">
        <f ca="1">IFERROR(__xludf.DUMMYFUNCTION("GOOGLETRANSLATE(A589, ""zh"", ""en"")"),"At the same time, we are committed to reducing the emission of harmful substances in the core operations of Tazhong Mining.")</f>
        <v>At the same time, we are committed to reducing the emission of harmful substances in the core operations of Tazhong Mining.</v>
      </c>
      <c r="B589" s="1" t="str">
        <f ca="1">IFERROR(__xludf.DUMMYFUNCTION("GOOGLETRANSLATE(A589, ""zh"", ""en"")"),"Waste Management")</f>
        <v>Waste Management</v>
      </c>
      <c r="C589" s="1" t="str">
        <f ca="1">IFERROR(__xludf.DUMMYFUNCTION("GOOGLETRANSLATE(E589, ""zh"", ""en"")"),"Qualitative text")</f>
        <v>Qualitative text</v>
      </c>
    </row>
    <row r="590" spans="1:3" ht="13" x14ac:dyDescent="0.15">
      <c r="A590" s="1" t="str">
        <f ca="1">IFERROR(__xludf.DUMMYFUNCTION("GOOGLETRANSLATE(A590, ""zh"", ""en"")"),"With extremely high resource endowment, we have advanced mining beneficiation technology and process flow")</f>
        <v>With extremely high resource endowment, we have advanced mining beneficiation technology and process flow</v>
      </c>
      <c r="B590" s="1" t="str">
        <f ca="1">IFERROR(__xludf.DUMMYFUNCTION("GOOGLETRANSLATE(A590, ""zh"", ""en"")"),"raw materials")</f>
        <v>raw materials</v>
      </c>
      <c r="C590" s="1" t="str">
        <f ca="1">IFERROR(__xludf.DUMMYFUNCTION("GOOGLETRANSLATE(E590, ""zh"", ""en"")"),"Qualitative text")</f>
        <v>Qualitative text</v>
      </c>
    </row>
    <row r="591" spans="1:3" ht="13" x14ac:dyDescent="0.15">
      <c r="A591" s="1" t="str">
        <f ca="1">IFERROR(__xludf.DUMMYFUNCTION("GOOGLETRANSLATE(A591, ""zh"", ""en"")"),"To this end, the company is accelerating the layout of new energy and green materials to promote the low-carbon transformation of the upstream industrial chain.")</f>
        <v>To this end, the company is accelerating the layout of new energy and green materials to promote the low-carbon transformation of the upstream industrial chain.</v>
      </c>
      <c r="B591" s="1" t="str">
        <f ca="1">IFERROR(__xludf.DUMMYFUNCTION("GOOGLETRANSLATE(A591, ""zh"", ""en"")"),"raw materials")</f>
        <v>raw materials</v>
      </c>
      <c r="C591" s="1" t="str">
        <f ca="1">IFERROR(__xludf.DUMMYFUNCTION("GOOGLETRANSLATE(E591, ""zh"", ""en"")"),"Qualitative text")</f>
        <v>Qualitative text</v>
      </c>
    </row>
    <row r="592" spans="1:3" ht="13" x14ac:dyDescent="0.15">
      <c r="A592" s="1" t="str">
        <f ca="1">IFERROR(__xludf.DUMMYFUNCTION("GOOGLETRANSLATE(A592, ""zh"", ""en"")"),"2 Reporting Scope Zhejiang Sunshine Lighting Appliance Group Co., Ltd. and its subsidiaries")</f>
        <v>2 Reporting Scope Zhejiang Sunshine Lighting Appliance Group Co., Ltd. and its subsidiaries</v>
      </c>
      <c r="B592" s="1" t="str">
        <f ca="1">IFERROR(__xludf.DUMMYFUNCTION("GOOGLETRANSLATE(A592, ""zh"", ""en"")"),"irrelevant text")</f>
        <v>irrelevant text</v>
      </c>
      <c r="C592" s="1" t="str">
        <f ca="1">IFERROR(__xludf.DUMMYFUNCTION("GOOGLETRANSLATE(E592, ""zh"", ""en"")"),"irrelevant text")</f>
        <v>irrelevant text</v>
      </c>
    </row>
    <row r="593" spans="1:3" ht="13" x14ac:dyDescent="0.15">
      <c r="A593" s="1" t="str">
        <f ca="1">IFERROR(__xludf.DUMMYFUNCTION("GOOGLETRANSLATE(A593, ""zh"", ""en"")"),"Taking into account the continuity and comparability of disclosed information, some information content is appropriately extended forward and backward")</f>
        <v>Taking into account the continuity and comparability of disclosed information, some information content is appropriately extended forward and backward</v>
      </c>
      <c r="B593" s="1" t="str">
        <f ca="1">IFERROR(__xludf.DUMMYFUNCTION("GOOGLETRANSLATE(A593, ""zh"", ""en"")"),"irrelevant text")</f>
        <v>irrelevant text</v>
      </c>
      <c r="C593" s="1" t="str">
        <f ca="1">IFERROR(__xludf.DUMMYFUNCTION("GOOGLETRANSLATE(E593, ""zh"", ""en"")"),"irrelevant text")</f>
        <v>irrelevant text</v>
      </c>
    </row>
    <row r="594" spans="1:3" ht="13" x14ac:dyDescent="0.15">
      <c r="A594" s="1" t="str">
        <f ca="1">IFERROR(__xludf.DUMMYFUNCTION("GOOGLETRANSLATE(A594, ""zh"", ""en"")"),"P4748B1.2 Employee turnover rate by gender, age group and region")</f>
        <v>P4748B1.2 Employee turnover rate by gender, age group and region</v>
      </c>
      <c r="B594" s="1" t="str">
        <f ca="1">IFERROR(__xludf.DUMMYFUNCTION("GOOGLETRANSLATE(A594, ""zh"", ""en"")"),"staff")</f>
        <v>staff</v>
      </c>
      <c r="C594" s="1" t="str">
        <f ca="1">IFERROR(__xludf.DUMMYFUNCTION("GOOGLETRANSLATE(E594, ""zh"", ""en"")"),"Qualitative text")</f>
        <v>Qualitative text</v>
      </c>
    </row>
    <row r="595" spans="1:3" ht="13" x14ac:dyDescent="0.15">
      <c r="A595" s="1" t="str">
        <f ca="1">IFERROR(__xludf.DUMMYFUNCTION("GOOGLETRANSLATE(A595, ""zh"", ""en"")"),"It can be said that model exploration and practice are forming a set of Chinese solutions for the digital security era.")</f>
        <v>It can be said that model exploration and practice are forming a set of Chinese solutions for the digital security era.</v>
      </c>
      <c r="B595" s="1" t="str">
        <f ca="1">IFERROR(__xludf.DUMMYFUNCTION("GOOGLETRANSLATE(A595, ""zh"", ""en"")"),"Data security")</f>
        <v>Data security</v>
      </c>
      <c r="C595" s="1" t="str">
        <f ca="1">IFERROR(__xludf.DUMMYFUNCTION("GOOGLETRANSLATE(E595, ""zh"", ""en"")"),"Qualitative text")</f>
        <v>Qualitative text</v>
      </c>
    </row>
    <row r="596" spans="1:3" ht="13" x14ac:dyDescent="0.15">
      <c r="A596" s="1" t="str">
        <f ca="1">IFERROR(__xludf.DUMMYFUNCTION("GOOGLETRANSLATE(A596, ""zh"", ""en"")"),"Enhance employee awareness...Attach great importance to cultivating employees' awareness of data and privacy security")</f>
        <v>Enhance employee awareness...Attach great importance to cultivating employees' awareness of data and privacy security</v>
      </c>
      <c r="B596" s="1" t="str">
        <f ca="1">IFERROR(__xludf.DUMMYFUNCTION("GOOGLETRANSLATE(A596, ""zh"", ""en"")"),"Data security")</f>
        <v>Data security</v>
      </c>
      <c r="C596" s="1" t="str">
        <f ca="1">IFERROR(__xludf.DUMMYFUNCTION("GOOGLETRANSLATE(E596, ""zh"", ""en"")"),"Qualitative text")</f>
        <v>Qualitative text</v>
      </c>
    </row>
    <row r="597" spans="1:3" ht="13" x14ac:dyDescent="0.15">
      <c r="A597" s="1" t="str">
        <f ca="1">IFERROR(__xludf.DUMMYFUNCTION("GOOGLETRANSLATE(A597, ""zh"", ""en"")"),"Climate change brings risks but also creates new opportunities for our business development")</f>
        <v>Climate change brings risks but also creates new opportunities for our business development</v>
      </c>
      <c r="B597" s="1" t="str">
        <f ca="1">IFERROR(__xludf.DUMMYFUNCTION("GOOGLETRANSLATE(A597, ""zh"", ""en"")"),"Addressing climate change")</f>
        <v>Addressing climate change</v>
      </c>
      <c r="C597" s="1" t="str">
        <f ca="1">IFERROR(__xludf.DUMMYFUNCTION("GOOGLETRANSLATE(E597, ""zh"", ""en"")"),"Qualitative text")</f>
        <v>Qualitative text</v>
      </c>
    </row>
    <row r="598" spans="1:3" ht="13" x14ac:dyDescent="0.15">
      <c r="A598" s="1" t="str">
        <f ca="1">IFERROR(__xludf.DUMMYFUNCTION("GOOGLETRANSLATE(A598, ""zh"", ""en"")"),"In addition, we continue to pay attention to the progress of national centralized drug procurement and strive to be selected for the national procurement list.")</f>
        <v>In addition, we continue to pay attention to the progress of national centralized drug procurement and strive to be selected for the national procurement list.</v>
      </c>
      <c r="B598" s="1" t="str">
        <f ca="1">IFERROR(__xludf.DUMMYFUNCTION("GOOGLETRANSLATE(A598, ""zh"", ""en"")"),"Product quality")</f>
        <v>Product quality</v>
      </c>
      <c r="C598" s="1" t="str">
        <f ca="1">IFERROR(__xludf.DUMMYFUNCTION("GOOGLETRANSLATE(E598, ""zh"", ""en"")"),"Qualitative text")</f>
        <v>Qualitative text</v>
      </c>
    </row>
    <row r="599" spans="1:3" ht="13" x14ac:dyDescent="0.15">
      <c r="A599" s="1" t="str">
        <f ca="1">IFERROR(__xludf.DUMMYFUNCTION("GOOGLETRANSLATE(A599, ""zh"", ""en"")"),"CCB Life Innovation: Finger-touch services for hundreds of millions of users tell heartwarming stories of CCB")</f>
        <v>CCB Life Innovation: Finger-touch services for hundreds of millions of users tell heartwarming stories of CCB</v>
      </c>
      <c r="B599" s="1" t="str">
        <f ca="1">IFERROR(__xludf.DUMMYFUNCTION("GOOGLETRANSLATE(A599, ""zh"", ""en"")"),"Customers and Consumers")</f>
        <v>Customers and Consumers</v>
      </c>
      <c r="C599" s="1" t="str">
        <f ca="1">IFERROR(__xludf.DUMMYFUNCTION("GOOGLETRANSLATE(E599, ""zh"", ""en"")"),"Qualitative text")</f>
        <v>Qualitative text</v>
      </c>
    </row>
    <row r="600" spans="1:3" ht="13" x14ac:dyDescent="0.15">
      <c r="A600" s="1" t="str">
        <f ca="1">IFERROR(__xludf.DUMMYFUNCTION("GOOGLETRANSLATE(A600, ""zh"", ""en"")"),"China Construction Bank builds smart banks according to the guidance plan for deepening the construction of smart bank outlets")</f>
        <v>China Construction Bank builds smart banks according to the guidance plan for deepening the construction of smart bank outlets</v>
      </c>
      <c r="B600" s="1" t="str">
        <f ca="1">IFERROR(__xludf.DUMMYFUNCTION("GOOGLETRANSLATE(A600, ""zh"", ""en"")"),"Technological innovation")</f>
        <v>Technological innovation</v>
      </c>
      <c r="C600" s="1" t="str">
        <f ca="1">IFERROR(__xludf.DUMMYFUNCTION("GOOGLETRANSLATE(E600, ""zh"", ""en"")"),"Qualitative text")</f>
        <v>Qualitative text</v>
      </c>
    </row>
    <row r="601" spans="1:3" ht="13" x14ac:dyDescent="0.15">
      <c r="A601" s="1" t="str">
        <f ca="1">IFERROR(__xludf.DUMMYFUNCTION("GOOGLETRANSLATE(A601, ""zh"", ""en"")"),"Organize and carry out safety publicity month activities to enhance employees' self-protection awareness and risk identification capabilities")</f>
        <v>Organize and carry out safety publicity month activities to enhance employees' self-protection awareness and risk identification capabilities</v>
      </c>
      <c r="B601" s="1" t="str">
        <f ca="1">IFERROR(__xludf.DUMMYFUNCTION("GOOGLETRANSLATE(A601, ""zh"", ""en"")"),"staff")</f>
        <v>staff</v>
      </c>
      <c r="C601" s="1" t="str">
        <f ca="1">IFERROR(__xludf.DUMMYFUNCTION("GOOGLETRANSLATE(E601, ""zh"", ""en"")"),"Qualitative text")</f>
        <v>Qualitative text</v>
      </c>
    </row>
    <row r="602" spans="1:3" ht="13" x14ac:dyDescent="0.15">
      <c r="A602" s="1" t="str">
        <f ca="1">IFERROR(__xludf.DUMMYFUNCTION("GOOGLETRANSLATE(A602, ""zh"", ""en"")"),"Level B2 Health and Safety The Bank attaches great importance to the safety of employees' working environment and occupational safety")</f>
        <v>Level B2 Health and Safety The Bank attaches great importance to the safety of employees' working environment and occupational safety</v>
      </c>
      <c r="B602" s="1" t="str">
        <f ca="1">IFERROR(__xludf.DUMMYFUNCTION("GOOGLETRANSLATE(A602, ""zh"", ""en"")"),"staff")</f>
        <v>staff</v>
      </c>
      <c r="C602" s="1" t="str">
        <f ca="1">IFERROR(__xludf.DUMMYFUNCTION("GOOGLETRANSLATE(E602, ""zh"", ""en"")"),"Qualitative text")</f>
        <v>Qualitative text</v>
      </c>
    </row>
    <row r="603" spans="1:3" ht="13" x14ac:dyDescent="0.15">
      <c r="A603" s="1" t="str">
        <f ca="1">IFERROR(__xludf.DUMMYFUNCTION("GOOGLETRANSLATE(A603, ""zh"", ""en"")"),"Consistency This report is written in the same way as in previous years to ensure that the quantitative data are consistent and comparable.")</f>
        <v>Consistency This report is written in the same way as in previous years to ensure that the quantitative data are consistent and comparable.</v>
      </c>
      <c r="B603" s="1" t="str">
        <f ca="1">IFERROR(__xludf.DUMMYFUNCTION("GOOGLETRANSLATE(A603, ""zh"", ""en"")"),"irrelevant text")</f>
        <v>irrelevant text</v>
      </c>
      <c r="C603" s="1" t="str">
        <f ca="1">IFERROR(__xludf.DUMMYFUNCTION("GOOGLETRANSLATE(E603, ""zh"", ""en"")"),"irrelevant text")</f>
        <v>irrelevant text</v>
      </c>
    </row>
    <row r="604" spans="1:3" ht="13" x14ac:dyDescent="0.15">
      <c r="A604" s="1" t="str">
        <f ca="1">IFERROR(__xludf.DUMMYFUNCTION("GOOGLETRANSLATE(A604, ""zh"", ""en"")"),"Review the Bank’s environmental and climate risk appetite settings and incorporate biodiversity risk factors")</f>
        <v>Review the Bank’s environmental and climate risk appetite settings and incorporate biodiversity risk factors</v>
      </c>
      <c r="B604" s="1" t="str">
        <f ca="1">IFERROR(__xludf.DUMMYFUNCTION("GOOGLETRANSLATE(A604, ""zh"", ""en"")"),"biodiversity")</f>
        <v>biodiversity</v>
      </c>
      <c r="C604" s="1" t="str">
        <f ca="1">IFERROR(__xludf.DUMMYFUNCTION("GOOGLETRANSLATE(E604, ""zh"", ""en"")"),"Qualitative text")</f>
        <v>Qualitative text</v>
      </c>
    </row>
    <row r="605" spans="1:3" ht="13" x14ac:dyDescent="0.15">
      <c r="A605" s="1" t="str">
        <f ca="1">IFERROR(__xludf.DUMMYFUNCTION("GOOGLETRANSLATE(A605, ""zh"", ""en"")"),"Environmental protection in the desert Gobi: Our 69 employees are our most valuable assets.")</f>
        <v>Environmental protection in the desert Gobi: Our 69 employees are our most valuable assets.</v>
      </c>
      <c r="B605" s="1" t="str">
        <f ca="1">IFERROR(__xludf.DUMMYFUNCTION("GOOGLETRANSLATE(A605, ""zh"", ""en"")"),"staff")</f>
        <v>staff</v>
      </c>
      <c r="C605" s="1" t="str">
        <f ca="1">IFERROR(__xludf.DUMMYFUNCTION("GOOGLETRANSLATE(E605, ""zh"", ""en"")"),"Qualitative text")</f>
        <v>Qualitative text</v>
      </c>
    </row>
    <row r="606" spans="1:3" ht="13" x14ac:dyDescent="0.15">
      <c r="A606" s="1" t="str">
        <f ca="1">IFERROR(__xludf.DUMMYFUNCTION("GOOGLETRANSLATE(A606, ""zh"", ""en"")"),"Huanneng Chemical Company increases capital investment to promote energy-saving technology transformation and improve process level")</f>
        <v>Huanneng Chemical Company increases capital investment to promote energy-saving technology transformation and improve process level</v>
      </c>
      <c r="B606" s="1" t="str">
        <f ca="1">IFERROR(__xludf.DUMMYFUNCTION("GOOGLETRANSLATE(A606, ""zh"", ""en"")"),"Energy and resource consumption")</f>
        <v>Energy and resource consumption</v>
      </c>
      <c r="C606" s="1" t="str">
        <f ca="1">IFERROR(__xludf.DUMMYFUNCTION("GOOGLETRANSLATE(E606, ""zh"", ""en"")"),"Qualitative text")</f>
        <v>Qualitative text</v>
      </c>
    </row>
    <row r="607" spans="1:3" ht="13" x14ac:dyDescent="0.15">
      <c r="A607" s="1" t="str">
        <f ca="1">IFERROR(__xludf.DUMMYFUNCTION("GOOGLETRANSLATE(A607, ""zh"", ""en"")"),"Always focus on the group's safety production management requirements to steadily promote all aspects of safety production")</f>
        <v>Always focus on the group's safety production management requirements to steadily promote all aspects of safety production</v>
      </c>
      <c r="B607" s="1" t="str">
        <f ca="1">IFERROR(__xludf.DUMMYFUNCTION("GOOGLETRANSLATE(A607, ""zh"", ""en"")"),"staff")</f>
        <v>staff</v>
      </c>
      <c r="C607" s="1" t="str">
        <f ca="1">IFERROR(__xludf.DUMMYFUNCTION("GOOGLETRANSLATE(E607, ""zh"", ""en"")"),"Qualitative text")</f>
        <v>Qualitative text</v>
      </c>
    </row>
    <row r="608" spans="1:3" ht="13" x14ac:dyDescent="0.15">
      <c r="A608" s="1" t="str">
        <f ca="1">IFERROR(__xludf.DUMMYFUNCTION("GOOGLETRANSLATE(A608, ""zh"", ""en"")"),"Establish a group bidding and procurement expert database and supplier database, and improve the supplier management and evaluation system.")</f>
        <v>Establish a group bidding and procurement expert database and supplier database, and improve the supplier management and evaluation system.</v>
      </c>
      <c r="B608" s="1" t="str">
        <f ca="1">IFERROR(__xludf.DUMMYFUNCTION("GOOGLETRANSLATE(A608, ""zh"", ""en"")"),"supply chain management")</f>
        <v>supply chain management</v>
      </c>
      <c r="C608" s="1" t="str">
        <f ca="1">IFERROR(__xludf.DUMMYFUNCTION("GOOGLETRANSLATE(E608, ""zh"", ""en"")"),"Qualitative text")</f>
        <v>Qualitative text</v>
      </c>
    </row>
    <row r="609" spans="1:3" ht="13" x14ac:dyDescent="0.15">
      <c r="A609" s="1" t="str">
        <f ca="1">IFERROR(__xludf.DUMMYFUNCTION("GOOGLETRANSLATE(A609, ""zh"", ""en"")"),"The third is to promote the construction of the group's bidding and procurement management system platform to facilitate transparent procurement with digitalization")</f>
        <v>The third is to promote the construction of the group's bidding and procurement management system platform to facilitate transparent procurement with digitalization</v>
      </c>
      <c r="B609" s="1" t="str">
        <f ca="1">IFERROR(__xludf.DUMMYFUNCTION("GOOGLETRANSLATE(A609, ""zh"", ""en"")"),"supply chain management")</f>
        <v>supply chain management</v>
      </c>
      <c r="C609" s="1" t="str">
        <f ca="1">IFERROR(__xludf.DUMMYFUNCTION("GOOGLETRANSLATE(E609, ""zh"", ""en"")"),"Qualitative text")</f>
        <v>Qualitative text</v>
      </c>
    </row>
    <row r="610" spans="1:3" ht="13" x14ac:dyDescent="0.15">
      <c r="A610" s="1" t="str">
        <f ca="1">IFERROR(__xludf.DUMMYFUNCTION("GOOGLETRANSLATE(A610, ""zh"", ""en"")"),"Fully integrate and give full play to the power of public welfare to spread love and responsibility and earnestly implement the public welfare action plan")</f>
        <v>Fully integrate and give full play to the power of public welfare to spread love and responsibility and earnestly implement the public welfare action plan</v>
      </c>
      <c r="B610" s="1" t="str">
        <f ca="1">IFERROR(__xludf.DUMMYFUNCTION("GOOGLETRANSLATE(A610, ""zh"", ""en"")"),"Public welfare and volunteer service")</f>
        <v>Public welfare and volunteer service</v>
      </c>
      <c r="C610" s="1" t="str">
        <f ca="1">IFERROR(__xludf.DUMMYFUNCTION("GOOGLETRANSLATE(E610, ""zh"", ""en"")"),"Qualitative text")</f>
        <v>Qualitative text</v>
      </c>
    </row>
    <row r="611" spans="1:3" ht="13" x14ac:dyDescent="0.15">
      <c r="A611" s="1" t="str">
        <f ca="1">IFERROR(__xludf.DUMMYFUNCTION("GOOGLETRANSLATE(A611, ""zh"", ""en"")"),"New Jiaaisi, a subsidiary of the company, was recognized by the Zhejiang Association for Science and Technology as one of the first Zhejiang Provincial Doctoral Innovation Stations")</f>
        <v>New Jiaaisi, a subsidiary of the company, was recognized by the Zhejiang Association for Science and Technology as one of the first Zhejiang Provincial Doctoral Innovation Stations</v>
      </c>
      <c r="B611" s="1" t="str">
        <f ca="1">IFERROR(__xludf.DUMMYFUNCTION("GOOGLETRANSLATE(A611, ""zh"", ""en"")"),"Technological innovation")</f>
        <v>Technological innovation</v>
      </c>
      <c r="C611" s="1" t="str">
        <f ca="1">IFERROR(__xludf.DUMMYFUNCTION("GOOGLETRANSLATE(E611, ""zh"", ""en"")"),"Qualitative text")</f>
        <v>Qualitative text</v>
      </c>
    </row>
    <row r="612" spans="1:3" ht="13" x14ac:dyDescent="0.15">
      <c r="A612" s="1" t="str">
        <f ca="1">IFERROR(__xludf.DUMMYFUNCTION("GOOGLETRANSLATE(A612, ""zh"", ""en"")"),"P52B4.1 Describe measures to review recruitment practices to avoid child labor and forced labor")</f>
        <v>P52B4.1 Describe measures to review recruitment practices to avoid child labor and forced labor</v>
      </c>
      <c r="B612" s="1" t="str">
        <f ca="1">IFERROR(__xludf.DUMMYFUNCTION("GOOGLETRANSLATE(A612, ""zh"", ""en"")"),"staff")</f>
        <v>staff</v>
      </c>
      <c r="C612" s="1" t="str">
        <f ca="1">IFERROR(__xludf.DUMMYFUNCTION("GOOGLETRANSLATE(E612, ""zh"", ""en"")"),"Qualitative text")</f>
        <v>Qualitative text</v>
      </c>
    </row>
    <row r="613" spans="1:3" ht="13" x14ac:dyDescent="0.15">
      <c r="A613" s="1" t="str">
        <f ca="1">IFERROR(__xludf.DUMMYFUNCTION("GOOGLETRANSLATE(A613, ""zh"", ""en"")"),"P4649B1.2 Employee turnover rate by gender, age group and region")</f>
        <v>P4649B1.2 Employee turnover rate by gender, age group and region</v>
      </c>
      <c r="B613" s="1" t="str">
        <f ca="1">IFERROR(__xludf.DUMMYFUNCTION("GOOGLETRANSLATE(A613, ""zh"", ""en"")"),"staff")</f>
        <v>staff</v>
      </c>
      <c r="C613" s="1" t="str">
        <f ca="1">IFERROR(__xludf.DUMMYFUNCTION("GOOGLETRANSLATE(E613, ""zh"", ""en"")"),"Qualitative text")</f>
        <v>Qualitative text</v>
      </c>
    </row>
    <row r="614" spans="1:3" ht="13" x14ac:dyDescent="0.15">
      <c r="A614" s="1" t="str">
        <f ca="1">IFERROR(__xludf.DUMMYFUNCTION("GOOGLETRANSLATE(A614, ""zh"", ""en"")"),"This year, we built 20 Hope Primary Schools to illuminate the future of local children through education.")</f>
        <v>This year, we built 20 Hope Primary Schools to illuminate the future of local children through education.</v>
      </c>
      <c r="B614" s="1" t="str">
        <f ca="1">IFERROR(__xludf.DUMMYFUNCTION("GOOGLETRANSLATE(A614, ""zh"", ""en"")"),"Public welfare and volunteer service")</f>
        <v>Public welfare and volunteer service</v>
      </c>
      <c r="C614" s="1" t="str">
        <f ca="1">IFERROR(__xludf.DUMMYFUNCTION("GOOGLETRANSLATE(E614, ""zh"", ""en"")"),"Quantitative Text")</f>
        <v>Quantitative Text</v>
      </c>
    </row>
    <row r="615" spans="1:3" ht="13" x14ac:dyDescent="0.15">
      <c r="A615" s="1" t="str">
        <f ca="1">IFERROR(__xludf.DUMMYFUNCTION("GOOGLETRANSLATE(A615, ""zh"", ""en"")"),"For suppliers with better performance evaluation, we will give them weighted bonus points during bidding.")</f>
        <v>For suppliers with better performance evaluation, we will give them weighted bonus points during bidding.</v>
      </c>
      <c r="B615" s="1" t="str">
        <f ca="1">IFERROR(__xludf.DUMMYFUNCTION("GOOGLETRANSLATE(A615, ""zh"", ""en"")"),"supply chain management")</f>
        <v>supply chain management</v>
      </c>
      <c r="C615" s="1" t="str">
        <f ca="1">IFERROR(__xludf.DUMMYFUNCTION("GOOGLETRANSLATE(E615, ""zh"", ""en"")"),"Qualitative text")</f>
        <v>Qualitative text</v>
      </c>
    </row>
    <row r="616" spans="1:3" ht="13" x14ac:dyDescent="0.15">
      <c r="A616" s="1" t="str">
        <f ca="1">IFERROR(__xludf.DUMMYFUNCTION("GOOGLETRANSLATE(A616, ""zh"", ""en"")"),"2. Return-to-work rate refers to the percentage of employees who return to work at Haier Smart Home after completing maternity leave or paternity leave.")</f>
        <v>2. Return-to-work rate refers to the percentage of employees who return to work at Haier Smart Home after completing maternity leave or paternity leave.</v>
      </c>
      <c r="B616" s="1" t="str">
        <f ca="1">IFERROR(__xludf.DUMMYFUNCTION("GOOGLETRANSLATE(A616, ""zh"", ""en"")"),"staff")</f>
        <v>staff</v>
      </c>
      <c r="C616" s="1" t="str">
        <f ca="1">IFERROR(__xludf.DUMMYFUNCTION("GOOGLETRANSLATE(E616, ""zh"", ""en"")"),"Qualitative text")</f>
        <v>Qualitative text</v>
      </c>
    </row>
    <row r="617" spans="1:3" ht="13" x14ac:dyDescent="0.15">
      <c r="A617" s="1" t="str">
        <f ca="1">IFERROR(__xludf.DUMMYFUNCTION("GOOGLETRANSLATE(A617, ""zh"", ""en"")"),"We always keep the health of our employees in mind and provide timely assistance to employees in need.")</f>
        <v>We always keep the health of our employees in mind and provide timely assistance to employees in need.</v>
      </c>
      <c r="B617" s="1" t="str">
        <f ca="1">IFERROR(__xludf.DUMMYFUNCTION("GOOGLETRANSLATE(A617, ""zh"", ""en"")"),"staff")</f>
        <v>staff</v>
      </c>
      <c r="C617" s="1" t="str">
        <f ca="1">IFERROR(__xludf.DUMMYFUNCTION("GOOGLETRANSLATE(E617, ""zh"", ""en"")"),"Qualitative text")</f>
        <v>Qualitative text</v>
      </c>
    </row>
    <row r="618" spans="1:3" ht="13" x14ac:dyDescent="0.15">
      <c r="A618" s="1" t="str">
        <f ca="1">IFERROR(__xludf.DUMMYFUNCTION("GOOGLETRANSLATE(A618, ""zh"", ""en"")"),"Established platforms and tools such as code security application vulnerability scanning for IoT security detection")</f>
        <v>Established platforms and tools such as code security application vulnerability scanning for IoT security detection</v>
      </c>
      <c r="B618" s="1" t="str">
        <f ca="1">IFERROR(__xludf.DUMMYFUNCTION("GOOGLETRANSLATE(A618, ""zh"", ""en"")"),"Data security")</f>
        <v>Data security</v>
      </c>
      <c r="C618" s="1" t="str">
        <f ca="1">IFERROR(__xludf.DUMMYFUNCTION("GOOGLETRANSLATE(E618, ""zh"", ""en"")"),"Qualitative text")</f>
        <v>Qualitative text</v>
      </c>
    </row>
    <row r="619" spans="1:3" ht="13" x14ac:dyDescent="0.15">
      <c r="A619" s="1" t="str">
        <f ca="1">IFERROR(__xludf.DUMMYFUNCTION("GOOGLETRANSLATE(A619, ""zh"", ""en"")"),"The content of the responsibility for building a clean government has played an important role in the company's implementation of comprehensive anti-corruption and integrity promotion")</f>
        <v>The content of the responsibility for building a clean government has played an important role in the company's implementation of comprehensive anti-corruption and integrity promotion</v>
      </c>
      <c r="B619" s="1" t="str">
        <f ca="1">IFERROR(__xludf.DUMMYFUNCTION("GOOGLETRANSLATE(A619, ""zh"", ""en"")"),"Anti-corruption and anti-money laundering")</f>
        <v>Anti-corruption and anti-money laundering</v>
      </c>
      <c r="C619" s="1" t="str">
        <f ca="1">IFERROR(__xludf.DUMMYFUNCTION("GOOGLETRANSLATE(E619, ""zh"", ""en"")"),"Qualitative text")</f>
        <v>Qualitative text</v>
      </c>
    </row>
    <row r="620" spans="1:3" ht="13" x14ac:dyDescent="0.15">
      <c r="A620" s="1" t="str">
        <f ca="1">IFERROR(__xludf.DUMMYFUNCTION("GOOGLETRANSLATE(A620, ""zh"", ""en"")"),"Conduct special social responsibility audits on human rights and labor in all the company's factories every year")</f>
        <v>Conduct special social responsibility audits on human rights and labor in all the company's factories every year</v>
      </c>
      <c r="B620" s="1" t="str">
        <f ca="1">IFERROR(__xludf.DUMMYFUNCTION("GOOGLETRANSLATE(A620, ""zh"", ""en"")"),"staff")</f>
        <v>staff</v>
      </c>
      <c r="C620" s="1" t="str">
        <f ca="1">IFERROR(__xludf.DUMMYFUNCTION("GOOGLETRANSLATE(E620, ""zh"", ""en"")"),"Qualitative text")</f>
        <v>Qualitative text</v>
      </c>
    </row>
    <row r="621" spans="1:3" ht="13" x14ac:dyDescent="0.15">
      <c r="A621" s="1" t="str">
        <f ca="1">IFERROR(__xludf.DUMMYFUNCTION("GOOGLETRANSLATE(A621, ""zh"", ""en"")"),"The Shanghai Mechanical and Electrical Trade Union is an effective mechanism for building harmonious labor relations between Shanghai Electric and its employees.")</f>
        <v>The Shanghai Mechanical and Electrical Trade Union is an effective mechanism for building harmonious labor relations between Shanghai Electric and its employees.</v>
      </c>
      <c r="B621" s="1" t="str">
        <f ca="1">IFERROR(__xludf.DUMMYFUNCTION("GOOGLETRANSLATE(A621, ""zh"", ""en"")"),"staff")</f>
        <v>staff</v>
      </c>
      <c r="C621" s="1" t="str">
        <f ca="1">IFERROR(__xludf.DUMMYFUNCTION("GOOGLETRANSLATE(E621, ""zh"", ""en"")"),"Qualitative text")</f>
        <v>Qualitative text</v>
      </c>
    </row>
    <row r="622" spans="1:3" ht="13" x14ac:dyDescent="0.15">
      <c r="A622" s="1" t="str">
        <f ca="1">IFERROR(__xludf.DUMMYFUNCTION("GOOGLETRANSLATE(A622, ""zh"", ""en"")"),"Drive enterprises to evaluate the value of scientific and technological achievements in a market-oriented manner and reward technical teams for the added value")</f>
        <v>Drive enterprises to evaluate the value of scientific and technological achievements in a market-oriented manner and reward technical teams for the added value</v>
      </c>
      <c r="B622" s="1" t="str">
        <f ca="1">IFERROR(__xludf.DUMMYFUNCTION("GOOGLETRANSLATE(A622, ""zh"", ""en"")"),"Technological innovation")</f>
        <v>Technological innovation</v>
      </c>
      <c r="C622" s="1" t="str">
        <f ca="1">IFERROR(__xludf.DUMMYFUNCTION("GOOGLETRANSLATE(E622, ""zh"", ""en"")"),"Qualitative text")</f>
        <v>Qualitative text</v>
      </c>
    </row>
    <row r="623" spans="1:3" ht="13" x14ac:dyDescent="0.15">
      <c r="A623" s="1" t="str">
        <f ca="1">IFERROR(__xludf.DUMMYFUNCTION("GOOGLETRANSLATE(A623, ""zh"", ""en"")"),"As a pioneer in China's wind power industry, Electric Wind Power started its digital exploration journey early on.")</f>
        <v>As a pioneer in China's wind power industry, Electric Wind Power started its digital exploration journey early on.</v>
      </c>
      <c r="B623" s="1" t="str">
        <f ca="1">IFERROR(__xludf.DUMMYFUNCTION("GOOGLETRANSLATE(A623, ""zh"", ""en"")"),"Technological innovation")</f>
        <v>Technological innovation</v>
      </c>
      <c r="C623" s="1" t="str">
        <f ca="1">IFERROR(__xludf.DUMMYFUNCTION("GOOGLETRANSLATE(E623, ""zh"", ""en"")"),"Qualitative text")</f>
        <v>Qualitative text</v>
      </c>
    </row>
    <row r="624" spans="1:3" ht="13" x14ac:dyDescent="0.15">
      <c r="A624" s="1" t="str">
        <f ca="1">IFERROR(__xludf.DUMMYFUNCTION("GOOGLETRANSLATE(A624, ""zh"", ""en"")"),"Mobilized internal EAP counselors to provide psychological counseling to more than 500 teachers and students")</f>
        <v>Mobilized internal EAP counselors to provide psychological counseling to more than 500 teachers and students</v>
      </c>
      <c r="B624" s="1" t="str">
        <f ca="1">IFERROR(__xludf.DUMMYFUNCTION("GOOGLETRANSLATE(A624, ""zh"", ""en"")"),"Public welfare and volunteer service")</f>
        <v>Public welfare and volunteer service</v>
      </c>
      <c r="C624" s="1" t="str">
        <f ca="1">IFERROR(__xludf.DUMMYFUNCTION("GOOGLETRANSLATE(E624, ""zh"", ""en"")"),"Quantitative Text")</f>
        <v>Quantitative Text</v>
      </c>
    </row>
    <row r="625" spans="1:3" ht="13" x14ac:dyDescent="0.15">
      <c r="A625" s="1" t="str">
        <f ca="1">IFERROR(__xludf.DUMMYFUNCTION("GOOGLETRANSLATE(A625, ""zh"", ""en"")"),"245 volunteer teachers were sent to the assisted schools for a total of 1,196 days.")</f>
        <v>245 volunteer teachers were sent to the assisted schools for a total of 1,196 days.</v>
      </c>
      <c r="B625" s="1" t="str">
        <f ca="1">IFERROR(__xludf.DUMMYFUNCTION("GOOGLETRANSLATE(A625, ""zh"", ""en"")"),"Public welfare and volunteer service")</f>
        <v>Public welfare and volunteer service</v>
      </c>
      <c r="C625" s="1" t="str">
        <f ca="1">IFERROR(__xludf.DUMMYFUNCTION("GOOGLETRANSLATE(E625, ""zh"", ""en"")"),"Quantitative Text")</f>
        <v>Quantitative Text</v>
      </c>
    </row>
    <row r="626" spans="1:3" ht="13" x14ac:dyDescent="0.15">
      <c r="A626" s="1" t="str">
        <f ca="1">IFERROR(__xludf.DUMMYFUNCTION("GOOGLETRANSLATE(A626, ""zh"", ""en"")"),"The company leverages its advantages in professional operations and sales channels to promote the integrated development of the three industries in rural areas")</f>
        <v>The company leverages its advantages in professional operations and sales channels to promote the integrated development of the three industries in rural areas</v>
      </c>
      <c r="B626" s="1" t="str">
        <f ca="1">IFERROR(__xludf.DUMMYFUNCTION("GOOGLETRANSLATE(A626, ""zh"", ""en"")"),"Rural assistance")</f>
        <v>Rural assistance</v>
      </c>
      <c r="C626" s="1" t="str">
        <f ca="1">IFERROR(__xludf.DUMMYFUNCTION("GOOGLETRANSLATE(E626, ""zh"", ""en"")"),"Qualitative text")</f>
        <v>Qualitative text</v>
      </c>
    </row>
    <row r="627" spans="1:3" ht="13" x14ac:dyDescent="0.15">
      <c r="A627" s="1" t="str">
        <f ca="1">IFERROR(__xludf.DUMMYFUNCTION("GOOGLETRANSLATE(A627, ""zh"", ""en"")"),"Coordinate and carry out certification training for professional occupational health auditors to provide manpower support for professional audits")</f>
        <v>Coordinate and carry out certification training for professional occupational health auditors to provide manpower support for professional audits</v>
      </c>
      <c r="B627" s="1" t="str">
        <f ca="1">IFERROR(__xludf.DUMMYFUNCTION("GOOGLETRANSLATE(A627, ""zh"", ""en"")"),"staff")</f>
        <v>staff</v>
      </c>
      <c r="C627" s="1" t="str">
        <f ca="1">IFERROR(__xludf.DUMMYFUNCTION("GOOGLETRANSLATE(E627, ""zh"", ""en"")"),"Qualitative text")</f>
        <v>Qualitative text</v>
      </c>
    </row>
    <row r="628" spans="1:3" ht="13" x14ac:dyDescent="0.15">
      <c r="A628" s="1" t="str">
        <f ca="1">IFERROR(__xludf.DUMMYFUNCTION("GOOGLETRANSLATE(A628, ""zh"", ""en"")"),"All land located near farmland and meeting the reclamation conditions will be returned to the local government after reclamation.")</f>
        <v>All land located near farmland and meeting the reclamation conditions will be returned to the local government after reclamation.</v>
      </c>
      <c r="B628" s="1" t="str">
        <f ca="1">IFERROR(__xludf.DUMMYFUNCTION("GOOGLETRANSLATE(A628, ""zh"", ""en"")"),"Land use")</f>
        <v>Land use</v>
      </c>
      <c r="C628" s="1" t="str">
        <f ca="1">IFERROR(__xludf.DUMMYFUNCTION("GOOGLETRANSLATE(E628, ""zh"", ""en"")"),"Qualitative text")</f>
        <v>Qualitative text</v>
      </c>
    </row>
    <row r="629" spans="1:3" ht="13" x14ac:dyDescent="0.15">
      <c r="A629" s="1" t="str">
        <f ca="1">IFERROR(__xludf.DUMMYFUNCTION("GOOGLETRANSLATE(A629, ""zh"", ""en"")"),"The company continues to improve its support and guarantee mechanism for scientific and technological research and to facilitate the transformation of scientific and technological achievements.")</f>
        <v>The company continues to improve its support and guarantee mechanism for scientific and technological research and to facilitate the transformation of scientific and technological achievements.</v>
      </c>
      <c r="B629" s="1" t="str">
        <f ca="1">IFERROR(__xludf.DUMMYFUNCTION("GOOGLETRANSLATE(A629, ""zh"", ""en"")"),"Technological innovation")</f>
        <v>Technological innovation</v>
      </c>
      <c r="C629" s="1" t="str">
        <f ca="1">IFERROR(__xludf.DUMMYFUNCTION("GOOGLETRANSLATE(E629, ""zh"", ""en"")"),"Qualitative text")</f>
        <v>Qualitative text</v>
      </c>
    </row>
    <row r="630" spans="1:3" ht="13" x14ac:dyDescent="0.15">
      <c r="A630" s="1" t="str">
        <f ca="1">IFERROR(__xludf.DUMMYFUNCTION("GOOGLETRANSLATE(A630, ""zh"", ""en"")"),"For more information, please refer to the CITIC Securities Co., Ltd. Supplier Code of Conduct")</f>
        <v>For more information, please refer to the CITIC Securities Co., Ltd. Supplier Code of Conduct</v>
      </c>
      <c r="B630" s="1" t="str">
        <f ca="1">IFERROR(__xludf.DUMMYFUNCTION("GOOGLETRANSLATE(A630, ""zh"", ""en"")"),"supply chain management")</f>
        <v>supply chain management</v>
      </c>
      <c r="C630" s="1" t="str">
        <f ca="1">IFERROR(__xludf.DUMMYFUNCTION("GOOGLETRANSLATE(E630, ""zh"", ""en"")"),"Qualitative text")</f>
        <v>Qualitative text</v>
      </c>
    </row>
    <row r="631" spans="1:3" ht="13" x14ac:dyDescent="0.15">
      <c r="A631" s="1" t="str">
        <f ca="1">IFERROR(__xludf.DUMMYFUNCTION("GOOGLETRANSLATE(A631, ""zh"", ""en"")"),"We focus on the long-term performance of our employees and provide them with an objective and clear career development path.")</f>
        <v>We focus on the long-term performance of our employees and provide them with an objective and clear career development path.</v>
      </c>
      <c r="B631" s="1" t="str">
        <f ca="1">IFERROR(__xludf.DUMMYFUNCTION("GOOGLETRANSLATE(A631, ""zh"", ""en"")"),"staff")</f>
        <v>staff</v>
      </c>
      <c r="C631" s="1" t="str">
        <f ca="1">IFERROR(__xludf.DUMMYFUNCTION("GOOGLETRANSLATE(E631, ""zh"", ""en"")"),"Qualitative text")</f>
        <v>Qualitative text</v>
      </c>
    </row>
    <row r="632" spans="1:3" ht="13" x14ac:dyDescent="0.15">
      <c r="A632" s="1" t="str">
        <f ca="1">IFERROR(__xludf.DUMMYFUNCTION("GOOGLETRANSLATE(A632, ""zh"", ""en"")"),"In 2022, the company conducted 45 risk compliance training sessions covering all employees of the company.")</f>
        <v>In 2022, the company conducted 45 risk compliance training sessions covering all employees of the company.</v>
      </c>
      <c r="B632" s="1" t="str">
        <f ca="1">IFERROR(__xludf.DUMMYFUNCTION("GOOGLETRANSLATE(A632, ""zh"", ""en"")"),"staff")</f>
        <v>staff</v>
      </c>
      <c r="C632" s="1" t="str">
        <f ca="1">IFERROR(__xludf.DUMMYFUNCTION("GOOGLETRANSLATE(E632, ""zh"", ""en"")"),"Quantitative Text")</f>
        <v>Quantitative Text</v>
      </c>
    </row>
    <row r="633" spans="1:3" ht="13" x14ac:dyDescent="0.15">
      <c r="A633" s="1" t="str">
        <f ca="1">IFERROR(__xludf.DUMMYFUNCTION("GOOGLETRANSLATE(A633, ""zh"", ""en"")"),"The company encourages all employees to actively report corruption around them and promises to protect the information of whistleblowers")</f>
        <v>The company encourages all employees to actively report corruption around them and promises to protect the information of whistleblowers</v>
      </c>
      <c r="B633" s="1" t="str">
        <f ca="1">IFERROR(__xludf.DUMMYFUNCTION("GOOGLETRANSLATE(A633, ""zh"", ""en"")"),"Reporting System")</f>
        <v>Reporting System</v>
      </c>
      <c r="C633" s="1" t="str">
        <f ca="1">IFERROR(__xludf.DUMMYFUNCTION("GOOGLETRANSLATE(E633, ""zh"", ""en"")"),"Qualitative text")</f>
        <v>Qualitative text</v>
      </c>
    </row>
    <row r="634" spans="1:3" ht="13" x14ac:dyDescent="0.15">
      <c r="A634" s="1" t="str">
        <f ca="1">IFERROR(__xludf.DUMMYFUNCTION("GOOGLETRANSLATE(A634, ""zh"", ""en"")"),"Global Reporting Initiative Social Responsibility Reporting Standards Conclusions, Findings and Recommendations SGS believes")</f>
        <v>Global Reporting Initiative Social Responsibility Reporting Standards Conclusions, Findings and Recommendations SGS believes</v>
      </c>
      <c r="B634" s="1" t="str">
        <f ca="1">IFERROR(__xludf.DUMMYFUNCTION("GOOGLETRANSLATE(A634, ""zh"", ""en"")"),"irrelevant text")</f>
        <v>irrelevant text</v>
      </c>
      <c r="C634" s="1" t="str">
        <f ca="1">IFERROR(__xludf.DUMMYFUNCTION("GOOGLETRANSLATE(E634, ""zh"", ""en"")"),"irrelevant text")</f>
        <v>irrelevant text</v>
      </c>
    </row>
    <row r="635" spans="1:3" ht="13" x14ac:dyDescent="0.15">
      <c r="A635" s="1" t="str">
        <f ca="1">IFERROR(__xludf.DUMMYFUNCTION("GOOGLETRANSLATE(A635, ""zh"", ""en"")"),"Ikeda Akilencel Injection uses new capabilities to serve the health and social well-being of the Chinese people.")</f>
        <v>Ikeda Akilencel Injection uses new capabilities to serve the health and social well-being of the Chinese people.</v>
      </c>
      <c r="B635" s="1" t="str">
        <f ca="1">IFERROR(__xludf.DUMMYFUNCTION("GOOGLETRANSLATE(A635, ""zh"", ""en"")"),"Public welfare and volunteer service")</f>
        <v>Public welfare and volunteer service</v>
      </c>
      <c r="C635" s="1" t="str">
        <f ca="1">IFERROR(__xludf.DUMMYFUNCTION("GOOGLETRANSLATE(E635, ""zh"", ""en"")"),"Qualitative text")</f>
        <v>Qualitative text</v>
      </c>
    </row>
    <row r="636" spans="1:3" ht="13" x14ac:dyDescent="0.15">
      <c r="A636" s="1" t="str">
        <f ca="1">IFERROR(__xludf.DUMMYFUNCTION("GOOGLETRANSLATE(A636, ""zh"", ""en"")"),"A disclosure of key performance indicators 82.1 deaths due to work-related causes and military")</f>
        <v>A disclosure of key performance indicators 82.1 deaths due to work-related causes and military</v>
      </c>
      <c r="B636" s="1" t="str">
        <f ca="1">IFERROR(__xludf.DUMMYFUNCTION("GOOGLETRANSLATE(A636, ""zh"", ""en"")"),"staff")</f>
        <v>staff</v>
      </c>
      <c r="C636" s="1" t="str">
        <f ca="1">IFERROR(__xludf.DUMMYFUNCTION("GOOGLETRANSLATE(E636, ""zh"", ""en"")"),"Quantitative Text")</f>
        <v>Quantitative Text</v>
      </c>
    </row>
    <row r="637" spans="1:3" ht="13" x14ac:dyDescent="0.15">
      <c r="A637" s="1" t="str">
        <f ca="1">IFERROR(__xludf.DUMMYFUNCTION("GOOGLETRANSLATE(A637, ""zh"", ""en"")"),"Foshan Fosun Yangcheng Hospital passed the latest JCI grade with high scores and the number of adverse events decreased significantly")</f>
        <v>Foshan Fosun Yangcheng Hospital passed the latest JCI grade with high scores and the number of adverse events decreased significantly</v>
      </c>
      <c r="B637" s="1" t="str">
        <f ca="1">IFERROR(__xludf.DUMMYFUNCTION("GOOGLETRANSLATE(A637, ""zh"", ""en"")"),"Product quality")</f>
        <v>Product quality</v>
      </c>
      <c r="C637" s="1" t="str">
        <f ca="1">IFERROR(__xludf.DUMMYFUNCTION("GOOGLETRANSLATE(E637, ""zh"", ""en"")"),"Quantitative Text")</f>
        <v>Quantitative Text</v>
      </c>
    </row>
    <row r="638" spans="1:3" ht="13" x14ac:dyDescent="0.15">
      <c r="A638" s="1" t="str">
        <f ca="1">IFERROR(__xludf.DUMMYFUNCTION("GOOGLETRANSLATE(A638, ""zh"", ""en"")"),"Provide mentoring, operation training, GMP training and other content to improve the technical level of local employees")</f>
        <v>Provide mentoring, operation training, GMP training and other content to improve the technical level of local employees</v>
      </c>
      <c r="B638" s="1" t="str">
        <f ca="1">IFERROR(__xludf.DUMMYFUNCTION("GOOGLETRANSLATE(A638, ""zh"", ""en"")"),"staff")</f>
        <v>staff</v>
      </c>
      <c r="C638" s="1" t="str">
        <f ca="1">IFERROR(__xludf.DUMMYFUNCTION("GOOGLETRANSLATE(E638, ""zh"", ""en"")"),"Qualitative text")</f>
        <v>Qualitative text</v>
      </c>
    </row>
    <row r="639" spans="1:3" ht="13" x14ac:dyDescent="0.15">
      <c r="A639" s="1" t="str">
        <f ca="1">IFERROR(__xludf.DUMMYFUNCTION("GOOGLETRANSLATE(A639, ""zh"", ""en"")"),"In September 2022, Renmin Pharmaceutical held the 2022 Annual Trade Union Work Conference in Yichang")</f>
        <v>In September 2022, Renmin Pharmaceutical held the 2022 Annual Trade Union Work Conference in Yichang</v>
      </c>
      <c r="B639" s="1" t="str">
        <f ca="1">IFERROR(__xludf.DUMMYFUNCTION("GOOGLETRANSLATE(A639, ""zh"", ""en"")"),"staff")</f>
        <v>staff</v>
      </c>
      <c r="C639" s="1" t="str">
        <f ca="1">IFERROR(__xludf.DUMMYFUNCTION("GOOGLETRANSLATE(E639, ""zh"", ""en"")"),"Qualitative text")</f>
        <v>Qualitative text</v>
      </c>
    </row>
    <row r="640" spans="1:3" ht="13" x14ac:dyDescent="0.15">
      <c r="A640" s="1" t="str">
        <f ca="1">IFERROR(__xludf.DUMMYFUNCTION("GOOGLETRANSLATE(A640, ""zh"", ""en"")"),"Lay the foundation for the future unmanned sewage treatment system, which significantly reduces the wastewater online monitoring")</f>
        <v>Lay the foundation for the future unmanned sewage treatment system, which significantly reduces the wastewater online monitoring</v>
      </c>
      <c r="B640" s="1" t="str">
        <f ca="1">IFERROR(__xludf.DUMMYFUNCTION("GOOGLETRANSLATE(A640, ""zh"", ""en"")"),"Water resources")</f>
        <v>Water resources</v>
      </c>
      <c r="C640" s="1" t="str">
        <f ca="1">IFERROR(__xludf.DUMMYFUNCTION("GOOGLETRANSLATE(E640, ""zh"", ""en"")"),"Qualitative text")</f>
        <v>Qualitative text</v>
      </c>
    </row>
    <row r="641" spans="1:3" ht="13" x14ac:dyDescent="0.15">
      <c r="A641" s="1" t="str">
        <f ca="1">IFERROR(__xludf.DUMMYFUNCTION("GOOGLETRANSLATE(A641, ""zh"", ""en"")"),"We support a culture of equality for all and are committed to creating a diverse and inclusive work environment.")</f>
        <v>We support a culture of equality for all and are committed to creating a diverse and inclusive work environment.</v>
      </c>
      <c r="B641" s="1" t="str">
        <f ca="1">IFERROR(__xludf.DUMMYFUNCTION("GOOGLETRANSLATE(A641, ""zh"", ""en"")"),"staff")</f>
        <v>staff</v>
      </c>
      <c r="C641" s="1" t="str">
        <f ca="1">IFERROR(__xludf.DUMMYFUNCTION("GOOGLETRANSLATE(E641, ""zh"", ""en"")"),"Qualitative text")</f>
        <v>Qualitative text</v>
      </c>
    </row>
    <row r="642" spans="1:3" ht="13" x14ac:dyDescent="0.15">
      <c r="A642" s="1" t="str">
        <f ca="1">IFERROR(__xludf.DUMMYFUNCTION("GOOGLETRANSLATE(A642, ""zh"", ""en"")"),"Launching a leadership channel on the CCB learning platform to make high-quality leadership learning resources accessible to employees")</f>
        <v>Launching a leadership channel on the CCB learning platform to make high-quality leadership learning resources accessible to employees</v>
      </c>
      <c r="B642" s="1" t="str">
        <f ca="1">IFERROR(__xludf.DUMMYFUNCTION("GOOGLETRANSLATE(A642, ""zh"", ""en"")"),"staff")</f>
        <v>staff</v>
      </c>
      <c r="C642" s="1" t="str">
        <f ca="1">IFERROR(__xludf.DUMMYFUNCTION("GOOGLETRANSLATE(E642, ""zh"", ""en"")"),"Qualitative text")</f>
        <v>Qualitative text</v>
      </c>
    </row>
    <row r="643" spans="1:3" ht="13" x14ac:dyDescent="0.15">
      <c r="A643" s="1" t="str">
        <f ca="1">IFERROR(__xludf.DUMMYFUNCTION("GOOGLETRANSLATE(A643, ""zh"", ""en"")"),"Leveraging the advantages of financial technology to build a platform that empowers small and medium-sized financial institutions to jointly build a risk prevention and control ecosystem")</f>
        <v>Leveraging the advantages of financial technology to build a platform that empowers small and medium-sized financial institutions to jointly build a risk prevention and control ecosystem</v>
      </c>
      <c r="B643" s="1" t="str">
        <f ca="1">IFERROR(__xludf.DUMMYFUNCTION("GOOGLETRANSLATE(A643, ""zh"", ""en"")"),"Technological innovation")</f>
        <v>Technological innovation</v>
      </c>
      <c r="C643" s="1" t="str">
        <f ca="1">IFERROR(__xludf.DUMMYFUNCTION("GOOGLETRANSLATE(E643, ""zh"", ""en"")"),"Qualitative text")</f>
        <v>Qualitative text</v>
      </c>
    </row>
    <row r="644" spans="1:3" ht="13" x14ac:dyDescent="0.15">
      <c r="A644" s="1" t="str">
        <f ca="1">IFERROR(__xludf.DUMMYFUNCTION("GOOGLETRANSLATE(A644, ""zh"", ""en"")"),"In terms of consumer protection education, the first is to carry out regular financial knowledge popularization and continue to shape a warm consumer protection image.")</f>
        <v>In terms of consumer protection education, the first is to carry out regular financial knowledge popularization and continue to shape a warm consumer protection image.</v>
      </c>
      <c r="B644" s="1" t="str">
        <f ca="1">IFERROR(__xludf.DUMMYFUNCTION("GOOGLETRANSLATE(A644, ""zh"", ""en"")"),"Customers and Consumers")</f>
        <v>Customers and Consumers</v>
      </c>
      <c r="C644" s="1" t="str">
        <f ca="1">IFERROR(__xludf.DUMMYFUNCTION("GOOGLETRANSLATE(E644, ""zh"", ""en"")"),"Qualitative text")</f>
        <v>Qualitative text</v>
      </c>
    </row>
    <row r="645" spans="1:3" ht="13" x14ac:dyDescent="0.15">
      <c r="A645" s="1" t="str">
        <f ca="1">IFERROR(__xludf.DUMMYFUNCTION("GOOGLETRANSLATE(A645, ""zh"", ""en"")"),"Data protection in 2022 will set the foundation for the entire system as the dependence on data continues to increase.")</f>
        <v>Data protection in 2022 will set the foundation for the entire system as the dependence on data continues to increase.</v>
      </c>
      <c r="B645" s="1" t="str">
        <f ca="1">IFERROR(__xludf.DUMMYFUNCTION("GOOGLETRANSLATE(A645, ""zh"", ""en"")"),"Data security")</f>
        <v>Data security</v>
      </c>
      <c r="C645" s="1" t="str">
        <f ca="1">IFERROR(__xludf.DUMMYFUNCTION("GOOGLETRANSLATE(E645, ""zh"", ""en"")"),"Qualitative text")</f>
        <v>Qualitative text</v>
      </c>
    </row>
    <row r="646" spans="1:3" ht="13" x14ac:dyDescent="0.15">
      <c r="A646" s="1" t="str">
        <f ca="1">IFERROR(__xludf.DUMMYFUNCTION("GOOGLETRANSLATE(A646, ""zh"", ""en"")"),"The project will launch more than 200 knowledge-enhancing programs in 2022-46")</f>
        <v>The project will launch more than 200 knowledge-enhancing programs in 2022-46</v>
      </c>
      <c r="B646" s="1" t="str">
        <f ca="1">IFERROR(__xludf.DUMMYFUNCTION("GOOGLETRANSLATE(A646, ""zh"", ""en"")"),"Promoting employment")</f>
        <v>Promoting employment</v>
      </c>
      <c r="C646" s="1" t="str">
        <f ca="1">IFERROR(__xludf.DUMMYFUNCTION("GOOGLETRANSLATE(E646, ""zh"", ""en"")"),"Quantitative Text")</f>
        <v>Quantitative Text</v>
      </c>
    </row>
    <row r="647" spans="1:3" ht="13" x14ac:dyDescent="0.15">
      <c r="A647" s="1" t="str">
        <f ca="1">IFERROR(__xludf.DUMMYFUNCTION("GOOGLETRANSLATE(A647, ""zh"", ""en"")"),"As the first anti-scar drug manufacturer in the world to obtain the largest number of anti-scar drugs through this certification")</f>
        <v>As the first anti-scar drug manufacturer in the world to obtain the largest number of anti-scar drugs through this certification</v>
      </c>
      <c r="B647" s="1" t="str">
        <f ca="1">IFERROR(__xludf.DUMMYFUNCTION("GOOGLETRANSLATE(A647, ""zh"", ""en"")"),"Product quality")</f>
        <v>Product quality</v>
      </c>
      <c r="C647" s="1" t="str">
        <f ca="1">IFERROR(__xludf.DUMMYFUNCTION("GOOGLETRANSLATE(E647, ""zh"", ""en"")"),"Quantitative Text")</f>
        <v>Quantitative Text</v>
      </c>
    </row>
    <row r="648" spans="1:3" ht="13" x14ac:dyDescent="0.15">
      <c r="A648" s="1" t="str">
        <f ca="1">IFERROR(__xludf.DUMMYFUNCTION("GOOGLETRANSLATE(A648, ""zh"", ""en"")"),"The ancients said that benevolence is to know gratitude and to seek the main expectation of stakeholders. Repaying is virtue. A drop of water is worth a spring of gratitude.")</f>
        <v>The ancients said that benevolence is to know gratitude and to seek the main expectation of stakeholders. Repaying is virtue. A drop of water is worth a spring of gratitude.</v>
      </c>
      <c r="B648" s="1" t="str">
        <f ca="1">IFERROR(__xludf.DUMMYFUNCTION("GOOGLETRANSLATE(A648, ""zh"", ""en"")"),"irrelevant text")</f>
        <v>irrelevant text</v>
      </c>
      <c r="C648" s="1" t="str">
        <f ca="1">IFERROR(__xludf.DUMMYFUNCTION("GOOGLETRANSLATE(E648, ""zh"", ""en"")"),"irrelevant text")</f>
        <v>irrelevant text</v>
      </c>
    </row>
    <row r="649" spans="1:3" ht="13" x14ac:dyDescent="0.15">
      <c r="A649" s="1" t="str">
        <f ca="1">IFERROR(__xludf.DUMMYFUNCTION("GOOGLETRANSLATE(A649, ""zh"", ""en"")"),"Lu Xiaolu Charity Classroom Chongqing Wannian Road Community opened Lu Xiaolu Charity Classroom during the summer vacation")</f>
        <v>Lu Xiaolu Charity Classroom Chongqing Wannian Road Community opened Lu Xiaolu Charity Classroom during the summer vacation</v>
      </c>
      <c r="B649" s="1" t="str">
        <f ca="1">IFERROR(__xludf.DUMMYFUNCTION("GOOGLETRANSLATE(A649, ""zh"", ""en"")"),"Public welfare and volunteer service")</f>
        <v>Public welfare and volunteer service</v>
      </c>
      <c r="C649" s="1" t="str">
        <f ca="1">IFERROR(__xludf.DUMMYFUNCTION("GOOGLETRANSLATE(E649, ""zh"", ""en"")"),"Qualitative text")</f>
        <v>Qualitative text</v>
      </c>
    </row>
    <row r="650" spans="1:3" ht="13" x14ac:dyDescent="0.15">
      <c r="A650" s="1" t="str">
        <f ca="1">IFERROR(__xludf.DUMMYFUNCTION("GOOGLETRANSLATE(A650, ""zh"", ""en"")"),"Invested 100 million yuan to help build village roads in Dongxiang County, Gansu Province to solve local people's travel problems")</f>
        <v>Invested 100 million yuan to help build village roads in Dongxiang County, Gansu Province to solve local people's travel problems</v>
      </c>
      <c r="B650" s="1" t="str">
        <f ca="1">IFERROR(__xludf.DUMMYFUNCTION("GOOGLETRANSLATE(A650, ""zh"", ""en"")"),"Rural assistance")</f>
        <v>Rural assistance</v>
      </c>
      <c r="C650" s="1" t="str">
        <f ca="1">IFERROR(__xludf.DUMMYFUNCTION("GOOGLETRANSLATE(E650, ""zh"", ""en"")"),"Quantitative Text")</f>
        <v>Quantitative Text</v>
      </c>
    </row>
    <row r="651" spans="1:3" ht="13" x14ac:dyDescent="0.15">
      <c r="A651" s="1" t="str">
        <f ca="1">IFERROR(__xludf.DUMMYFUNCTION("GOOGLETRANSLATE(A651, ""zh"", ""en"")"),"Conduct ecological environment surveys and monitoring for decommissioned facilities and carry out ecological restoration work")</f>
        <v>Conduct ecological environment surveys and monitoring for decommissioned facilities and carry out ecological restoration work</v>
      </c>
      <c r="B651" s="1" t="str">
        <f ca="1">IFERROR(__xludf.DUMMYFUNCTION("GOOGLETRANSLATE(A651, ""zh"", ""en"")"),"biodiversity")</f>
        <v>biodiversity</v>
      </c>
      <c r="C651" s="1" t="str">
        <f ca="1">IFERROR(__xludf.DUMMYFUNCTION("GOOGLETRANSLATE(E651, ""zh"", ""en"")"),"Qualitative text")</f>
        <v>Qualitative text</v>
      </c>
    </row>
    <row r="652" spans="1:3" ht="13" x14ac:dyDescent="0.15">
      <c r="A652" s="1" t="str">
        <f ca="1">IFERROR(__xludf.DUMMYFUNCTION("GOOGLETRANSLATE(A652, ""zh"", ""en"")"),"Research the company's long-term development strategy and major investment decisions and make recommendations to the board of directors")</f>
        <v>Research the company's long-term development strategy and major investment decisions and make recommendations to the board of directors</v>
      </c>
      <c r="B652" s="1" t="str">
        <f ca="1">IFERROR(__xludf.DUMMYFUNCTION("GOOGLETRANSLATE(A652, ""zh"", ""en"")"),"Organizational structure and operations")</f>
        <v>Organizational structure and operations</v>
      </c>
      <c r="C652" s="1" t="str">
        <f ca="1">IFERROR(__xludf.DUMMYFUNCTION("GOOGLETRANSLATE(E652, ""zh"", ""en"")"),"Qualitative text")</f>
        <v>Qualitative text</v>
      </c>
    </row>
    <row r="653" spans="1:3" ht="13" x14ac:dyDescent="0.15">
      <c r="A653" s="1" t="str">
        <f ca="1">IFERROR(__xludf.DUMMYFUNCTION("GOOGLETRANSLATE(A653, ""zh"", ""en"")"),"Actively promote the development of the domestic hydrogen energy industry chain and build and operate the largest number of hydrogen refueling stations in the world")</f>
        <v>Actively promote the development of the domestic hydrogen energy industry chain and build and operate the largest number of hydrogen refueling stations in the world</v>
      </c>
      <c r="B653" s="1" t="str">
        <f ca="1">IFERROR(__xludf.DUMMYFUNCTION("GOOGLETRANSLATE(A653, ""zh"", ""en"")"),"Energy and resource consumption")</f>
        <v>Energy and resource consumption</v>
      </c>
      <c r="C653" s="1" t="str">
        <f ca="1">IFERROR(__xludf.DUMMYFUNCTION("GOOGLETRANSLATE(E653, ""zh"", ""en"")"),"Quantitative Text")</f>
        <v>Quantitative Text</v>
      </c>
    </row>
    <row r="654" spans="1:3" ht="13" x14ac:dyDescent="0.15">
      <c r="A654" s="1" t="str">
        <f ca="1">IFERROR(__xludf.DUMMYFUNCTION("GOOGLETRANSLATE(A654, ""zh"", ""en"")"),"Support the CIIE Volunteer Pioneers The fifth CIIE will open in Shanghai on November 5, 2022")</f>
        <v>Support the CIIE Volunteer Pioneers The fifth CIIE will open in Shanghai on November 5, 2022</v>
      </c>
      <c r="B654" s="1" t="str">
        <f ca="1">IFERROR(__xludf.DUMMYFUNCTION("GOOGLETRANSLATE(A654, ""zh"", ""en"")"),"Public welfare and volunteer service")</f>
        <v>Public welfare and volunteer service</v>
      </c>
      <c r="C654" s="1" t="str">
        <f ca="1">IFERROR(__xludf.DUMMYFUNCTION("GOOGLETRANSLATE(E654, ""zh"", ""en"")"),"Qualitative text")</f>
        <v>Qualitative text</v>
      </c>
    </row>
    <row r="655" spans="1:3" ht="13" x14ac:dyDescent="0.15">
      <c r="A655" s="1" t="str">
        <f ca="1">IFERROR(__xludf.DUMMYFUNCTION("GOOGLETRANSLATE(A655, ""zh"", ""en"")"),"Green Building Dongyuan Group has extensive experience in the full life cycle management of green buildings")</f>
        <v>Green Building Dongyuan Group has extensive experience in the full life cycle management of green buildings</v>
      </c>
      <c r="B655" s="1" t="str">
        <f ca="1">IFERROR(__xludf.DUMMYFUNCTION("GOOGLETRANSLATE(A655, ""zh"", ""en"")"),"Green Building")</f>
        <v>Green Building</v>
      </c>
      <c r="C655" s="1" t="str">
        <f ca="1">IFERROR(__xludf.DUMMYFUNCTION("GOOGLETRANSLATE(E655, ""zh"", ""en"")"),"Qualitative text")</f>
        <v>Qualitative text</v>
      </c>
    </row>
    <row r="656" spans="1:3" ht="13" x14ac:dyDescent="0.15">
      <c r="A656" s="1" t="str">
        <f ca="1">IFERROR(__xludf.DUMMYFUNCTION("GOOGLETRANSLATE(A656, ""zh"", ""en"")"),"Yuanjuchang is committed to creating a warm and distinctive travel and cultural community on Baima Mountain")</f>
        <v>Yuanjuchang is committed to creating a warm and distinctive travel and cultural community on Baima Mountain</v>
      </c>
      <c r="B656" s="1" t="str">
        <f ca="1">IFERROR(__xludf.DUMMYFUNCTION("GOOGLETRANSLATE(A656, ""zh"", ""en"")"),"irrelevant text")</f>
        <v>irrelevant text</v>
      </c>
      <c r="C656" s="1" t="str">
        <f ca="1">IFERROR(__xludf.DUMMYFUNCTION("GOOGLETRANSLATE(E656, ""zh"", ""en"")"),"irrelevant text")</f>
        <v>irrelevant text</v>
      </c>
    </row>
    <row r="657" spans="1:3" ht="13" x14ac:dyDescent="0.15">
      <c r="A657" s="1" t="str">
        <f ca="1">IFERROR(__xludf.DUMMYFUNCTION("GOOGLETRANSLATE(A657, ""zh"", ""en"")"),"The Supervisory Board consists of 5 members, including 2 employee supervisors. Employee supervisors represent employees in exercising supervisory rights.")</f>
        <v>The Supervisory Board consists of 5 members, including 2 employee supervisors. Employee supervisors represent employees in exercising supervisory rights.</v>
      </c>
      <c r="B657" s="1" t="str">
        <f ca="1">IFERROR(__xludf.DUMMYFUNCTION("GOOGLETRANSLATE(A657, ""zh"", ""en"")"),"Organizational structure and operations")</f>
        <v>Organizational structure and operations</v>
      </c>
      <c r="C657" s="1" t="str">
        <f ca="1">IFERROR(__xludf.DUMMYFUNCTION("GOOGLETRANSLATE(E657, ""zh"", ""en"")"),"Quantitative Text")</f>
        <v>Quantitative Text</v>
      </c>
    </row>
    <row r="658" spans="1:3" ht="13" x14ac:dyDescent="0.15">
      <c r="A658" s="1" t="str">
        <f ca="1">IFERROR(__xludf.DUMMYFUNCTION("GOOGLETRANSLATE(A658, ""zh"", ""en"")"),"Encourage all operating companies to actively carry out training on compliance with laws and regulations, anti-commercial bribery, and integrity education")</f>
        <v>Encourage all operating companies to actively carry out training on compliance with laws and regulations, anti-commercial bribery, and integrity education</v>
      </c>
      <c r="B658" s="1" t="str">
        <f ca="1">IFERROR(__xludf.DUMMYFUNCTION("GOOGLETRANSLATE(A658, ""zh"", ""en"")"),"Anti-corruption and anti-money laundering")</f>
        <v>Anti-corruption and anti-money laundering</v>
      </c>
      <c r="C658" s="1" t="str">
        <f ca="1">IFERROR(__xludf.DUMMYFUNCTION("GOOGLETRANSLATE(E658, ""zh"", ""en"")"),"Qualitative text")</f>
        <v>Qualitative text</v>
      </c>
    </row>
    <row r="659" spans="1:3" ht="13" x14ac:dyDescent="0.15">
      <c r="A659" s="1" t="str">
        <f ca="1">IFERROR(__xludf.DUMMYFUNCTION("GOOGLETRANSLATE(A659, ""zh"", ""en"")"),"The launch of Desmodium styracifolium Total Flavonoids Capsules will provide new treatment options for patients with clinically relevant diseases")</f>
        <v>The launch of Desmodium styracifolium Total Flavonoids Capsules will provide new treatment options for patients with clinically relevant diseases</v>
      </c>
      <c r="B659" s="1" t="str">
        <f ca="1">IFERROR(__xludf.DUMMYFUNCTION("GOOGLETRANSLATE(A659, ""zh"", ""en"")"),"Product quality")</f>
        <v>Product quality</v>
      </c>
      <c r="C659" s="1" t="str">
        <f ca="1">IFERROR(__xludf.DUMMYFUNCTION("GOOGLETRANSLATE(E659, ""zh"", ""en"")"),"Qualitative text")</f>
        <v>Qualitative text</v>
      </c>
    </row>
    <row r="660" spans="1:3" ht="13" x14ac:dyDescent="0.15">
      <c r="A660" s="1" t="str">
        <f ca="1">IFERROR(__xludf.DUMMYFUNCTION("GOOGLETRANSLATE(A660, ""zh"", ""en"")"),"The Spring Festival football match has become a major event in the surrounding towns and attracts a large number of people to watch every year.")</f>
        <v>The Spring Festival football match has become a major event in the surrounding towns and attracts a large number of people to watch every year.</v>
      </c>
      <c r="B660" s="1" t="str">
        <f ca="1">IFERROR(__xludf.DUMMYFUNCTION("GOOGLETRANSLATE(A660, ""zh"", ""en"")"),"Public welfare and volunteer service")</f>
        <v>Public welfare and volunteer service</v>
      </c>
      <c r="C660" s="1" t="str">
        <f ca="1">IFERROR(__xludf.DUMMYFUNCTION("GOOGLETRANSLATE(E660, ""zh"", ""en"")"),"Qualitative text")</f>
        <v>Qualitative text</v>
      </c>
    </row>
    <row r="661" spans="1:3" ht="13" x14ac:dyDescent="0.15">
      <c r="A661" s="1" t="str">
        <f ca="1">IFERROR(__xludf.DUMMYFUNCTION("GOOGLETRANSLATE(A661, ""zh"", ""en"")"),"Business risk management plan to ensure the safety of the company's deposit funds in Hisense Finance Company")</f>
        <v>Business risk management plan to ensure the safety of the company's deposit funds in Hisense Finance Company</v>
      </c>
      <c r="B661" s="1" t="str">
        <f ca="1">IFERROR(__xludf.DUMMYFUNCTION("GOOGLETRANSLATE(A661, ""zh"", ""en"")"),"Data security")</f>
        <v>Data security</v>
      </c>
      <c r="C661" s="1" t="str">
        <f ca="1">IFERROR(__xludf.DUMMYFUNCTION("GOOGLETRANSLATE(E661, ""zh"", ""en"")"),"Qualitative text")</f>
        <v>Qualitative text</v>
      </c>
    </row>
    <row r="662" spans="1:3" ht="13" x14ac:dyDescent="0.15">
      <c r="A662" s="1" t="str">
        <f ca="1">IFERROR(__xludf.DUMMYFUNCTION("GOOGLETRANSLATE(A662, ""zh"", ""en"")"),"The company continues to improve its job grade system and promotion mechanism to provide equal development opportunities for all employees")</f>
        <v>The company continues to improve its job grade system and promotion mechanism to provide equal development opportunities for all employees</v>
      </c>
      <c r="B662" s="1" t="str">
        <f ca="1">IFERROR(__xludf.DUMMYFUNCTION("GOOGLETRANSLATE(A662, ""zh"", ""en"")"),"staff")</f>
        <v>staff</v>
      </c>
      <c r="C662" s="1" t="str">
        <f ca="1">IFERROR(__xludf.DUMMYFUNCTION("GOOGLETRANSLATE(E662, ""zh"", ""en"")"),"Qualitative text")</f>
        <v>Qualitative text</v>
      </c>
    </row>
    <row r="663" spans="1:3" ht="13" x14ac:dyDescent="0.15">
      <c r="A663" s="1" t="str">
        <f ca="1">IFERROR(__xludf.DUMMYFUNCTION("GOOGLETRANSLATE(A663, ""zh"", ""en"")"),"By 2022, the company's subsidiaries will achieve the target of achieving a comprehensive exhaust gas compliance rate of 99.5%.")</f>
        <v>By 2022, the company's subsidiaries will achieve the target of achieving a comprehensive exhaust gas compliance rate of 99.5%.</v>
      </c>
      <c r="B663" s="1" t="str">
        <f ca="1">IFERROR(__xludf.DUMMYFUNCTION("GOOGLETRANSLATE(A663, ""zh"", ""en"")"),"Waste Management")</f>
        <v>Waste Management</v>
      </c>
      <c r="C663" s="1" t="str">
        <f ca="1">IFERROR(__xludf.DUMMYFUNCTION("GOOGLETRANSLATE(E663, ""zh"", ""en"")"),"Quantitative Text")</f>
        <v>Quantitative Text</v>
      </c>
    </row>
    <row r="664" spans="1:3" ht="13" x14ac:dyDescent="0.15">
      <c r="A664" s="1" t="str">
        <f ca="1">IFERROR(__xludf.DUMMYFUNCTION("GOOGLETRANSLATE(A664, ""zh"", ""en"")"),"The petition and reporting department regularly collects statistics and conducts comprehensive analysis on the data of complaints and accusations that have been processed.")</f>
        <v>The petition and reporting department regularly collects statistics and conducts comprehensive analysis on the data of complaints and accusations that have been processed.</v>
      </c>
      <c r="B664" s="1" t="str">
        <f ca="1">IFERROR(__xludf.DUMMYFUNCTION("GOOGLETRANSLATE(A664, ""zh"", ""en"")"),"Reporting System")</f>
        <v>Reporting System</v>
      </c>
      <c r="C664" s="1" t="str">
        <f ca="1">IFERROR(__xludf.DUMMYFUNCTION("GOOGLETRANSLATE(E664, ""zh"", ""en"")"),"Qualitative text")</f>
        <v>Qualitative text</v>
      </c>
    </row>
    <row r="665" spans="1:3" ht="13" x14ac:dyDescent="0.15">
      <c r="A665" s="1" t="str">
        <f ca="1">IFERROR(__xludf.DUMMYFUNCTION("GOOGLETRANSLATE(A665, ""zh"", ""en"")"),"In response to the risk indicators, each department has formulated relevant response measures to effectively deal with risks.")</f>
        <v>In response to the risk indicators, each department has formulated relevant response measures to effectively deal with risks.</v>
      </c>
      <c r="B665" s="1" t="str">
        <f ca="1">IFERROR(__xludf.DUMMYFUNCTION("GOOGLETRANSLATE(A665, ""zh"", ""en"")"),"irrelevant text")</f>
        <v>irrelevant text</v>
      </c>
      <c r="C665" s="1" t="str">
        <f ca="1">IFERROR(__xludf.DUMMYFUNCTION("GOOGLETRANSLATE(E665, ""zh"", ""en"")"),"irrelevant text")</f>
        <v>irrelevant text</v>
      </c>
    </row>
    <row r="666" spans="1:3" ht="13" x14ac:dyDescent="0.15">
      <c r="A666" s="1" t="str">
        <f ca="1">IFERROR(__xludf.DUMMYFUNCTION("GOOGLETRANSLATE(A666, ""zh"", ""en"")"),"Implement a young doctoral support program to encourage exploration in basic and cutting-edge disruptive technology fields")</f>
        <v>Implement a young doctoral support program to encourage exploration in basic and cutting-edge disruptive technology fields</v>
      </c>
      <c r="B666" s="1" t="str">
        <f ca="1">IFERROR(__xludf.DUMMYFUNCTION("GOOGLETRANSLATE(A666, ""zh"", ""en"")"),"Technological innovation")</f>
        <v>Technological innovation</v>
      </c>
      <c r="C666" s="1" t="str">
        <f ca="1">IFERROR(__xludf.DUMMYFUNCTION("GOOGLETRANSLATE(E666, ""zh"", ""en"")"),"Qualitative text")</f>
        <v>Qualitative text</v>
      </c>
    </row>
    <row r="667" spans="1:3" ht="13" x14ac:dyDescent="0.15">
      <c r="A667" s="1" t="str">
        <f ca="1">IFERROR(__xludf.DUMMYFUNCTION("GOOGLETRANSLATE(A667, ""zh"", ""en"")"),"CITIC Securities has a significant scale advantage and is the first securities company in China to have an asset size exceeding one trillion yuan.")</f>
        <v>CITIC Securities has a significant scale advantage and is the first securities company in China to have an asset size exceeding one trillion yuan.</v>
      </c>
      <c r="B667" s="1" t="str">
        <f ca="1">IFERROR(__xludf.DUMMYFUNCTION("GOOGLETRANSLATE(A667, ""zh"", ""en"")"),"irrelevant text")</f>
        <v>irrelevant text</v>
      </c>
      <c r="C667" s="1" t="str">
        <f ca="1">IFERROR(__xludf.DUMMYFUNCTION("GOOGLETRANSLATE(E667, ""zh"", ""en"")"),"irrelevant text")</f>
        <v>irrelevant text</v>
      </c>
    </row>
    <row r="668" spans="1:3" ht="13" x14ac:dyDescent="0.15">
      <c r="A668" s="1" t="str">
        <f ca="1">IFERROR(__xludf.DUMMYFUNCTION("GOOGLETRANSLATE(A668, ""zh"", ""en"")"),"Build a high-quality talent team, establish a strong career development platform, and grow together with employees")</f>
        <v>Build a high-quality talent team, establish a strong career development platform, and grow together with employees</v>
      </c>
      <c r="B668" s="1" t="str">
        <f ca="1">IFERROR(__xludf.DUMMYFUNCTION("GOOGLETRANSLATE(A668, ""zh"", ""en"")"),"staff")</f>
        <v>staff</v>
      </c>
      <c r="C668" s="1" t="str">
        <f ca="1">IFERROR(__xludf.DUMMYFUNCTION("GOOGLETRANSLATE(E668, ""zh"", ""en"")"),"Qualitative text")</f>
        <v>Qualitative text</v>
      </c>
    </row>
    <row r="669" spans="1:3" ht="13" x14ac:dyDescent="0.15">
      <c r="A669" s="1" t="str">
        <f ca="1">IFERROR(__xludf.DUMMYFUNCTION("GOOGLETRANSLATE(A669, ""zh"", ""en"")"),"Empowering social development with financial services, actively participating in social welfare and earnestly fulfilling corporate social responsibility")</f>
        <v>Empowering social development with financial services, actively participating in social welfare and earnestly fulfilling corporate social responsibility</v>
      </c>
      <c r="B669" s="1" t="str">
        <f ca="1">IFERROR(__xludf.DUMMYFUNCTION("GOOGLETRANSLATE(A669, ""zh"", ""en"")"),"Public welfare and volunteer service")</f>
        <v>Public welfare and volunteer service</v>
      </c>
      <c r="C669" s="1" t="str">
        <f ca="1">IFERROR(__xludf.DUMMYFUNCTION("GOOGLETRANSLATE(E669, ""zh"", ""en"")"),"Qualitative text")</f>
        <v>Qualitative text</v>
      </c>
    </row>
    <row r="670" spans="1:3" ht="13" x14ac:dyDescent="0.15">
      <c r="A670" s="1" t="str">
        <f ca="1">IFERROR(__xludf.DUMMYFUNCTION("GOOGLETRANSLATE(A670, ""zh"", ""en"")"),"We have been committed to solving the problem of limited language communication and professional skills of local residents")</f>
        <v>We have been committed to solving the problem of limited language communication and professional skills of local residents</v>
      </c>
      <c r="B670" s="1" t="str">
        <f ca="1">IFERROR(__xludf.DUMMYFUNCTION("GOOGLETRANSLATE(A670, ""zh"", ""en"")"),"Promoting employment")</f>
        <v>Promoting employment</v>
      </c>
      <c r="C670" s="1" t="str">
        <f ca="1">IFERROR(__xludf.DUMMYFUNCTION("GOOGLETRANSLATE(E670, ""zh"", ""en"")"),"Qualitative text")</f>
        <v>Qualitative text</v>
      </c>
    </row>
    <row r="671" spans="1:3" ht="13" x14ac:dyDescent="0.15">
      <c r="A671" s="1" t="str">
        <f ca="1">IFERROR(__xludf.DUMMYFUNCTION("GOOGLETRANSLATE(A671, ""zh"", ""en"")"),"As of now, the company headquarters and all units in the system have exceeded the 2022 abolition and establishment work")</f>
        <v>As of now, the company headquarters and all units in the system have exceeded the 2022 abolition and establishment work</v>
      </c>
      <c r="B671" s="1" t="str">
        <f ca="1">IFERROR(__xludf.DUMMYFUNCTION("GOOGLETRANSLATE(A671, ""zh"", ""en"")"),"Waste Management")</f>
        <v>Waste Management</v>
      </c>
      <c r="C671" s="1" t="str">
        <f ca="1">IFERROR(__xludf.DUMMYFUNCTION("GOOGLETRANSLATE(E671, ""zh"", ""en"")"),"Quantitative Text")</f>
        <v>Quantitative Text</v>
      </c>
    </row>
    <row r="672" spans="1:3" ht="13" x14ac:dyDescent="0.15">
      <c r="A672" s="1" t="str">
        <f ca="1">IFERROR(__xludf.DUMMYFUNCTION("GOOGLETRANSLATE(A672, ""zh"", ""en"")"),"This report is the second sustainable development report released by Tibet Everest Resources Co., Ltd.")</f>
        <v>This report is the second sustainable development report released by Tibet Everest Resources Co., Ltd.</v>
      </c>
      <c r="B672" s="1" t="str">
        <f ca="1">IFERROR(__xludf.DUMMYFUNCTION("GOOGLETRANSLATE(A672, ""zh"", ""en"")"),"irrelevant text")</f>
        <v>irrelevant text</v>
      </c>
      <c r="C672" s="1" t="str">
        <f ca="1">IFERROR(__xludf.DUMMYFUNCTION("GOOGLETRANSLATE(E672, ""zh"", ""en"")"),"irrelevant text")</f>
        <v>irrelevant text</v>
      </c>
    </row>
    <row r="673" spans="1:3" ht="13" x14ac:dyDescent="0.15">
      <c r="A673" s="1" t="str">
        <f ca="1">IFERROR(__xludf.DUMMYFUNCTION("GOOGLETRANSLATE(A673, ""zh"", ""en"")"),"And before the product is delivered, a third party is commissioned to issue a product ingredient monitoring report to ensure product quality")</f>
        <v>And before the product is delivered, a third party is commissioned to issue a product ingredient monitoring report to ensure product quality</v>
      </c>
      <c r="B673" s="1" t="str">
        <f ca="1">IFERROR(__xludf.DUMMYFUNCTION("GOOGLETRANSLATE(A673, ""zh"", ""en"")"),"Product quality")</f>
        <v>Product quality</v>
      </c>
      <c r="C673" s="1" t="str">
        <f ca="1">IFERROR(__xludf.DUMMYFUNCTION("GOOGLETRANSLATE(E673, ""zh"", ""en"")"),"Qualitative text")</f>
        <v>Qualitative text</v>
      </c>
    </row>
    <row r="674" spans="1:3" ht="13" x14ac:dyDescent="0.15">
      <c r="A674" s="1" t="str">
        <f ca="1">IFERROR(__xludf.DUMMYFUNCTION("GOOGLETRANSLATE(A674, ""zh"", ""en"")"),"The general manager and his colleagues had a simple working lunch in the mining area and then went to the open pit to check")</f>
        <v>The general manager and his colleagues had a simple working lunch in the mining area and then went to the open pit to check</v>
      </c>
      <c r="B674" s="1" t="str">
        <f ca="1">IFERROR(__xludf.DUMMYFUNCTION("GOOGLETRANSLATE(A674, ""zh"", ""en"")"),"irrelevant text")</f>
        <v>irrelevant text</v>
      </c>
      <c r="C674" s="1" t="str">
        <f ca="1">IFERROR(__xludf.DUMMYFUNCTION("GOOGLETRANSLATE(E674, ""zh"", ""en"")"),"irrelevant text")</f>
        <v>irrelevant text</v>
      </c>
    </row>
    <row r="675" spans="1:3" ht="13" x14ac:dyDescent="0.15">
      <c r="A675" s="1" t="str">
        <f ca="1">IFERROR(__xludf.DUMMYFUNCTION("GOOGLETRANSLATE(A675, ""zh"", ""en"")"),"In addition, we also focus on fuel combustion management to reduce the production of harmful gases such as nitrogen oxides")</f>
        <v>In addition, we also focus on fuel combustion management to reduce the production of harmful gases such as nitrogen oxides</v>
      </c>
      <c r="B675" s="1" t="str">
        <f ca="1">IFERROR(__xludf.DUMMYFUNCTION("GOOGLETRANSLATE(A675, ""zh"", ""en"")"),"Waste Management")</f>
        <v>Waste Management</v>
      </c>
      <c r="C675" s="1" t="str">
        <f ca="1">IFERROR(__xludf.DUMMYFUNCTION("GOOGLETRANSLATE(E675, ""zh"", ""en"")"),"Qualitative text")</f>
        <v>Qualitative text</v>
      </c>
    </row>
    <row r="676" spans="1:3" ht="13" x14ac:dyDescent="0.15">
      <c r="A676" s="1" t="str">
        <f ca="1">IFERROR(__xludf.DUMMYFUNCTION("GOOGLETRANSLATE(A676, ""zh"", ""en"")"),"One of the core strategies for addressing climate change is to help the industrial chain transform into a low-carbon one.")</f>
        <v>One of the core strategies for addressing climate change is to help the industrial chain transform into a low-carbon one.</v>
      </c>
      <c r="B676" s="1" t="str">
        <f ca="1">IFERROR(__xludf.DUMMYFUNCTION("GOOGLETRANSLATE(A676, ""zh"", ""en"")"),"Addressing climate change")</f>
        <v>Addressing climate change</v>
      </c>
      <c r="C676" s="1" t="str">
        <f ca="1">IFERROR(__xludf.DUMMYFUNCTION("GOOGLETRANSLATE(E676, ""zh"", ""en"")"),"Qualitative text")</f>
        <v>Qualitative text</v>
      </c>
    </row>
    <row r="677" spans="1:3" ht="13" x14ac:dyDescent="0.15">
      <c r="A677" s="1" t="str">
        <f ca="1">IFERROR(__xludf.DUMMYFUNCTION("GOOGLETRANSLATE(A677, ""zh"", ""en"")"),"The Group Information Center coordinates and manages information security construction and performs information security related work")</f>
        <v>The Group Information Center coordinates and manages information security construction and performs information security related work</v>
      </c>
      <c r="B677" s="1" t="str">
        <f ca="1">IFERROR(__xludf.DUMMYFUNCTION("GOOGLETRANSLATE(A677, ""zh"", ""en"")"),"Data security")</f>
        <v>Data security</v>
      </c>
      <c r="C677" s="1" t="str">
        <f ca="1">IFERROR(__xludf.DUMMYFUNCTION("GOOGLETRANSLATE(E677, ""zh"", ""en"")"),"Qualitative text")</f>
        <v>Qualitative text</v>
      </c>
    </row>
    <row r="678" spans="1:3" ht="13" x14ac:dyDescent="0.15">
      <c r="A678" s="1" t="str">
        <f ca="1">IFERROR(__xludf.DUMMYFUNCTION("GOOGLETRANSLATE(A678, ""zh"", ""en"")"),"Polymyxin is one of the important drugs for treating multidrug-resistant (MDR) Gram-negative bacterial infections.")</f>
        <v>Polymyxin is one of the important drugs for treating multidrug-resistant (MDR) Gram-negative bacterial infections.</v>
      </c>
      <c r="B678" s="1" t="str">
        <f ca="1">IFERROR(__xludf.DUMMYFUNCTION("GOOGLETRANSLATE(A678, ""zh"", ""en"")"),"irrelevant text")</f>
        <v>irrelevant text</v>
      </c>
      <c r="C678" s="1" t="str">
        <f ca="1">IFERROR(__xludf.DUMMYFUNCTION("GOOGLETRANSLATE(E678, ""zh"", ""en"")"),"irrelevant text")</f>
        <v>irrelevant text</v>
      </c>
    </row>
    <row r="679" spans="1:3" ht="13" x14ac:dyDescent="0.15">
      <c r="A679" s="1" t="str">
        <f ca="1">IFERROR(__xludf.DUMMYFUNCTION("GOOGLETRANSLATE(A679, ""zh"", ""en"")"),"2. Disclose the types of major pollutants and related emission data based on the production characteristics of the enterprise")</f>
        <v>2. Disclose the types of major pollutants and related emission data based on the production characteristics of the enterprise</v>
      </c>
      <c r="B679" s="1" t="str">
        <f ca="1">IFERROR(__xludf.DUMMYFUNCTION("GOOGLETRANSLATE(A679, ""zh"", ""en"")"),"Waste Management")</f>
        <v>Waste Management</v>
      </c>
      <c r="C679" s="1" t="str">
        <f ca="1">IFERROR(__xludf.DUMMYFUNCTION("GOOGLETRANSLATE(E679, ""zh"", ""en"")"),"Qualitative text")</f>
        <v>Qualitative text</v>
      </c>
    </row>
    <row r="680" spans="1:3" ht="13" x14ac:dyDescent="0.15">
      <c r="A680" s="1" t="str">
        <f ca="1">IFERROR(__xludf.DUMMYFUNCTION("GOOGLETRANSLATE(A680, ""zh"", ""en"")"),"We conduct statistical analysis on employee turnover data every year and formulate targeted improvement measures")</f>
        <v>We conduct statistical analysis on employee turnover data every year and formulate targeted improvement measures</v>
      </c>
      <c r="B680" s="1" t="str">
        <f ca="1">IFERROR(__xludf.DUMMYFUNCTION("GOOGLETRANSLATE(A680, ""zh"", ""en"")"),"staff")</f>
        <v>staff</v>
      </c>
      <c r="C680" s="1" t="str">
        <f ca="1">IFERROR(__xludf.DUMMYFUNCTION("GOOGLETRANSLATE(E680, ""zh"", ""en"")"),"Qualitative text")</f>
        <v>Qualitative text</v>
      </c>
    </row>
    <row r="681" spans="1:3" ht="13" x14ac:dyDescent="0.15">
      <c r="A681" s="1" t="str">
        <f ca="1">IFERROR(__xludf.DUMMYFUNCTION("GOOGLETRANSLATE(A681, ""zh"", ""en"")"),"In July 2022, Kangyuan launched a five-day training camp for future campus students of the Dream Pharma program.")</f>
        <v>In July 2022, Kangyuan launched a five-day training camp for future campus students of the Dream Pharma program.</v>
      </c>
      <c r="B681" s="1" t="str">
        <f ca="1">IFERROR(__xludf.DUMMYFUNCTION("GOOGLETRANSLATE(A681, ""zh"", ""en"")"),"Promoting employment")</f>
        <v>Promoting employment</v>
      </c>
      <c r="C681" s="1" t="str">
        <f ca="1">IFERROR(__xludf.DUMMYFUNCTION("GOOGLETRANSLATE(E681, ""zh"", ""en"")"),"Qualitative text")</f>
        <v>Qualitative text</v>
      </c>
    </row>
    <row r="682" spans="1:3" ht="13" x14ac:dyDescent="0.15">
      <c r="A682" s="1" t="str">
        <f ca="1">IFERROR(__xludf.DUMMYFUNCTION("GOOGLETRANSLATE(A682, ""zh"", ""en"")"),"In December 2022, the Group prepared and issued the Carbon Peaking and Carbon Implementation Plan for Wuchan Zhongda Group.")</f>
        <v>In December 2022, the Group prepared and issued the Carbon Peaking and Carbon Implementation Plan for Wuchan Zhongda Group.</v>
      </c>
      <c r="B682" s="1" t="str">
        <f ca="1">IFERROR(__xludf.DUMMYFUNCTION("GOOGLETRANSLATE(A682, ""zh"", ""en"")"),"carbon emissions")</f>
        <v>carbon emissions</v>
      </c>
      <c r="C682" s="1" t="str">
        <f ca="1">IFERROR(__xludf.DUMMYFUNCTION("GOOGLETRANSLATE(E682, ""zh"", ""en"")"),"Qualitative text")</f>
        <v>Qualitative text</v>
      </c>
    </row>
    <row r="683" spans="1:3" ht="13" x14ac:dyDescent="0.15">
      <c r="A683" s="1" t="str">
        <f ca="1">IFERROR(__xludf.DUMMYFUNCTION("GOOGLETRANSLATE(A683, ""zh"", ""en"")"),"Actively mobilized all employees to participate in the hidden danger photo shooting activity, and found and reported 25 hidden dangers in the whole year.")</f>
        <v>Actively mobilized all employees to participate in the hidden danger photo shooting activity, and found and reported 25 hidden dangers in the whole year.</v>
      </c>
      <c r="B683" s="1" t="str">
        <f ca="1">IFERROR(__xludf.DUMMYFUNCTION("GOOGLETRANSLATE(A683, ""zh"", ""en"")"),"staff")</f>
        <v>staff</v>
      </c>
      <c r="C683" s="1" t="str">
        <f ca="1">IFERROR(__xludf.DUMMYFUNCTION("GOOGLETRANSLATE(E683, ""zh"", ""en"")"),"Quantitative Text")</f>
        <v>Quantitative Text</v>
      </c>
    </row>
    <row r="684" spans="1:3" ht="13" x14ac:dyDescent="0.15">
      <c r="A684" s="1" t="str">
        <f ca="1">IFERROR(__xludf.DUMMYFUNCTION("GOOGLETRANSLATE(A684, ""zh"", ""en"")"),"Actively organize and carry out various healthy and uplifting cultural and sports activities to create a harmonious, united and progressive family culture")</f>
        <v>Actively organize and carry out various healthy and uplifting cultural and sports activities to create a harmonious, united and progressive family culture</v>
      </c>
      <c r="B684" s="1" t="str">
        <f ca="1">IFERROR(__xludf.DUMMYFUNCTION("GOOGLETRANSLATE(A684, ""zh"", ""en"")"),"Public welfare and volunteer service")</f>
        <v>Public welfare and volunteer service</v>
      </c>
      <c r="C684" s="1" t="str">
        <f ca="1">IFERROR(__xludf.DUMMYFUNCTION("GOOGLETRANSLATE(E684, ""zh"", ""en"")"),"Qualitative text")</f>
        <v>Qualitative text</v>
      </c>
    </row>
    <row r="685" spans="1:3" ht="13" x14ac:dyDescent="0.15">
      <c r="A685" s="1" t="str">
        <f ca="1">IFERROR(__xludf.DUMMYFUNCTION("GOOGLETRANSLATE(A685, ""zh"", ""en"")"),"P61B2.1 Number and rate of work-related fatalities in each of the past three years, including the reporting year")</f>
        <v>P61B2.1 Number and rate of work-related fatalities in each of the past three years, including the reporting year</v>
      </c>
      <c r="B685" s="1" t="str">
        <f ca="1">IFERROR(__xludf.DUMMYFUNCTION("GOOGLETRANSLATE(A685, ""zh"", ""en"")"),"staff")</f>
        <v>staff</v>
      </c>
      <c r="C685" s="1" t="str">
        <f ca="1">IFERROR(__xludf.DUMMYFUNCTION("GOOGLETRANSLATE(E685, ""zh"", ""en"")"),"Qualitative text")</f>
        <v>Qualitative text</v>
      </c>
    </row>
    <row r="686" spans="1:3" ht="13" x14ac:dyDescent="0.15">
      <c r="A686" s="1" t="str">
        <f ca="1">IFERROR(__xludf.DUMMYFUNCTION("GOOGLETRANSLATE(A686, ""zh"", ""en"")"),"In the future, Haier Smart Home will remain true to its original aspiration and continue to actively fulfill its corporate social responsibility by doing good deeds.")</f>
        <v>In the future, Haier Smart Home will remain true to its original aspiration and continue to actively fulfill its corporate social responsibility by doing good deeds.</v>
      </c>
      <c r="B686" s="1" t="str">
        <f ca="1">IFERROR(__xludf.DUMMYFUNCTION("GOOGLETRANSLATE(A686, ""zh"", ""en"")"),"irrelevant text")</f>
        <v>irrelevant text</v>
      </c>
      <c r="C686" s="1" t="str">
        <f ca="1">IFERROR(__xludf.DUMMYFUNCTION("GOOGLETRANSLATE(E686, ""zh"", ""en"")"),"irrelevant text")</f>
        <v>irrelevant text</v>
      </c>
    </row>
    <row r="687" spans="1:3" ht="13" x14ac:dyDescent="0.15">
      <c r="A687" s="1" t="str">
        <f ca="1">IFERROR(__xludf.DUMMYFUNCTION("GOOGLETRANSLATE(A687, ""zh"", ""en"")"),"P21B7.2 Describe preventive measures and reporting procedures, as well as related implementation and monitoring methods")</f>
        <v>P21B7.2 Describe preventive measures and reporting procedures, as well as related implementation and monitoring methods</v>
      </c>
      <c r="B687" s="1" t="str">
        <f ca="1">IFERROR(__xludf.DUMMYFUNCTION("GOOGLETRANSLATE(A687, ""zh"", ""en"")"),"Reporting System")</f>
        <v>Reporting System</v>
      </c>
      <c r="C687" s="1" t="str">
        <f ca="1">IFERROR(__xludf.DUMMYFUNCTION("GOOGLETRANSLATE(E687, ""zh"", ""en"")"),"Qualitative text")</f>
        <v>Qualitative text</v>
      </c>
    </row>
    <row r="688" spans="1:3" ht="13" x14ac:dyDescent="0.15">
      <c r="A688" s="1" t="str">
        <f ca="1">IFERROR(__xludf.DUMMYFUNCTION("GOOGLETRANSLATE(A688, ""zh"", ""en"")"),"In 2022, Haier Smart Home obtained carbon footprint certificates for 10 product models in 6 categories.")</f>
        <v>In 2022, Haier Smart Home obtained carbon footprint certificates for 10 product models in 6 categories.</v>
      </c>
      <c r="B688" s="1" t="str">
        <f ca="1">IFERROR(__xludf.DUMMYFUNCTION("GOOGLETRANSLATE(A688, ""zh"", ""en"")"),"carbon emissions")</f>
        <v>carbon emissions</v>
      </c>
      <c r="C688" s="1" t="str">
        <f ca="1">IFERROR(__xludf.DUMMYFUNCTION("GOOGLETRANSLATE(E688, ""zh"", ""en"")"),"Quantitative Text")</f>
        <v>Quantitative Text</v>
      </c>
    </row>
    <row r="689" spans="1:3" ht="13" x14ac:dyDescent="0.15">
      <c r="A689" s="1" t="str">
        <f ca="1">IFERROR(__xludf.DUMMYFUNCTION("GOOGLETRANSLATE(A689, ""zh"", ""en"")"),"The company's holding subsidiary, Wuchan Zhongda Caizhi Shared Service Zhejiang Co., Ltd., referred to as Caizhi Company")</f>
        <v>The company's holding subsidiary, Wuchan Zhongda Caizhi Shared Service Zhejiang Co., Ltd., referred to as Caizhi Company</v>
      </c>
      <c r="B689" s="1" t="str">
        <f ca="1">IFERROR(__xludf.DUMMYFUNCTION("GOOGLETRANSLATE(A689, ""zh"", ""en"")"),"irrelevant text")</f>
        <v>irrelevant text</v>
      </c>
      <c r="C689" s="1" t="str">
        <f ca="1">IFERROR(__xludf.DUMMYFUNCTION("GOOGLETRANSLATE(E689, ""zh"", ""en"")"),"irrelevant text")</f>
        <v>irrelevant text</v>
      </c>
    </row>
    <row r="690" spans="1:3" ht="13" x14ac:dyDescent="0.15">
      <c r="A690" s="1" t="str">
        <f ca="1">IFERROR(__xludf.DUMMYFUNCTION("GOOGLETRANSLATE(A690, ""zh"", ""en"")"),"Shanghai Electric has been strengthening communication and interaction between the group and its employees by organizing various activities.")</f>
        <v>Shanghai Electric has been strengthening communication and interaction between the group and its employees by organizing various activities.</v>
      </c>
      <c r="B690" s="1" t="str">
        <f ca="1">IFERROR(__xludf.DUMMYFUNCTION("GOOGLETRANSLATE(A690, ""zh"", ""en"")"),"staff")</f>
        <v>staff</v>
      </c>
      <c r="C690" s="1" t="str">
        <f ca="1">IFERROR(__xludf.DUMMYFUNCTION("GOOGLETRANSLATE(E690, ""zh"", ""en"")"),"Qualitative text")</f>
        <v>Qualitative text</v>
      </c>
    </row>
    <row r="691" spans="1:3" ht="13" x14ac:dyDescent="0.15">
      <c r="A691" s="1" t="str">
        <f ca="1">IFERROR(__xludf.DUMMYFUNCTION("GOOGLETRANSLATE(A691, ""zh"", ""en"")"),"Leng Weiqing, Party Secretary and Chairman of Shanghai Electric, attended and delivered a speech. Cai Xiaoqing, Chairman of the Supervisory Board, also attended.")</f>
        <v>Leng Weiqing, Party Secretary and Chairman of Shanghai Electric, attended and delivered a speech. Cai Xiaoqing, Chairman of the Supervisory Board, also attended.</v>
      </c>
      <c r="B691" s="1" t="str">
        <f ca="1">IFERROR(__xludf.DUMMYFUNCTION("GOOGLETRANSLATE(A691, ""zh"", ""en"")"),"irrelevant text")</f>
        <v>irrelevant text</v>
      </c>
      <c r="C691" s="1" t="str">
        <f ca="1">IFERROR(__xludf.DUMMYFUNCTION("GOOGLETRANSLATE(E691, ""zh"", ""en"")"),"irrelevant text")</f>
        <v>irrelevant text</v>
      </c>
    </row>
    <row r="692" spans="1:3" ht="13" x14ac:dyDescent="0.15">
      <c r="A692" s="1" t="str">
        <f ca="1">IFERROR(__xludf.DUMMYFUNCTION("GOOGLETRANSLATE(A692, ""zh"", ""en"")"),"Looking back on the two-century struggle, generations of electrical people have created countless inspiring glories.")</f>
        <v>Looking back on the two-century struggle, generations of electrical people have created countless inspiring glories.</v>
      </c>
      <c r="B692" s="1" t="str">
        <f ca="1">IFERROR(__xludf.DUMMYFUNCTION("GOOGLETRANSLATE(A692, ""zh"", ""en"")"),"irrelevant text")</f>
        <v>irrelevant text</v>
      </c>
      <c r="C692" s="1" t="str">
        <f ca="1">IFERROR(__xludf.DUMMYFUNCTION("GOOGLETRANSLATE(E692, ""zh"", ""en"")"),"irrelevant text")</f>
        <v>irrelevant text</v>
      </c>
    </row>
    <row r="693" spans="1:3" ht="13" x14ac:dyDescent="0.15">
      <c r="A693" s="1" t="str">
        <f ca="1">IFERROR(__xludf.DUMMYFUNCTION("GOOGLETRANSLATE(A693, ""zh"", ""en"")"),"The company will continue to optimize the structure of the board of directors and further improve the decision-making ability and level of the board of directors")</f>
        <v>The company will continue to optimize the structure of the board of directors and further improve the decision-making ability and level of the board of directors</v>
      </c>
      <c r="B693" s="1" t="str">
        <f ca="1">IFERROR(__xludf.DUMMYFUNCTION("GOOGLETRANSLATE(A693, ""zh"", ""en"")"),"Organizational structure and operations")</f>
        <v>Organizational structure and operations</v>
      </c>
      <c r="C693" s="1" t="str">
        <f ca="1">IFERROR(__xludf.DUMMYFUNCTION("GOOGLETRANSLATE(E693, ""zh"", ""en"")"),"Qualitative text")</f>
        <v>Qualitative text</v>
      </c>
    </row>
    <row r="694" spans="1:3" ht="13" x14ac:dyDescent="0.15">
      <c r="A694" s="1" t="str">
        <f ca="1">IFERROR(__xludf.DUMMYFUNCTION("GOOGLETRANSLATE(A694, ""zh"", ""en"")"),"We have worked together and made great progress to go through the extremely important and extraordinary year of 2022.")</f>
        <v>We have worked together and made great progress to go through the extremely important and extraordinary year of 2022.</v>
      </c>
      <c r="B694" s="1" t="str">
        <f ca="1">IFERROR(__xludf.DUMMYFUNCTION("GOOGLETRANSLATE(A694, ""zh"", ""en"")"),"irrelevant text")</f>
        <v>irrelevant text</v>
      </c>
      <c r="C694" s="1" t="str">
        <f ca="1">IFERROR(__xludf.DUMMYFUNCTION("GOOGLETRANSLATE(E694, ""zh"", ""en"")"),"irrelevant text")</f>
        <v>irrelevant text</v>
      </c>
    </row>
    <row r="695" spans="1:3" ht="13" x14ac:dyDescent="0.15">
      <c r="A695" s="1" t="str">
        <f ca="1">IFERROR(__xludf.DUMMYFUNCTION("GOOGLETRANSLATE(A695, ""zh"", ""en"")"),"To meet consumer demand, the company vigorously carries out cross-industry cooperation and actively deploys charging and swapping station business")</f>
        <v>To meet consumer demand, the company vigorously carries out cross-industry cooperation and actively deploys charging and swapping station business</v>
      </c>
      <c r="B695" s="1" t="str">
        <f ca="1">IFERROR(__xludf.DUMMYFUNCTION("GOOGLETRANSLATE(A695, ""zh"", ""en"")"),"Customers and Consumers")</f>
        <v>Customers and Consumers</v>
      </c>
      <c r="C695" s="1" t="str">
        <f ca="1">IFERROR(__xludf.DUMMYFUNCTION("GOOGLETRANSLATE(E695, ""zh"", ""en"")"),"Qualitative text")</f>
        <v>Qualitative text</v>
      </c>
    </row>
    <row r="696" spans="1:3" ht="13" x14ac:dyDescent="0.15">
      <c r="A696" s="1" t="str">
        <f ca="1">IFERROR(__xludf.DUMMYFUNCTION("GOOGLETRANSLATE(A696, ""zh"", ""en"")"),"As of the end of 2022, the company's board of supervisors will have 8 supervisors, 4 of whom are employee representative supervisors.")</f>
        <v>As of the end of 2022, the company's board of supervisors will have 8 supervisors, 4 of whom are employee representative supervisors.</v>
      </c>
      <c r="B696" s="1" t="str">
        <f ca="1">IFERROR(__xludf.DUMMYFUNCTION("GOOGLETRANSLATE(A696, ""zh"", ""en"")"),"Organizational structure and operations")</f>
        <v>Organizational structure and operations</v>
      </c>
      <c r="C696" s="1" t="str">
        <f ca="1">IFERROR(__xludf.DUMMYFUNCTION("GOOGLETRANSLATE(E696, ""zh"", ""en"")"),"Quantitative Text")</f>
        <v>Quantitative Text</v>
      </c>
    </row>
    <row r="697" spans="1:3" ht="13" x14ac:dyDescent="0.15">
      <c r="A697" s="1" t="str">
        <f ca="1">IFERROR(__xludf.DUMMYFUNCTION("GOOGLETRANSLATE(A697, ""zh"", ""en"")"),"The financial data in this report is recorded in RMB. If there are other currencies, there will be special instructions.")</f>
        <v>The financial data in this report is recorded in RMB. If there are other currencies, there will be special instructions.</v>
      </c>
      <c r="B697" s="1" t="str">
        <f ca="1">IFERROR(__xludf.DUMMYFUNCTION("GOOGLETRANSLATE(A697, ""zh"", ""en"")"),"irrelevant text")</f>
        <v>irrelevant text</v>
      </c>
      <c r="C697" s="1" t="str">
        <f ca="1">IFERROR(__xludf.DUMMYFUNCTION("GOOGLETRANSLATE(E697, ""zh"", ""en"")"),"irrelevant text")</f>
        <v>irrelevant text</v>
      </c>
    </row>
    <row r="698" spans="1:3" ht="13" x14ac:dyDescent="0.15">
      <c r="A698" s="1" t="str">
        <f ca="1">IFERROR(__xludf.DUMMYFUNCTION("GOOGLETRANSLATE(A698, ""zh"", ""en"")"),"The project has created nearly 7,000 jobs locally and further deepened the friendship between China and Pakistan.")</f>
        <v>The project has created nearly 7,000 jobs locally and further deepened the friendship between China and Pakistan.</v>
      </c>
      <c r="B698" s="1" t="str">
        <f ca="1">IFERROR(__xludf.DUMMYFUNCTION("GOOGLETRANSLATE(A698, ""zh"", ""en"")"),"Promoting employment")</f>
        <v>Promoting employment</v>
      </c>
      <c r="C698" s="1" t="str">
        <f ca="1">IFERROR(__xludf.DUMMYFUNCTION("GOOGLETRANSLATE(E698, ""zh"", ""en"")"),"Quantitative Text")</f>
        <v>Quantitative Text</v>
      </c>
    </row>
    <row r="699" spans="1:3" ht="13" x14ac:dyDescent="0.15">
      <c r="A699" s="1" t="str">
        <f ca="1">IFERROR(__xludf.DUMMYFUNCTION("GOOGLETRANSLATE(A699, ""zh"", ""en"")"),"We are committed to building a community of love and actively developing platforms for public welfare promotion and charitable donations.")</f>
        <v>We are committed to building a community of love and actively developing platforms for public welfare promotion and charitable donations.</v>
      </c>
      <c r="B699" s="1" t="str">
        <f ca="1">IFERROR(__xludf.DUMMYFUNCTION("GOOGLETRANSLATE(A699, ""zh"", ""en"")"),"Public welfare and volunteer service")</f>
        <v>Public welfare and volunteer service</v>
      </c>
      <c r="C699" s="1" t="str">
        <f ca="1">IFERROR(__xludf.DUMMYFUNCTION("GOOGLETRANSLATE(E699, ""zh"", ""en"")"),"Qualitative text")</f>
        <v>Qualitative text</v>
      </c>
    </row>
    <row r="700" spans="1:3" ht="13" x14ac:dyDescent="0.15">
      <c r="A700" s="1" t="str">
        <f ca="1">IFERROR(__xludf.DUMMYFUNCTION("GOOGLETRANSLATE(A700, ""zh"", ""en"")"),"The company focuses on cultivating a good risk awareness and culture to enhance its ability to prevent and resolve major operational risks")</f>
        <v>The company focuses on cultivating a good risk awareness and culture to enhance its ability to prevent and resolve major operational risks</v>
      </c>
      <c r="B700" s="1" t="str">
        <f ca="1">IFERROR(__xludf.DUMMYFUNCTION("GOOGLETRANSLATE(A700, ""zh"", ""en"")"),"Legal proceedings and external sanctions")</f>
        <v>Legal proceedings and external sanctions</v>
      </c>
      <c r="C700" s="1" t="str">
        <f ca="1">IFERROR(__xludf.DUMMYFUNCTION("GOOGLETRANSLATE(E700, ""zh"", ""en"")"),"Qualitative text")</f>
        <v>Qualitative text</v>
      </c>
    </row>
    <row r="701" spans="1:3" ht="13" x14ac:dyDescent="0.15">
      <c r="A701" s="1" t="str">
        <f ca="1">IFERROR(__xludf.DUMMYFUNCTION("GOOGLETRANSLATE(A701, ""zh"", ""en"")"),"For many years, the company has been one of the companies with the largest number of patents in the field of digital security in the world.")</f>
        <v>For many years, the company has been one of the companies with the largest number of patents in the field of digital security in the world.</v>
      </c>
      <c r="B701" s="1" t="str">
        <f ca="1">IFERROR(__xludf.DUMMYFUNCTION("GOOGLETRANSLATE(A701, ""zh"", ""en"")"),"Data security")</f>
        <v>Data security</v>
      </c>
      <c r="C701" s="1" t="str">
        <f ca="1">IFERROR(__xludf.DUMMYFUNCTION("GOOGLETRANSLATE(E701, ""zh"", ""en"")"),"Qualitative text")</f>
        <v>Qualitative text</v>
      </c>
    </row>
    <row r="702" spans="1:3" ht="13" x14ac:dyDescent="0.15">
      <c r="A702" s="1" t="str">
        <f ca="1">IFERROR(__xludf.DUMMYFUNCTION("GOOGLETRANSLATE(A702, ""zh"", ""en"")"),"This year's report newly discloses 19 performance data items related to safety, climate change, environment, employees and society.")</f>
        <v>This year's report newly discloses 19 performance data items related to safety, climate change, environment, employees and society.</v>
      </c>
      <c r="B702" s="1" t="str">
        <f ca="1">IFERROR(__xludf.DUMMYFUNCTION("GOOGLETRANSLATE(A702, ""zh"", ""en"")"),"Addressing climate change")</f>
        <v>Addressing climate change</v>
      </c>
      <c r="C702" s="1" t="str">
        <f ca="1">IFERROR(__xludf.DUMMYFUNCTION("GOOGLETRANSLATE(E702, ""zh"", ""en"")"),"Quantitative Text")</f>
        <v>Quantitative Text</v>
      </c>
    </row>
    <row r="703" spans="1:3" ht="13" x14ac:dyDescent="0.15">
      <c r="A703" s="1" t="str">
        <f ca="1">IFERROR(__xludf.DUMMYFUNCTION("GOOGLETRANSLATE(A703, ""zh"", ""en"")"),"The 20th National Congress report is profound and insightful. As a member of the business community, I am deeply inspired and encouraged.")</f>
        <v>The 20th National Congress report is profound and insightful. As a member of the business community, I am deeply inspired and encouraged.</v>
      </c>
      <c r="B703" s="1" t="str">
        <f ca="1">IFERROR(__xludf.DUMMYFUNCTION("GOOGLETRANSLATE(A703, ""zh"", ""en"")"),"irrelevant text")</f>
        <v>irrelevant text</v>
      </c>
      <c r="C703" s="1" t="str">
        <f ca="1">IFERROR(__xludf.DUMMYFUNCTION("GOOGLETRANSLATE(E703, ""zh"", ""en"")"),"irrelevant text")</f>
        <v>irrelevant text</v>
      </c>
    </row>
    <row r="704" spans="1:3" ht="13" x14ac:dyDescent="0.15">
      <c r="A704" s="1" t="str">
        <f ca="1">IFERROR(__xludf.DUMMYFUNCTION("GOOGLETRANSLATE(A704, ""zh"", ""en"")"),"Shanghai Electric provides employees with comprehensive facilities and creates a good working atmosphere.")</f>
        <v>Shanghai Electric provides employees with comprehensive facilities and creates a good working atmosphere.</v>
      </c>
      <c r="B704" s="1" t="str">
        <f ca="1">IFERROR(__xludf.DUMMYFUNCTION("GOOGLETRANSLATE(A704, ""zh"", ""en"")"),"staff")</f>
        <v>staff</v>
      </c>
      <c r="C704" s="1" t="str">
        <f ca="1">IFERROR(__xludf.DUMMYFUNCTION("GOOGLETRANSLATE(E704, ""zh"", ""en"")"),"Qualitative text")</f>
        <v>Qualitative text</v>
      </c>
    </row>
    <row r="705" spans="1:3" ht="13" x14ac:dyDescent="0.15">
      <c r="A705" s="1" t="str">
        <f ca="1">IFERROR(__xludf.DUMMYFUNCTION("GOOGLETRANSLATE(A705, ""zh"", ""en"")"),"At the same time, it enriches the lives of employees, helps them solve problems, increases their happiness and enhances the cohesion of the company.")</f>
        <v>At the same time, it enriches the lives of employees, helps them solve problems, increases their happiness and enhances the cohesion of the company.</v>
      </c>
      <c r="B705" s="1" t="str">
        <f ca="1">IFERROR(__xludf.DUMMYFUNCTION("GOOGLETRANSLATE(A705, ""zh"", ""en"")"),"staff")</f>
        <v>staff</v>
      </c>
      <c r="C705" s="1" t="str">
        <f ca="1">IFERROR(__xludf.DUMMYFUNCTION("GOOGLETRANSLATE(E705, ""zh"", ""en"")"),"Qualitative text")</f>
        <v>Qualitative text</v>
      </c>
    </row>
    <row r="706" spans="1:3" ht="13" x14ac:dyDescent="0.15">
      <c r="A706" s="1" t="str">
        <f ca="1">IFERROR(__xludf.DUMMYFUNCTION("GOOGLETRANSLATE(A706, ""zh"", ""en"")"),"Shanghai Electric has cooperated with major universities to train a large number of high-quality professional and technical talents for the motherland")</f>
        <v>Shanghai Electric has cooperated with major universities to train a large number of high-quality professional and technical talents for the motherland</v>
      </c>
      <c r="B706" s="1" t="str">
        <f ca="1">IFERROR(__xludf.DUMMYFUNCTION("GOOGLETRANSLATE(A706, ""zh"", ""en"")"),"Promoting employment")</f>
        <v>Promoting employment</v>
      </c>
      <c r="C706" s="1" t="str">
        <f ca="1">IFERROR(__xludf.DUMMYFUNCTION("GOOGLETRANSLATE(E706, ""zh"", ""en"")"),"Qualitative text")</f>
        <v>Qualitative text</v>
      </c>
    </row>
    <row r="707" spans="1:3" ht="13" x14ac:dyDescent="0.15">
      <c r="A707" s="1" t="str">
        <f ca="1">IFERROR(__xludf.DUMMYFUNCTION("GOOGLETRANSLATE(A707, ""zh"", ""en"")"),"P19B7.2 Describe preventive measures and reporting procedures, as well as related implementation and monitoring methods")</f>
        <v>P19B7.2 Describe preventive measures and reporting procedures, as well as related implementation and monitoring methods</v>
      </c>
      <c r="B707" s="1" t="str">
        <f ca="1">IFERROR(__xludf.DUMMYFUNCTION("GOOGLETRANSLATE(A707, ""zh"", ""en"")"),"Reporting System")</f>
        <v>Reporting System</v>
      </c>
      <c r="C707" s="1" t="str">
        <f ca="1">IFERROR(__xludf.DUMMYFUNCTION("GOOGLETRANSLATE(E707, ""zh"", ""en"")"),"Qualitative text")</f>
        <v>Qualitative text</v>
      </c>
    </row>
    <row r="708" spans="1:3" ht="13" x14ac:dyDescent="0.15">
      <c r="A708" s="1" t="str">
        <f ca="1">IFERROR(__xludf.DUMMYFUNCTION("GOOGLETRANSLATE(A708, ""zh"", ""en"")"),"Combined with the natural endowments of the recipient areas, we implemented the action of promoting characteristic industries in the 10 counties receiving targeted assistance.")</f>
        <v>Combined with the natural endowments of the recipient areas, we implemented the action of promoting characteristic industries in the 10 counties receiving targeted assistance.</v>
      </c>
      <c r="B708" s="1" t="str">
        <f ca="1">IFERROR(__xludf.DUMMYFUNCTION("GOOGLETRANSLATE(A708, ""zh"", ""en"")"),"Rural assistance")</f>
        <v>Rural assistance</v>
      </c>
      <c r="C708" s="1" t="str">
        <f ca="1">IFERROR(__xludf.DUMMYFUNCTION("GOOGLETRANSLATE(E708, ""zh"", ""en"")"),"Qualitative text")</f>
        <v>Qualitative text</v>
      </c>
    </row>
    <row r="709" spans="1:3" ht="13" x14ac:dyDescent="0.15">
      <c r="A709" s="1" t="str">
        <f ca="1">IFERROR(__xludf.DUMMYFUNCTION("GOOGLETRANSLATE(A709, ""zh"", ""en"")"),"2425 KPI B7.3 Description of anti-corruption training provided to directors and employees")</f>
        <v>2425 KPI B7.3 Description of anti-corruption training provided to directors and employees</v>
      </c>
      <c r="B709" s="1" t="str">
        <f ca="1">IFERROR(__xludf.DUMMYFUNCTION("GOOGLETRANSLATE(A709, ""zh"", ""en"")"),"Anti-corruption and anti-money laundering")</f>
        <v>Anti-corruption and anti-money laundering</v>
      </c>
      <c r="C709" s="1" t="str">
        <f ca="1">IFERROR(__xludf.DUMMYFUNCTION("GOOGLETRANSLATE(E709, ""zh"", ""en"")"),"Quantitative Text")</f>
        <v>Quantitative Text</v>
      </c>
    </row>
    <row r="710" spans="1:3" ht="13" x14ac:dyDescent="0.15">
      <c r="A710" s="1" t="str">
        <f ca="1">IFERROR(__xludf.DUMMYFUNCTION("GOOGLETRANSLATE(A710, ""zh"", ""en"")"),"During the reporting period, the company explored and made progress in the field of intelligent manufacturing and digital factories and achieved certain results.")</f>
        <v>During the reporting period, the company explored and made progress in the field of intelligent manufacturing and digital factories and achieved certain results.</v>
      </c>
      <c r="B710" s="1" t="str">
        <f ca="1">IFERROR(__xludf.DUMMYFUNCTION("GOOGLETRANSLATE(A710, ""zh"", ""en"")"),"Technological innovation")</f>
        <v>Technological innovation</v>
      </c>
      <c r="C710" s="1" t="str">
        <f ca="1">IFERROR(__xludf.DUMMYFUNCTION("GOOGLETRANSLATE(E710, ""zh"", ""en"")"),"Qualitative text")</f>
        <v>Qualitative text</v>
      </c>
    </row>
    <row r="711" spans="1:3" ht="13" x14ac:dyDescent="0.15">
      <c r="A711" s="1" t="str">
        <f ca="1">IFERROR(__xludf.DUMMYFUNCTION("GOOGLETRANSLATE(A711, ""zh"", ""en"")"),"Each enterprise will improve its management level by further adjusting its institutions and personnel and improving its organizational construction.")</f>
        <v>Each enterprise will improve its management level by further adjusting its institutions and personnel and improving its organizational construction.</v>
      </c>
      <c r="B711" s="1" t="str">
        <f ca="1">IFERROR(__xludf.DUMMYFUNCTION("GOOGLETRANSLATE(A711, ""zh"", ""en"")"),"Organizational structure and operations")</f>
        <v>Organizational structure and operations</v>
      </c>
      <c r="C711" s="1" t="str">
        <f ca="1">IFERROR(__xludf.DUMMYFUNCTION("GOOGLETRANSLATE(E711, ""zh"", ""en"")"),"Qualitative text")</f>
        <v>Qualitative text</v>
      </c>
    </row>
    <row r="712" spans="1:3" ht="13" x14ac:dyDescent="0.15">
      <c r="A712" s="1" t="str">
        <f ca="1">IFERROR(__xludf.DUMMYFUNCTION("GOOGLETRANSLATE(A712, ""zh"", ""en"")"),"33104 Key Performance Indicator B6.4 Description of quality inspection process and product recall procedures")</f>
        <v>33104 Key Performance Indicator B6.4 Description of quality inspection process and product recall procedures</v>
      </c>
      <c r="B712" s="1" t="str">
        <f ca="1">IFERROR(__xludf.DUMMYFUNCTION("GOOGLETRANSLATE(A712, ""zh"", ""en"")"),"Product quality")</f>
        <v>Product quality</v>
      </c>
      <c r="C712" s="1" t="str">
        <f ca="1">IFERROR(__xludf.DUMMYFUNCTION("GOOGLETRANSLATE(E712, ""zh"", ""en"")"),"Qualitative text")</f>
        <v>Qualitative text</v>
      </c>
    </row>
    <row r="713" spans="1:3" ht="13" x14ac:dyDescent="0.15">
      <c r="A713" s="1" t="str">
        <f ca="1">IFERROR(__xludf.DUMMYFUNCTION("GOOGLETRANSLATE(A713, ""zh"", ""en"")"),"101 KPI B6.3 Description of practices related to maintaining and protecting intellectual property rights")</f>
        <v>101 KPI B6.3 Description of practices related to maintaining and protecting intellectual property rights</v>
      </c>
      <c r="B713" s="1" t="str">
        <f ca="1">IFERROR(__xludf.DUMMYFUNCTION("GOOGLETRANSLATE(A713, ""zh"", ""en"")"),"Intellectual Property Protection")</f>
        <v>Intellectual Property Protection</v>
      </c>
      <c r="C713" s="1" t="str">
        <f ca="1">IFERROR(__xludf.DUMMYFUNCTION("GOOGLETRANSLATE(E713, ""zh"", ""en"")"),"Qualitative text")</f>
        <v>Qualitative text</v>
      </c>
    </row>
    <row r="714" spans="1:3" ht="13" x14ac:dyDescent="0.15">
      <c r="A714" s="1" t="str">
        <f ca="1">IFERROR(__xludf.DUMMYFUNCTION("GOOGLETRANSLATE(A714, ""zh"", ""en"")"),"The Yichang Renfu Research Scholarship Award Ceremony will be held at the School of Medicine of Wuhan University in June 2022")</f>
        <v>The Yichang Renfu Research Scholarship Award Ceremony will be held at the School of Medicine of Wuhan University in June 2022</v>
      </c>
      <c r="B714" s="1" t="str">
        <f ca="1">IFERROR(__xludf.DUMMYFUNCTION("GOOGLETRANSLATE(A714, ""zh"", ""en"")"),"Public welfare and volunteer service")</f>
        <v>Public welfare and volunteer service</v>
      </c>
      <c r="C714" s="1" t="str">
        <f ca="1">IFERROR(__xludf.DUMMYFUNCTION("GOOGLETRANSLATE(E714, ""zh"", ""en"")"),"Qualitative text")</f>
        <v>Qualitative text</v>
      </c>
    </row>
    <row r="715" spans="1:3" ht="13" x14ac:dyDescent="0.15">
      <c r="A715" s="1" t="str">
        <f ca="1">IFERROR(__xludf.DUMMYFUNCTION("GOOGLETRANSLATE(A715, ""zh"", ""en"")"),"1723 KPI B7.3 Description of anti-corruption training provided to directors and employees")</f>
        <v>1723 KPI B7.3 Description of anti-corruption training provided to directors and employees</v>
      </c>
      <c r="B715" s="1" t="str">
        <f ca="1">IFERROR(__xludf.DUMMYFUNCTION("GOOGLETRANSLATE(A715, ""zh"", ""en"")"),"Anti-corruption and anti-money laundering")</f>
        <v>Anti-corruption and anti-money laundering</v>
      </c>
      <c r="C715" s="1" t="str">
        <f ca="1">IFERROR(__xludf.DUMMYFUNCTION("GOOGLETRANSLATE(E715, ""zh"", ""en"")"),"Quantitative Text")</f>
        <v>Quantitative Text</v>
      </c>
    </row>
    <row r="716" spans="1:3" ht="13" x14ac:dyDescent="0.15">
      <c r="A716" s="1" t="str">
        <f ca="1">IFERROR(__xludf.DUMMYFUNCTION("GOOGLETRANSLATE(A716, ""zh"", ""en"")"),"The company will recruit nearly 10,000 college graduates in 2022 to fully guarantee the strategic reserve of talents.")</f>
        <v>The company will recruit nearly 10,000 college graduates in 2022 to fully guarantee the strategic reserve of talents.</v>
      </c>
      <c r="B716" s="1" t="str">
        <f ca="1">IFERROR(__xludf.DUMMYFUNCTION("GOOGLETRANSLATE(A716, ""zh"", ""en"")"),"Promoting employment")</f>
        <v>Promoting employment</v>
      </c>
      <c r="C716" s="1" t="str">
        <f ca="1">IFERROR(__xludf.DUMMYFUNCTION("GOOGLETRANSLATE(E716, ""zh"", ""en"")"),"Quantitative Text")</f>
        <v>Quantitative Text</v>
      </c>
    </row>
    <row r="717" spans="1:3" ht="13" x14ac:dyDescent="0.15">
      <c r="A717" s="1" t="str">
        <f ca="1">IFERROR(__xludf.DUMMYFUNCTION("GOOGLETRANSLATE(A717, ""zh"", ""en"")"),"A total of 14 students from five batches were awarded the Sinopec Doctoral Scholarship from 2019 to 2022.")</f>
        <v>A total of 14 students from five batches were awarded the Sinopec Doctoral Scholarship from 2019 to 2022.</v>
      </c>
      <c r="B717" s="1" t="str">
        <f ca="1">IFERROR(__xludf.DUMMYFUNCTION("GOOGLETRANSLATE(A717, ""zh"", ""en"")"),"Technological innovation")</f>
        <v>Technological innovation</v>
      </c>
      <c r="C717" s="1" t="str">
        <f ca="1">IFERROR(__xludf.DUMMYFUNCTION("GOOGLETRANSLATE(E717, ""zh"", ""en"")"),"Quantitative Text")</f>
        <v>Quantitative Text</v>
      </c>
    </row>
    <row r="718" spans="1:3" ht="13" x14ac:dyDescent="0.15">
      <c r="A718" s="1" t="str">
        <f ca="1">IFERROR(__xludf.DUMMYFUNCTION("GOOGLETRANSLATE(A718, ""zh"", ""en"")"),"During the reporting period, the board of directors was renewed as scheduled. The composition of the board of directors promoted the long-term and stable development of the company.")</f>
        <v>During the reporting period, the board of directors was renewed as scheduled. The composition of the board of directors promoted the long-term and stable development of the company.</v>
      </c>
      <c r="B718" s="1" t="str">
        <f ca="1">IFERROR(__xludf.DUMMYFUNCTION("GOOGLETRANSLATE(A718, ""zh"", ""en"")"),"Organizational structure and operations")</f>
        <v>Organizational structure and operations</v>
      </c>
      <c r="C718" s="1" t="str">
        <f ca="1">IFERROR(__xludf.DUMMYFUNCTION("GOOGLETRANSLATE(E718, ""zh"", ""en"")"),"Qualitative text")</f>
        <v>Qualitative text</v>
      </c>
    </row>
    <row r="719" spans="1:3" ht="13" x14ac:dyDescent="0.15">
      <c r="A719" s="1" t="str">
        <f ca="1">IFERROR(__xludf.DUMMYFUNCTION("GOOGLETRANSLATE(A719, ""zh"", ""en"")"),"Information Source and Description The data used in this report are all from the company's official documents and statistical reports")</f>
        <v>Information Source and Description The data used in this report are all from the company's official documents and statistical reports</v>
      </c>
      <c r="B719" s="1" t="str">
        <f ca="1">IFERROR(__xludf.DUMMYFUNCTION("GOOGLETRANSLATE(A719, ""zh"", ""en"")"),"irrelevant text")</f>
        <v>irrelevant text</v>
      </c>
      <c r="C719" s="1" t="str">
        <f ca="1">IFERROR(__xludf.DUMMYFUNCTION("GOOGLETRANSLATE(E719, ""zh"", ""en"")"),"irrelevant text")</f>
        <v>irrelevant text</v>
      </c>
    </row>
    <row r="720" spans="1:3" ht="13" x14ac:dyDescent="0.15">
      <c r="A720" s="1" t="str">
        <f ca="1">IFERROR(__xludf.DUMMYFUNCTION("GOOGLETRANSLATE(A720, ""zh"", ""en"")"),"In July 2022, the group's party member volunteers went to Renfu Pharmacy to carry out community chronic and severe disease free clinic activities")</f>
        <v>In July 2022, the group's party member volunteers went to Renfu Pharmacy to carry out community chronic and severe disease free clinic activities</v>
      </c>
      <c r="B720" s="1" t="str">
        <f ca="1">IFERROR(__xludf.DUMMYFUNCTION("GOOGLETRANSLATE(A720, ""zh"", ""en"")"),"Public welfare and volunteer service")</f>
        <v>Public welfare and volunteer service</v>
      </c>
      <c r="C720" s="1" t="str">
        <f ca="1">IFERROR(__xludf.DUMMYFUNCTION("GOOGLETRANSLATE(E720, ""zh"", ""en"")"),"Qualitative text")</f>
        <v>Qualitative text</v>
      </c>
    </row>
    <row r="721" spans="1:3" ht="13" x14ac:dyDescent="0.15">
      <c r="A721" s="1" t="str">
        <f ca="1">IFERROR(__xludf.DUMMYFUNCTION("GOOGLETRANSLATE(A721, ""zh"", ""en"")"),"Renfu Healthcare improves employees' fire awareness and strengthens emergency management capabilities through fire training")</f>
        <v>Renfu Healthcare improves employees' fire awareness and strengthens emergency management capabilities through fire training</v>
      </c>
      <c r="B721" s="1" t="str">
        <f ca="1">IFERROR(__xludf.DUMMYFUNCTION("GOOGLETRANSLATE(A721, ""zh"", ""en"")"),"staff")</f>
        <v>staff</v>
      </c>
      <c r="C721" s="1" t="str">
        <f ca="1">IFERROR(__xludf.DUMMYFUNCTION("GOOGLETRANSLATE(E721, ""zh"", ""en"")"),"Qualitative text")</f>
        <v>Qualitative text</v>
      </c>
    </row>
    <row r="722" spans="1:3" ht="13" x14ac:dyDescent="0.15">
      <c r="A722" s="1" t="str">
        <f ca="1">IFERROR(__xludf.DUMMYFUNCTION("GOOGLETRANSLATE(A722, ""zh"", ""en"")"),"The report reviews the progress in achieving ESG goals and provides improvement suggestions for the next steps in ESG work.")</f>
        <v>The report reviews the progress in achieving ESG goals and provides improvement suggestions for the next steps in ESG work.</v>
      </c>
      <c r="B722" s="1" t="str">
        <f ca="1">IFERROR(__xludf.DUMMYFUNCTION("GOOGLETRANSLATE(A722, ""zh"", ""en"")"),"irrelevant text")</f>
        <v>irrelevant text</v>
      </c>
      <c r="C722" s="1" t="str">
        <f ca="1">IFERROR(__xludf.DUMMYFUNCTION("GOOGLETRANSLATE(E722, ""zh"", ""en"")"),"irrelevant text")</f>
        <v>irrelevant text</v>
      </c>
    </row>
    <row r="723" spans="1:3" ht="13" x14ac:dyDescent="0.15">
      <c r="A723" s="1" t="str">
        <f ca="1">IFERROR(__xludf.DUMMYFUNCTION("GOOGLETRANSLATE(A723, ""zh"", ""en"")"),"Prepare the company's 2023 comprehensive risk assessment report based on the risk list and clarify the division of responsibilities")</f>
        <v>Prepare the company's 2023 comprehensive risk assessment report based on the risk list and clarify the division of responsibilities</v>
      </c>
      <c r="B723" s="1" t="str">
        <f ca="1">IFERROR(__xludf.DUMMYFUNCTION("GOOGLETRANSLATE(A723, ""zh"", ""en"")"),"irrelevant text")</f>
        <v>irrelevant text</v>
      </c>
      <c r="C723" s="1" t="str">
        <f ca="1">IFERROR(__xludf.DUMMYFUNCTION("GOOGLETRANSLATE(E723, ""zh"", ""en"")"),"irrelevant text")</f>
        <v>irrelevant text</v>
      </c>
    </row>
    <row r="724" spans="1:3" ht="13" x14ac:dyDescent="0.15">
      <c r="A724" s="1" t="str">
        <f ca="1">IFERROR(__xludf.DUMMYFUNCTION("GOOGLETRANSLATE(A724, ""zh"", ""en"")"),"Chairman's Speech: Over the past year, Shanghai Electric has clarified its strategic goals and implemented practical management reforms.")</f>
        <v>Chairman's Speech: Over the past year, Shanghai Electric has clarified its strategic goals and implemented practical management reforms.</v>
      </c>
      <c r="B724" s="1" t="str">
        <f ca="1">IFERROR(__xludf.DUMMYFUNCTION("GOOGLETRANSLATE(A724, ""zh"", ""en"")"),"Organizational structure and operations")</f>
        <v>Organizational structure and operations</v>
      </c>
      <c r="C724" s="1" t="str">
        <f ca="1">IFERROR(__xludf.DUMMYFUNCTION("GOOGLETRANSLATE(E724, ""zh"", ""en"")"),"Qualitative text")</f>
        <v>Qualitative text</v>
      </c>
    </row>
    <row r="725" spans="1:3" ht="13" x14ac:dyDescent="0.15">
      <c r="A725" s="1" t="str">
        <f ca="1">IFERROR(__xludf.DUMMYFUNCTION("GOOGLETRANSLATE(A725, ""zh"", ""en"")"),"Third, vigorously promote the construction and flexible use of basic data of each module of the safety production CNC platform")</f>
        <v>Third, vigorously promote the construction and flexible use of basic data of each module of the safety production CNC platform</v>
      </c>
      <c r="B725" s="1" t="str">
        <f ca="1">IFERROR(__xludf.DUMMYFUNCTION("GOOGLETRANSLATE(A725, ""zh"", ""en"")"),"staff")</f>
        <v>staff</v>
      </c>
      <c r="C725" s="1" t="str">
        <f ca="1">IFERROR(__xludf.DUMMYFUNCTION("GOOGLETRANSLATE(E725, ""zh"", ""en"")"),"Qualitative text")</f>
        <v>Qualitative text</v>
      </c>
    </row>
    <row r="726" spans="1:3" ht="13" x14ac:dyDescent="0.15">
      <c r="A726" s="1" t="str">
        <f ca="1">IFERROR(__xludf.DUMMYFUNCTION("GOOGLETRANSLATE(A726, ""zh"", ""en"")"),"Some companies have added compliance clauses to their contracts to ensure their partners fully accept the company's compliance philosophy.")</f>
        <v>Some companies have added compliance clauses to their contracts to ensure their partners fully accept the company's compliance philosophy.</v>
      </c>
      <c r="B726" s="1" t="str">
        <f ca="1">IFERROR(__xludf.DUMMYFUNCTION("GOOGLETRANSLATE(A726, ""zh"", ""en"")"),"Legal proceedings and external sanctions")</f>
        <v>Legal proceedings and external sanctions</v>
      </c>
      <c r="C726" s="1" t="str">
        <f ca="1">IFERROR(__xludf.DUMMYFUNCTION("GOOGLETRANSLATE(E726, ""zh"", ""en"")"),"Qualitative text")</f>
        <v>Qualitative text</v>
      </c>
    </row>
    <row r="727" spans="1:3" ht="13" x14ac:dyDescent="0.15">
      <c r="A727" s="1" t="str">
        <f ca="1">IFERROR(__xludf.DUMMYFUNCTION("GOOGLETRANSLATE(A727, ""zh"", ""en"")"),"Improve the leadership team's legal study system and include major laws and regulations in the study plan of the theoretical study center group")</f>
        <v>Improve the leadership team's legal study system and include major laws and regulations in the study plan of the theoretical study center group</v>
      </c>
      <c r="B727" s="1" t="str">
        <f ca="1">IFERROR(__xludf.DUMMYFUNCTION("GOOGLETRANSLATE(A727, ""zh"", ""en"")"),"Legal proceedings and external sanctions")</f>
        <v>Legal proceedings and external sanctions</v>
      </c>
      <c r="C727" s="1" t="str">
        <f ca="1">IFERROR(__xludf.DUMMYFUNCTION("GOOGLETRANSLATE(E727, ""zh"", ""en"")"),"Qualitative text")</f>
        <v>Qualitative text</v>
      </c>
    </row>
    <row r="728" spans="1:3" ht="13" x14ac:dyDescent="0.15">
      <c r="A728" s="1" t="str">
        <f ca="1">IFERROR(__xludf.DUMMYFUNCTION("GOOGLETRANSLATE(A728, ""zh"", ""en"")"),"226,595 orders were completed throughout the year, achieving a dynamic quantitative evaluation rate of 100% for suppliers.")</f>
        <v>226,595 orders were completed throughout the year, achieving a dynamic quantitative evaluation rate of 100% for suppliers.</v>
      </c>
      <c r="B728" s="1" t="str">
        <f ca="1">IFERROR(__xludf.DUMMYFUNCTION("GOOGLETRANSLATE(A728, ""zh"", ""en"")"),"supply chain management")</f>
        <v>supply chain management</v>
      </c>
      <c r="C728" s="1" t="str">
        <f ca="1">IFERROR(__xludf.DUMMYFUNCTION("GOOGLETRANSLATE(E728, ""zh"", ""en"")"),"Quantitative Text")</f>
        <v>Quantitative Text</v>
      </c>
    </row>
    <row r="729" spans="1:3" ht="13" x14ac:dyDescent="0.15">
      <c r="A729" s="1" t="str">
        <f ca="1">IFERROR(__xludf.DUMMYFUNCTION("GOOGLETRANSLATE(A729, ""zh"", ""en"")"),"Level 72 B5 Supply Chain Management General Disclosure Policy on managing environmental and social risks in the supply chain")</f>
        <v>Level 72 B5 Supply Chain Management General Disclosure Policy on managing environmental and social risks in the supply chain</v>
      </c>
      <c r="B729" s="1" t="str">
        <f ca="1">IFERROR(__xludf.DUMMYFUNCTION("GOOGLETRANSLATE(A729, ""zh"", ""en"")"),"supply chain management")</f>
        <v>supply chain management</v>
      </c>
      <c r="C729" s="1" t="str">
        <f ca="1">IFERROR(__xludf.DUMMYFUNCTION("GOOGLETRANSLATE(E729, ""zh"", ""en"")"),"Qualitative text")</f>
        <v>Qualitative text</v>
      </c>
    </row>
    <row r="730" spans="1:3" ht="13" x14ac:dyDescent="0.15">
      <c r="A730" s="1" t="str">
        <f ca="1">IFERROR(__xludf.DUMMYFUNCTION("GOOGLETRANSLATE(A730, ""zh"", ""en"")"),"Use big data analysis technology to build a new management model for intelligent analysis and intelligent control of refined oil quality")</f>
        <v>Use big data analysis technology to build a new management model for intelligent analysis and intelligent control of refined oil quality</v>
      </c>
      <c r="B730" s="1" t="str">
        <f ca="1">IFERROR(__xludf.DUMMYFUNCTION("GOOGLETRANSLATE(A730, ""zh"", ""en"")"),"Technological innovation")</f>
        <v>Technological innovation</v>
      </c>
      <c r="C730" s="1" t="str">
        <f ca="1">IFERROR(__xludf.DUMMYFUNCTION("GOOGLETRANSLATE(E730, ""zh"", ""en"")"),"Qualitative text")</f>
        <v>Qualitative text</v>
      </c>
    </row>
    <row r="731" spans="1:3" ht="13" x14ac:dyDescent="0.15">
      <c r="A731" s="1" t="str">
        <f ca="1">IFERROR(__xludf.DUMMYFUNCTION("GOOGLETRANSLATE(A731, ""zh"", ""en"")"),"As of the end of 2022, Shanghai Electric's Supervisory Committee will have three supervisors who will work together to shoulder their respective responsibilities.")</f>
        <v>As of the end of 2022, Shanghai Electric's Supervisory Committee will have three supervisors who will work together to shoulder their respective responsibilities.</v>
      </c>
      <c r="B731" s="1" t="str">
        <f ca="1">IFERROR(__xludf.DUMMYFUNCTION("GOOGLETRANSLATE(A731, ""zh"", ""en"")"),"Organizational structure and operations")</f>
        <v>Organizational structure and operations</v>
      </c>
      <c r="C731" s="1" t="str">
        <f ca="1">IFERROR(__xludf.DUMMYFUNCTION("GOOGLETRANSLATE(E731, ""zh"", ""en"")"),"Quantitative Text")</f>
        <v>Quantitative Text</v>
      </c>
    </row>
    <row r="732" spans="1:3" ht="13" x14ac:dyDescent="0.15">
      <c r="A732" s="1" t="str">
        <f ca="1">IFERROR(__xludf.DUMMYFUNCTION("GOOGLETRANSLATE(A732, ""zh"", ""en"")"),"When employees receive training through the online training platform, their training participation is recorded by the training system")</f>
        <v>When employees receive training through the online training platform, their training participation is recorded by the training system</v>
      </c>
      <c r="B732" s="1" t="str">
        <f ca="1">IFERROR(__xludf.DUMMYFUNCTION("GOOGLETRANSLATE(A732, ""zh"", ""en"")"),"staff")</f>
        <v>staff</v>
      </c>
      <c r="C732" s="1" t="str">
        <f ca="1">IFERROR(__xludf.DUMMYFUNCTION("GOOGLETRANSLATE(E732, ""zh"", ""en"")"),"Qualitative text")</f>
        <v>Qualitative text</v>
      </c>
    </row>
    <row r="733" spans="1:3" ht="13" x14ac:dyDescent="0.15">
      <c r="A733" s="1" t="str">
        <f ca="1">IFERROR(__xludf.DUMMYFUNCTION("GOOGLETRANSLATE(A733, ""zh"", ""en"")"),"The ESG leadership team and relevant functional departments implement and promote specific work on addressing climate change")</f>
        <v>The ESG leadership team and relevant functional departments implement and promote specific work on addressing climate change</v>
      </c>
      <c r="B733" s="1" t="str">
        <f ca="1">IFERROR(__xludf.DUMMYFUNCTION("GOOGLETRANSLATE(A733, ""zh"", ""en"")"),"Addressing climate change")</f>
        <v>Addressing climate change</v>
      </c>
      <c r="C733" s="1" t="str">
        <f ca="1">IFERROR(__xludf.DUMMYFUNCTION("GOOGLETRANSLATE(E733, ""zh"", ""en"")"),"Qualitative text")</f>
        <v>Qualitative text</v>
      </c>
    </row>
    <row r="734" spans="1:3" ht="13" x14ac:dyDescent="0.15">
      <c r="A734" s="1" t="str">
        <f ca="1">IFERROR(__xludf.DUMMYFUNCTION("GOOGLETRANSLATE(A734, ""zh"", ""en"")"),"In 2022, there were no cases of corruption, bribery, fraud, money laundering, or other related illegal and irregular cases at Kangyuan.")</f>
        <v>In 2022, there were no cases of corruption, bribery, fraud, money laundering, or other related illegal and irregular cases at Kangyuan.</v>
      </c>
      <c r="B734" s="1" t="str">
        <f ca="1">IFERROR(__xludf.DUMMYFUNCTION("GOOGLETRANSLATE(A734, ""zh"", ""en"")"),"Anti-corruption and anti-money laundering")</f>
        <v>Anti-corruption and anti-money laundering</v>
      </c>
      <c r="C734" s="1" t="str">
        <f ca="1">IFERROR(__xludf.DUMMYFUNCTION("GOOGLETRANSLATE(E734, ""zh"", ""en"")"),"Quantitative Text")</f>
        <v>Quantitative Text</v>
      </c>
    </row>
    <row r="735" spans="1:3" ht="13" x14ac:dyDescent="0.15">
      <c r="A735" s="1" t="str">
        <f ca="1">IFERROR(__xludf.DUMMYFUNCTION("GOOGLETRANSLATE(A735, ""zh"", ""en"")"),"As of the end of 2022, 4,089 logistics companies have registered to use the Yipai Logistics Cloud Platform.")</f>
        <v>As of the end of 2022, 4,089 logistics companies have registered to use the Yipai Logistics Cloud Platform.</v>
      </c>
      <c r="B735" s="1" t="str">
        <f ca="1">IFERROR(__xludf.DUMMYFUNCTION("GOOGLETRANSLATE(A735, ""zh"", ""en"")"),"supply chain management")</f>
        <v>supply chain management</v>
      </c>
      <c r="C735" s="1" t="str">
        <f ca="1">IFERROR(__xludf.DUMMYFUNCTION("GOOGLETRANSLATE(E735, ""zh"", ""en"")"),"Quantitative Text")</f>
        <v>Quantitative Text</v>
      </c>
    </row>
    <row r="736" spans="1:3" ht="13" x14ac:dyDescent="0.15">
      <c r="A736" s="1" t="str">
        <f ca="1">IFERROR(__xludf.DUMMYFUNCTION("GOOGLETRANSLATE(A736, ""zh"", ""en"")"),"For clients with significant environmental and climate risks, we will strictly control credit exposure and accelerate risk mitigation.")</f>
        <v>For clients with significant environmental and climate risks, we will strictly control credit exposure and accelerate risk mitigation.</v>
      </c>
      <c r="B736" s="1" t="str">
        <f ca="1">IFERROR(__xludf.DUMMYFUNCTION("GOOGLETRANSLATE(A736, ""zh"", ""en"")"),"Addressing climate change")</f>
        <v>Addressing climate change</v>
      </c>
      <c r="C736" s="1" t="str">
        <f ca="1">IFERROR(__xludf.DUMMYFUNCTION("GOOGLETRANSLATE(E736, ""zh"", ""en"")"),"Qualitative text")</f>
        <v>Qualitative text</v>
      </c>
    </row>
    <row r="737" spans="1:3" ht="13" x14ac:dyDescent="0.15">
      <c r="A737" s="1" t="str">
        <f ca="1">IFERROR(__xludf.DUMMYFUNCTION("GOOGLETRANSLATE(A737, ""zh"", ""en"")"),"Provide T24 with talent inventory results for continued mentoring and growth in the workplace")</f>
        <v>Provide T24 with talent inventory results for continued mentoring and growth in the workplace</v>
      </c>
      <c r="B737" s="1" t="str">
        <f ca="1">IFERROR(__xludf.DUMMYFUNCTION("GOOGLETRANSLATE(A737, ""zh"", ""en"")"),"staff")</f>
        <v>staff</v>
      </c>
      <c r="C737" s="1" t="str">
        <f ca="1">IFERROR(__xludf.DUMMYFUNCTION("GOOGLETRANSLATE(E737, ""zh"", ""en"")"),"Qualitative text")</f>
        <v>Qualitative text</v>
      </c>
    </row>
    <row r="738" spans="1:3" ht="13" x14ac:dyDescent="0.15">
      <c r="A738" s="1" t="str">
        <f ca="1">IFERROR(__xludf.DUMMYFUNCTION("GOOGLETRANSLATE(A738, ""zh"", ""en"")"),"Jointly funded the construction of 12 technology classrooms in one district and three counties to promote the sharing of high-quality online educational resources")</f>
        <v>Jointly funded the construction of 12 technology classrooms in one district and three counties to promote the sharing of high-quality online educational resources</v>
      </c>
      <c r="B738" s="1" t="str">
        <f ca="1">IFERROR(__xludf.DUMMYFUNCTION("GOOGLETRANSLATE(A738, ""zh"", ""en"")"),"Public welfare and volunteer service")</f>
        <v>Public welfare and volunteer service</v>
      </c>
      <c r="C738" s="1" t="str">
        <f ca="1">IFERROR(__xludf.DUMMYFUNCTION("GOOGLETRANSLATE(E738, ""zh"", ""en"")"),"Qualitative text")</f>
        <v>Qualitative text</v>
      </c>
    </row>
    <row r="739" spans="1:3" ht="13" x14ac:dyDescent="0.15">
      <c r="A739" s="1" t="str">
        <f ca="1">IFERROR(__xludf.DUMMYFUNCTION("GOOGLETRANSLATE(A739, ""zh"", ""en"")"),"Real-time hot cases Each member company deeply analyzes the causes of accidents and conducts special self-inspections and self-tests from time to time")</f>
        <v>Real-time hot cases Each member company deeply analyzes the causes of accidents and conducts special self-inspections and self-tests from time to time</v>
      </c>
      <c r="B739" s="1" t="str">
        <f ca="1">IFERROR(__xludf.DUMMYFUNCTION("GOOGLETRANSLATE(A739, ""zh"", ""en"")"),"irrelevant text")</f>
        <v>irrelevant text</v>
      </c>
      <c r="C739" s="1" t="str">
        <f ca="1">IFERROR(__xludf.DUMMYFUNCTION("GOOGLETRANSLATE(E739, ""zh"", ""en"")"),"irrelevant text")</f>
        <v>irrelevant text</v>
      </c>
    </row>
    <row r="740" spans="1:3" ht="13" x14ac:dyDescent="0.15">
      <c r="A740" s="1" t="str">
        <f ca="1">IFERROR(__xludf.DUMMYFUNCTION("GOOGLETRANSLATE(A740, ""zh"", ""en"")"),"Promote business and behavioral compliance and cultivate a compliance culture where all employees proactively comply and create value")</f>
        <v>Promote business and behavioral compliance and cultivate a compliance culture where all employees proactively comply and create value</v>
      </c>
      <c r="B740" s="1" t="str">
        <f ca="1">IFERROR(__xludf.DUMMYFUNCTION("GOOGLETRANSLATE(A740, ""zh"", ""en"")"),"Legal proceedings and external sanctions")</f>
        <v>Legal proceedings and external sanctions</v>
      </c>
      <c r="C740" s="1" t="str">
        <f ca="1">IFERROR(__xludf.DUMMYFUNCTION("GOOGLETRANSLATE(E740, ""zh"", ""en"")"),"Qualitative text")</f>
        <v>Qualitative text</v>
      </c>
    </row>
    <row r="741" spans="1:3" ht="13" x14ac:dyDescent="0.15">
      <c r="A741" s="1" t="str">
        <f ca="1">IFERROR(__xludf.DUMMYFUNCTION("GOOGLETRANSLATE(A741, ""zh"", ""en"")"),"In 2022, a total of 168,000 people were organized to take the professional and technical position grade examination")</f>
        <v>In 2022, a total of 168,000 people were organized to take the professional and technical position grade examination</v>
      </c>
      <c r="B741" s="1" t="str">
        <f ca="1">IFERROR(__xludf.DUMMYFUNCTION("GOOGLETRANSLATE(A741, ""zh"", ""en"")"),"staff")</f>
        <v>staff</v>
      </c>
      <c r="C741" s="1" t="str">
        <f ca="1">IFERROR(__xludf.DUMMYFUNCTION("GOOGLETRANSLATE(E741, ""zh"", ""en"")"),"Quantitative Text")</f>
        <v>Quantitative Text</v>
      </c>
    </row>
    <row r="742" spans="1:3" ht="13" x14ac:dyDescent="0.15">
      <c r="A742" s="1" t="str">
        <f ca="1">IFERROR(__xludf.DUMMYFUNCTION("GOOGLETRANSLATE(A742, ""zh"", ""en"")"),"P51B3.2 Average hours of training completed per employee by gender and employee category")</f>
        <v>P51B3.2 Average hours of training completed per employee by gender and employee category</v>
      </c>
      <c r="B742" s="1" t="str">
        <f ca="1">IFERROR(__xludf.DUMMYFUNCTION("GOOGLETRANSLATE(A742, ""zh"", ""en"")"),"staff")</f>
        <v>staff</v>
      </c>
      <c r="C742" s="1" t="str">
        <f ca="1">IFERROR(__xludf.DUMMYFUNCTION("GOOGLETRANSLATE(E742, ""zh"", ""en"")"),"Qualitative text")</f>
        <v>Qualitative text</v>
      </c>
    </row>
    <row r="743" spans="1:3" ht="13" x14ac:dyDescent="0.15">
      <c r="A743" s="1" t="str">
        <f ca="1">IFERROR(__xludf.DUMMYFUNCTION("GOOGLETRANSLATE(A743, ""zh"", ""en"")"),"Implement risk classification and management based on comprehensive factors such as the likelihood of risk impact and risk resistance")</f>
        <v>Implement risk classification and management based on comprehensive factors such as the likelihood of risk impact and risk resistance</v>
      </c>
      <c r="B743" s="1" t="str">
        <f ca="1">IFERROR(__xludf.DUMMYFUNCTION("GOOGLETRANSLATE(A743, ""zh"", ""en"")"),"Legal proceedings and external sanctions")</f>
        <v>Legal proceedings and external sanctions</v>
      </c>
      <c r="C743" s="1" t="str">
        <f ca="1">IFERROR(__xludf.DUMMYFUNCTION("GOOGLETRANSLATE(E743, ""zh"", ""en"")"),"Qualitative text")</f>
        <v>Qualitative text</v>
      </c>
    </row>
    <row r="744" spans="1:3" ht="13" x14ac:dyDescent="0.15">
      <c r="A744" s="1" t="str">
        <f ca="1">IFERROR(__xludf.DUMMYFUNCTION("GOOGLETRANSLATE(A744, ""zh"", ""en"")"),"In 2022, we will implement green procurement requirements in desktop computer printing furniture and other procurement projects.")</f>
        <v>In 2022, we will implement green procurement requirements in desktop computer printing furniture and other procurement projects.</v>
      </c>
      <c r="B744" s="1" t="str">
        <f ca="1">IFERROR(__xludf.DUMMYFUNCTION("GOOGLETRANSLATE(A744, ""zh"", ""en"")"),"raw materials")</f>
        <v>raw materials</v>
      </c>
      <c r="C744" s="1" t="str">
        <f ca="1">IFERROR(__xludf.DUMMYFUNCTION("GOOGLETRANSLATE(E744, ""zh"", ""en"")"),"Qualitative text")</f>
        <v>Qualitative text</v>
      </c>
    </row>
    <row r="745" spans="1:3" ht="13" x14ac:dyDescent="0.15">
      <c r="A745" s="1" t="str">
        <f ca="1">IFERROR(__xludf.DUMMYFUNCTION("GOOGLETRANSLATE(A745, ""zh"", ""en"")"),"Key Effectiveness Indicator 87.2 Describe the prevention, reporting and reporting procedures and related implementation and follow-up methods")</f>
        <v>Key Effectiveness Indicator 87.2 Describe the prevention, reporting and reporting procedures and related implementation and follow-up methods</v>
      </c>
      <c r="B745" s="1" t="str">
        <f ca="1">IFERROR(__xludf.DUMMYFUNCTION("GOOGLETRANSLATE(A745, ""zh"", ""en"")"),"Reporting System")</f>
        <v>Reporting System</v>
      </c>
      <c r="C745" s="1" t="str">
        <f ca="1">IFERROR(__xludf.DUMMYFUNCTION("GOOGLETRANSLATE(E745, ""zh"", ""en"")"),"Qualitative text")</f>
        <v>Qualitative text</v>
      </c>
    </row>
    <row r="746" spans="1:3" ht="13" x14ac:dyDescent="0.15">
      <c r="A746" s="1" t="str">
        <f ca="1">IFERROR(__xludf.DUMMYFUNCTION("GOOGLETRANSLATE(A746, ""zh"", ""en"")"),"These statements use words such as “believe,” “assume,” “anticipate,” “expect,” “may,” “plan,” or similar expressions.")</f>
        <v>These statements use words such as “believe,” “assume,” “anticipate,” “expect,” “may,” “plan,” or similar expressions.</v>
      </c>
      <c r="B746" s="1" t="str">
        <f ca="1">IFERROR(__xludf.DUMMYFUNCTION("GOOGLETRANSLATE(A746, ""zh"", ""en"")"),"irrelevant text")</f>
        <v>irrelevant text</v>
      </c>
      <c r="C746" s="1" t="str">
        <f ca="1">IFERROR(__xludf.DUMMYFUNCTION("GOOGLETRANSLATE(E746, ""zh"", ""en"")"),"irrelevant text")</f>
        <v>irrelevant text</v>
      </c>
    </row>
    <row r="747" spans="1:3" ht="13" x14ac:dyDescent="0.15">
      <c r="A747" s="1" t="str">
        <f ca="1">IFERROR(__xludf.DUMMYFUNCTION("GOOGLETRANSLATE(A747, ""zh"", ""en"")"),"Two achievements, including deepwater drilling wellbore working fluid, were selected into the recommended catalog of scientific and technological innovation achievements of central enterprises")</f>
        <v>Two achievements, including deepwater drilling wellbore working fluid, were selected into the recommended catalog of scientific and technological innovation achievements of central enterprises</v>
      </c>
      <c r="B747" s="1" t="str">
        <f ca="1">IFERROR(__xludf.DUMMYFUNCTION("GOOGLETRANSLATE(A747, ""zh"", ""en"")"),"Technological innovation")</f>
        <v>Technological innovation</v>
      </c>
      <c r="C747" s="1" t="str">
        <f ca="1">IFERROR(__xludf.DUMMYFUNCTION("GOOGLETRANSLATE(E747, ""zh"", ""en"")"),"Quantitative Text")</f>
        <v>Quantitative Text</v>
      </c>
    </row>
    <row r="748" spans="1:3" ht="13" x14ac:dyDescent="0.15">
      <c r="A748" s="1" t="str">
        <f ca="1">IFERROR(__xludf.DUMMYFUNCTION("GOOGLETRANSLATE(A748, ""zh"", ""en"")"),"Customers are our priority, service is our priority. Shanghai Electric insists on being customer-centric and fulfilling its responsibilities.")</f>
        <v>Customers are our priority, service is our priority. Shanghai Electric insists on being customer-centric and fulfilling its responsibilities.</v>
      </c>
      <c r="B748" s="1" t="str">
        <f ca="1">IFERROR(__xludf.DUMMYFUNCTION("GOOGLETRANSLATE(A748, ""zh"", ""en"")"),"Customers and Consumers")</f>
        <v>Customers and Consumers</v>
      </c>
      <c r="C748" s="1" t="str">
        <f ca="1">IFERROR(__xludf.DUMMYFUNCTION("GOOGLETRANSLATE(E748, ""zh"", ""en"")"),"Qualitative text")</f>
        <v>Qualitative text</v>
      </c>
    </row>
    <row r="749" spans="1:3" ht="13" x14ac:dyDescent="0.15">
      <c r="A749" s="1" t="str">
        <f ca="1">IFERROR(__xludf.DUMMYFUNCTION("GOOGLETRANSLATE(A749, ""zh"", ""en"")"),"P56B3.2 Average hours of training completed per employee by gender and employee category")</f>
        <v>P56B3.2 Average hours of training completed per employee by gender and employee category</v>
      </c>
      <c r="B749" s="1" t="str">
        <f ca="1">IFERROR(__xludf.DUMMYFUNCTION("GOOGLETRANSLATE(A749, ""zh"", ""en"")"),"staff")</f>
        <v>staff</v>
      </c>
      <c r="C749" s="1" t="str">
        <f ca="1">IFERROR(__xludf.DUMMYFUNCTION("GOOGLETRANSLATE(E749, ""zh"", ""en"")"),"Qualitative text")</f>
        <v>Qualitative text</v>
      </c>
    </row>
    <row r="750" spans="1:3" ht="13" x14ac:dyDescent="0.15">
      <c r="A750" s="1" t="str">
        <f ca="1">IFERROR(__xludf.DUMMYFUNCTION("GOOGLETRANSLATE(A750, ""zh"", ""en"")"),"At the same time, the company continues to strengthen the quality of information disclosure to guide investors to rationally understand and evaluate the company's development")</f>
        <v>At the same time, the company continues to strengthen the quality of information disclosure to guide investors to rationally understand and evaluate the company's development</v>
      </c>
      <c r="B750" s="1" t="str">
        <f ca="1">IFERROR(__xludf.DUMMYFUNCTION("GOOGLETRANSLATE(A750, ""zh"", ""en"")"),"Information Disclosure and Investor Communication")</f>
        <v>Information Disclosure and Investor Communication</v>
      </c>
      <c r="C750" s="1" t="str">
        <f ca="1">IFERROR(__xludf.DUMMYFUNCTION("GOOGLETRANSLATE(E750, ""zh"", ""en"")"),"Qualitative text")</f>
        <v>Qualitative text</v>
      </c>
    </row>
    <row r="751" spans="1:3" ht="13" x14ac:dyDescent="0.15">
      <c r="A751" s="1" t="str">
        <f ca="1">IFERROR(__xludf.DUMMYFUNCTION("GOOGLETRANSLATE(A751, ""zh"", ""en"")"),"During the reporting period, no product recalls due to product safety reasons occurred among the products sold or shipped.")</f>
        <v>During the reporting period, no product recalls due to product safety reasons occurred among the products sold or shipped.</v>
      </c>
      <c r="B751" s="1" t="str">
        <f ca="1">IFERROR(__xludf.DUMMYFUNCTION("GOOGLETRANSLATE(A751, ""zh"", ""en"")"),"Product quality")</f>
        <v>Product quality</v>
      </c>
      <c r="C751" s="1" t="str">
        <f ca="1">IFERROR(__xludf.DUMMYFUNCTION("GOOGLETRANSLATE(E751, ""zh"", ""en"")"),"Quantitative Text")</f>
        <v>Quantitative Text</v>
      </c>
    </row>
    <row r="752" spans="1:3" ht="13" x14ac:dyDescent="0.15">
      <c r="A752" s="1" t="str">
        <f ca="1">IFERROR(__xludf.DUMMYFUNCTION("GOOGLETRANSLATE(A752, ""zh"", ""en"")"),"We closely follow market trends and will promptly increase inventory if we find any abnormal situation such as tight product supply.")</f>
        <v>We closely follow market trends and will promptly increase inventory if we find any abnormal situation such as tight product supply.</v>
      </c>
      <c r="B752" s="1" t="str">
        <f ca="1">IFERROR(__xludf.DUMMYFUNCTION("GOOGLETRANSLATE(A752, ""zh"", ""en"")"),"supply chain management")</f>
        <v>supply chain management</v>
      </c>
      <c r="C752" s="1" t="str">
        <f ca="1">IFERROR(__xludf.DUMMYFUNCTION("GOOGLETRANSLATE(E752, ""zh"", ""en"")"),"Qualitative text")</f>
        <v>Qualitative text</v>
      </c>
    </row>
    <row r="753" spans="1:3" ht="13" x14ac:dyDescent="0.15">
      <c r="A753" s="1" t="str">
        <f ca="1">IFERROR(__xludf.DUMMYFUNCTION("GOOGLETRANSLATE(A753, ""zh"", ""en"")"),"Livzon Group hopes to promote green and low-carbon development of the supply chain through joint efforts with supply chain partners.")</f>
        <v>Livzon Group hopes to promote green and low-carbon development of the supply chain through joint efforts with supply chain partners.</v>
      </c>
      <c r="B753" s="1" t="str">
        <f ca="1">IFERROR(__xludf.DUMMYFUNCTION("GOOGLETRANSLATE(A753, ""zh"", ""en"")"),"supply chain management")</f>
        <v>supply chain management</v>
      </c>
      <c r="C753" s="1" t="str">
        <f ca="1">IFERROR(__xludf.DUMMYFUNCTION("GOOGLETRANSLATE(E753, ""zh"", ""en"")"),"Qualitative text")</f>
        <v>Qualitative text</v>
      </c>
    </row>
    <row r="754" spans="1:3" ht="13" x14ac:dyDescent="0.15">
      <c r="A754" s="1" t="str">
        <f ca="1">IFERROR(__xludf.DUMMYFUNCTION("GOOGLETRANSLATE(A754, ""zh"", ""en"")"),"We fully utilize online learning platforms to expand the scope of training and facilitate employees to learn anytime and anywhere")</f>
        <v>We fully utilize online learning platforms to expand the scope of training and facilitate employees to learn anytime and anywhere</v>
      </c>
      <c r="B754" s="1" t="str">
        <f ca="1">IFERROR(__xludf.DUMMYFUNCTION("GOOGLETRANSLATE(A754, ""zh"", ""en"")"),"staff")</f>
        <v>staff</v>
      </c>
      <c r="C754" s="1" t="str">
        <f ca="1">IFERROR(__xludf.DUMMYFUNCTION("GOOGLETRANSLATE(E754, ""zh"", ""en"")"),"Qualitative text")</f>
        <v>Qualitative text</v>
      </c>
    </row>
    <row r="755" spans="1:3" ht="13" x14ac:dyDescent="0.15">
      <c r="A755" s="1" t="str">
        <f ca="1">IFERROR(__xludf.DUMMYFUNCTION("GOOGLETRANSLATE(A755, ""zh"", ""en"")"),"Carrying out green management throughout the entire life cycle to minimize environmental impact is our long-term pursuit")</f>
        <v>Carrying out green management throughout the entire life cycle to minimize environmental impact is our long-term pursuit</v>
      </c>
      <c r="B755" s="1" t="str">
        <f ca="1">IFERROR(__xludf.DUMMYFUNCTION("GOOGLETRANSLATE(A755, ""zh"", ""en"")"),"Environmental Policy")</f>
        <v>Environmental Policy</v>
      </c>
      <c r="C755" s="1" t="str">
        <f ca="1">IFERROR(__xludf.DUMMYFUNCTION("GOOGLETRANSLATE(E755, ""zh"", ""en"")"),"Qualitative text")</f>
        <v>Qualitative text</v>
      </c>
    </row>
    <row r="756" spans="1:3" ht="13" x14ac:dyDescent="0.15">
      <c r="A756" s="1" t="str">
        <f ca="1">IFERROR(__xludf.DUMMYFUNCTION("GOOGLETRANSLATE(A756, ""zh"", ""en"")"),"Encourage employees to use public transportation or electric vehicles to reduce carbon emissions")</f>
        <v>Encourage employees to use public transportation or electric vehicles to reduce carbon emissions</v>
      </c>
      <c r="B756" s="1" t="str">
        <f ca="1">IFERROR(__xludf.DUMMYFUNCTION("GOOGLETRANSLATE(A756, ""zh"", ""en"")"),"carbon emissions")</f>
        <v>carbon emissions</v>
      </c>
      <c r="C756" s="1" t="str">
        <f ca="1">IFERROR(__xludf.DUMMYFUNCTION("GOOGLETRANSLATE(E756, ""zh"", ""en"")"),"Qualitative text")</f>
        <v>Qualitative text</v>
      </c>
    </row>
    <row r="757" spans="1:3" ht="13" x14ac:dyDescent="0.15">
      <c r="A757" s="1" t="str">
        <f ca="1">IFERROR(__xludf.DUMMYFUNCTION("GOOGLETRANSLATE(A757, ""zh"", ""en"")"),"In 2022, the company provided psychological counseling to 720 people to effectively relieve employees' negative emotions.")</f>
        <v>In 2022, the company provided psychological counseling to 720 people to effectively relieve employees' negative emotions.</v>
      </c>
      <c r="B757" s="1" t="str">
        <f ca="1">IFERROR(__xludf.DUMMYFUNCTION("GOOGLETRANSLATE(A757, ""zh"", ""en"")"),"staff")</f>
        <v>staff</v>
      </c>
      <c r="C757" s="1" t="str">
        <f ca="1">IFERROR(__xludf.DUMMYFUNCTION("GOOGLETRANSLATE(E757, ""zh"", ""en"")"),"Quantitative Text")</f>
        <v>Quantitative Text</v>
      </c>
    </row>
    <row r="758" spans="1:3" ht="13" x14ac:dyDescent="0.15">
      <c r="A758" s="1" t="str">
        <f ca="1">IFERROR(__xludf.DUMMYFUNCTION("GOOGLETRANSLATE(A758, ""zh"", ""en"")"),"5.3 Health and Safety Key Performance Indicator B2.2 Number of work days lost due to work-related injuries")</f>
        <v>5.3 Health and Safety Key Performance Indicator B2.2 Number of work days lost due to work-related injuries</v>
      </c>
      <c r="B758" s="1" t="str">
        <f ca="1">IFERROR(__xludf.DUMMYFUNCTION("GOOGLETRANSLATE(A758, ""zh"", ""en"")"),"staff")</f>
        <v>staff</v>
      </c>
      <c r="C758" s="1" t="str">
        <f ca="1">IFERROR(__xludf.DUMMYFUNCTION("GOOGLETRANSLATE(E758, ""zh"", ""en"")"),"Quantitative Text")</f>
        <v>Quantitative Text</v>
      </c>
    </row>
    <row r="759" spans="1:3" ht="13" x14ac:dyDescent="0.15">
      <c r="A759" s="1" t="str">
        <f ca="1">IFERROR(__xludf.DUMMYFUNCTION("GOOGLETRANSLATE(A759, ""zh"", ""en"")"),"The HCML Safety Gold Award is a full recognition of COSL Indonesia’s drilling and completion service capabilities")</f>
        <v>The HCML Safety Gold Award is a full recognition of COSL Indonesia’s drilling and completion service capabilities</v>
      </c>
      <c r="B759" s="1" t="str">
        <f ca="1">IFERROR(__xludf.DUMMYFUNCTION("GOOGLETRANSLATE(A759, ""zh"", ""en"")"),"Product quality")</f>
        <v>Product quality</v>
      </c>
      <c r="C759" s="1" t="str">
        <f ca="1">IFERROR(__xludf.DUMMYFUNCTION("GOOGLETRANSLATE(E759, ""zh"", ""en"")"),"Qualitative text")</f>
        <v>Qualitative text</v>
      </c>
    </row>
    <row r="760" spans="1:3" ht="13" x14ac:dyDescent="0.15">
      <c r="A760" s="1" t="str">
        <f ca="1">IFERROR(__xludf.DUMMYFUNCTION("GOOGLETRANSLATE(A760, ""zh"", ""en"")"),"Tibet Everest organizes annual employee physical examinations and continuously strengthens the management of employee health protection.")</f>
        <v>Tibet Everest organizes annual employee physical examinations and continuously strengthens the management of employee health protection.</v>
      </c>
      <c r="B760" s="1" t="str">
        <f ca="1">IFERROR(__xludf.DUMMYFUNCTION("GOOGLETRANSLATE(A760, ""zh"", ""en"")"),"staff")</f>
        <v>staff</v>
      </c>
      <c r="C760" s="1" t="str">
        <f ca="1">IFERROR(__xludf.DUMMYFUNCTION("GOOGLETRANSLATE(E760, ""zh"", ""en"")"),"Qualitative text")</f>
        <v>Qualitative text</v>
      </c>
    </row>
    <row r="761" spans="1:3" ht="13" x14ac:dyDescent="0.15">
      <c r="A761" s="1" t="str">
        <f ca="1">IFERROR(__xludf.DUMMYFUNCTION("GOOGLETRANSLATE(A761, ""zh"", ""en"")"),"The outstanding maritime rescue performance has won great praise and high recognition from the national maritime authorities")</f>
        <v>The outstanding maritime rescue performance has won great praise and high recognition from the national maritime authorities</v>
      </c>
      <c r="B761" s="1" t="str">
        <f ca="1">IFERROR(__xludf.DUMMYFUNCTION("GOOGLETRANSLATE(A761, ""zh"", ""en"")"),"Public welfare and volunteer service")</f>
        <v>Public welfare and volunteer service</v>
      </c>
      <c r="C761" s="1" t="str">
        <f ca="1">IFERROR(__xludf.DUMMYFUNCTION("GOOGLETRANSLATE(E761, ""zh"", ""en"")"),"Qualitative text")</f>
        <v>Qualitative text</v>
      </c>
    </row>
    <row r="762" spans="1:3" ht="13" x14ac:dyDescent="0.15">
      <c r="A762" s="1" t="str">
        <f ca="1">IFERROR(__xludf.DUMMYFUNCTION("GOOGLETRANSLATE(A762, ""zh"", ""en"")"),"Actively participate in the ""I Plant a Tree for Carbon Neutrality"" charity event and contribute to carbon emission reduction through afforestation.")</f>
        <v>Actively participate in the "I Plant a Tree for Carbon Neutrality" charity event and contribute to carbon emission reduction through afforestation.</v>
      </c>
      <c r="B762" s="1" t="str">
        <f ca="1">IFERROR(__xludf.DUMMYFUNCTION("GOOGLETRANSLATE(A762, ""zh"", ""en"")"),"carbon emissions")</f>
        <v>carbon emissions</v>
      </c>
      <c r="C762" s="1" t="str">
        <f ca="1">IFERROR(__xludf.DUMMYFUNCTION("GOOGLETRANSLATE(E762, ""zh"", ""en"")"),"Qualitative text")</f>
        <v>Qualitative text</v>
      </c>
    </row>
    <row r="763" spans="1:3" ht="13" x14ac:dyDescent="0.15">
      <c r="A763" s="1" t="str">
        <f ca="1">IFERROR(__xludf.DUMMYFUNCTION("GOOGLETRANSLATE(A763, ""zh"", ""en"")"),"Actively guide cadres and employees to spontaneously purchase products from the targeted regions and give full play to the vanguard and exemplary role of Party members and cadres")</f>
        <v>Actively guide cadres and employees to spontaneously purchase products from the targeted regions and give full play to the vanguard and exemplary role of Party members and cadres</v>
      </c>
      <c r="B763" s="1" t="str">
        <f ca="1">IFERROR(__xludf.DUMMYFUNCTION("GOOGLETRANSLATE(A763, ""zh"", ""en"")"),"Rural assistance")</f>
        <v>Rural assistance</v>
      </c>
      <c r="C763" s="1" t="str">
        <f ca="1">IFERROR(__xludf.DUMMYFUNCTION("GOOGLETRANSLATE(E763, ""zh"", ""en"")"),"Qualitative text")</f>
        <v>Qualitative text</v>
      </c>
    </row>
    <row r="764" spans="1:3" ht="13" x14ac:dyDescent="0.15">
      <c r="A764" s="1" t="str">
        <f ca="1">IFERROR(__xludf.DUMMYFUNCTION("GOOGLETRANSLATE(A764, ""zh"", ""en"")"),"The company's refineries fully supply National VI standard gasoline and diesel to meet the market demand for high-quality oil products")</f>
        <v>The company's refineries fully supply National VI standard gasoline and diesel to meet the market demand for high-quality oil products</v>
      </c>
      <c r="B764" s="1" t="str">
        <f ca="1">IFERROR(__xludf.DUMMYFUNCTION("GOOGLETRANSLATE(A764, ""zh"", ""en"")"),"Product quality")</f>
        <v>Product quality</v>
      </c>
      <c r="C764" s="1" t="str">
        <f ca="1">IFERROR(__xludf.DUMMYFUNCTION("GOOGLETRANSLATE(E764, ""zh"", ""en"")"),"Qualitative text")</f>
        <v>Qualitative text</v>
      </c>
    </row>
    <row r="765" spans="1:3" ht="13" x14ac:dyDescent="0.15">
      <c r="A765" s="1" t="str">
        <f ca="1">IFERROR(__xludf.DUMMYFUNCTION("GOOGLETRANSLATE(A765, ""zh"", ""en"")"),"Held 9 online walking events to promote a better life, with nearly 200 participants in each session")</f>
        <v>Held 9 online walking events to promote a better life, with nearly 200 participants in each session</v>
      </c>
      <c r="B765" s="1" t="str">
        <f ca="1">IFERROR(__xludf.DUMMYFUNCTION("GOOGLETRANSLATE(A765, ""zh"", ""en"")"),"Public welfare and volunteer service")</f>
        <v>Public welfare and volunteer service</v>
      </c>
      <c r="C765" s="1" t="str">
        <f ca="1">IFERROR(__xludf.DUMMYFUNCTION("GOOGLETRANSLATE(E765, ""zh"", ""en"")"),"Quantitative Text")</f>
        <v>Quantitative Text</v>
      </c>
    </row>
    <row r="766" spans="1:3" ht="13" x14ac:dyDescent="0.15">
      <c r="A766" s="1" t="str">
        <f ca="1">IFERROR(__xludf.DUMMYFUNCTION("GOOGLETRANSLATE(A766, ""zh"", ""en"")"),"The number of telephone consultations received throughout the year was 203,300, and the customer service satisfaction rate reached 99.04%.")</f>
        <v>The number of telephone consultations received throughout the year was 203,300, and the customer service satisfaction rate reached 99.04%.</v>
      </c>
      <c r="B766" s="1" t="str">
        <f ca="1">IFERROR(__xludf.DUMMYFUNCTION("GOOGLETRANSLATE(A766, ""zh"", ""en"")"),"Customers and Consumers")</f>
        <v>Customers and Consumers</v>
      </c>
      <c r="C766" s="1" t="str">
        <f ca="1">IFERROR(__xludf.DUMMYFUNCTION("GOOGLETRANSLATE(E766, ""zh"", ""en"")"),"Quantitative Text")</f>
        <v>Quantitative Text</v>
      </c>
    </row>
    <row r="767" spans="1:3" ht="13" x14ac:dyDescent="0.15">
      <c r="A767" s="1" t="str">
        <f ca="1">IFERROR(__xludf.DUMMYFUNCTION("GOOGLETRANSLATE(A767, ""zh"", ""en"")"),"Implementing universal employee care measures and providing recuperation services throughout the year, benefiting more than 5,900 employees")</f>
        <v>Implementing universal employee care measures and providing recuperation services throughout the year, benefiting more than 5,900 employees</v>
      </c>
      <c r="B767" s="1" t="str">
        <f ca="1">IFERROR(__xludf.DUMMYFUNCTION("GOOGLETRANSLATE(A767, ""zh"", ""en"")"),"staff")</f>
        <v>staff</v>
      </c>
      <c r="C767" s="1" t="str">
        <f ca="1">IFERROR(__xludf.DUMMYFUNCTION("GOOGLETRANSLATE(E767, ""zh"", ""en"")"),"Quantitative Text")</f>
        <v>Quantitative Text</v>
      </c>
    </row>
    <row r="768" spans="1:3" ht="13" x14ac:dyDescent="0.15">
      <c r="A768" s="1" t="str">
        <f ca="1">IFERROR(__xludf.DUMMYFUNCTION("GOOGLETRANSLATE(A768, ""zh"", ""en"")"),"Please log in to the company's official website httpwww.cosl.com.cn to download the electronic version")</f>
        <v>Please log in to the company's official website httpwww.cosl.com.cn to download the electronic version</v>
      </c>
      <c r="B768" s="1" t="str">
        <f ca="1">IFERROR(__xludf.DUMMYFUNCTION("GOOGLETRANSLATE(A768, ""zh"", ""en"")"),"irrelevant text")</f>
        <v>irrelevant text</v>
      </c>
      <c r="C768" s="1" t="str">
        <f ca="1">IFERROR(__xludf.DUMMYFUNCTION("GOOGLETRANSLATE(E768, ""zh"", ""en"")"),"irrelevant text")</f>
        <v>irrelevant text</v>
      </c>
    </row>
    <row r="769" spans="1:3" ht="13" x14ac:dyDescent="0.15">
      <c r="A769" s="1" t="str">
        <f ca="1">IFERROR(__xludf.DUMMYFUNCTION("GOOGLETRANSLATE(A769, ""zh"", ""en"")"),"Conduct temperature measurement and double code verification for every owner entering and leaving, and register detailed entry and exit information.")</f>
        <v>Conduct temperature measurement and double code verification for every owner entering and leaving, and register detailed entry and exit information.</v>
      </c>
      <c r="B769" s="1" t="str">
        <f ca="1">IFERROR(__xludf.DUMMYFUNCTION("GOOGLETRANSLATE(A769, ""zh"", ""en"")"),"Fighting the epidemic")</f>
        <v>Fighting the epidemic</v>
      </c>
      <c r="C769" s="1" t="str">
        <f ca="1">IFERROR(__xludf.DUMMYFUNCTION("GOOGLETRANSLATE(E769, ""zh"", ""en"")"),"Qualitative text")</f>
        <v>Qualitative text</v>
      </c>
    </row>
    <row r="770" spans="1:3" ht="13" x14ac:dyDescent="0.15">
      <c r="A770" s="1" t="str">
        <f ca="1">IFERROR(__xludf.DUMMYFUNCTION("GOOGLETRANSLATE(A770, ""zh"", ""en"")"),"In 2022, in addition to the interference of the epidemic, natural disasters also threaten people's lives and property safety.")</f>
        <v>In 2022, in addition to the interference of the epidemic, natural disasters also threaten people's lives and property safety.</v>
      </c>
      <c r="B770" s="1" t="str">
        <f ca="1">IFERROR(__xludf.DUMMYFUNCTION("GOOGLETRANSLATE(A770, ""zh"", ""en"")"),"Fighting the epidemic")</f>
        <v>Fighting the epidemic</v>
      </c>
      <c r="C770" s="1" t="str">
        <f ca="1">IFERROR(__xludf.DUMMYFUNCTION("GOOGLETRANSLATE(E770, ""zh"", ""en"")"),"Qualitative text")</f>
        <v>Qualitative text</v>
      </c>
    </row>
    <row r="771" spans="1:3" ht="13" x14ac:dyDescent="0.15">
      <c r="A771" s="1" t="str">
        <f ca="1">IFERROR(__xludf.DUMMYFUNCTION("GOOGLETRANSLATE(A771, ""zh"", ""en"")"),"Based on the information from the smart supply chain platform, no corruption incidents occurred among Shanghai Electric suppliers in 2022.")</f>
        <v>Based on the information from the smart supply chain platform, no corruption incidents occurred among Shanghai Electric suppliers in 2022.</v>
      </c>
      <c r="B771" s="1" t="str">
        <f ca="1">IFERROR(__xludf.DUMMYFUNCTION("GOOGLETRANSLATE(A771, ""zh"", ""en"")"),"Anti-corruption and anti-money laundering")</f>
        <v>Anti-corruption and anti-money laundering</v>
      </c>
      <c r="C771" s="1" t="str">
        <f ca="1">IFERROR(__xludf.DUMMYFUNCTION("GOOGLETRANSLATE(E771, ""zh"", ""en"")"),"Quantitative Text")</f>
        <v>Quantitative Text</v>
      </c>
    </row>
    <row r="772" spans="1:3" ht="13" x14ac:dyDescent="0.15">
      <c r="A772" s="1" t="str">
        <f ca="1">IFERROR(__xludf.DUMMYFUNCTION("GOOGLETRANSLATE(A772, ""zh"", ""en"")"),"In April 2021, our employees rescued a kestrel, a national second-class protected animal with injured wings.")</f>
        <v>In April 2021, our employees rescued a kestrel, a national second-class protected animal with injured wings.</v>
      </c>
      <c r="B772" s="1" t="str">
        <f ca="1">IFERROR(__xludf.DUMMYFUNCTION("GOOGLETRANSLATE(A772, ""zh"", ""en"")"),"biodiversity")</f>
        <v>biodiversity</v>
      </c>
      <c r="C772" s="1" t="str">
        <f ca="1">IFERROR(__xludf.DUMMYFUNCTION("GOOGLETRANSLATE(E772, ""zh"", ""en"")"),"Qualitative text")</f>
        <v>Qualitative text</v>
      </c>
    </row>
    <row r="773" spans="1:3" ht="13" x14ac:dyDescent="0.15">
      <c r="A773" s="1" t="str">
        <f ca="1">IFERROR(__xludf.DUMMYFUNCTION("GOOGLETRANSLATE(A773, ""zh"", ""en"")"),"Harmonious work aims to promote effective communication between employees and managers and exchange experiences on how to care for employees")</f>
        <v>Harmonious work aims to promote effective communication between employees and managers and exchange experiences on how to care for employees</v>
      </c>
      <c r="B773" s="1" t="str">
        <f ca="1">IFERROR(__xludf.DUMMYFUNCTION("GOOGLETRANSLATE(A773, ""zh"", ""en"")"),"staff")</f>
        <v>staff</v>
      </c>
      <c r="C773" s="1" t="str">
        <f ca="1">IFERROR(__xludf.DUMMYFUNCTION("GOOGLETRANSLATE(E773, ""zh"", ""en"")"),"Qualitative text")</f>
        <v>Qualitative text</v>
      </c>
    </row>
    <row r="774" spans="1:3" ht="13" x14ac:dyDescent="0.15">
      <c r="A774" s="1" t="str">
        <f ca="1">IFERROR(__xludf.DUMMYFUNCTION("GOOGLETRANSLATE(A774, ""zh"", ""en"")"),"Establish a hierarchical process for handling complaints about refined oil sales, requiring all complaints to be handled within a specified time limit.")</f>
        <v>Establish a hierarchical process for handling complaints about refined oil sales, requiring all complaints to be handled within a specified time limit.</v>
      </c>
      <c r="B774" s="1" t="str">
        <f ca="1">IFERROR(__xludf.DUMMYFUNCTION("GOOGLETRANSLATE(A774, ""zh"", ""en"")"),"Customers and Consumers")</f>
        <v>Customers and Consumers</v>
      </c>
      <c r="C774" s="1" t="str">
        <f ca="1">IFERROR(__xludf.DUMMYFUNCTION("GOOGLETRANSLATE(E774, ""zh"", ""en"")"),"Qualitative text")</f>
        <v>Qualitative text</v>
      </c>
    </row>
    <row r="775" spans="1:3" ht="13" x14ac:dyDescent="0.15">
      <c r="A775" s="1" t="str">
        <f ca="1">IFERROR(__xludf.DUMMYFUNCTION("GOOGLETRANSLATE(A775, ""zh"", ""en"")"),"Formulate and implement employee welfare fund management measures to pilot and standardize welfare fund items and usage management throughout the group")</f>
        <v>Formulate and implement employee welfare fund management measures to pilot and standardize welfare fund items and usage management throughout the group</v>
      </c>
      <c r="B775" s="1" t="str">
        <f ca="1">IFERROR(__xludf.DUMMYFUNCTION("GOOGLETRANSLATE(A775, ""zh"", ""en"")"),"staff")</f>
        <v>staff</v>
      </c>
      <c r="C775" s="1" t="str">
        <f ca="1">IFERROR(__xludf.DUMMYFUNCTION("GOOGLETRANSLATE(E775, ""zh"", ""en"")"),"Qualitative text")</f>
        <v>Qualitative text</v>
      </c>
    </row>
    <row r="776" spans="1:3" ht="13" x14ac:dyDescent="0.15">
      <c r="A776" s="1" t="str">
        <f ca="1">IFERROR(__xludf.DUMMYFUNCTION("GOOGLETRANSLATE(A776, ""zh"", ""en"")"),"At the same time, the company pays great attention to customer needs and market changes and has established a relatively complete marketing network")</f>
        <v>At the same time, the company pays great attention to customer needs and market changes and has established a relatively complete marketing network</v>
      </c>
      <c r="B776" s="1" t="str">
        <f ca="1">IFERROR(__xludf.DUMMYFUNCTION("GOOGLETRANSLATE(A776, ""zh"", ""en"")"),"Customers and Consumers")</f>
        <v>Customers and Consumers</v>
      </c>
      <c r="C776" s="1" t="str">
        <f ca="1">IFERROR(__xludf.DUMMYFUNCTION("GOOGLETRANSLATE(E776, ""zh"", ""en"")"),"Qualitative text")</f>
        <v>Qualitative text</v>
      </c>
    </row>
    <row r="777" spans="1:3" ht="13" x14ac:dyDescent="0.15">
      <c r="A777" s="1" t="str">
        <f ca="1">IFERROR(__xludf.DUMMYFUNCTION("GOOGLETRANSLATE(A777, ""zh"", ""en"")"),"At the same time, we continue to optimize operating processes, promote technological innovation, optimize service quality and comprehensively improve customer satisfaction")</f>
        <v>At the same time, we continue to optimize operating processes, promote technological innovation, optimize service quality and comprehensively improve customer satisfaction</v>
      </c>
      <c r="B777" s="1" t="str">
        <f ca="1">IFERROR(__xludf.DUMMYFUNCTION("GOOGLETRANSLATE(A777, ""zh"", ""en"")"),"Customers and Consumers")</f>
        <v>Customers and Consumers</v>
      </c>
      <c r="C777" s="1" t="str">
        <f ca="1">IFERROR(__xludf.DUMMYFUNCTION("GOOGLETRANSLATE(E777, ""zh"", ""en"")"),"Qualitative text")</f>
        <v>Qualitative text</v>
      </c>
    </row>
    <row r="778" spans="1:3" ht="13" x14ac:dyDescent="0.15">
      <c r="A778" s="1" t="str">
        <f ca="1">IFERROR(__xludf.DUMMYFUNCTION("GOOGLETRANSLATE(A778, ""zh"", ""en"")"),"Reputational risk: Negative feedback from stakeholders due to poor performance in addressing climate change and sustainability")</f>
        <v>Reputational risk: Negative feedback from stakeholders due to poor performance in addressing climate change and sustainability</v>
      </c>
      <c r="B778" s="1" t="str">
        <f ca="1">IFERROR(__xludf.DUMMYFUNCTION("GOOGLETRANSLATE(A778, ""zh"", ""en"")"),"Addressing climate change")</f>
        <v>Addressing climate change</v>
      </c>
      <c r="C778" s="1" t="str">
        <f ca="1">IFERROR(__xludf.DUMMYFUNCTION("GOOGLETRANSLATE(E778, ""zh"", ""en"")"),"Qualitative text")</f>
        <v>Qualitative text</v>
      </c>
    </row>
    <row r="779" spans="1:3" ht="13" x14ac:dyDescent="0.15">
      <c r="A779" s="1" t="str">
        <f ca="1">IFERROR(__xludf.DUMMYFUNCTION("GOOGLETRANSLATE(A779, ""zh"", ""en"")"),"The signing rate of joint training candidates in 2022 is 50%, which has reserved excellent reserve talents for Haier Smart Home.")</f>
        <v>The signing rate of joint training candidates in 2022 is 50%, which has reserved excellent reserve talents for Haier Smart Home.</v>
      </c>
      <c r="B779" s="1" t="str">
        <f ca="1">IFERROR(__xludf.DUMMYFUNCTION("GOOGLETRANSLATE(A779, ""zh"", ""en"")"),"Promoting employment")</f>
        <v>Promoting employment</v>
      </c>
      <c r="C779" s="1" t="str">
        <f ca="1">IFERROR(__xludf.DUMMYFUNCTION("GOOGLETRANSLATE(E779, ""zh"", ""en"")"),"Quantitative Text")</f>
        <v>Quantitative Text</v>
      </c>
    </row>
    <row r="780" spans="1:3" ht="13" x14ac:dyDescent="0.15">
      <c r="A780" s="1" t="str">
        <f ca="1">IFERROR(__xludf.DUMMYFUNCTION("GOOGLETRANSLATE(A780, ""zh"", ""en"")"),"Establishing an Indigenous Relations Committee to identify risks and opportunities related to Indigenous stakeholders")</f>
        <v>Establishing an Indigenous Relations Committee to identify risks and opportunities related to Indigenous stakeholders</v>
      </c>
      <c r="B780" s="1" t="str">
        <f ca="1">IFERROR(__xludf.DUMMYFUNCTION("GOOGLETRANSLATE(A780, ""zh"", ""en"")"),"biodiversity")</f>
        <v>biodiversity</v>
      </c>
      <c r="C780" s="1" t="str">
        <f ca="1">IFERROR(__xludf.DUMMYFUNCTION("GOOGLETRANSLATE(E780, ""zh"", ""en"")"),"Qualitative text")</f>
        <v>Qualitative text</v>
      </c>
    </row>
    <row r="781" spans="1:3" ht="13" x14ac:dyDescent="0.15">
      <c r="A781" s="1" t="str">
        <f ca="1">IFERROR(__xludf.DUMMYFUNCTION("GOOGLETRANSLATE(A781, ""zh"", ""en"")"),"From 2008 till now, Haier Smart Home is the home appliance enterprise with the most awards, having won 174 awards.")</f>
        <v>From 2008 till now, Haier Smart Home is the home appliance enterprise with the most awards, having won 174 awards.</v>
      </c>
      <c r="B781" s="1" t="str">
        <f ca="1">IFERROR(__xludf.DUMMYFUNCTION("GOOGLETRANSLATE(A781, ""zh"", ""en"")"),"Product quality")</f>
        <v>Product quality</v>
      </c>
      <c r="C781" s="1" t="str">
        <f ca="1">IFERROR(__xludf.DUMMYFUNCTION("GOOGLETRANSLATE(E781, ""zh"", ""en"")"),"Quantitative Text")</f>
        <v>Quantitative Text</v>
      </c>
    </row>
    <row r="782" spans="1:3" ht="13" x14ac:dyDescent="0.15">
      <c r="A782" s="1" t="str">
        <f ca="1">IFERROR(__xludf.DUMMYFUNCTION("GOOGLETRANSLATE(A782, ""zh"", ""en"")"),"Against the backdrop of slowing economic growth at home and abroad, China's home appliance industry has experienced an extraordinary year.")</f>
        <v>Against the backdrop of slowing economic growth at home and abroad, China's home appliance industry has experienced an extraordinary year.</v>
      </c>
      <c r="B782" s="1" t="str">
        <f ca="1">IFERROR(__xludf.DUMMYFUNCTION("GOOGLETRANSLATE(A782, ""zh"", ""en"")"),"irrelevant text")</f>
        <v>irrelevant text</v>
      </c>
      <c r="C782" s="1" t="str">
        <f ca="1">IFERROR(__xludf.DUMMYFUNCTION("GOOGLETRANSLATE(E782, ""zh"", ""en"")"),"irrelevant text")</f>
        <v>irrelevant text</v>
      </c>
    </row>
    <row r="783" spans="1:3" ht="13" x14ac:dyDescent="0.15">
      <c r="A783" s="1" t="str">
        <f ca="1">IFERROR(__xludf.DUMMYFUNCTION("GOOGLETRANSLATE(A783, ""zh"", ""en"")"),"As of 2020, two of the Group’s Erye Pharmaceutical Xinshengyuan plants have passed the energy management system certification.")</f>
        <v>As of 2020, two of the Group’s Erye Pharmaceutical Xinshengyuan plants have passed the energy management system certification.</v>
      </c>
      <c r="B783" s="1" t="str">
        <f ca="1">IFERROR(__xludf.DUMMYFUNCTION("GOOGLETRANSLATE(A783, ""zh"", ""en"")"),"Energy and resource consumption")</f>
        <v>Energy and resource consumption</v>
      </c>
      <c r="C783" s="1" t="str">
        <f ca="1">IFERROR(__xludf.DUMMYFUNCTION("GOOGLETRANSLATE(E783, ""zh"", ""en"")"),"Quantitative Text")</f>
        <v>Quantitative Text</v>
      </c>
    </row>
    <row r="784" spans="1:3" ht="13" x14ac:dyDescent="0.15">
      <c r="A784" s="1" t="str">
        <f ca="1">IFERROR(__xludf.DUMMYFUNCTION("GOOGLETRANSLATE(A784, ""zh"", ""en"")"),"The matching degree between performance and job requirements promotes the sustainable development of employees and enterprises and continues to improve")</f>
        <v>The matching degree between performance and job requirements promotes the sustainable development of employees and enterprises and continues to improve</v>
      </c>
      <c r="B784" s="1" t="str">
        <f ca="1">IFERROR(__xludf.DUMMYFUNCTION("GOOGLETRANSLATE(A784, ""zh"", ""en"")"),"staff")</f>
        <v>staff</v>
      </c>
      <c r="C784" s="1" t="str">
        <f ca="1">IFERROR(__xludf.DUMMYFUNCTION("GOOGLETRANSLATE(E784, ""zh"", ""en"")"),"Qualitative text")</f>
        <v>Qualitative text</v>
      </c>
    </row>
    <row r="785" spans="1:3" ht="13" x14ac:dyDescent="0.15">
      <c r="A785" s="1" t="str">
        <f ca="1">IFERROR(__xludf.DUMMYFUNCTION("GOOGLETRANSLATE(A785, ""zh"", ""en"")"),"Yaoyou Pharmaceutical Chairman Liu Qiang, President Zhang Yan and other company leaders attended the event and served the Yaoyou family.")</f>
        <v>Yaoyou Pharmaceutical Chairman Liu Qiang, President Zhang Yan and other company leaders attended the event and served the Yaoyou family.</v>
      </c>
      <c r="B785" s="1" t="str">
        <f ca="1">IFERROR(__xludf.DUMMYFUNCTION("GOOGLETRANSLATE(A785, ""zh"", ""en"")"),"Public welfare and volunteer service")</f>
        <v>Public welfare and volunteer service</v>
      </c>
      <c r="C785" s="1" t="str">
        <f ca="1">IFERROR(__xludf.DUMMYFUNCTION("GOOGLETRANSLATE(E785, ""zh"", ""en"")"),"Qualitative text")</f>
        <v>Qualitative text</v>
      </c>
    </row>
    <row r="786" spans="1:3" ht="13" x14ac:dyDescent="0.15">
      <c r="A786" s="1" t="str">
        <f ca="1">IFERROR(__xludf.DUMMYFUNCTION("GOOGLETRANSLATE(A786, ""zh"", ""en"")"),"No contractors were killed or seriously injured or above due to safety accidents or secondary disasters caused by the damage.")</f>
        <v>No contractors were killed or seriously injured or above due to safety accidents or secondary disasters caused by the damage.</v>
      </c>
      <c r="B786" s="1" t="str">
        <f ca="1">IFERROR(__xludf.DUMMYFUNCTION("GOOGLETRANSLATE(A786, ""zh"", ""en"")"),"staff")</f>
        <v>staff</v>
      </c>
      <c r="C786" s="1" t="str">
        <f ca="1">IFERROR(__xludf.DUMMYFUNCTION("GOOGLETRANSLATE(E786, ""zh"", ""en"")"),"Quantitative Text")</f>
        <v>Quantitative Text</v>
      </c>
    </row>
    <row r="787" spans="1:3" ht="13" x14ac:dyDescent="0.15">
      <c r="A787" s="1" t="str">
        <f ca="1">IFERROR(__xludf.DUMMYFUNCTION("GOOGLETRANSLATE(A787, ""zh"", ""en"")"),"B6.3 Describe practices related to maintaining and protecting intellectual property rights")</f>
        <v>B6.3 Describe practices related to maintaining and protecting intellectual property rights</v>
      </c>
      <c r="B787" s="1" t="str">
        <f ca="1">IFERROR(__xludf.DUMMYFUNCTION("GOOGLETRANSLATE(A787, ""zh"", ""en"")"),"Intellectual Property Protection")</f>
        <v>Intellectual Property Protection</v>
      </c>
      <c r="C787" s="1" t="str">
        <f ca="1">IFERROR(__xludf.DUMMYFUNCTION("GOOGLETRANSLATE(E787, ""zh"", ""en"")"),"Qualitative text")</f>
        <v>Qualitative text</v>
      </c>
    </row>
    <row r="788" spans="1:3" ht="13" x14ac:dyDescent="0.15">
      <c r="A788" s="1" t="str">
        <f ca="1">IFERROR(__xludf.DUMMYFUNCTION("GOOGLETRANSLATE(A788, ""zh"", ""en"")"),"22 Anti-corruption and compliance information on relevant laws, policies, regulations and practices that have a significant impact on the issuer")</f>
        <v>22 Anti-corruption and compliance information on relevant laws, policies, regulations and practices that have a significant impact on the issuer</v>
      </c>
      <c r="B788" s="1" t="str">
        <f ca="1">IFERROR(__xludf.DUMMYFUNCTION("GOOGLETRANSLATE(A788, ""zh"", ""en"")"),"Anti-corruption and anti-money laundering")</f>
        <v>Anti-corruption and anti-money laundering</v>
      </c>
      <c r="C788" s="1" t="str">
        <f ca="1">IFERROR(__xludf.DUMMYFUNCTION("GOOGLETRANSLATE(E788, ""zh"", ""en"")"),"Qualitative text")</f>
        <v>Qualitative text</v>
      </c>
    </row>
    <row r="789" spans="1:3" ht="13" x14ac:dyDescent="0.15">
      <c r="A789" s="1" t="str">
        <f ca="1">IFERROR(__xludf.DUMMYFUNCTION("GOOGLETRANSLATE(A789, ""zh"", ""en"")"),"There is no 2021cGRI202 market performance 2016 minimum wage level")</f>
        <v>There is no 2021cGRI202 market performance 2016 minimum wage level</v>
      </c>
      <c r="B789" s="1" t="str">
        <f ca="1">IFERROR(__xludf.DUMMYFUNCTION("GOOGLETRANSLATE(A789, ""zh"", ""en"")"),"staff")</f>
        <v>staff</v>
      </c>
      <c r="C789" s="1" t="str">
        <f ca="1">IFERROR(__xludf.DUMMYFUNCTION("GOOGLETRANSLATE(E789, ""zh"", ""en"")"),"Quantitative Text")</f>
        <v>Quantitative Text</v>
      </c>
    </row>
    <row r="790" spans="1:3" ht="13" x14ac:dyDescent="0.15">
      <c r="A790" s="1" t="str">
        <f ca="1">IFERROR(__xludf.DUMMYFUNCTION("GOOGLETRANSLATE(A790, ""zh"", ""en"")"),"Three batches of employees and outstanding employees went to Moganshan, Tiantai, Xianju and Changxing for recuperation")</f>
        <v>Three batches of employees and outstanding employees went to Moganshan, Tiantai, Xianju and Changxing for recuperation</v>
      </c>
      <c r="B790" s="1" t="str">
        <f ca="1">IFERROR(__xludf.DUMMYFUNCTION("GOOGLETRANSLATE(A790, ""zh"", ""en"")"),"staff")</f>
        <v>staff</v>
      </c>
      <c r="C790" s="1" t="str">
        <f ca="1">IFERROR(__xludf.DUMMYFUNCTION("GOOGLETRANSLATE(E790, ""zh"", ""en"")"),"Quantitative Text")</f>
        <v>Quantitative Text</v>
      </c>
    </row>
    <row r="791" spans="1:3" ht="13" x14ac:dyDescent="0.15">
      <c r="A791" s="1" t="str">
        <f ca="1">IFERROR(__xludf.DUMMYFUNCTION("GOOGLETRANSLATE(A791, ""zh"", ""en"")"),"Application of robotics and artificial intelligence technology in the production and R&amp;D of 100 innovative and mature drugs")</f>
        <v>Application of robotics and artificial intelligence technology in the production and R&amp;D of 100 innovative and mature drugs</v>
      </c>
      <c r="B791" s="1" t="str">
        <f ca="1">IFERROR(__xludf.DUMMYFUNCTION("GOOGLETRANSLATE(A791, ""zh"", ""en"")"),"Technological innovation")</f>
        <v>Technological innovation</v>
      </c>
      <c r="C791" s="1" t="str">
        <f ca="1">IFERROR(__xludf.DUMMYFUNCTION("GOOGLETRANSLATE(E791, ""zh"", ""en"")"),"Qualitative text")</f>
        <v>Qualitative text</v>
      </c>
    </row>
    <row r="792" spans="1:3" ht="13" x14ac:dyDescent="0.15">
      <c r="A792" s="1" t="str">
        <f ca="1">IFERROR(__xludf.DUMMYFUNCTION("GOOGLETRANSLATE(A792, ""zh"", ""en"")"),"The company regularly conducts occupational health knowledge training to help employees improve their occupational health awareness and protection capabilities")</f>
        <v>The company regularly conducts occupational health knowledge training to help employees improve their occupational health awareness and protection capabilities</v>
      </c>
      <c r="B792" s="1" t="str">
        <f ca="1">IFERROR(__xludf.DUMMYFUNCTION("GOOGLETRANSLATE(A792, ""zh"", ""en"")"),"staff")</f>
        <v>staff</v>
      </c>
      <c r="C792" s="1" t="str">
        <f ca="1">IFERROR(__xludf.DUMMYFUNCTION("GOOGLETRANSLATE(E792, ""zh"", ""en"")"),"Qualitative text")</f>
        <v>Qualitative text</v>
      </c>
    </row>
    <row r="793" spans="1:3" ht="13" x14ac:dyDescent="0.15">
      <c r="A793" s="1" t="str">
        <f ca="1">IFERROR(__xludf.DUMMYFUNCTION("GOOGLETRANSLATE(A793, ""zh"", ""en"")"),"06Sound Operations - Standardized Management B7.3 Describe the anti-corruption training provided to directors and employees")</f>
        <v>06Sound Operations - Standardized Management B7.3 Describe the anti-corruption training provided to directors and employees</v>
      </c>
      <c r="B793" s="1" t="str">
        <f ca="1">IFERROR(__xludf.DUMMYFUNCTION("GOOGLETRANSLATE(A793, ""zh"", ""en"")"),"Anti-corruption and anti-money laundering")</f>
        <v>Anti-corruption and anti-money laundering</v>
      </c>
      <c r="C793" s="1" t="str">
        <f ca="1">IFERROR(__xludf.DUMMYFUNCTION("GOOGLETRANSLATE(E793, ""zh"", ""en"")"),"Qualitative text")</f>
        <v>Qualitative text</v>
      </c>
    </row>
    <row r="794" spans="1:3" ht="13" x14ac:dyDescent="0.15">
      <c r="A794" s="1" t="str">
        <f ca="1">IFERROR(__xludf.DUMMYFUNCTION("GOOGLETRANSLATE(A794, ""zh"", ""en"")"),"25 first-tier branches have launched 82 innovative studios to cultivate model workers and skilled craftsmen.")</f>
        <v>25 first-tier branches have launched 82 innovative studios to cultivate model workers and skilled craftsmen.</v>
      </c>
      <c r="B794" s="1" t="str">
        <f ca="1">IFERROR(__xludf.DUMMYFUNCTION("GOOGLETRANSLATE(A794, ""zh"", ""en"")"),"Promoting employment")</f>
        <v>Promoting employment</v>
      </c>
      <c r="C794" s="1" t="str">
        <f ca="1">IFERROR(__xludf.DUMMYFUNCTION("GOOGLETRANSLATE(E794, ""zh"", ""en"")"),"Quantitative Text")</f>
        <v>Quantitative Text</v>
      </c>
    </row>
    <row r="795" spans="1:3" ht="13" x14ac:dyDescent="0.15">
      <c r="A795" s="1" t="str">
        <f ca="1">IFERROR(__xludf.DUMMYFUNCTION("GOOGLETRANSLATE(A795, ""zh"", ""en"")"),"CITIC Securities and CITIC Futures invested RMB 4.465 million in a new support model for special insurance and futures.")</f>
        <v>CITIC Securities and CITIC Futures invested RMB 4.465 million in a new support model for special insurance and futures.</v>
      </c>
      <c r="B795" s="1" t="str">
        <f ca="1">IFERROR(__xludf.DUMMYFUNCTION("GOOGLETRANSLATE(A795, ""zh"", ""en"")"),"Rural assistance")</f>
        <v>Rural assistance</v>
      </c>
      <c r="C795" s="1" t="str">
        <f ca="1">IFERROR(__xludf.DUMMYFUNCTION("GOOGLETRANSLATE(E795, ""zh"", ""en"")"),"Quantitative Text")</f>
        <v>Quantitative Text</v>
      </c>
    </row>
    <row r="796" spans="1:3" ht="13" x14ac:dyDescent="0.15">
      <c r="A796" s="1" t="str">
        <f ca="1">IFERROR(__xludf.DUMMYFUNCTION("GOOGLETRANSLATE(A796, ""zh"", ""en"")"),"Third, improve the diversified customer complaint resolution mechanism and actively participate in and support the work of dispute mediation organizations in various places.")</f>
        <v>Third, improve the diversified customer complaint resolution mechanism and actively participate in and support the work of dispute mediation organizations in various places.</v>
      </c>
      <c r="B796" s="1" t="str">
        <f ca="1">IFERROR(__xludf.DUMMYFUNCTION("GOOGLETRANSLATE(A796, ""zh"", ""en"")"),"Customers and Consumers")</f>
        <v>Customers and Consumers</v>
      </c>
      <c r="C796" s="1" t="str">
        <f ca="1">IFERROR(__xludf.DUMMYFUNCTION("GOOGLETRANSLATE(E796, ""zh"", ""en"")"),"Qualitative text")</f>
        <v>Qualitative text</v>
      </c>
    </row>
    <row r="797" spans="1:3" ht="13" x14ac:dyDescent="0.15">
      <c r="A797" s="1" t="str">
        <f ca="1">IFERROR(__xludf.DUMMYFUNCTION("GOOGLETRANSLATE(A797, ""zh"", ""en"")"),"Supervision and control of inventory management in a reasonable manner, legal audit, quality control, quality assurance and other lines constitute the supervisory department")</f>
        <v>Supervision and control of inventory management in a reasonable manner, legal audit, quality control, quality assurance and other lines constitute the supervisory department</v>
      </c>
      <c r="B797" s="1" t="str">
        <f ca="1">IFERROR(__xludf.DUMMYFUNCTION("GOOGLETRANSLATE(A797, ""zh"", ""en"")"),"Organizational structure and operations")</f>
        <v>Organizational structure and operations</v>
      </c>
      <c r="C797" s="1" t="str">
        <f ca="1">IFERROR(__xludf.DUMMYFUNCTION("GOOGLETRANSLATE(E797, ""zh"", ""en"")"),"Qualitative text")</f>
        <v>Qualitative text</v>
      </c>
    </row>
    <row r="798" spans="1:3" ht="13" x14ac:dyDescent="0.15">
      <c r="A798" s="1" t="str">
        <f ca="1">IFERROR(__xludf.DUMMYFUNCTION("GOOGLETRANSLATE(A798, ""zh"", ""en"")"),"The requirements of the regulations are to convene, review and vote, fully guaranteeing the shareholders' right to know, right to participate and right to vote.")</f>
        <v>The requirements of the regulations are to convene, review and vote, fully guaranteeing the shareholders' right to know, right to participate and right to vote.</v>
      </c>
      <c r="B798" s="1" t="str">
        <f ca="1">IFERROR(__xludf.DUMMYFUNCTION("GOOGLETRANSLATE(A798, ""zh"", ""en"")"),"Shareholder and creditor rights")</f>
        <v>Shareholder and creditor rights</v>
      </c>
      <c r="C798" s="1" t="str">
        <f ca="1">IFERROR(__xludf.DUMMYFUNCTION("GOOGLETRANSLATE(E798, ""zh"", ""en"")"),"Qualitative text")</f>
        <v>Qualitative text</v>
      </c>
    </row>
    <row r="799" spans="1:3" ht="13" x14ac:dyDescent="0.15">
      <c r="A799" s="1" t="str">
        <f ca="1">IFERROR(__xludf.DUMMYFUNCTION("GOOGLETRANSLATE(A799, ""zh"", ""en"")"),"Advocate and practice green and low-carbon operation concepts, set carbon footprint management targets, and steadily advance zero-carbon pilot projects")</f>
        <v>Advocate and practice green and low-carbon operation concepts, set carbon footprint management targets, and steadily advance zero-carbon pilot projects</v>
      </c>
      <c r="B799" s="1" t="str">
        <f ca="1">IFERROR(__xludf.DUMMYFUNCTION("GOOGLETRANSLATE(A799, ""zh"", ""en"")"),"carbon emissions")</f>
        <v>carbon emissions</v>
      </c>
      <c r="C799" s="1" t="str">
        <f ca="1">IFERROR(__xludf.DUMMYFUNCTION("GOOGLETRANSLATE(E799, ""zh"", ""en"")"),"Qualitative text")</f>
        <v>Qualitative text</v>
      </c>
    </row>
    <row r="800" spans="1:3" ht="13" x14ac:dyDescent="0.15">
      <c r="A800" s="1" t="str">
        <f ca="1">IFERROR(__xludf.DUMMYFUNCTION("GOOGLETRANSLATE(A800, ""zh"", ""en"")"),"Adhere to providing comprehensive protection for employees' occupational health and lay a solid foundation for the company's sustainable development")</f>
        <v>Adhere to providing comprehensive protection for employees' occupational health and lay a solid foundation for the company's sustainable development</v>
      </c>
      <c r="B800" s="1" t="str">
        <f ca="1">IFERROR(__xludf.DUMMYFUNCTION("GOOGLETRANSLATE(A800, ""zh"", ""en"")"),"staff")</f>
        <v>staff</v>
      </c>
      <c r="C800" s="1" t="str">
        <f ca="1">IFERROR(__xludf.DUMMYFUNCTION("GOOGLETRANSLATE(E800, ""zh"", ""en"")"),"Qualitative text")</f>
        <v>Qualitative text</v>
      </c>
    </row>
    <row r="801" spans="1:3" ht="13" x14ac:dyDescent="0.15">
      <c r="A801" s="1" t="str">
        <f ca="1">IFERROR(__xludf.DUMMYFUNCTION("GOOGLETRANSLATE(A801, ""zh"", ""en"")"),"Tibet Everest always adheres to the legal and compliant disclosure of information and promptly corrects any problems in the information disclosure.")</f>
        <v>Tibet Everest always adheres to the legal and compliant disclosure of information and promptly corrects any problems in the information disclosure.</v>
      </c>
      <c r="B801" s="1" t="str">
        <f ca="1">IFERROR(__xludf.DUMMYFUNCTION("GOOGLETRANSLATE(A801, ""zh"", ""en"")"),"Information Disclosure and Investor Communication")</f>
        <v>Information Disclosure and Investor Communication</v>
      </c>
      <c r="C801" s="1" t="str">
        <f ca="1">IFERROR(__xludf.DUMMYFUNCTION("GOOGLETRANSLATE(E801, ""zh"", ""en"")"),"Qualitative text")</f>
        <v>Qualitative text</v>
      </c>
    </row>
    <row r="802" spans="1:3" ht="13" x14ac:dyDescent="0.15">
      <c r="A802" s="1" t="str">
        <f ca="1">IFERROR(__xludf.DUMMYFUNCTION("GOOGLETRANSLATE(A802, ""zh"", ""en"")"),"In 2022, the company organized all female employees to watch the theme video of the event to celebrate International Women's Day")</f>
        <v>In 2022, the company organized all female employees to watch the theme video of the event to celebrate International Women's Day</v>
      </c>
      <c r="B802" s="1" t="str">
        <f ca="1">IFERROR(__xludf.DUMMYFUNCTION("GOOGLETRANSLATE(A802, ""zh"", ""en"")"),"staff")</f>
        <v>staff</v>
      </c>
      <c r="C802" s="1" t="str">
        <f ca="1">IFERROR(__xludf.DUMMYFUNCTION("GOOGLETRANSLATE(E802, ""zh"", ""en"")"),"Qualitative text")</f>
        <v>Qualitative text</v>
      </c>
    </row>
    <row r="803" spans="1:3" ht="13" x14ac:dyDescent="0.15">
      <c r="A803" s="1" t="str">
        <f ca="1">IFERROR(__xludf.DUMMYFUNCTION("GOOGLETRANSLATE(A803, ""zh"", ""en"")"),"The number of head office employees refers to the number of head office employees, including the head office credit card center, directly affiliated institutions, banks, universities and research institutes.")</f>
        <v>The number of head office employees refers to the number of head office employees, including the head office credit card center, directly affiliated institutions, banks, universities and research institutes.</v>
      </c>
      <c r="B803" s="1" t="str">
        <f ca="1">IFERROR(__xludf.DUMMYFUNCTION("GOOGLETRANSLATE(A803, ""zh"", ""en"")"),"staff")</f>
        <v>staff</v>
      </c>
      <c r="C803" s="1" t="str">
        <f ca="1">IFERROR(__xludf.DUMMYFUNCTION("GOOGLETRANSLATE(E803, ""zh"", ""en"")"),"Qualitative text")</f>
        <v>Qualitative text</v>
      </c>
    </row>
    <row r="804" spans="1:3" ht="13" x14ac:dyDescent="0.15">
      <c r="A804" s="1" t="str">
        <f ca="1">IFERROR(__xludf.DUMMYFUNCTION("GOOGLETRANSLATE(A804, ""zh"", ""en"")"),"Supplier statistics refer to suppliers registered in the China Construction Bank supplier database with real names.")</f>
        <v>Supplier statistics refer to suppliers registered in the China Construction Bank supplier database with real names.</v>
      </c>
      <c r="B804" s="1" t="str">
        <f ca="1">IFERROR(__xludf.DUMMYFUNCTION("GOOGLETRANSLATE(A804, ""zh"", ""en"")"),"supply chain management")</f>
        <v>supply chain management</v>
      </c>
      <c r="C804" s="1" t="str">
        <f ca="1">IFERROR(__xludf.DUMMYFUNCTION("GOOGLETRANSLATE(E804, ""zh"", ""en"")"),"Qualitative text")</f>
        <v>Qualitative text</v>
      </c>
    </row>
    <row r="805" spans="1:3" ht="13" x14ac:dyDescent="0.15">
      <c r="A805" s="1" t="str">
        <f ca="1">IFERROR(__xludf.DUMMYFUNCTION("GOOGLETRANSLATE(A805, ""zh"", ""en"")"),"In the kitchen area, the company recycles kitchen water and optimizes water management to avoid water waste.")</f>
        <v>In the kitchen area, the company recycles kitchen water and optimizes water management to avoid water waste.</v>
      </c>
      <c r="B805" s="1" t="str">
        <f ca="1">IFERROR(__xludf.DUMMYFUNCTION("GOOGLETRANSLATE(A805, ""zh"", ""en"")"),"Water resources")</f>
        <v>Water resources</v>
      </c>
      <c r="C805" s="1" t="str">
        <f ca="1">IFERROR(__xludf.DUMMYFUNCTION("GOOGLETRANSLATE(E805, ""zh"", ""en"")"),"Qualitative text")</f>
        <v>Qualitative text</v>
      </c>
    </row>
    <row r="806" spans="1:3" ht="13" x14ac:dyDescent="0.15">
      <c r="A806" s="1" t="str">
        <f ca="1">IFERROR(__xludf.DUMMYFUNCTION("GOOGLETRANSLATE(A806, ""zh"", ""en"")"),"Set up a garbage classification ledger to strictly follow the classification standards to count the daily garbage disposal volume and keep records")</f>
        <v>Set up a garbage classification ledger to strictly follow the classification standards to count the daily garbage disposal volume and keep records</v>
      </c>
      <c r="B806" s="1" t="str">
        <f ca="1">IFERROR(__xludf.DUMMYFUNCTION("GOOGLETRANSLATE(A806, ""zh"", ""en"")"),"Waste Management")</f>
        <v>Waste Management</v>
      </c>
      <c r="C806" s="1" t="str">
        <f ca="1">IFERROR(__xludf.DUMMYFUNCTION("GOOGLETRANSLATE(E806, ""zh"", ""en"")"),"Qualitative text")</f>
        <v>Qualitative text</v>
      </c>
    </row>
    <row r="807" spans="1:3" ht="13" x14ac:dyDescent="0.15">
      <c r="A807" s="1" t="str">
        <f ca="1">IFERROR(__xludf.DUMMYFUNCTION("GOOGLETRANSLATE(A807, ""zh"", ""en"")"),"The event was attended by more than 200 people including the president of Hisense Visual and relevant management personnel from all departments and levels.")</f>
        <v>The event was attended by more than 200 people including the president of Hisense Visual and relevant management personnel from all departments and levels.</v>
      </c>
      <c r="B807" s="1" t="str">
        <f ca="1">IFERROR(__xludf.DUMMYFUNCTION("GOOGLETRANSLATE(A807, ""zh"", ""en"")"),"Public welfare and volunteer service")</f>
        <v>Public welfare and volunteer service</v>
      </c>
      <c r="C807" s="1" t="str">
        <f ca="1">IFERROR(__xludf.DUMMYFUNCTION("GOOGLETRANSLATE(E807, ""zh"", ""en"")"),"Quantitative Text")</f>
        <v>Quantitative Text</v>
      </c>
    </row>
    <row r="808" spans="1:3" ht="13" x14ac:dyDescent="0.15">
      <c r="A808" s="1" t="str">
        <f ca="1">IFERROR(__xludf.DUMMYFUNCTION("GOOGLETRANSLATE(A808, ""zh"", ""en"")"),"In the development of the industry, we pursue the high degree of integration of new energy and traditional energy in the new era.")</f>
        <v>In the development of the industry, we pursue the high degree of integration of new energy and traditional energy in the new era.</v>
      </c>
      <c r="B808" s="1" t="str">
        <f ca="1">IFERROR(__xludf.DUMMYFUNCTION("GOOGLETRANSLATE(A808, ""zh"", ""en"")"),"Energy and resource consumption")</f>
        <v>Energy and resource consumption</v>
      </c>
      <c r="C808" s="1" t="str">
        <f ca="1">IFERROR(__xludf.DUMMYFUNCTION("GOOGLETRANSLATE(E808, ""zh"", ""en"")"),"Qualitative text")</f>
        <v>Qualitative text</v>
      </c>
    </row>
    <row r="809" spans="1:3" ht="13" x14ac:dyDescent="0.15">
      <c r="A809" s="1" t="str">
        <f ca="1">IFERROR(__xludf.DUMMYFUNCTION("GOOGLETRANSLATE(A809, ""zh"", ""en"")"),"The company's party members have played an active role in community governance, environmental protection, charity and education assistance and other public welfare activities.")</f>
        <v>The company's party members have played an active role in community governance, environmental protection, charity and education assistance and other public welfare activities.</v>
      </c>
      <c r="B809" s="1" t="str">
        <f ca="1">IFERROR(__xludf.DUMMYFUNCTION("GOOGLETRANSLATE(A809, ""zh"", ""en"")"),"Public welfare and volunteer service")</f>
        <v>Public welfare and volunteer service</v>
      </c>
      <c r="C809" s="1" t="str">
        <f ca="1">IFERROR(__xludf.DUMMYFUNCTION("GOOGLETRANSLATE(E809, ""zh"", ""en"")"),"Qualitative text")</f>
        <v>Qualitative text</v>
      </c>
    </row>
    <row r="810" spans="1:3" ht="13" x14ac:dyDescent="0.15">
      <c r="A810" s="1" t="str">
        <f ca="1">IFERROR(__xludf.DUMMYFUNCTION("GOOGLETRANSLATE(A810, ""zh"", ""en"")"),"In October 2022, the Group Party Committee organized party member volunteers to participate in the civilized community cleaning activities")</f>
        <v>In October 2022, the Group Party Committee organized party member volunteers to participate in the civilized community cleaning activities</v>
      </c>
      <c r="B810" s="1" t="str">
        <f ca="1">IFERROR(__xludf.DUMMYFUNCTION("GOOGLETRANSLATE(A810, ""zh"", ""en"")"),"Public welfare and volunteer service")</f>
        <v>Public welfare and volunteer service</v>
      </c>
      <c r="C810" s="1" t="str">
        <f ca="1">IFERROR(__xludf.DUMMYFUNCTION("GOOGLETRANSLATE(E810, ""zh"", ""en"")"),"Qualitative text")</f>
        <v>Qualitative text</v>
      </c>
    </row>
    <row r="811" spans="1:3" ht="13" x14ac:dyDescent="0.15">
      <c r="A811" s="1" t="str">
        <f ca="1">IFERROR(__xludf.DUMMYFUNCTION("GOOGLETRANSLATE(A811, ""zh"", ""en"")"),"The company's disciplinary committee is responsible for the overall management of honest employment and the supervision and inspection of the implementation of standards.")</f>
        <v>The company's disciplinary committee is responsible for the overall management of honest employment and the supervision and inspection of the implementation of standards.</v>
      </c>
      <c r="B811" s="1" t="str">
        <f ca="1">IFERROR(__xludf.DUMMYFUNCTION("GOOGLETRANSLATE(A811, ""zh"", ""en"")"),"Anti-corruption and anti-money laundering")</f>
        <v>Anti-corruption and anti-money laundering</v>
      </c>
      <c r="C811" s="1" t="str">
        <f ca="1">IFERROR(__xludf.DUMMYFUNCTION("GOOGLETRANSLATE(E811, ""zh"", ""en"")"),"Qualitative text")</f>
        <v>Qualitative text</v>
      </c>
    </row>
    <row r="812" spans="1:3" ht="13" x14ac:dyDescent="0.15">
      <c r="A812" s="1" t="str">
        <f ca="1">IFERROR(__xludf.DUMMYFUNCTION("GOOGLETRANSLATE(A812, ""zh"", ""en"")"),"Cooperate with a number of qualified hazardous waste disposal companies to ensure that all types of hazardous waste are disposed of in compliance with regulations")</f>
        <v>Cooperate with a number of qualified hazardous waste disposal companies to ensure that all types of hazardous waste are disposed of in compliance with regulations</v>
      </c>
      <c r="B812" s="1" t="str">
        <f ca="1">IFERROR(__xludf.DUMMYFUNCTION("GOOGLETRANSLATE(A812, ""zh"", ""en"")"),"Waste Management")</f>
        <v>Waste Management</v>
      </c>
      <c r="C812" s="1" t="str">
        <f ca="1">IFERROR(__xludf.DUMMYFUNCTION("GOOGLETRANSLATE(E812, ""zh"", ""en"")"),"Qualitative text")</f>
        <v>Qualitative text</v>
      </c>
    </row>
    <row r="813" spans="1:3" ht="13" x14ac:dyDescent="0.15">
      <c r="A813" s="1" t="str">
        <f ca="1">IFERROR(__xludf.DUMMYFUNCTION("GOOGLETRANSLATE(A813, ""zh"", ""en"")"),"We insist on independent innovation and have achieved numerous technological breakthroughs, which have made China's smart manufacturing a shining brand in the international market.")</f>
        <v>We insist on independent innovation and have achieved numerous technological breakthroughs, which have made China's smart manufacturing a shining brand in the international market.</v>
      </c>
      <c r="B813" s="1" t="str">
        <f ca="1">IFERROR(__xludf.DUMMYFUNCTION("GOOGLETRANSLATE(A813, ""zh"", ""en"")"),"Technological innovation")</f>
        <v>Technological innovation</v>
      </c>
      <c r="C813" s="1" t="str">
        <f ca="1">IFERROR(__xludf.DUMMYFUNCTION("GOOGLETRANSLATE(E813, ""zh"", ""en"")"),"Qualitative text")</f>
        <v>Qualitative text</v>
      </c>
    </row>
    <row r="814" spans="1:3" ht="13" x14ac:dyDescent="0.15">
      <c r="A814" s="1" t="str">
        <f ca="1">IFERROR(__xludf.DUMMYFUNCTION("GOOGLETRANSLATE(A814, ""zh"", ""en"")"),"6 Outlooks and Challenges The complex and volatile global economy in 2023 presents both opportunities and challenges for lighting companies")</f>
        <v>6 Outlooks and Challenges The complex and volatile global economy in 2023 presents both opportunities and challenges for lighting companies</v>
      </c>
      <c r="B814" s="1" t="str">
        <f ca="1">IFERROR(__xludf.DUMMYFUNCTION("GOOGLETRANSLATE(A814, ""zh"", ""en"")"),"irrelevant text")</f>
        <v>irrelevant text</v>
      </c>
      <c r="C814" s="1" t="str">
        <f ca="1">IFERROR(__xludf.DUMMYFUNCTION("GOOGLETRANSLATE(E814, ""zh"", ""en"")"),"irrelevant text")</f>
        <v>irrelevant text</v>
      </c>
    </row>
    <row r="815" spans="1:3" ht="13" x14ac:dyDescent="0.15">
      <c r="A815" s="1" t="str">
        <f ca="1">IFERROR(__xludf.DUMMYFUNCTION("GOOGLETRANSLATE(A815, ""zh"", ""en"")"),"Independent directors deeply participate in the work of various special committees of the board of directors and provide suggestions for the company's reform and development")</f>
        <v>Independent directors deeply participate in the work of various special committees of the board of directors and provide suggestions for the company's reform and development</v>
      </c>
      <c r="B815" s="1" t="str">
        <f ca="1">IFERROR(__xludf.DUMMYFUNCTION("GOOGLETRANSLATE(A815, ""zh"", ""en"")"),"Organizational structure and operations")</f>
        <v>Organizational structure and operations</v>
      </c>
      <c r="C815" s="1" t="str">
        <f ca="1">IFERROR(__xludf.DUMMYFUNCTION("GOOGLETRANSLATE(E815, ""zh"", ""en"")"),"Qualitative text")</f>
        <v>Qualitative text</v>
      </c>
    </row>
    <row r="816" spans="1:3" ht="13" x14ac:dyDescent="0.15">
      <c r="A816" s="1" t="str">
        <f ca="1">IFERROR(__xludf.DUMMYFUNCTION("GOOGLETRANSLATE(A816, ""zh"", ""en"")"),"Carry out extensive popular science education on climate change for stakeholders and advocate the practice of low-carbon and environmental protection concepts")</f>
        <v>Carry out extensive popular science education on climate change for stakeholders and advocate the practice of low-carbon and environmental protection concepts</v>
      </c>
      <c r="B816" s="1" t="str">
        <f ca="1">IFERROR(__xludf.DUMMYFUNCTION("GOOGLETRANSLATE(A816, ""zh"", ""en"")"),"Addressing climate change")</f>
        <v>Addressing climate change</v>
      </c>
      <c r="C816" s="1" t="str">
        <f ca="1">IFERROR(__xludf.DUMMYFUNCTION("GOOGLETRANSLATE(E816, ""zh"", ""en"")"),"Qualitative text")</f>
        <v>Qualitative text</v>
      </c>
    </row>
    <row r="817" spans="1:3" ht="13" x14ac:dyDescent="0.15">
      <c r="A817" s="1" t="str">
        <f ca="1">IFERROR(__xludf.DUMMYFUNCTION("GOOGLETRANSLATE(A817, ""zh"", ""en"")"),"Employee Union Management The Group regards the employee union as an important link for communication between management and ordinary employees")</f>
        <v>Employee Union Management The Group regards the employee union as an important link for communication between management and ordinary employees</v>
      </c>
      <c r="B817" s="1" t="str">
        <f ca="1">IFERROR(__xludf.DUMMYFUNCTION("GOOGLETRANSLATE(A817, ""zh"", ""en"")"),"staff")</f>
        <v>staff</v>
      </c>
      <c r="C817" s="1" t="str">
        <f ca="1">IFERROR(__xludf.DUMMYFUNCTION("GOOGLETRANSLATE(E817, ""zh"", ""en"")"),"Qualitative text")</f>
        <v>Qualitative text</v>
      </c>
    </row>
    <row r="818" spans="1:3" ht="13" x14ac:dyDescent="0.15">
      <c r="A818" s="1" t="str">
        <f ca="1">IFERROR(__xludf.DUMMYFUNCTION("GOOGLETRANSLATE(A818, ""zh"", ""en"")"),"Disclosed and responded to the management and practical performance reports of the 21 identified issues")</f>
        <v>Disclosed and responded to the management and practical performance reports of the 21 identified issues</v>
      </c>
      <c r="B818" s="1" t="str">
        <f ca="1">IFERROR(__xludf.DUMMYFUNCTION("GOOGLETRANSLATE(A818, ""zh"", ""en"")"),"irrelevant text")</f>
        <v>irrelevant text</v>
      </c>
      <c r="C818" s="1" t="str">
        <f ca="1">IFERROR(__xludf.DUMMYFUNCTION("GOOGLETRANSLATE(E818, ""zh"", ""en"")"),"irrelevant text")</f>
        <v>irrelevant text</v>
      </c>
    </row>
    <row r="819" spans="1:3" ht="13" x14ac:dyDescent="0.15">
      <c r="A819" s="1" t="str">
        <f ca="1">IFERROR(__xludf.DUMMYFUNCTION("GOOGLETRANSLATE(A819, ""zh"", ""en"")"),"In 2022, COSL Uganda held an induction training program for 149 local employees.")</f>
        <v>In 2022, COSL Uganda held an induction training program for 149 local employees.</v>
      </c>
      <c r="B819" s="1" t="str">
        <f ca="1">IFERROR(__xludf.DUMMYFUNCTION("GOOGLETRANSLATE(A819, ""zh"", ""en"")"),"staff")</f>
        <v>staff</v>
      </c>
      <c r="C819" s="1" t="str">
        <f ca="1">IFERROR(__xludf.DUMMYFUNCTION("GOOGLETRANSLATE(E819, ""zh"", ""en"")"),"Quantitative Text")</f>
        <v>Quantitative Text</v>
      </c>
    </row>
    <row r="820" spans="1:3" ht="13" x14ac:dyDescent="0.15">
      <c r="A820" s="1" t="str">
        <f ca="1">IFERROR(__xludf.DUMMYFUNCTION("GOOGLETRANSLATE(A820, ""zh"", ""en"")"),"The company sets up a board report section in its annual report to fully disclose the annual work performance of the board of directors.")</f>
        <v>The company sets up a board report section in its annual report to fully disclose the annual work performance of the board of directors.</v>
      </c>
      <c r="B820" s="1" t="str">
        <f ca="1">IFERROR(__xludf.DUMMYFUNCTION("GOOGLETRANSLATE(A820, ""zh"", ""en"")"),"Organizational structure and operations")</f>
        <v>Organizational structure and operations</v>
      </c>
      <c r="C820" s="1" t="str">
        <f ca="1">IFERROR(__xludf.DUMMYFUNCTION("GOOGLETRANSLATE(E820, ""zh"", ""en"")"),"Qualitative text")</f>
        <v>Qualitative text</v>
      </c>
    </row>
    <row r="821" spans="1:3" ht="13" x14ac:dyDescent="0.15">
      <c r="A821" s="1" t="str">
        <f ca="1">IFERROR(__xludf.DUMMYFUNCTION("GOOGLETRANSLATE(A821, ""zh"", ""en"")"),"Coordinate and orderly promote carbon peak and carbon neutrality work and launch the implementation of the carbon peak action plan before 2030")</f>
        <v>Coordinate and orderly promote carbon peak and carbon neutrality work and launch the implementation of the carbon peak action plan before 2030</v>
      </c>
      <c r="B821" s="1" t="str">
        <f ca="1">IFERROR(__xludf.DUMMYFUNCTION("GOOGLETRANSLATE(A821, ""zh"", ""en"")"),"carbon emissions")</f>
        <v>carbon emissions</v>
      </c>
      <c r="C821" s="1" t="str">
        <f ca="1">IFERROR(__xludf.DUMMYFUNCTION("GOOGLETRANSLATE(E821, ""zh"", ""en"")"),"Qualitative text")</f>
        <v>Qualitative text</v>
      </c>
    </row>
    <row r="822" spans="1:3" ht="13" x14ac:dyDescent="0.15">
      <c r="A822" s="1" t="str">
        <f ca="1">IFERROR(__xludf.DUMMYFUNCTION("GOOGLETRANSLATE(A822, ""zh"", ""en"")"),"The report is published in Chinese and English. In case of any ambiguity or conflict between the two language versions, the Chinese version shall prevail.")</f>
        <v>The report is published in Chinese and English. In case of any ambiguity or conflict between the two language versions, the Chinese version shall prevail.</v>
      </c>
      <c r="B822" s="1" t="str">
        <f ca="1">IFERROR(__xludf.DUMMYFUNCTION("GOOGLETRANSLATE(A822, ""zh"", ""en"")"),"irrelevant text")</f>
        <v>irrelevant text</v>
      </c>
      <c r="C822" s="1" t="str">
        <f ca="1">IFERROR(__xludf.DUMMYFUNCTION("GOOGLETRANSLATE(E822, ""zh"", ""en"")"),"irrelevant text")</f>
        <v>irrelevant text</v>
      </c>
    </row>
    <row r="823" spans="1:3" ht="13" x14ac:dyDescent="0.15">
      <c r="A823" s="1" t="str">
        <f ca="1">IFERROR(__xludf.DUMMYFUNCTION("GOOGLETRANSLATE(A823, ""zh"", ""en"")"),"Shanghai Electric, with its outstanding scientific research capabilities, will undertake a number of major national strategic tasks in 2022.")</f>
        <v>Shanghai Electric, with its outstanding scientific research capabilities, will undertake a number of major national strategic tasks in 2022.</v>
      </c>
      <c r="B823" s="1" t="str">
        <f ca="1">IFERROR(__xludf.DUMMYFUNCTION("GOOGLETRANSLATE(A823, ""zh"", ""en"")"),"Technological innovation")</f>
        <v>Technological innovation</v>
      </c>
      <c r="C823" s="1" t="str">
        <f ca="1">IFERROR(__xludf.DUMMYFUNCTION("GOOGLETRANSLATE(E823, ""zh"", ""en"")"),"Qualitative text")</f>
        <v>Qualitative text</v>
      </c>
    </row>
    <row r="824" spans="1:3" ht="13" x14ac:dyDescent="0.15">
      <c r="A824" s="1" t="str">
        <f ca="1">IFERROR(__xludf.DUMMYFUNCTION("GOOGLETRANSLATE(A824, ""zh"", ""en"")"),"Subsidiaries have formulated their own ecological protection management requirements and implemented them in specific work")</f>
        <v>Subsidiaries have formulated their own ecological protection management requirements and implemented them in specific work</v>
      </c>
      <c r="B824" s="1" t="str">
        <f ca="1">IFERROR(__xludf.DUMMYFUNCTION("GOOGLETRANSLATE(A824, ""zh"", ""en"")"),"biodiversity")</f>
        <v>biodiversity</v>
      </c>
      <c r="C824" s="1" t="str">
        <f ca="1">IFERROR(__xludf.DUMMYFUNCTION("GOOGLETRANSLATE(E824, ""zh"", ""en"")"),"Qualitative text")</f>
        <v>Qualitative text</v>
      </c>
    </row>
    <row r="825" spans="1:3" ht="13" x14ac:dyDescent="0.15">
      <c r="A825" s="1" t="str">
        <f ca="1">IFERROR(__xludf.DUMMYFUNCTION("GOOGLETRANSLATE(A825, ""zh"", ""en"")"),"In 2022, the number of ecological monitoring sites will be 78, and 13,500 sets of ecological monitoring data will be obtained.")</f>
        <v>In 2022, the number of ecological monitoring sites will be 78, and 13,500 sets of ecological monitoring data will be obtained.</v>
      </c>
      <c r="B825" s="1" t="str">
        <f ca="1">IFERROR(__xludf.DUMMYFUNCTION("GOOGLETRANSLATE(A825, ""zh"", ""en"")"),"biodiversity")</f>
        <v>biodiversity</v>
      </c>
      <c r="C825" s="1" t="str">
        <f ca="1">IFERROR(__xludf.DUMMYFUNCTION("GOOGLETRANSLATE(E825, ""zh"", ""en"")"),"Quantitative Text")</f>
        <v>Quantitative Text</v>
      </c>
    </row>
    <row r="826" spans="1:3" ht="13" x14ac:dyDescent="0.15">
      <c r="A826" s="1" t="str">
        <f ca="1">IFERROR(__xludf.DUMMYFUNCTION("GOOGLETRANSLATE(A826, ""zh"", ""en"")"),"Xinfu Consulting Platform has set up a 724-hour psychological consultation hotline for domestic and overseas employees to popularize psychological knowledge")</f>
        <v>Xinfu Consulting Platform has set up a 724-hour psychological consultation hotline for domestic and overseas employees to popularize psychological knowledge</v>
      </c>
      <c r="B826" s="1" t="str">
        <f ca="1">IFERROR(__xludf.DUMMYFUNCTION("GOOGLETRANSLATE(A826, ""zh"", ""en"")"),"staff")</f>
        <v>staff</v>
      </c>
      <c r="C826" s="1" t="str">
        <f ca="1">IFERROR(__xludf.DUMMYFUNCTION("GOOGLETRANSLATE(E826, ""zh"", ""en"")"),"Qualitative text")</f>
        <v>Qualitative text</v>
      </c>
    </row>
    <row r="827" spans="1:3" ht="13" x14ac:dyDescent="0.15">
      <c r="A827" s="1" t="str">
        <f ca="1">IFERROR(__xludf.DUMMYFUNCTION("GOOGLETRANSLATE(A827, ""zh"", ""en"")"),"Optimize the operation of the circulating water system and use recycled water as circulating water field water to reduce the new water replenishment rate")</f>
        <v>Optimize the operation of the circulating water system and use recycled water as circulating water field water to reduce the new water replenishment rate</v>
      </c>
      <c r="B827" s="1" t="str">
        <f ca="1">IFERROR(__xludf.DUMMYFUNCTION("GOOGLETRANSLATE(A827, ""zh"", ""en"")"),"Water resources")</f>
        <v>Water resources</v>
      </c>
      <c r="C827" s="1" t="str">
        <f ca="1">IFERROR(__xludf.DUMMYFUNCTION("GOOGLETRANSLATE(E827, ""zh"", ""en"")"),"Qualitative text")</f>
        <v>Qualitative text</v>
      </c>
    </row>
    <row r="828" spans="1:3" ht="13" x14ac:dyDescent="0.15">
      <c r="A828" s="1" t="str">
        <f ca="1">IFERROR(__xludf.DUMMYFUNCTION("GOOGLETRANSLATE(A828, ""zh"", ""en"")"),"At the same time, the company attaches great importance to soil and groundwater investigation and monitoring to prevent soil and groundwater pollution.")</f>
        <v>At the same time, the company attaches great importance to soil and groundwater investigation and monitoring to prevent soil and groundwater pollution.</v>
      </c>
      <c r="B828" s="1" t="str">
        <f ca="1">IFERROR(__xludf.DUMMYFUNCTION("GOOGLETRANSLATE(A828, ""zh"", ""en"")"),"Land use")</f>
        <v>Land use</v>
      </c>
      <c r="C828" s="1" t="str">
        <f ca="1">IFERROR(__xludf.DUMMYFUNCTION("GOOGLETRANSLATE(E828, ""zh"", ""en"")"),"Qualitative text")</f>
        <v>Qualitative text</v>
      </c>
    </row>
    <row r="829" spans="1:3" ht="13" x14ac:dyDescent="0.15">
      <c r="A829" s="1" t="str">
        <f ca="1">IFERROR(__xludf.DUMMYFUNCTION("GOOGLETRANSLATE(A829, ""zh"", ""en"")"),"The sale of unqualified oil products in internal spot checks will be stopped immediately, and not a single drop of unqualified oil products will be allowed to enter the market.")</f>
        <v>The sale of unqualified oil products in internal spot checks will be stopped immediately, and not a single drop of unqualified oil products will be allowed to enter the market.</v>
      </c>
      <c r="B829" s="1" t="str">
        <f ca="1">IFERROR(__xludf.DUMMYFUNCTION("GOOGLETRANSLATE(A829, ""zh"", ""en"")"),"Product quality")</f>
        <v>Product quality</v>
      </c>
      <c r="C829" s="1" t="str">
        <f ca="1">IFERROR(__xludf.DUMMYFUNCTION("GOOGLETRANSLATE(E829, ""zh"", ""en"")"),"Qualitative text")</f>
        <v>Qualitative text</v>
      </c>
    </row>
    <row r="830" spans="1:3" ht="13" x14ac:dyDescent="0.15">
      <c r="A830" s="1" t="str">
        <f ca="1">IFERROR(__xludf.DUMMYFUNCTION("GOOGLETRANSLATE(A830, ""zh"", ""en"")"),"In addition, the company strictly implements the state's relevant policies and regulations on maternity leave, childcare leave and other employee benefits")</f>
        <v>In addition, the company strictly implements the state's relevant policies and regulations on maternity leave, childcare leave and other employee benefits</v>
      </c>
      <c r="B830" s="1" t="str">
        <f ca="1">IFERROR(__xludf.DUMMYFUNCTION("GOOGLETRANSLATE(A830, ""zh"", ""en"")"),"staff")</f>
        <v>staff</v>
      </c>
      <c r="C830" s="1" t="str">
        <f ca="1">IFERROR(__xludf.DUMMYFUNCTION("GOOGLETRANSLATE(E830, ""zh"", ""en"")"),"Qualitative text")</f>
        <v>Qualitative text</v>
      </c>
    </row>
    <row r="831" spans="1:3" ht="13" x14ac:dyDescent="0.15">
      <c r="A831" s="1" t="str">
        <f ca="1">IFERROR(__xludf.DUMMYFUNCTION("GOOGLETRANSLATE(A831, ""zh"", ""en"")"),"Shifts in market user preferences, expanding green market demand, increasing demand for integrated energy services, and access to emerging markets.")</f>
        <v>Shifts in market user preferences, expanding green market demand, increasing demand for integrated energy services, and access to emerging markets.</v>
      </c>
      <c r="B831" s="1" t="str">
        <f ca="1">IFERROR(__xludf.DUMMYFUNCTION("GOOGLETRANSLATE(A831, ""zh"", ""en"")"),"Customers and Consumers")</f>
        <v>Customers and Consumers</v>
      </c>
      <c r="C831" s="1" t="str">
        <f ca="1">IFERROR(__xludf.DUMMYFUNCTION("GOOGLETRANSLATE(E831, ""zh"", ""en"")"),"Qualitative text")</f>
        <v>Qualitative text</v>
      </c>
    </row>
    <row r="832" spans="1:3" ht="13" x14ac:dyDescent="0.15">
      <c r="A832" s="1" t="str">
        <f ca="1">IFERROR(__xludf.DUMMYFUNCTION("GOOGLETRANSLATE(A832, ""zh"", ""en"")"),"Actively promote waste classification in office buildings, set up classified trash cans, and educate employees about waste classification.")</f>
        <v>Actively promote waste classification in office buildings, set up classified trash cans, and educate employees about waste classification.</v>
      </c>
      <c r="B832" s="1" t="str">
        <f ca="1">IFERROR(__xludf.DUMMYFUNCTION("GOOGLETRANSLATE(A832, ""zh"", ""en"")"),"Waste Management")</f>
        <v>Waste Management</v>
      </c>
      <c r="C832" s="1" t="str">
        <f ca="1">IFERROR(__xludf.DUMMYFUNCTION("GOOGLETRANSLATE(E832, ""zh"", ""en"")"),"Qualitative text")</f>
        <v>Qualitative text</v>
      </c>
    </row>
    <row r="833" spans="1:3" ht="13" x14ac:dyDescent="0.15">
      <c r="A833" s="1" t="str">
        <f ca="1">IFERROR(__xludf.DUMMYFUNCTION("GOOGLETRANSLATE(A833, ""zh"", ""en"")"),"The ESG Committee has an ESG Executive Office and a working group responsible for the company's specific ESG work.")</f>
        <v>The ESG Committee has an ESG Executive Office and a working group responsible for the company's specific ESG work.</v>
      </c>
      <c r="B833" s="1" t="str">
        <f ca="1">IFERROR(__xludf.DUMMYFUNCTION("GOOGLETRANSLATE(A833, ""zh"", ""en"")"),"Organizational structure and operations")</f>
        <v>Organizational structure and operations</v>
      </c>
      <c r="C833" s="1" t="str">
        <f ca="1">IFERROR(__xludf.DUMMYFUNCTION("GOOGLETRANSLATE(E833, ""zh"", ""en"")"),"Qualitative text")</f>
        <v>Qualitative text</v>
      </c>
    </row>
    <row r="834" spans="1:3" ht="13" x14ac:dyDescent="0.15">
      <c r="A834" s="1" t="str">
        <f ca="1">IFERROR(__xludf.DUMMYFUNCTION("GOOGLETRANSLATE(A834, ""zh"", ""en"")"),"The annual auditor believes that the company maintained effective internal control in all material aspects in 2022")</f>
        <v>The annual auditor believes that the company maintained effective internal control in all material aspects in 2022</v>
      </c>
      <c r="B834" s="1" t="str">
        <f ca="1">IFERROR(__xludf.DUMMYFUNCTION("GOOGLETRANSLATE(A834, ""zh"", ""en"")"),"Audit work")</f>
        <v>Audit work</v>
      </c>
      <c r="C834" s="1" t="str">
        <f ca="1">IFERROR(__xludf.DUMMYFUNCTION("GOOGLETRANSLATE(E834, ""zh"", ""en"")"),"Qualitative text")</f>
        <v>Qualitative text</v>
      </c>
    </row>
    <row r="835" spans="1:3" ht="13" x14ac:dyDescent="0.15">
      <c r="A835" s="1" t="str">
        <f ca="1">IFERROR(__xludf.DUMMYFUNCTION("GOOGLETRANSLATE(A835, ""zh"", ""en"")"),"This year, all Haier Smart Home supply chain factories have passed ISO14001 environmental management system certification")</f>
        <v>This year, all Haier Smart Home supply chain factories have passed ISO14001 environmental management system certification</v>
      </c>
      <c r="B835" s="1" t="str">
        <f ca="1">IFERROR(__xludf.DUMMYFUNCTION("GOOGLETRANSLATE(A835, ""zh"", ""en"")"),"Sustainable certification")</f>
        <v>Sustainable certification</v>
      </c>
      <c r="C835" s="1" t="str">
        <f ca="1">IFERROR(__xludf.DUMMYFUNCTION("GOOGLETRANSLATE(E835, ""zh"", ""en"")"),"Quantitative Text")</f>
        <v>Quantitative Text</v>
      </c>
    </row>
    <row r="836" spans="1:3" ht="13" x14ac:dyDescent="0.15">
      <c r="A836" s="1" t="str">
        <f ca="1">IFERROR(__xludf.DUMMYFUNCTION("GOOGLETRANSLATE(A836, ""zh"", ""en"")"),"After watching the video, everyone was inspired and expressed their desire to learn from Zhang Juncheng and become a self-reliant and confident person.")</f>
        <v>After watching the video, everyone was inspired and expressed their desire to learn from Zhang Juncheng and become a self-reliant and confident person.</v>
      </c>
      <c r="B836" s="1" t="str">
        <f ca="1">IFERROR(__xludf.DUMMYFUNCTION("GOOGLETRANSLATE(A836, ""zh"", ""en"")"),"irrelevant text")</f>
        <v>irrelevant text</v>
      </c>
      <c r="C836" s="1" t="str">
        <f ca="1">IFERROR(__xludf.DUMMYFUNCTION("GOOGLETRANSLATE(E836, ""zh"", ""en"")"),"irrelevant text")</f>
        <v>irrelevant text</v>
      </c>
    </row>
    <row r="837" spans="1:3" ht="13" x14ac:dyDescent="0.15">
      <c r="A837" s="1" t="str">
        <f ca="1">IFERROR(__xludf.DUMMYFUNCTION("GOOGLETRANSLATE(A837, ""zh"", ""en"")"),"During the processing, user complaint information processing will be visible throughout the entire process. If the timeout occurs, it will be escalated to a higher level of personnel for processing.")</f>
        <v>During the processing, user complaint information processing will be visible throughout the entire process. If the timeout occurs, it will be escalated to a higher level of personnel for processing.</v>
      </c>
      <c r="B837" s="1" t="str">
        <f ca="1">IFERROR(__xludf.DUMMYFUNCTION("GOOGLETRANSLATE(A837, ""zh"", ""en"")"),"Customers and Consumers")</f>
        <v>Customers and Consumers</v>
      </c>
      <c r="C837" s="1" t="str">
        <f ca="1">IFERROR(__xludf.DUMMYFUNCTION("GOOGLETRANSLATE(E837, ""zh"", ""en"")"),"Qualitative text")</f>
        <v>Qualitative text</v>
      </c>
    </row>
    <row r="838" spans="1:3" ht="13" x14ac:dyDescent="0.15">
      <c r="A838" s="1" t="str">
        <f ca="1">IFERROR(__xludf.DUMMYFUNCTION("GOOGLETRANSLATE(A838, ""zh"", ""en"")"),"The company gives priority to using high energy efficiency equipment in the procurement process of energy service products and equipment.")</f>
        <v>The company gives priority to using high energy efficiency equipment in the procurement process of energy service products and equipment.</v>
      </c>
      <c r="B838" s="1" t="str">
        <f ca="1">IFERROR(__xludf.DUMMYFUNCTION("GOOGLETRANSLATE(A838, ""zh"", ""en"")"),"Energy and resource consumption")</f>
        <v>Energy and resource consumption</v>
      </c>
      <c r="C838" s="1" t="str">
        <f ca="1">IFERROR(__xludf.DUMMYFUNCTION("GOOGLETRANSLATE(E838, ""zh"", ""en"")"),"Qualitative text")</f>
        <v>Qualitative text</v>
      </c>
    </row>
    <row r="839" spans="1:3" ht="13" x14ac:dyDescent="0.15">
      <c r="A839" s="1" t="str">
        <f ca="1">IFERROR(__xludf.DUMMYFUNCTION("GOOGLETRANSLATE(A839, ""zh"", ""en"")"),"Essence Securities has integrated digital development into the operations and management of all business lines, entering a fully digital era.")</f>
        <v>Essence Securities has integrated digital development into the operations and management of all business lines, entering a fully digital era.</v>
      </c>
      <c r="B839" s="1" t="str">
        <f ca="1">IFERROR(__xludf.DUMMYFUNCTION("GOOGLETRANSLATE(A839, ""zh"", ""en"")"),"Technological innovation")</f>
        <v>Technological innovation</v>
      </c>
      <c r="C839" s="1" t="str">
        <f ca="1">IFERROR(__xludf.DUMMYFUNCTION("GOOGLETRANSLATE(E839, ""zh"", ""en"")"),"Qualitative text")</f>
        <v>Qualitative text</v>
      </c>
    </row>
    <row r="840" spans="1:3" ht="13" x14ac:dyDescent="0.15">
      <c r="A840" s="1" t="str">
        <f ca="1">IFERROR(__xludf.DUMMYFUNCTION("GOOGLETRANSLATE(A840, ""zh"", ""en"")"),"Employees expressed their opinions and suggestions on management, team organization, etc. through online anonymous questionnaires")</f>
        <v>Employees expressed their opinions and suggestions on management, team organization, etc. through online anonymous questionnaires</v>
      </c>
      <c r="B840" s="1" t="str">
        <f ca="1">IFERROR(__xludf.DUMMYFUNCTION("GOOGLETRANSLATE(A840, ""zh"", ""en"")"),"staff")</f>
        <v>staff</v>
      </c>
      <c r="C840" s="1" t="str">
        <f ca="1">IFERROR(__xludf.DUMMYFUNCTION("GOOGLETRANSLATE(E840, ""zh"", ""en"")"),"Qualitative text")</f>
        <v>Qualitative text</v>
      </c>
    </row>
    <row r="841" spans="1:3" ht="13" x14ac:dyDescent="0.15">
      <c r="A841" s="1" t="str">
        <f ca="1">IFERROR(__xludf.DUMMYFUNCTION("GOOGLETRANSLATE(A841, ""zh"", ""en"")"),"It is precisely because of this motivation and sentiment that in 2021, facing the complex and changing macroeconomic situation at home and abroad,")</f>
        <v>It is precisely because of this motivation and sentiment that in 2021, facing the complex and changing macroeconomic situation at home and abroad,</v>
      </c>
      <c r="B841" s="1" t="str">
        <f ca="1">IFERROR(__xludf.DUMMYFUNCTION("GOOGLETRANSLATE(A841, ""zh"", ""en"")"),"irrelevant text")</f>
        <v>irrelevant text</v>
      </c>
      <c r="C841" s="1" t="str">
        <f ca="1">IFERROR(__xludf.DUMMYFUNCTION("GOOGLETRANSLATE(E841, ""zh"", ""en"")"),"irrelevant text")</f>
        <v>irrelevant text</v>
      </c>
    </row>
    <row r="842" spans="1:3" ht="13" x14ac:dyDescent="0.15">
      <c r="A842" s="1" t="str">
        <f ca="1">IFERROR(__xludf.DUMMYFUNCTION("GOOGLETRANSLATE(A842, ""zh"", ""en"")"),"105 KPI B1.2 Employee turnover rate by gender, age group and region")</f>
        <v>105 KPI B1.2 Employee turnover rate by gender, age group and region</v>
      </c>
      <c r="B842" s="1" t="str">
        <f ca="1">IFERROR(__xludf.DUMMYFUNCTION("GOOGLETRANSLATE(A842, ""zh"", ""en"")"),"staff")</f>
        <v>staff</v>
      </c>
      <c r="C842" s="1" t="str">
        <f ca="1">IFERROR(__xludf.DUMMYFUNCTION("GOOGLETRANSLATE(E842, ""zh"", ""en"")"),"Qualitative text")</f>
        <v>Qualitative text</v>
      </c>
    </row>
    <row r="843" spans="1:3" ht="13" x14ac:dyDescent="0.15">
      <c r="A843" s="1" t="str">
        <f ca="1">IFERROR(__xludf.DUMMYFUNCTION("GOOGLETRANSLATE(A843, ""zh"", ""en"")"),"If a particularly serious safety, environmental protection or quality accident or incident occurs, the comprehensive assessment result will be directly downgraded to unqualified.")</f>
        <v>If a particularly serious safety, environmental protection or quality accident or incident occurs, the comprehensive assessment result will be directly downgraded to unqualified.</v>
      </c>
      <c r="B843" s="1" t="str">
        <f ca="1">IFERROR(__xludf.DUMMYFUNCTION("GOOGLETRANSLATE(A843, ""zh"", ""en"")"),"Legal proceedings and external sanctions")</f>
        <v>Legal proceedings and external sanctions</v>
      </c>
      <c r="C843" s="1" t="str">
        <f ca="1">IFERROR(__xludf.DUMMYFUNCTION("GOOGLETRANSLATE(E843, ""zh"", ""en"")"),"Quantitative Text")</f>
        <v>Quantitative Text</v>
      </c>
    </row>
    <row r="844" spans="1:3" ht="13" x14ac:dyDescent="0.15">
      <c r="A844" s="1" t="str">
        <f ca="1">IFERROR(__xludf.DUMMYFUNCTION("GOOGLETRANSLATE(A844, ""zh"", ""en"")"),"Dongxiang Autonomous County was once part of the three districts and three prefectures in deep poverty and was also the main battlefield for poverty alleviation in Gansu Province.")</f>
        <v>Dongxiang Autonomous County was once part of the three districts and three prefectures in deep poverty and was also the main battlefield for poverty alleviation in Gansu Province.</v>
      </c>
      <c r="B844" s="1" t="str">
        <f ca="1">IFERROR(__xludf.DUMMYFUNCTION("GOOGLETRANSLATE(A844, ""zh"", ""en"")"),"Rural assistance")</f>
        <v>Rural assistance</v>
      </c>
      <c r="C844" s="1" t="str">
        <f ca="1">IFERROR(__xludf.DUMMYFUNCTION("GOOGLETRANSLATE(E844, ""zh"", ""en"")"),"Qualitative text")</f>
        <v>Qualitative text</v>
      </c>
    </row>
    <row r="845" spans="1:3" ht="13" x14ac:dyDescent="0.15">
      <c r="A845" s="1" t="str">
        <f ca="1">IFERROR(__xludf.DUMMYFUNCTION("GOOGLETRANSLATE(A845, ""zh"", ""en"")"),"Carry out the construction of intelligent safety risk management and control platform for hazardous chemical enterprises to effectively control operational risks")</f>
        <v>Carry out the construction of intelligent safety risk management and control platform for hazardous chemical enterprises to effectively control operational risks</v>
      </c>
      <c r="B845" s="1" t="str">
        <f ca="1">IFERROR(__xludf.DUMMYFUNCTION("GOOGLETRANSLATE(A845, ""zh"", ""en"")"),"Chemical Safety")</f>
        <v>Chemical Safety</v>
      </c>
      <c r="C845" s="1" t="str">
        <f ca="1">IFERROR(__xludf.DUMMYFUNCTION("GOOGLETRANSLATE(E845, ""zh"", ""en"")"),"Qualitative text")</f>
        <v>Qualitative text</v>
      </c>
    </row>
    <row r="846" spans="1:3" ht="13" x14ac:dyDescent="0.15">
      <c r="A846" s="1" t="str">
        <f ca="1">IFERROR(__xludf.DUMMYFUNCTION("GOOGLETRANSLATE(A846, ""zh"", ""en"")"),"The Sustainability Committee consists of 4 directors, including 1 independent director, and the Chairman serves as the Chairman.")</f>
        <v>The Sustainability Committee consists of 4 directors, including 1 independent director, and the Chairman serves as the Chairman.</v>
      </c>
      <c r="B846" s="1" t="str">
        <f ca="1">IFERROR(__xludf.DUMMYFUNCTION("GOOGLETRANSLATE(A846, ""zh"", ""en"")"),"Organizational structure and operations")</f>
        <v>Organizational structure and operations</v>
      </c>
      <c r="C846" s="1" t="str">
        <f ca="1">IFERROR(__xludf.DUMMYFUNCTION("GOOGLETRANSLATE(E846, ""zh"", ""en"")"),"Quantitative Text")</f>
        <v>Quantitative Text</v>
      </c>
    </row>
    <row r="847" spans="1:3" ht="13" x14ac:dyDescent="0.15">
      <c r="A847" s="1" t="str">
        <f ca="1">IFERROR(__xludf.DUMMYFUNCTION("GOOGLETRANSLATE(A847, ""zh"", ""en"")"),"Continuously strengthen the HSE management system to ensure continuous improvement of production safety, occupational health and environmental protection indicators")</f>
        <v>Continuously strengthen the HSE management system to ensure continuous improvement of production safety, occupational health and environmental protection indicators</v>
      </c>
      <c r="B847" s="1" t="str">
        <f ca="1">IFERROR(__xludf.DUMMYFUNCTION("GOOGLETRANSLATE(A847, ""zh"", ""en"")"),"staff")</f>
        <v>staff</v>
      </c>
      <c r="C847" s="1" t="str">
        <f ca="1">IFERROR(__xludf.DUMMYFUNCTION("GOOGLETRANSLATE(E847, ""zh"", ""en"")"),"Qualitative text")</f>
        <v>Qualitative text</v>
      </c>
    </row>
    <row r="848" spans="1:3" ht="13" x14ac:dyDescent="0.15">
      <c r="A848" s="1" t="str">
        <f ca="1">IFERROR(__xludf.DUMMYFUNCTION("GOOGLETRANSLATE(A848, ""zh"", ""en"")"),"The petrochemical aid product catalog includes 1,963 products covering 149 poverty-stricken counties in 22 provinces across the country.")</f>
        <v>The petrochemical aid product catalog includes 1,963 products covering 149 poverty-stricken counties in 22 provinces across the country.</v>
      </c>
      <c r="B848" s="1" t="str">
        <f ca="1">IFERROR(__xludf.DUMMYFUNCTION("GOOGLETRANSLATE(A848, ""zh"", ""en"")"),"Rural assistance")</f>
        <v>Rural assistance</v>
      </c>
      <c r="C848" s="1" t="str">
        <f ca="1">IFERROR(__xludf.DUMMYFUNCTION("GOOGLETRANSLATE(E848, ""zh"", ""en"")"),"Quantitative Text")</f>
        <v>Quantitative Text</v>
      </c>
    </row>
    <row r="849" spans="1:3" ht="13" x14ac:dyDescent="0.15">
      <c r="A849" s="1" t="str">
        <f ca="1">IFERROR(__xludf.DUMMYFUNCTION("GOOGLETRANSLATE(A849, ""zh"", ""en"")"),"In 2022, the company's industrial water consumption was 629.10 million cubic meters, a year-on-year decrease of 1.1")</f>
        <v>In 2022, the company's industrial water consumption was 629.10 million cubic meters, a year-on-year decrease of 1.1</v>
      </c>
      <c r="B849" s="1" t="str">
        <f ca="1">IFERROR(__xludf.DUMMYFUNCTION("GOOGLETRANSLATE(A849, ""zh"", ""en"")"),"Water resources")</f>
        <v>Water resources</v>
      </c>
      <c r="C849" s="1" t="str">
        <f ca="1">IFERROR(__xludf.DUMMYFUNCTION("GOOGLETRANSLATE(E849, ""zh"", ""en"")"),"Quantitative Text")</f>
        <v>Quantitative Text</v>
      </c>
    </row>
    <row r="850" spans="1:3" ht="13" x14ac:dyDescent="0.15">
      <c r="A850" s="1" t="str">
        <f ca="1">IFERROR(__xludf.DUMMYFUNCTION("GOOGLETRANSLATE(A850, ""zh"", ""en"")"),"Build CCUS operation tracking management module to realize summary query of gas injection and production status of single wells in the block")</f>
        <v>Build CCUS operation tracking management module to realize summary query of gas injection and production status of single wells in the block</v>
      </c>
      <c r="B850" s="1" t="str">
        <f ca="1">IFERROR(__xludf.DUMMYFUNCTION("GOOGLETRANSLATE(A850, ""zh"", ""en"")"),"carbon emissions")</f>
        <v>carbon emissions</v>
      </c>
      <c r="C850" s="1" t="str">
        <f ca="1">IFERROR(__xludf.DUMMYFUNCTION("GOOGLETRANSLATE(E850, ""zh"", ""en"")"),"Qualitative text")</f>
        <v>Qualitative text</v>
      </c>
    </row>
    <row r="851" spans="1:3" ht="13" x14ac:dyDescent="0.15">
      <c r="A851" s="1" t="str">
        <f ca="1">IFERROR(__xludf.DUMMYFUNCTION("GOOGLETRANSLATE(A851, ""zh"", ""en"")"),"The company has established smooth channels for reporting complaints, including letters, phone calls, emails, and face-to-face reporting.")</f>
        <v>The company has established smooth channels for reporting complaints, including letters, phone calls, emails, and face-to-face reporting.</v>
      </c>
      <c r="B851" s="1" t="str">
        <f ca="1">IFERROR(__xludf.DUMMYFUNCTION("GOOGLETRANSLATE(A851, ""zh"", ""en"")"),"Reporting System")</f>
        <v>Reporting System</v>
      </c>
      <c r="C851" s="1" t="str">
        <f ca="1">IFERROR(__xludf.DUMMYFUNCTION("GOOGLETRANSLATE(E851, ""zh"", ""en"")"),"Qualitative text")</f>
        <v>Qualitative text</v>
      </c>
    </row>
    <row r="852" spans="1:3" ht="13" x14ac:dyDescent="0.15">
      <c r="A852" s="1" t="str">
        <f ca="1">IFERROR(__xludf.DUMMYFUNCTION("GOOGLETRANSLATE(A852, ""zh"", ""en"")"),"At the same time, the company continues to improve its internal control system and strengthen internal control supervision and management to safeguard sustainable development.")</f>
        <v>At the same time, the company continues to improve its internal control system and strengthen internal control supervision and management to safeguard sustainable development.</v>
      </c>
      <c r="B852" s="1" t="str">
        <f ca="1">IFERROR(__xludf.DUMMYFUNCTION("GOOGLETRANSLATE(A852, ""zh"", ""en"")"),"Organizational structure and operations")</f>
        <v>Organizational structure and operations</v>
      </c>
      <c r="C852" s="1" t="str">
        <f ca="1">IFERROR(__xludf.DUMMYFUNCTION("GOOGLETRANSLATE(E852, ""zh"", ""en"")"),"Qualitative text")</f>
        <v>Qualitative text</v>
      </c>
    </row>
    <row r="853" spans="1:3" ht="13" x14ac:dyDescent="0.15">
      <c r="A853" s="1" t="str">
        <f ca="1">IFERROR(__xludf.DUMMYFUNCTION("GOOGLETRANSLATE(A853, ""zh"", ""en"")"),"In 2022, the company did not encounter any major risk events and was not involved in any anti-unfair competition, anti-monopoly and other litigation cases.")</f>
        <v>In 2022, the company did not encounter any major risk events and was not involved in any anti-unfair competition, anti-monopoly and other litigation cases.</v>
      </c>
      <c r="B853" s="1" t="str">
        <f ca="1">IFERROR(__xludf.DUMMYFUNCTION("GOOGLETRANSLATE(A853, ""zh"", ""en"")"),"Legal proceedings and external sanctions")</f>
        <v>Legal proceedings and external sanctions</v>
      </c>
      <c r="C853" s="1" t="str">
        <f ca="1">IFERROR(__xludf.DUMMYFUNCTION("GOOGLETRANSLATE(E853, ""zh"", ""en"")"),"Quantitative Text")</f>
        <v>Quantitative Text</v>
      </c>
    </row>
    <row r="854" spans="1:3" ht="13" x14ac:dyDescent="0.15">
      <c r="A854" s="1" t="str">
        <f ca="1">IFERROR(__xludf.DUMMYFUNCTION("GOOGLETRANSLATE(A854, ""zh"", ""en"")"),"Yuantong Company's Shiqiao Sheet Metal Spraying Center was approved as one of the first batch of Hangzhou's 2022 pollution reduction and carbon reduction collaborative pilot projects")</f>
        <v>Yuantong Company's Shiqiao Sheet Metal Spraying Center was approved as one of the first batch of Hangzhou's 2022 pollution reduction and carbon reduction collaborative pilot projects</v>
      </c>
      <c r="B854" s="1" t="str">
        <f ca="1">IFERROR(__xludf.DUMMYFUNCTION("GOOGLETRANSLATE(A854, ""zh"", ""en"")"),"carbon emissions")</f>
        <v>carbon emissions</v>
      </c>
      <c r="C854" s="1" t="str">
        <f ca="1">IFERROR(__xludf.DUMMYFUNCTION("GOOGLETRANSLATE(E854, ""zh"", ""en"")"),"Qualitative text")</f>
        <v>Qualitative text</v>
      </c>
    </row>
    <row r="855" spans="1:3" ht="13" x14ac:dyDescent="0.15">
      <c r="A855" s="1" t="str">
        <f ca="1">IFERROR(__xludf.DUMMYFUNCTION("GOOGLETRANSLATE(A855, ""zh"", ""en"")"),"Attach great importance to technological innovation and scientific research and development, vigorously promote green and low-carbon research and development such as sludge reduction, energy conservation and consumption reduction")</f>
        <v>Attach great importance to technological innovation and scientific research and development, vigorously promote green and low-carbon research and development such as sludge reduction, energy conservation and consumption reduction</v>
      </c>
      <c r="B855" s="1" t="str">
        <f ca="1">IFERROR(__xludf.DUMMYFUNCTION("GOOGLETRANSLATE(A855, ""zh"", ""en"")"),"Technological innovation")</f>
        <v>Technological innovation</v>
      </c>
      <c r="C855" s="1" t="str">
        <f ca="1">IFERROR(__xludf.DUMMYFUNCTION("GOOGLETRANSLATE(E855, ""zh"", ""en"")"),"Qualitative text")</f>
        <v>Qualitative text</v>
      </c>
    </row>
    <row r="856" spans="1:3" ht="13" x14ac:dyDescent="0.15">
      <c r="A856" s="1" t="str">
        <f ca="1">IFERROR(__xludf.DUMMYFUNCTION("GOOGLETRANSLATE(A856, ""zh"", ""en"")"),"The company has established a sound internal control system for honest and clean practices and continuously improved its honest and clean management system.")</f>
        <v>The company has established a sound internal control system for honest and clean practices and continuously improved its honest and clean management system.</v>
      </c>
      <c r="B856" s="1" t="str">
        <f ca="1">IFERROR(__xludf.DUMMYFUNCTION("GOOGLETRANSLATE(A856, ""zh"", ""en"")"),"Anti-corruption and anti-money laundering")</f>
        <v>Anti-corruption and anti-money laundering</v>
      </c>
      <c r="C856" s="1" t="str">
        <f ca="1">IFERROR(__xludf.DUMMYFUNCTION("GOOGLETRANSLATE(E856, ""zh"", ""en"")"),"Qualitative text")</f>
        <v>Qualitative text</v>
      </c>
    </row>
    <row r="857" spans="1:3" ht="13" x14ac:dyDescent="0.15">
      <c r="A857" s="1" t="str">
        <f ca="1">IFERROR(__xludf.DUMMYFUNCTION("GOOGLETRANSLATE(A857, ""zh"", ""en"")"),"The company has expanded new ways of compliance publicity and used online platforms to popularize compliance knowledge and promote compliance concepts to employees.")</f>
        <v>The company has expanded new ways of compliance publicity and used online platforms to popularize compliance knowledge and promote compliance concepts to employees.</v>
      </c>
      <c r="B857" s="1" t="str">
        <f ca="1">IFERROR(__xludf.DUMMYFUNCTION("GOOGLETRANSLATE(A857, ""zh"", ""en"")"),"staff")</f>
        <v>staff</v>
      </c>
      <c r="C857" s="1" t="str">
        <f ca="1">IFERROR(__xludf.DUMMYFUNCTION("GOOGLETRANSLATE(E857, ""zh"", ""en"")"),"Qualitative text")</f>
        <v>Qualitative text</v>
      </c>
    </row>
    <row r="858" spans="1:3" ht="13" x14ac:dyDescent="0.15">
      <c r="A858" s="1" t="str">
        <f ca="1">IFERROR(__xludf.DUMMYFUNCTION("GOOGLETRANSLATE(A858, ""zh"", ""en"")"),"We will fully consider your opinions and suggestions and promise to properly protect your information from being obtained by third parties.")</f>
        <v>We will fully consider your opinions and suggestions and promise to properly protect your information from being obtained by third parties.</v>
      </c>
      <c r="B858" s="1" t="str">
        <f ca="1">IFERROR(__xludf.DUMMYFUNCTION("GOOGLETRANSLATE(A858, ""zh"", ""en"")"),"Data security")</f>
        <v>Data security</v>
      </c>
      <c r="C858" s="1" t="str">
        <f ca="1">IFERROR(__xludf.DUMMYFUNCTION("GOOGLETRANSLATE(E858, ""zh"", ""en"")"),"Qualitative text")</f>
        <v>Qualitative text</v>
      </c>
    </row>
    <row r="859" spans="1:3" ht="13" x14ac:dyDescent="0.15">
      <c r="A859" s="1" t="str">
        <f ca="1">IFERROR(__xludf.DUMMYFUNCTION("GOOGLETRANSLATE(A859, ""zh"", ""en"")"),"By practicing low-carbon operations, we will leverage the capabilities and resources of our business areas to support low-carbon development and promote low-carbon transformation.")</f>
        <v>By practicing low-carbon operations, we will leverage the capabilities and resources of our business areas to support low-carbon development and promote low-carbon transformation.</v>
      </c>
      <c r="B859" s="1" t="str">
        <f ca="1">IFERROR(__xludf.DUMMYFUNCTION("GOOGLETRANSLATE(A859, ""zh"", ""en"")"),"carbon emissions")</f>
        <v>carbon emissions</v>
      </c>
      <c r="C859" s="1" t="str">
        <f ca="1">IFERROR(__xludf.DUMMYFUNCTION("GOOGLETRANSLATE(E859, ""zh"", ""en"")"),"Qualitative text")</f>
        <v>Qualitative text</v>
      </c>
    </row>
    <row r="860" spans="1:3" ht="13" x14ac:dyDescent="0.15">
      <c r="A860" s="1" t="str">
        <f ca="1">IFERROR(__xludf.DUMMYFUNCTION("GOOGLETRANSLATE(A860, ""zh"", ""en"")"),"Low-carbon transition policies may lead to a shift in market preferences, directing capital into low-carbon sectors and away from high-emission sectors.")</f>
        <v>Low-carbon transition policies may lead to a shift in market preferences, directing capital into low-carbon sectors and away from high-emission sectors.</v>
      </c>
      <c r="B860" s="1" t="str">
        <f ca="1">IFERROR(__xludf.DUMMYFUNCTION("GOOGLETRANSLATE(A860, ""zh"", ""en"")"),"carbon emissions")</f>
        <v>carbon emissions</v>
      </c>
      <c r="C860" s="1" t="str">
        <f ca="1">IFERROR(__xludf.DUMMYFUNCTION("GOOGLETRANSLATE(E860, ""zh"", ""en"")"),"Qualitative text")</f>
        <v>Qualitative text</v>
      </c>
    </row>
    <row r="861" spans="1:3" ht="13" x14ac:dyDescent="0.15">
      <c r="A861" s="1" t="str">
        <f ca="1">IFERROR(__xludf.DUMMYFUNCTION("GOOGLETRANSLATE(A861, ""zh"", ""en"")"),"The company has formulated attendance management measures to regulate the working hours and various holidays enjoyed by employees.")</f>
        <v>The company has formulated attendance management measures to regulate the working hours and various holidays enjoyed by employees.</v>
      </c>
      <c r="B861" s="1" t="str">
        <f ca="1">IFERROR(__xludf.DUMMYFUNCTION("GOOGLETRANSLATE(A861, ""zh"", ""en"")"),"staff")</f>
        <v>staff</v>
      </c>
      <c r="C861" s="1" t="str">
        <f ca="1">IFERROR(__xludf.DUMMYFUNCTION("GOOGLETRANSLATE(E861, ""zh"", ""en"")"),"Qualitative text")</f>
        <v>Qualitative text</v>
      </c>
    </row>
    <row r="862" spans="1:3" ht="13" x14ac:dyDescent="0.15">
      <c r="A862" s="1" t="str">
        <f ca="1">IFERROR(__xludf.DUMMYFUNCTION("GOOGLETRANSLATE(A862, ""zh"", ""en"")"),"The subsidiaries of Humanwell Pharmaceutical Group Co., Ltd. mentioned in this report generally use the abbreviations. Please see the appendix for the abbreviations.")</f>
        <v>The subsidiaries of Humanwell Pharmaceutical Group Co., Ltd. mentioned in this report generally use the abbreviations. Please see the appendix for the abbreviations.</v>
      </c>
      <c r="B862" s="1" t="str">
        <f ca="1">IFERROR(__xludf.DUMMYFUNCTION("GOOGLETRANSLATE(A862, ""zh"", ""en"")"),"irrelevant text")</f>
        <v>irrelevant text</v>
      </c>
      <c r="C862" s="1" t="str">
        <f ca="1">IFERROR(__xludf.DUMMYFUNCTION("GOOGLETRANSLATE(E862, ""zh"", ""en"")"),"irrelevant text")</f>
        <v>irrelevant text</v>
      </c>
    </row>
    <row r="863" spans="1:3" ht="13" x14ac:dyDescent="0.15">
      <c r="A863" s="1" t="str">
        <f ca="1">IFERROR(__xludf.DUMMYFUNCTION("GOOGLETRANSLATE(A863, ""zh"", ""en"")"),"Through two-way language training for local and Chinese employees, we convey an integrated, pragmatic and efficient corporate culture.")</f>
        <v>Through two-way language training for local and Chinese employees, we convey an integrated, pragmatic and efficient corporate culture.</v>
      </c>
      <c r="B863" s="1" t="str">
        <f ca="1">IFERROR(__xludf.DUMMYFUNCTION("GOOGLETRANSLATE(A863, ""zh"", ""en"")"),"staff")</f>
        <v>staff</v>
      </c>
      <c r="C863" s="1" t="str">
        <f ca="1">IFERROR(__xludf.DUMMYFUNCTION("GOOGLETRANSLATE(E863, ""zh"", ""en"")"),"Qualitative text")</f>
        <v>Qualitative text</v>
      </c>
    </row>
    <row r="864" spans="1:3" ht="13" x14ac:dyDescent="0.15">
      <c r="A864" s="1" t="str">
        <f ca="1">IFERROR(__xludf.DUMMYFUNCTION("GOOGLETRANSLATE(A864, ""zh"", ""en"")"),"In 2022, the company and its subsidiaries donated cash and medicines to grassroots hospitals and families impoverished by illness.")</f>
        <v>In 2022, the company and its subsidiaries donated cash and medicines to grassroots hospitals and families impoverished by illness.</v>
      </c>
      <c r="B864" s="1" t="str">
        <f ca="1">IFERROR(__xludf.DUMMYFUNCTION("GOOGLETRANSLATE(A864, ""zh"", ""en"")"),"Public welfare and volunteer service")</f>
        <v>Public welfare and volunteer service</v>
      </c>
      <c r="C864" s="1" t="str">
        <f ca="1">IFERROR(__xludf.DUMMYFUNCTION("GOOGLETRANSLATE(E864, ""zh"", ""en"")"),"Qualitative text")</f>
        <v>Qualitative text</v>
      </c>
    </row>
    <row r="865" spans="1:3" ht="13" x14ac:dyDescent="0.15">
      <c r="A865" s="1" t="str">
        <f ca="1">IFERROR(__xludf.DUMMYFUNCTION("GOOGLETRANSLATE(A865, ""zh"", ""en"")"),"The procurement cycle of different materials is different. Strengthen communication with the material demand department according to their characteristics and prepare stocks in time.")</f>
        <v>The procurement cycle of different materials is different. Strengthen communication with the material demand department according to their characteristics and prepare stocks in time.</v>
      </c>
      <c r="B865" s="1" t="str">
        <f ca="1">IFERROR(__xludf.DUMMYFUNCTION("GOOGLETRANSLATE(A865, ""zh"", ""en"")"),"raw materials")</f>
        <v>raw materials</v>
      </c>
      <c r="C865" s="1" t="str">
        <f ca="1">IFERROR(__xludf.DUMMYFUNCTION("GOOGLETRANSLATE(E865, ""zh"", ""en"")"),"Qualitative text")</f>
        <v>Qualitative text</v>
      </c>
    </row>
    <row r="866" spans="1:3" ht="13" x14ac:dyDescent="0.15">
      <c r="A866" s="1" t="str">
        <f ca="1">IFERROR(__xludf.DUMMYFUNCTION("GOOGLETRANSLATE(A866, ""zh"", ""en"")"),"The company actively carries out case collection and continues to pay attention to the effectiveness and safety of the drug after the product is launched on the market.")</f>
        <v>The company actively carries out case collection and continues to pay attention to the effectiveness and safety of the drug after the product is launched on the market.</v>
      </c>
      <c r="B866" s="1" t="str">
        <f ca="1">IFERROR(__xludf.DUMMYFUNCTION("GOOGLETRANSLATE(A866, ""zh"", ""en"")"),"Product quality")</f>
        <v>Product quality</v>
      </c>
      <c r="C866" s="1" t="str">
        <f ca="1">IFERROR(__xludf.DUMMYFUNCTION("GOOGLETRANSLATE(E866, ""zh"", ""en"")"),"Qualitative text")</f>
        <v>Qualitative text</v>
      </c>
    </row>
    <row r="867" spans="1:3" ht="13" x14ac:dyDescent="0.15">
      <c r="A867" s="1" t="str">
        <f ca="1">IFERROR(__xludf.DUMMYFUNCTION("GOOGLETRANSLATE(A867, ""zh"", ""en"")"),"P21B6.5 Describe consumer data protection and privacy policies and related implementation and monitoring methods")</f>
        <v>P21B6.5 Describe consumer data protection and privacy policies and related implementation and monitoring methods</v>
      </c>
      <c r="B867" s="1" t="str">
        <f ca="1">IFERROR(__xludf.DUMMYFUNCTION("GOOGLETRANSLATE(A867, ""zh"", ""en"")"),"Data security")</f>
        <v>Data security</v>
      </c>
      <c r="C867" s="1" t="str">
        <f ca="1">IFERROR(__xludf.DUMMYFUNCTION("GOOGLETRANSLATE(E867, ""zh"", ""en"")"),"Qualitative text")</f>
        <v>Qualitative text</v>
      </c>
    </row>
    <row r="868" spans="1:3" ht="13" x14ac:dyDescent="0.15">
      <c r="A868" s="1" t="str">
        <f ca="1">IFERROR(__xludf.DUMMYFUNCTION("GOOGLETRANSLATE(A868, ""zh"", ""en"")"),"As we unwaveringly enter the emerging industrial track, we also look forward to receiving strong support from partners from all sides.")</f>
        <v>As we unwaveringly enter the emerging industrial track, we also look forward to receiving strong support from partners from all sides.</v>
      </c>
      <c r="B868" s="1" t="str">
        <f ca="1">IFERROR(__xludf.DUMMYFUNCTION("GOOGLETRANSLATE(A868, ""zh"", ""en"")"),"irrelevant text")</f>
        <v>irrelevant text</v>
      </c>
      <c r="C868" s="1" t="str">
        <f ca="1">IFERROR(__xludf.DUMMYFUNCTION("GOOGLETRANSLATE(E868, ""zh"", ""en"")"),"irrelevant text")</f>
        <v>irrelevant text</v>
      </c>
    </row>
    <row r="869" spans="1:3" ht="13" x14ac:dyDescent="0.15">
      <c r="A869" s="1" t="str">
        <f ca="1">IFERROR(__xludf.DUMMYFUNCTION("GOOGLETRANSLATE(A869, ""zh"", ""en"")"),"Please help us complete the questions in the feedback form and provide us with feedback in the following ways:")</f>
        <v>Please help us complete the questions in the feedback form and provide us with feedback in the following ways:</v>
      </c>
      <c r="B869" s="1" t="str">
        <f ca="1">IFERROR(__xludf.DUMMYFUNCTION("GOOGLETRANSLATE(A869, ""zh"", ""en"")"),"irrelevant text")</f>
        <v>irrelevant text</v>
      </c>
      <c r="C869" s="1" t="str">
        <f ca="1">IFERROR(__xludf.DUMMYFUNCTION("GOOGLETRANSLATE(E869, ""zh"", ""en"")"),"irrelevant text")</f>
        <v>irrelevant text</v>
      </c>
    </row>
    <row r="870" spans="1:3" ht="13" x14ac:dyDescent="0.15">
      <c r="A870" s="1" t="str">
        <f ca="1">IFERROR(__xludf.DUMMYFUNCTION("GOOGLETRANSLATE(A870, ""zh"", ""en"")"),"In the field of traditional thermal power generation, the main equipment systems provided by Shanghai Electric continuously refresh the world's lowest coal consumption indicators.")</f>
        <v>In the field of traditional thermal power generation, the main equipment systems provided by Shanghai Electric continuously refresh the world's lowest coal consumption indicators.</v>
      </c>
      <c r="B870" s="1" t="str">
        <f ca="1">IFERROR(__xludf.DUMMYFUNCTION("GOOGLETRANSLATE(A870, ""zh"", ""en"")"),"Energy and resource consumption")</f>
        <v>Energy and resource consumption</v>
      </c>
      <c r="C870" s="1" t="str">
        <f ca="1">IFERROR(__xludf.DUMMYFUNCTION("GOOGLETRANSLATE(E870, ""zh"", ""en"")"),"Qualitative text")</f>
        <v>Qualitative text</v>
      </c>
    </row>
    <row r="871" spans="1:3" ht="13" x14ac:dyDescent="0.15">
      <c r="A871" s="1" t="str">
        <f ca="1">IFERROR(__xludf.DUMMYFUNCTION("GOOGLETRANSLATE(A871, ""zh"", ""en"")"),"In terms of loan review, differentiated credit approval strategies are implemented based on the level of environmental and climate risks of the customer.")</f>
        <v>In terms of loan review, differentiated credit approval strategies are implemented based on the level of environmental and climate risks of the customer.</v>
      </c>
      <c r="B871" s="1" t="str">
        <f ca="1">IFERROR(__xludf.DUMMYFUNCTION("GOOGLETRANSLATE(A871, ""zh"", ""en"")"),"Addressing climate change")</f>
        <v>Addressing climate change</v>
      </c>
      <c r="C871" s="1" t="str">
        <f ca="1">IFERROR(__xludf.DUMMYFUNCTION("GOOGLETRANSLATE(E871, ""zh"", ""en"")"),"Qualitative text")</f>
        <v>Qualitative text</v>
      </c>
    </row>
    <row r="872" spans="1:3" ht="13" x14ac:dyDescent="0.15">
      <c r="A872" s="1" t="str">
        <f ca="1">IFERROR(__xludf.DUMMYFUNCTION("GOOGLETRANSLATE(A872, ""zh"", ""en"")"),"Embed system controls on whether consumer protection review has been conducted in the front end of business systems such as system marketing to ensure that all necessary reviews have been conducted.")</f>
        <v>Embed system controls on whether consumer protection review has been conducted in the front end of business systems such as system marketing to ensure that all necessary reviews have been conducted.</v>
      </c>
      <c r="B872" s="1" t="str">
        <f ca="1">IFERROR(__xludf.DUMMYFUNCTION("GOOGLETRANSLATE(A872, ""zh"", ""en"")"),"Customers and Consumers")</f>
        <v>Customers and Consumers</v>
      </c>
      <c r="C872" s="1" t="str">
        <f ca="1">IFERROR(__xludf.DUMMYFUNCTION("GOOGLETRANSLATE(E872, ""zh"", ""en"")"),"Qualitative text")</f>
        <v>Qualitative text</v>
      </c>
    </row>
    <row r="873" spans="1:3" ht="13" x14ac:dyDescent="0.15">
      <c r="A873" s="1" t="str">
        <f ca="1">IFERROR(__xludf.DUMMYFUNCTION("GOOGLETRANSLATE(A873, ""zh"", ""en"")"),"We also monitor, evaluate and review the performance of climate change-related policy management and the progress of relevant targets.")</f>
        <v>We also monitor, evaluate and review the performance of climate change-related policy management and the progress of relevant targets.</v>
      </c>
      <c r="B873" s="1" t="str">
        <f ca="1">IFERROR(__xludf.DUMMYFUNCTION("GOOGLETRANSLATE(A873, ""zh"", ""en"")"),"Addressing climate change")</f>
        <v>Addressing climate change</v>
      </c>
      <c r="C873" s="1" t="str">
        <f ca="1">IFERROR(__xludf.DUMMYFUNCTION("GOOGLETRANSLATE(E873, ""zh"", ""en"")"),"Qualitative text")</f>
        <v>Qualitative text</v>
      </c>
    </row>
    <row r="874" spans="1:3" ht="13" x14ac:dyDescent="0.15">
      <c r="A874" s="1" t="str">
        <f ca="1">IFERROR(__xludf.DUMMYFUNCTION("GOOGLETRANSLATE(A874, ""zh"", ""en"")"),"Create a new world of lifelong learning for employees, customers, partners, like-minded people and all those who love learning")</f>
        <v>Create a new world of lifelong learning for employees, customers, partners, like-minded people and all those who love learning</v>
      </c>
      <c r="B874" s="1" t="str">
        <f ca="1">IFERROR(__xludf.DUMMYFUNCTION("GOOGLETRANSLATE(A874, ""zh"", ""en"")"),"staff")</f>
        <v>staff</v>
      </c>
      <c r="C874" s="1" t="str">
        <f ca="1">IFERROR(__xludf.DUMMYFUNCTION("GOOGLETRANSLATE(E874, ""zh"", ""en"")"),"Qualitative text")</f>
        <v>Qualitative text</v>
      </c>
    </row>
    <row r="875" spans="1:3" ht="13" x14ac:dyDescent="0.15">
      <c r="A875" s="1" t="str">
        <f ca="1">IFERROR(__xludf.DUMMYFUNCTION("GOOGLETRANSLATE(A875, ""zh"", ""en"")"),"Energy saving target: From 2022 to 2026, the energy consumption intensity and carbon emission intensity of the bank will show a downward trend")</f>
        <v>Energy saving target: From 2022 to 2026, the energy consumption intensity and carbon emission intensity of the bank will show a downward trend</v>
      </c>
      <c r="B875" s="1" t="str">
        <f ca="1">IFERROR(__xludf.DUMMYFUNCTION("GOOGLETRANSLATE(A875, ""zh"", ""en"")"),"carbon emissions")</f>
        <v>carbon emissions</v>
      </c>
      <c r="C875" s="1" t="str">
        <f ca="1">IFERROR(__xludf.DUMMYFUNCTION("GOOGLETRANSLATE(E875, ""zh"", ""en"")"),"Qualitative text")</f>
        <v>Qualitative text</v>
      </c>
    </row>
    <row r="876" spans="1:3" ht="13" x14ac:dyDescent="0.15">
      <c r="A876" s="1" t="str">
        <f ca="1">IFERROR(__xludf.DUMMYFUNCTION("GOOGLETRANSLATE(A876, ""zh"", ""en"")"),"The proportion of employees with a bachelor's degree or above in the bank has continued to increase over the past three years, up 6.48 percentage points.")</f>
        <v>The proportion of employees with a bachelor's degree or above in the bank has continued to increase over the past three years, up 6.48 percentage points.</v>
      </c>
      <c r="B876" s="1" t="str">
        <f ca="1">IFERROR(__xludf.DUMMYFUNCTION("GOOGLETRANSLATE(A876, ""zh"", ""en"")"),"staff")</f>
        <v>staff</v>
      </c>
      <c r="C876" s="1" t="str">
        <f ca="1">IFERROR(__xludf.DUMMYFUNCTION("GOOGLETRANSLATE(E876, ""zh"", ""en"")"),"Quantitative Text")</f>
        <v>Quantitative Text</v>
      </c>
    </row>
    <row r="877" spans="1:3" ht="13" x14ac:dyDescent="0.15">
      <c r="A877" s="1" t="str">
        <f ca="1">IFERROR(__xludf.DUMMYFUNCTION("GOOGLETRANSLATE(A877, ""zh"", ""en"")"),"The Dima Industrial Party Branch organized party members and cadres and outstanding employees of the company to listen carefully to the speech of General Secretary Xi")</f>
        <v>The Dima Industrial Party Branch organized party members and cadres and outstanding employees of the company to listen carefully to the speech of General Secretary Xi</v>
      </c>
      <c r="B877" s="1" t="str">
        <f ca="1">IFERROR(__xludf.DUMMYFUNCTION("GOOGLETRANSLATE(A877, ""zh"", ""en"")"),"staff")</f>
        <v>staff</v>
      </c>
      <c r="C877" s="1" t="str">
        <f ca="1">IFERROR(__xludf.DUMMYFUNCTION("GOOGLETRANSLATE(E877, ""zh"", ""en"")"),"Qualitative text")</f>
        <v>Qualitative text</v>
      </c>
    </row>
    <row r="878" spans="1:3" ht="13" x14ac:dyDescent="0.15">
      <c r="A878" s="1" t="str">
        <f ca="1">IFERROR(__xludf.DUMMYFUNCTION("GOOGLETRANSLATE(A878, ""zh"", ""en"")"),"Formerly known as Xiahao Old Street with hundreds of years of history, it is an important part of Longmenhao Historical and Cultural District.")</f>
        <v>Formerly known as Xiahao Old Street with hundreds of years of history, it is an important part of Longmenhao Historical and Cultural District.</v>
      </c>
      <c r="B878" s="1" t="str">
        <f ca="1">IFERROR(__xludf.DUMMYFUNCTION("GOOGLETRANSLATE(A878, ""zh"", ""en"")"),"irrelevant text")</f>
        <v>irrelevant text</v>
      </c>
      <c r="C878" s="1" t="str">
        <f ca="1">IFERROR(__xludf.DUMMYFUNCTION("GOOGLETRANSLATE(E878, ""zh"", ""en"")"),"irrelevant text")</f>
        <v>irrelevant text</v>
      </c>
    </row>
    <row r="879" spans="1:3" ht="13" x14ac:dyDescent="0.15">
      <c r="A879" s="1" t="str">
        <f ca="1">IFERROR(__xludf.DUMMYFUNCTION("GOOGLETRANSLATE(A879, ""zh"", ""en"")"),"In 2022, Dima Industry applied for 104 intellectual property rights and 100 new patents.")</f>
        <v>In 2022, Dima Industry applied for 104 intellectual property rights and 100 new patents.</v>
      </c>
      <c r="B879" s="1" t="str">
        <f ca="1">IFERROR(__xludf.DUMMYFUNCTION("GOOGLETRANSLATE(A879, ""zh"", ""en"")"),"Intellectual Property Protection")</f>
        <v>Intellectual Property Protection</v>
      </c>
      <c r="C879" s="1" t="str">
        <f ca="1">IFERROR(__xludf.DUMMYFUNCTION("GOOGLETRANSLATE(E879, ""zh"", ""en"")"),"Quantitative Text")</f>
        <v>Quantitative Text</v>
      </c>
    </row>
    <row r="880" spans="1:3" ht="13" x14ac:dyDescent="0.15">
      <c r="A880" s="1" t="str">
        <f ca="1">IFERROR(__xludf.DUMMYFUNCTION("GOOGLETRANSLATE(A880, ""zh"", ""en"")"),"Continue to increase penalties, strengthen the deterrent effect of not daring to be corrupt, open up communication and reporting channels, and establish an exposure platform")</f>
        <v>Continue to increase penalties, strengthen the deterrent effect of not daring to be corrupt, open up communication and reporting channels, and establish an exposure platform</v>
      </c>
      <c r="B880" s="1" t="str">
        <f ca="1">IFERROR(__xludf.DUMMYFUNCTION("GOOGLETRANSLATE(A880, ""zh"", ""en"")"),"Reporting System")</f>
        <v>Reporting System</v>
      </c>
      <c r="C880" s="1" t="str">
        <f ca="1">IFERROR(__xludf.DUMMYFUNCTION("GOOGLETRANSLATE(E880, ""zh"", ""en"")"),"Qualitative text")</f>
        <v>Qualitative text</v>
      </c>
    </row>
    <row r="881" spans="1:3" ht="13" x14ac:dyDescent="0.15">
      <c r="A881" s="1" t="str">
        <f ca="1">IFERROR(__xludf.DUMMYFUNCTION("GOOGLETRANSLATE(A881, ""zh"", ""en"")"),"The Dima Shared Care Fund's capital pool is reserved from the group's performance reward pool and can be used to apply for capital increase and fundraising every year.")</f>
        <v>The Dima Shared Care Fund's capital pool is reserved from the group's performance reward pool and can be used to apply for capital increase and fundraising every year.</v>
      </c>
      <c r="B881" s="1" t="str">
        <f ca="1">IFERROR(__xludf.DUMMYFUNCTION("GOOGLETRANSLATE(A881, ""zh"", ""en"")"),"Public welfare and volunteer service")</f>
        <v>Public welfare and volunteer service</v>
      </c>
      <c r="C881" s="1" t="str">
        <f ca="1">IFERROR(__xludf.DUMMYFUNCTION("GOOGLETRANSLATE(E881, ""zh"", ""en"")"),"Qualitative text")</f>
        <v>Qualitative text</v>
      </c>
    </row>
    <row r="882" spans="1:3" ht="13" x14ac:dyDescent="0.15">
      <c r="A882" s="1" t="str">
        <f ca="1">IFERROR(__xludf.DUMMYFUNCTION("GOOGLETRANSLATE(A882, ""zh"", ""en"")"),"P49 Key Performance B4.1 Description of measures to review recruitment practices to avoid child labor and forced labor")</f>
        <v>P49 Key Performance B4.1 Description of measures to review recruitment practices to avoid child labor and forced labor</v>
      </c>
      <c r="B882" s="1" t="str">
        <f ca="1">IFERROR(__xludf.DUMMYFUNCTION("GOOGLETRANSLATE(A882, ""zh"", ""en"")"),"staff")</f>
        <v>staff</v>
      </c>
      <c r="C882" s="1" t="str">
        <f ca="1">IFERROR(__xludf.DUMMYFUNCTION("GOOGLETRANSLATE(E882, ""zh"", ""en"")"),"Qualitative text")</f>
        <v>Qualitative text</v>
      </c>
    </row>
    <row r="883" spans="1:3" ht="13" x14ac:dyDescent="0.15">
      <c r="A883" s="1" t="str">
        <f ca="1">IFERROR(__xludf.DUMMYFUNCTION("GOOGLETRANSLATE(A883, ""zh"", ""en"")"),"In 2022, COSL's social responsibility fulfillment will be upgraded from construction and financial donations to educational support.")</f>
        <v>In 2022, COSL's social responsibility fulfillment will be upgraded from construction and financial donations to educational support.</v>
      </c>
      <c r="B883" s="1" t="str">
        <f ca="1">IFERROR(__xludf.DUMMYFUNCTION("GOOGLETRANSLATE(A883, ""zh"", ""en"")"),"Public welfare and volunteer service")</f>
        <v>Public welfare and volunteer service</v>
      </c>
      <c r="C883" s="1" t="str">
        <f ca="1">IFERROR(__xludf.DUMMYFUNCTION("GOOGLETRANSLATE(E883, ""zh"", ""en"")"),"Qualitative text")</f>
        <v>Qualitative text</v>
      </c>
    </row>
    <row r="884" spans="1:3" ht="13" x14ac:dyDescent="0.15">
      <c r="A884" s="1" t="str">
        <f ca="1">IFERROR(__xludf.DUMMYFUNCTION("GOOGLETRANSLATE(A884, ""zh"", ""en"")"),"Key products, ilaprazole sodium for injection and ilaprazole enteric-coated tablets, were successfully approved for marketing in Indonesia.")</f>
        <v>Key products, ilaprazole sodium for injection and ilaprazole enteric-coated tablets, were successfully approved for marketing in Indonesia.</v>
      </c>
      <c r="B884" s="1" t="str">
        <f ca="1">IFERROR(__xludf.DUMMYFUNCTION("GOOGLETRANSLATE(A884, ""zh"", ""en"")"),"Product quality")</f>
        <v>Product quality</v>
      </c>
      <c r="C884" s="1" t="str">
        <f ca="1">IFERROR(__xludf.DUMMYFUNCTION("GOOGLETRANSLATE(E884, ""zh"", ""en"")"),"Qualitative text")</f>
        <v>Qualitative text</v>
      </c>
    </row>
    <row r="885" spans="1:3" ht="13" x14ac:dyDescent="0.15">
      <c r="A885" s="1" t="str">
        <f ca="1">IFERROR(__xludf.DUMMYFUNCTION("GOOGLETRANSLATE(A885, ""zh"", ""en"")"),"We require management to sign the company's senior management integrity oath to ensure that they work with integrity and self-discipline.")</f>
        <v>We require management to sign the company's senior management integrity oath to ensure that they work with integrity and self-discipline.</v>
      </c>
      <c r="B885" s="1" t="str">
        <f ca="1">IFERROR(__xludf.DUMMYFUNCTION("GOOGLETRANSLATE(A885, ""zh"", ""en"")"),"Anti-corruption and anti-money laundering")</f>
        <v>Anti-corruption and anti-money laundering</v>
      </c>
      <c r="C885" s="1" t="str">
        <f ca="1">IFERROR(__xludf.DUMMYFUNCTION("GOOGLETRANSLATE(E885, ""zh"", ""en"")"),"Qualitative text")</f>
        <v>Qualitative text</v>
      </c>
    </row>
    <row r="886" spans="1:3" ht="13" x14ac:dyDescent="0.15">
      <c r="A886" s="1" t="str">
        <f ca="1">IFERROR(__xludf.DUMMYFUNCTION("GOOGLETRANSLATE(A886, ""zh"", ""en"")"),"5.1.1 R&amp;D System Joincare continues to improve its R&amp;D quality management system and strengthen product R&amp;D management")</f>
        <v>5.1.1 R&amp;D System Joincare continues to improve its R&amp;D quality management system and strengthen product R&amp;D management</v>
      </c>
      <c r="B886" s="1" t="str">
        <f ca="1">IFERROR(__xludf.DUMMYFUNCTION("GOOGLETRANSLATE(A886, ""zh"", ""en"")"),"Technological innovation")</f>
        <v>Technological innovation</v>
      </c>
      <c r="C886" s="1" t="str">
        <f ca="1">IFERROR(__xludf.DUMMYFUNCTION("GOOGLETRANSLATE(E886, ""zh"", ""en"")"),"Qualitative text")</f>
        <v>Qualitative text</v>
      </c>
    </row>
    <row r="887" spans="1:3" ht="13" x14ac:dyDescent="0.15">
      <c r="A887" s="1" t="str">
        <f ca="1">IFERROR(__xludf.DUMMYFUNCTION("GOOGLETRANSLATE(A887, ""zh"", ""en"")"),"The Group takes the healthy breathing principle to inspire you and me as its starting point and is committed to becoming a leader in the field of domestic inhalation preparations.")</f>
        <v>The Group takes the healthy breathing principle to inspire you and me as its starting point and is committed to becoming a leader in the field of domestic inhalation preparations.</v>
      </c>
      <c r="B887" s="1" t="str">
        <f ca="1">IFERROR(__xludf.DUMMYFUNCTION("GOOGLETRANSLATE(A887, ""zh"", ""en"")"),"Product quality")</f>
        <v>Product quality</v>
      </c>
      <c r="C887" s="1" t="str">
        <f ca="1">IFERROR(__xludf.DUMMYFUNCTION("GOOGLETRANSLATE(E887, ""zh"", ""en"")"),"Qualitative text")</f>
        <v>Qualitative text</v>
      </c>
    </row>
    <row r="888" spans="1:3" ht="13" x14ac:dyDescent="0.15">
      <c r="A888" s="1" t="str">
        <f ca="1">IFERROR(__xludf.DUMMYFUNCTION("GOOGLETRANSLATE(A888, ""zh"", ""en"")"),"Shanghai Dalong Machinery Factory is the earliest large-scale enterprise of Shanghai Electric and the embryo of Shanghai's modern machinery industry.")</f>
        <v>Shanghai Dalong Machinery Factory is the earliest large-scale enterprise of Shanghai Electric and the embryo of Shanghai's modern machinery industry.</v>
      </c>
      <c r="B888" s="1" t="str">
        <f ca="1">IFERROR(__xludf.DUMMYFUNCTION("GOOGLETRANSLATE(A888, ""zh"", ""en"")"),"irrelevant text")</f>
        <v>irrelevant text</v>
      </c>
      <c r="C888" s="1" t="str">
        <f ca="1">IFERROR(__xludf.DUMMYFUNCTION("GOOGLETRANSLATE(E888, ""zh"", ""en"")"),"irrelevant text")</f>
        <v>irrelevant text</v>
      </c>
    </row>
    <row r="889" spans="1:3" ht="13" x14ac:dyDescent="0.15">
      <c r="A889" s="1" t="str">
        <f ca="1">IFERROR(__xludf.DUMMYFUNCTION("GOOGLETRANSLATE(A889, ""zh"", ""en"")"),"We promote the culture of engineers and the spirit of craftsmen, advocate dedication and devotion, be down-to-earth, meticulous and strive for excellence")</f>
        <v>We promote the culture of engineers and the spirit of craftsmen, advocate dedication and devotion, be down-to-earth, meticulous and strive for excellence</v>
      </c>
      <c r="B889" s="1" t="str">
        <f ca="1">IFERROR(__xludf.DUMMYFUNCTION("GOOGLETRANSLATE(A889, ""zh"", ""en"")"),"staff")</f>
        <v>staff</v>
      </c>
      <c r="C889" s="1" t="str">
        <f ca="1">IFERROR(__xludf.DUMMYFUNCTION("GOOGLETRANSLATE(E889, ""zh"", ""en"")"),"Qualitative text")</f>
        <v>Qualitative text</v>
      </c>
    </row>
    <row r="890" spans="1:3" ht="13" x14ac:dyDescent="0.15">
      <c r="A890" s="1" t="str">
        <f ca="1">IFERROR(__xludf.DUMMYFUNCTION("GOOGLETRANSLATE(A890, ""zh"", ""en"")"),"The company publishes monthly energy conservation reports to help the board of directors and other relevant departments understand the progress of energy conservation projects")</f>
        <v>The company publishes monthly energy conservation reports to help the board of directors and other relevant departments understand the progress of energy conservation projects</v>
      </c>
      <c r="B890" s="1" t="str">
        <f ca="1">IFERROR(__xludf.DUMMYFUNCTION("GOOGLETRANSLATE(A890, ""zh"", ""en"")"),"Energy and resource consumption")</f>
        <v>Energy and resource consumption</v>
      </c>
      <c r="C890" s="1" t="str">
        <f ca="1">IFERROR(__xludf.DUMMYFUNCTION("GOOGLETRANSLATE(E890, ""zh"", ""en"")"),"Qualitative text")</f>
        <v>Qualitative text</v>
      </c>
    </row>
    <row r="891" spans="1:3" ht="13" x14ac:dyDescent="0.15">
      <c r="A891" s="1" t="str">
        <f ca="1">IFERROR(__xludf.DUMMYFUNCTION("GOOGLETRANSLATE(A891, ""zh"", ""en"")"),"The reporting mechanism applies to all stakeholder groups and covers all production and operation activities of the company.")</f>
        <v>The reporting mechanism applies to all stakeholder groups and covers all production and operation activities of the company.</v>
      </c>
      <c r="B891" s="1" t="str">
        <f ca="1">IFERROR(__xludf.DUMMYFUNCTION("GOOGLETRANSLATE(A891, ""zh"", ""en"")"),"Reporting System")</f>
        <v>Reporting System</v>
      </c>
      <c r="C891" s="1" t="str">
        <f ca="1">IFERROR(__xludf.DUMMYFUNCTION("GOOGLETRANSLATE(E891, ""zh"", ""en"")"),"Qualitative text")</f>
        <v>Qualitative text</v>
      </c>
    </row>
    <row r="892" spans="1:3" ht="13" x14ac:dyDescent="0.15">
      <c r="A892" s="1" t="str">
        <f ca="1">IFERROR(__xludf.DUMMYFUNCTION("GOOGLETRANSLATE(A892, ""zh"", ""en"")"),"In addition, Tibet Everest considers the placement and development of employees' families and helps employees solve their children's education problems.")</f>
        <v>In addition, Tibet Everest considers the placement and development of employees' families and helps employees solve their children's education problems.</v>
      </c>
      <c r="B892" s="1" t="str">
        <f ca="1">IFERROR(__xludf.DUMMYFUNCTION("GOOGLETRANSLATE(A892, ""zh"", ""en"")"),"staff")</f>
        <v>staff</v>
      </c>
      <c r="C892" s="1" t="str">
        <f ca="1">IFERROR(__xludf.DUMMYFUNCTION("GOOGLETRANSLATE(E892, ""zh"", ""en"")"),"Qualitative text")</f>
        <v>Qualitative text</v>
      </c>
    </row>
    <row r="893" spans="1:3" ht="13" x14ac:dyDescent="0.15">
      <c r="A893" s="1" t="str">
        <f ca="1">IFERROR(__xludf.DUMMYFUNCTION("GOOGLETRANSLATE(A893, ""zh"", ""en"")"),"I have always believed that as a person, you must have three perspectives. As an enterprise, you must have three perspectives. The three perspectives are the future perspective, the world perspective, and the overall perspective.")</f>
        <v>I have always believed that as a person, you must have three perspectives. As an enterprise, you must have three perspectives. The three perspectives are the future perspective, the world perspective, and the overall perspective.</v>
      </c>
      <c r="B893" s="1" t="str">
        <f ca="1">IFERROR(__xludf.DUMMYFUNCTION("GOOGLETRANSLATE(A893, ""zh"", ""en"")"),"irrelevant text")</f>
        <v>irrelevant text</v>
      </c>
      <c r="C893" s="1" t="str">
        <f ca="1">IFERROR(__xludf.DUMMYFUNCTION("GOOGLETRANSLATE(E893, ""zh"", ""en"")"),"irrelevant text")</f>
        <v>irrelevant text</v>
      </c>
    </row>
    <row r="894" spans="1:3" ht="13" x14ac:dyDescent="0.15">
      <c r="A894" s="1" t="str">
        <f ca="1">IFERROR(__xludf.DUMMYFUNCTION("GOOGLETRANSLATE(A894, ""zh"", ""en"")"),"Special meetings were held for identified risky companies to discuss and formulate solutions and response strategies")</f>
        <v>Special meetings were held for identified risky companies to discuss and formulate solutions and response strategies</v>
      </c>
      <c r="B894" s="1" t="str">
        <f ca="1">IFERROR(__xludf.DUMMYFUNCTION("GOOGLETRANSLATE(A894, ""zh"", ""en"")"),"irrelevant text")</f>
        <v>irrelevant text</v>
      </c>
      <c r="C894" s="1" t="str">
        <f ca="1">IFERROR(__xludf.DUMMYFUNCTION("GOOGLETRANSLATE(E894, ""zh"", ""en"")"),"irrelevant text")</f>
        <v>irrelevant text</v>
      </c>
    </row>
    <row r="895" spans="1:3" ht="13" x14ac:dyDescent="0.15">
      <c r="A895" s="1" t="str">
        <f ca="1">IFERROR(__xludf.DUMMYFUNCTION("GOOGLETRANSLATE(A895, ""zh"", ""en"")"),"In the future, Tibet Everest will continue to practice the concept of sustainable development, actively give back to society and demonstrate corporate social responsibility.")</f>
        <v>In the future, Tibet Everest will continue to practice the concept of sustainable development, actively give back to society and demonstrate corporate social responsibility.</v>
      </c>
      <c r="B895" s="1" t="str">
        <f ca="1">IFERROR(__xludf.DUMMYFUNCTION("GOOGLETRANSLATE(A895, ""zh"", ""en"")"),"irrelevant text")</f>
        <v>irrelevant text</v>
      </c>
      <c r="C895" s="1" t="str">
        <f ca="1">IFERROR(__xludf.DUMMYFUNCTION("GOOGLETRANSLATE(E895, ""zh"", ""en"")"),"irrelevant text")</f>
        <v>irrelevant text</v>
      </c>
    </row>
    <row r="896" spans="1:3" ht="13" x14ac:dyDescent="0.15">
      <c r="A896" s="1" t="str">
        <f ca="1">IFERROR(__xludf.DUMMYFUNCTION("GOOGLETRANSLATE(A896, ""zh"", ""en"")"),"We look forward to cooperating with neighboring countries and related companies to jointly promote economic development and prosperity in Central Asia.")</f>
        <v>We look forward to cooperating with neighboring countries and related companies to jointly promote economic development and prosperity in Central Asia.</v>
      </c>
      <c r="B896" s="1" t="str">
        <f ca="1">IFERROR(__xludf.DUMMYFUNCTION("GOOGLETRANSLATE(A896, ""zh"", ""en"")"),"irrelevant text")</f>
        <v>irrelevant text</v>
      </c>
      <c r="C896" s="1" t="str">
        <f ca="1">IFERROR(__xludf.DUMMYFUNCTION("GOOGLETRANSLATE(E896, ""zh"", ""en"")"),"irrelevant text")</f>
        <v>irrelevant text</v>
      </c>
    </row>
    <row r="897" spans="1:3" ht="13" x14ac:dyDescent="0.15">
      <c r="A897" s="1" t="str">
        <f ca="1">IFERROR(__xludf.DUMMYFUNCTION("GOOGLETRANSLATE(A897, ""zh"", ""en"")"),"61,000 skilled professionals from the domestic petroleum and petrochemical industries participated in the entire process.")</f>
        <v>61,000 skilled professionals from the domestic petroleum and petrochemical industries participated in the entire process.</v>
      </c>
      <c r="B897" s="1" t="str">
        <f ca="1">IFERROR(__xludf.DUMMYFUNCTION("GOOGLETRANSLATE(A897, ""zh"", ""en"")"),"Promoting employment")</f>
        <v>Promoting employment</v>
      </c>
      <c r="C897" s="1" t="str">
        <f ca="1">IFERROR(__xludf.DUMMYFUNCTION("GOOGLETRANSLATE(E897, ""zh"", ""en"")"),"Quantitative Text")</f>
        <v>Quantitative Text</v>
      </c>
    </row>
    <row r="898" spans="1:3" ht="13" x14ac:dyDescent="0.15">
      <c r="A898" s="1" t="str">
        <f ca="1">IFERROR(__xludf.DUMMYFUNCTION("GOOGLETRANSLATE(A898, ""zh"", ""en"")"),"The first Chinese class plans to provide free Chinese training for 30 project staff and 60 surrounding students")</f>
        <v>The first Chinese class plans to provide free Chinese training for 30 project staff and 60 surrounding students</v>
      </c>
      <c r="B898" s="1" t="str">
        <f ca="1">IFERROR(__xludf.DUMMYFUNCTION("GOOGLETRANSLATE(A898, ""zh"", ""en"")"),"staff")</f>
        <v>staff</v>
      </c>
      <c r="C898" s="1" t="str">
        <f ca="1">IFERROR(__xludf.DUMMYFUNCTION("GOOGLETRANSLATE(E898, ""zh"", ""en"")"),"Quantitative Text")</f>
        <v>Quantitative Text</v>
      </c>
    </row>
    <row r="899" spans="1:3" ht="13" x14ac:dyDescent="0.15">
      <c r="A899" s="1" t="str">
        <f ca="1">IFERROR(__xludf.DUMMYFUNCTION("GOOGLETRANSLATE(A899, ""zh"", ""en"")"),"1 special issue of the Pharmaceutical News on Integrity 1 anti-corruption poster promotion via email, posters, DingTalk, and OA during the Spring Festival")</f>
        <v>1 special issue of the Pharmaceutical News on Integrity 1 anti-corruption poster promotion via email, posters, DingTalk, and OA during the Spring Festival</v>
      </c>
      <c r="B899" s="1" t="str">
        <f ca="1">IFERROR(__xludf.DUMMYFUNCTION("GOOGLETRANSLATE(A899, ""zh"", ""en"")"),"Anti-corruption and anti-money laundering")</f>
        <v>Anti-corruption and anti-money laundering</v>
      </c>
      <c r="C899" s="1" t="str">
        <f ca="1">IFERROR(__xludf.DUMMYFUNCTION("GOOGLETRANSLATE(E899, ""zh"", ""en"")"),"Quantitative Text")</f>
        <v>Quantitative Text</v>
      </c>
    </row>
    <row r="900" spans="1:3" ht="13" x14ac:dyDescent="0.15">
      <c r="A900" s="1" t="str">
        <f ca="1">IFERROR(__xludf.DUMMYFUNCTION("GOOGLETRANSLATE(A900, ""zh"", ""en"")"),"Key performance indicators for gender and employee category: 83.2 points Average number of completed tasks per seated employee")</f>
        <v>Key performance indicators for gender and employee category: 83.2 points Average number of completed tasks per seated employee</v>
      </c>
      <c r="B900" s="1" t="str">
        <f ca="1">IFERROR(__xludf.DUMMYFUNCTION("GOOGLETRANSLATE(A900, ""zh"", ""en"")"),"staff")</f>
        <v>staff</v>
      </c>
      <c r="C900" s="1" t="str">
        <f ca="1">IFERROR(__xludf.DUMMYFUNCTION("GOOGLETRANSLATE(E900, ""zh"", ""en"")"),"Quantitative Text")</f>
        <v>Quantitative Text</v>
      </c>
    </row>
    <row r="901" spans="1:3" ht="13" x14ac:dyDescent="0.15">
      <c r="A901" s="1" t="str">
        <f ca="1">IFERROR(__xludf.DUMMYFUNCTION("GOOGLETRANSLATE(A901, ""zh"", ""en"")"),"Demonstrates the Group's commitment to improving access to innovative therapeutics for patients with rare diseases")</f>
        <v>Demonstrates the Group's commitment to improving access to innovative therapeutics for patients with rare diseases</v>
      </c>
      <c r="B901" s="1" t="str">
        <f ca="1">IFERROR(__xludf.DUMMYFUNCTION("GOOGLETRANSLATE(A901, ""zh"", ""en"")"),"Technological innovation")</f>
        <v>Technological innovation</v>
      </c>
      <c r="C901" s="1" t="str">
        <f ca="1">IFERROR(__xludf.DUMMYFUNCTION("GOOGLETRANSLATE(E901, ""zh"", ""en"")"),"Qualitative text")</f>
        <v>Qualitative text</v>
      </c>
    </row>
    <row r="902" spans="1:3" ht="13" x14ac:dyDescent="0.15">
      <c r="A902" s="1" t="str">
        <f ca="1">IFERROR(__xludf.DUMMYFUNCTION("GOOGLETRANSLATE(A902, ""zh"", ""en"")"),"With the improvement of ecology, the operation area has become a habitat for yellow sheep, rabbits, foxes and various wild birds.")</f>
        <v>With the improvement of ecology, the operation area has become a habitat for yellow sheep, rabbits, foxes and various wild birds.</v>
      </c>
      <c r="B902" s="1" t="str">
        <f ca="1">IFERROR(__xludf.DUMMYFUNCTION("GOOGLETRANSLATE(A902, ""zh"", ""en"")"),"biodiversity")</f>
        <v>biodiversity</v>
      </c>
      <c r="C902" s="1" t="str">
        <f ca="1">IFERROR(__xludf.DUMMYFUNCTION("GOOGLETRANSLATE(E902, ""zh"", ""en"")"),"Qualitative text")</f>
        <v>Qualitative text</v>
      </c>
    </row>
    <row r="903" spans="1:3" ht="13" x14ac:dyDescent="0.15">
      <c r="A903" s="1" t="str">
        <f ca="1">IFERROR(__xludf.DUMMYFUNCTION("GOOGLETRANSLATE(A903, ""zh"", ""en"")"),"2. Grasp the policy direction of total volume of warm air gas management and continuously establish and improve the 2022 full carbon management system")</f>
        <v>2. Grasp the policy direction of total volume of warm air gas management and continuously establish and improve the 2022 full carbon management system</v>
      </c>
      <c r="B903" s="1" t="str">
        <f ca="1">IFERROR(__xludf.DUMMYFUNCTION("GOOGLETRANSLATE(A903, ""zh"", ""en"")"),"carbon emissions")</f>
        <v>carbon emissions</v>
      </c>
      <c r="C903" s="1" t="str">
        <f ca="1">IFERROR(__xludf.DUMMYFUNCTION("GOOGLETRANSLATE(E903, ""zh"", ""en"")"),"Qualitative text")</f>
        <v>Qualitative text</v>
      </c>
    </row>
    <row r="904" spans="1:3" ht="13" x14ac:dyDescent="0.15">
      <c r="A904" s="1" t="str">
        <f ca="1">IFERROR(__xludf.DUMMYFUNCTION("GOOGLETRANSLATE(A904, ""zh"", ""en"")"),"4.2 Supply Management Drives Progress Key Performance Indicator B5.1 Number of Suppliers by Region")</f>
        <v>4.2 Supply Management Drives Progress Key Performance Indicator B5.1 Number of Suppliers by Region</v>
      </c>
      <c r="B904" s="1" t="str">
        <f ca="1">IFERROR(__xludf.DUMMYFUNCTION("GOOGLETRANSLATE(A904, ""zh"", ""en"")"),"supply chain management")</f>
        <v>supply chain management</v>
      </c>
      <c r="C904" s="1" t="str">
        <f ca="1">IFERROR(__xludf.DUMMYFUNCTION("GOOGLETRANSLATE(E904, ""zh"", ""en"")"),"Qualitative text")</f>
        <v>Qualitative text</v>
      </c>
    </row>
    <row r="905" spans="1:3" ht="13" x14ac:dyDescent="0.15">
      <c r="A905" s="1" t="str">
        <f ca="1">IFERROR(__xludf.DUMMYFUNCTION("GOOGLETRANSLATE(A905, ""zh"", ""en"")"),"The two companies have a long history of cooperation and a foundation of trust, and there is huge room for cooperation during the 14th Five-Year Plan period.")</f>
        <v>The two companies have a long history of cooperation and a foundation of trust, and there is huge room for cooperation during the 14th Five-Year Plan period.</v>
      </c>
      <c r="B905" s="1" t="str">
        <f ca="1">IFERROR(__xludf.DUMMYFUNCTION("GOOGLETRANSLATE(A905, ""zh"", ""en"")"),"irrelevant text")</f>
        <v>irrelevant text</v>
      </c>
      <c r="C905" s="1" t="str">
        <f ca="1">IFERROR(__xludf.DUMMYFUNCTION("GOOGLETRANSLATE(E905, ""zh"", ""en"")"),"irrelevant text")</f>
        <v>irrelevant text</v>
      </c>
    </row>
    <row r="906" spans="1:3" ht="13" x14ac:dyDescent="0.15">
      <c r="A906" s="1" t="str">
        <f ca="1">IFERROR(__xludf.DUMMYFUNCTION("GOOGLETRANSLATE(A906, ""zh"", ""en"")"),"During the reporting period, the company issued 89 interim announcements to announce the contents and discussion results of interim meetings.")</f>
        <v>During the reporting period, the company issued 89 interim announcements to announce the contents and discussion results of interim meetings.</v>
      </c>
      <c r="B906" s="1" t="str">
        <f ca="1">IFERROR(__xludf.DUMMYFUNCTION("GOOGLETRANSLATE(A906, ""zh"", ""en"")"),"Information Disclosure and Investor Communication")</f>
        <v>Information Disclosure and Investor Communication</v>
      </c>
      <c r="C906" s="1" t="str">
        <f ca="1">IFERROR(__xludf.DUMMYFUNCTION("GOOGLETRANSLATE(E906, ""zh"", ""en"")"),"Quantitative Text")</f>
        <v>Quantitative Text</v>
      </c>
    </row>
    <row r="907" spans="1:3" ht="13" x14ac:dyDescent="0.15">
      <c r="A907" s="1" t="str">
        <f ca="1">IFERROR(__xludf.DUMMYFUNCTION("GOOGLETRANSLATE(A907, ""zh"", ""en"")"),"The aid project provided 100,000 yuan in funding for road construction in Fengqing Village, solving the travel difficulties of 17 households and 55 people.")</f>
        <v>The aid project provided 100,000 yuan in funding for road construction in Fengqing Village, solving the travel difficulties of 17 households and 55 people.</v>
      </c>
      <c r="B907" s="1" t="str">
        <f ca="1">IFERROR(__xludf.DUMMYFUNCTION("GOOGLETRANSLATE(A907, ""zh"", ""en"")"),"Rural assistance")</f>
        <v>Rural assistance</v>
      </c>
      <c r="C907" s="1" t="str">
        <f ca="1">IFERROR(__xludf.DUMMYFUNCTION("GOOGLETRANSLATE(E907, ""zh"", ""en"")"),"Quantitative Text")</f>
        <v>Quantitative Text</v>
      </c>
    </row>
    <row r="908" spans="1:3" ht="13" x14ac:dyDescent="0.15">
      <c r="A908" s="1" t="str">
        <f ca="1">IFERROR(__xludf.DUMMYFUNCTION("GOOGLETRANSLATE(A908, ""zh"", ""en"")"),"The company ensures the accuracy and authenticity of the information provided by the whistleblower and handles the issues involved in a timely and appropriate manner")</f>
        <v>The company ensures the accuracy and authenticity of the information provided by the whistleblower and handles the issues involved in a timely and appropriate manner</v>
      </c>
      <c r="B908" s="1" t="str">
        <f ca="1">IFERROR(__xludf.DUMMYFUNCTION("GOOGLETRANSLATE(A908, ""zh"", ""en"")"),"Reporting System")</f>
        <v>Reporting System</v>
      </c>
      <c r="C908" s="1" t="str">
        <f ca="1">IFERROR(__xludf.DUMMYFUNCTION("GOOGLETRANSLATE(E908, ""zh"", ""en"")"),"Qualitative text")</f>
        <v>Qualitative text</v>
      </c>
    </row>
    <row r="909" spans="1:3" ht="13" x14ac:dyDescent="0.15">
      <c r="A909" s="1" t="str">
        <f ca="1">IFERROR(__xludf.DUMMYFUNCTION("GOOGLETRANSLATE(A909, ""zh"", ""en"")"),"The company has established a three-tier safety management organization system consisting of headquarters, business divisions and operating units to carry out safety work in a hierarchical manner.")</f>
        <v>The company has established a three-tier safety management organization system consisting of headquarters, business divisions and operating units to carry out safety work in a hierarchical manner.</v>
      </c>
      <c r="B909" s="1" t="str">
        <f ca="1">IFERROR(__xludf.DUMMYFUNCTION("GOOGLETRANSLATE(A909, ""zh"", ""en"")"),"Organizational structure and operations")</f>
        <v>Organizational structure and operations</v>
      </c>
      <c r="C909" s="1" t="str">
        <f ca="1">IFERROR(__xludf.DUMMYFUNCTION("GOOGLETRANSLATE(E909, ""zh"", ""en"")"),"Qualitative text")</f>
        <v>Qualitative text</v>
      </c>
    </row>
    <row r="910" spans="1:3" ht="13" x14ac:dyDescent="0.15">
      <c r="A910" s="1" t="str">
        <f ca="1">IFERROR(__xludf.DUMMYFUNCTION("GOOGLETRANSLATE(A910, ""zh"", ""en"")"),"With the cooperation of many parties, we train a large number of professional and technical talents who are proficient in Chinese for Tajikistan every year.")</f>
        <v>With the cooperation of many parties, we train a large number of professional and technical talents who are proficient in Chinese for Tajikistan every year.</v>
      </c>
      <c r="B910" s="1" t="str">
        <f ca="1">IFERROR(__xludf.DUMMYFUNCTION("GOOGLETRANSLATE(A910, ""zh"", ""en"")"),"Promoting employment")</f>
        <v>Promoting employment</v>
      </c>
      <c r="C910" s="1" t="str">
        <f ca="1">IFERROR(__xludf.DUMMYFUNCTION("GOOGLETRANSLATE(E910, ""zh"", ""en"")"),"Qualitative text")</f>
        <v>Qualitative text</v>
      </c>
    </row>
    <row r="911" spans="1:3" ht="13" x14ac:dyDescent="0.15">
      <c r="A911" s="1" t="str">
        <f ca="1">IFERROR(__xludf.DUMMYFUNCTION("GOOGLETRANSLATE(A911, ""zh"", ""en"")"),"Each special committee is responsible to the board of directors and actively performs its duties, providing good support for the board's scientific decision-making.")</f>
        <v>Each special committee is responsible to the board of directors and actively performs its duties, providing good support for the board's scientific decision-making.</v>
      </c>
      <c r="B911" s="1" t="str">
        <f ca="1">IFERROR(__xludf.DUMMYFUNCTION("GOOGLETRANSLATE(A911, ""zh"", ""en"")"),"Organizational structure and operations")</f>
        <v>Organizational structure and operations</v>
      </c>
      <c r="C911" s="1" t="str">
        <f ca="1">IFERROR(__xludf.DUMMYFUNCTION("GOOGLETRANSLATE(E911, ""zh"", ""en"")"),"Qualitative text")</f>
        <v>Qualitative text</v>
      </c>
    </row>
    <row r="912" spans="1:3" ht="13" x14ac:dyDescent="0.15">
      <c r="A912" s="1" t="str">
        <f ca="1">IFERROR(__xludf.DUMMYFUNCTION("GOOGLETRANSLATE(A912, ""zh"", ""en"")"),"In 2022, a total of 18 suppliers were notified of violations and 12 suppliers were blacklisted.")</f>
        <v>In 2022, a total of 18 suppliers were notified of violations and 12 suppliers were blacklisted.</v>
      </c>
      <c r="B912" s="1" t="str">
        <f ca="1">IFERROR(__xludf.DUMMYFUNCTION("GOOGLETRANSLATE(A912, ""zh"", ""en"")"),"Legal proceedings and external sanctions")</f>
        <v>Legal proceedings and external sanctions</v>
      </c>
      <c r="C912" s="1" t="str">
        <f ca="1">IFERROR(__xludf.DUMMYFUNCTION("GOOGLETRANSLATE(E912, ""zh"", ""en"")"),"Quantitative Text")</f>
        <v>Quantitative Text</v>
      </c>
    </row>
    <row r="913" spans="1:3" ht="13" x14ac:dyDescent="0.15">
      <c r="A913" s="1" t="str">
        <f ca="1">IFERROR(__xludf.DUMMYFUNCTION("GOOGLETRANSLATE(A913, ""zh"", ""en"")"),"The company's self-monitoring method is supervisory monitoring and third-party testing, and the test results are made public to improve environmental management.")</f>
        <v>The company's self-monitoring method is supervisory monitoring and third-party testing, and the test results are made public to improve environmental management.</v>
      </c>
      <c r="B913" s="1" t="str">
        <f ca="1">IFERROR(__xludf.DUMMYFUNCTION("GOOGLETRANSLATE(A913, ""zh"", ""en"")"),"Environmental Policy")</f>
        <v>Environmental Policy</v>
      </c>
      <c r="C913" s="1" t="str">
        <f ca="1">IFERROR(__xludf.DUMMYFUNCTION("GOOGLETRANSLATE(E913, ""zh"", ""en"")"),"Qualitative text")</f>
        <v>Qualitative text</v>
      </c>
    </row>
    <row r="914" spans="1:3" ht="13" x14ac:dyDescent="0.15">
      <c r="A914" s="1" t="str">
        <f ca="1">IFERROR(__xludf.DUMMYFUNCTION("GOOGLETRANSLATE(A914, ""zh"", ""en"")"),"We have also launched the Chasing Light Program to provide more children with more opportunities for growth, development and dream enlightenment.")</f>
        <v>We have also launched the Chasing Light Program to provide more children with more opportunities for growth, development and dream enlightenment.</v>
      </c>
      <c r="B914" s="1" t="str">
        <f ca="1">IFERROR(__xludf.DUMMYFUNCTION("GOOGLETRANSLATE(A914, ""zh"", ""en"")"),"Public welfare and volunteer service")</f>
        <v>Public welfare and volunteer service</v>
      </c>
      <c r="C914" s="1" t="str">
        <f ca="1">IFERROR(__xludf.DUMMYFUNCTION("GOOGLETRANSLATE(E914, ""zh"", ""en"")"),"Qualitative text")</f>
        <v>Qualitative text</v>
      </c>
    </row>
    <row r="915" spans="1:3" ht="13" x14ac:dyDescent="0.15">
      <c r="A915" s="1" t="str">
        <f ca="1">IFERROR(__xludf.DUMMYFUNCTION("GOOGLETRANSLATE(A915, ""zh"", ""en"")"),"We uphold the people-oriented corporate values, attach importance to talent cultivation, protect employee rights and interests, and enhance employee happiness.")</f>
        <v>We uphold the people-oriented corporate values, attach importance to talent cultivation, protect employee rights and interests, and enhance employee happiness.</v>
      </c>
      <c r="B915" s="1" t="str">
        <f ca="1">IFERROR(__xludf.DUMMYFUNCTION("GOOGLETRANSLATE(A915, ""zh"", ""en"")"),"staff")</f>
        <v>staff</v>
      </c>
      <c r="C915" s="1" t="str">
        <f ca="1">IFERROR(__xludf.DUMMYFUNCTION("GOOGLETRANSLATE(E915, ""zh"", ""en"")"),"Qualitative text")</f>
        <v>Qualitative text</v>
      </c>
    </row>
    <row r="916" spans="1:3" ht="13" x14ac:dyDescent="0.15">
      <c r="A916" s="1" t="str">
        <f ca="1">IFERROR(__xludf.DUMMYFUNCTION("GOOGLETRANSLATE(A916, ""zh"", ""en"")"),"At the same time, we conduct preventive testing in a timely manner to identify potential problems and control product quality risks from the source.")</f>
        <v>At the same time, we conduct preventive testing in a timely manner to identify potential problems and control product quality risks from the source.</v>
      </c>
      <c r="B916" s="1" t="str">
        <f ca="1">IFERROR(__xludf.DUMMYFUNCTION("GOOGLETRANSLATE(A916, ""zh"", ""en"")"),"Product quality")</f>
        <v>Product quality</v>
      </c>
      <c r="C916" s="1" t="str">
        <f ca="1">IFERROR(__xludf.DUMMYFUNCTION("GOOGLETRANSLATE(E916, ""zh"", ""en"")"),"Qualitative text")</f>
        <v>Qualitative text</v>
      </c>
    </row>
    <row r="917" spans="1:3" ht="13" x14ac:dyDescent="0.15">
      <c r="A917" s="1" t="str">
        <f ca="1">IFERROR(__xludf.DUMMYFUNCTION("GOOGLETRANSLATE(A917, ""zh"", ""en"")"),"The smart granary built in the corn drying plant in Jimunai County, Nileke County, Xinjiang provides strong guarantee for food security")</f>
        <v>The smart granary built in the corn drying plant in Jimunai County, Nileke County, Xinjiang provides strong guarantee for food security</v>
      </c>
      <c r="B917" s="1" t="str">
        <f ca="1">IFERROR(__xludf.DUMMYFUNCTION("GOOGLETRANSLATE(A917, ""zh"", ""en"")"),"Rural assistance")</f>
        <v>Rural assistance</v>
      </c>
      <c r="C917" s="1" t="str">
        <f ca="1">IFERROR(__xludf.DUMMYFUNCTION("GOOGLETRANSLATE(E917, ""zh"", ""en"")"),"Qualitative text")</f>
        <v>Qualitative text</v>
      </c>
    </row>
    <row r="918" spans="1:3" ht="13" x14ac:dyDescent="0.15">
      <c r="A918" s="1" t="str">
        <f ca="1">IFERROR(__xludf.DUMMYFUNCTION("GOOGLETRANSLATE(A918, ""zh"", ""en"")"),"Focus on promoting employment for local female residents, ethnic minorities and college students and strive to increase employment opportunities in the local community")</f>
        <v>Focus on promoting employment for local female residents, ethnic minorities and college students and strive to increase employment opportunities in the local community</v>
      </c>
      <c r="B918" s="1" t="str">
        <f ca="1">IFERROR(__xludf.DUMMYFUNCTION("GOOGLETRANSLATE(A918, ""zh"", ""en"")"),"Promoting employment")</f>
        <v>Promoting employment</v>
      </c>
      <c r="C918" s="1" t="str">
        <f ca="1">IFERROR(__xludf.DUMMYFUNCTION("GOOGLETRANSLATE(E918, ""zh"", ""en"")"),"Qualitative text")</f>
        <v>Qualitative text</v>
      </c>
    </row>
    <row r="919" spans="1:3" ht="13" x14ac:dyDescent="0.15">
      <c r="A919" s="1" t="str">
        <f ca="1">IFERROR(__xludf.DUMMYFUNCTION("GOOGLETRANSLATE(A919, ""zh"", ""en"")"),"At the same time, we will take measures such as notification, deletion, blocking or link breaking for infringing content and promptly feedback the results to the rights holder.")</f>
        <v>At the same time, we will take measures such as notification, deletion, blocking or link breaking for infringing content and promptly feedback the results to the rights holder.</v>
      </c>
      <c r="B919" s="1" t="str">
        <f ca="1">IFERROR(__xludf.DUMMYFUNCTION("GOOGLETRANSLATE(A919, ""zh"", ""en"")"),"Legal proceedings and external sanctions")</f>
        <v>Legal proceedings and external sanctions</v>
      </c>
      <c r="C919" s="1" t="str">
        <f ca="1">IFERROR(__xludf.DUMMYFUNCTION("GOOGLETRANSLATE(E919, ""zh"", ""en"")"),"Qualitative text")</f>
        <v>Qualitative text</v>
      </c>
    </row>
    <row r="920" spans="1:3" ht="13" x14ac:dyDescent="0.15">
      <c r="A920" s="1" t="str">
        <f ca="1">IFERROR(__xludf.DUMMYFUNCTION("GOOGLETRANSLATE(A920, ""zh"", ""en"")"),"With a registered capital of RMB 6.425 billion, SDIC has established an inclusive and unified parent-child corporate culture system.")</f>
        <v>With a registered capital of RMB 6.425 billion, SDIC has established an inclusive and unified parent-child corporate culture system.</v>
      </c>
      <c r="B920" s="1" t="str">
        <f ca="1">IFERROR(__xludf.DUMMYFUNCTION("GOOGLETRANSLATE(A920, ""zh"", ""en"")"),"Organizational structure and operations")</f>
        <v>Organizational structure and operations</v>
      </c>
      <c r="C920" s="1" t="str">
        <f ca="1">IFERROR(__xludf.DUMMYFUNCTION("GOOGLETRANSLATE(E920, ""zh"", ""en"")"),"Qualitative text")</f>
        <v>Qualitative text</v>
      </c>
    </row>
    <row r="921" spans="1:3" ht="13" x14ac:dyDescent="0.15">
      <c r="A921" s="1" t="str">
        <f ca="1">IFERROR(__xludf.DUMMYFUNCTION("GOOGLETRANSLATE(A921, ""zh"", ""en"")"),"P44 Key Performance B2.1 Number and ratio of work-related deaths in each of the past three years, including the reporting year")</f>
        <v>P44 Key Performance B2.1 Number and ratio of work-related deaths in each of the past three years, including the reporting year</v>
      </c>
      <c r="B921" s="1" t="str">
        <f ca="1">IFERROR(__xludf.DUMMYFUNCTION("GOOGLETRANSLATE(A921, ""zh"", ""en"")"),"staff")</f>
        <v>staff</v>
      </c>
      <c r="C921" s="1" t="str">
        <f ca="1">IFERROR(__xludf.DUMMYFUNCTION("GOOGLETRANSLATE(E921, ""zh"", ""en"")"),"Quantitative Text")</f>
        <v>Quantitative Text</v>
      </c>
    </row>
    <row r="922" spans="1:3" ht="13" x14ac:dyDescent="0.15">
      <c r="A922" s="1" t="str">
        <f ca="1">IFERROR(__xludf.DUMMYFUNCTION("GOOGLETRANSLATE(A922, ""zh"", ""en"")"),"Among many major lighting suppliers in the United States, Sunshine Lighting is the only winner of this award.")</f>
        <v>Among many major lighting suppliers in the United States, Sunshine Lighting is the only winner of this award.</v>
      </c>
      <c r="B922" s="1" t="str">
        <f ca="1">IFERROR(__xludf.DUMMYFUNCTION("GOOGLETRANSLATE(A922, ""zh"", ""en"")"),"Product quality")</f>
        <v>Product quality</v>
      </c>
      <c r="C922" s="1" t="str">
        <f ca="1">IFERROR(__xludf.DUMMYFUNCTION("GOOGLETRANSLATE(E922, ""zh"", ""en"")"),"Quantitative Text")</f>
        <v>Quantitative Text</v>
      </c>
    </row>
    <row r="923" spans="1:3" ht="13" x14ac:dyDescent="0.15">
      <c r="A923" s="1" t="str">
        <f ca="1">IFERROR(__xludf.DUMMYFUNCTION("GOOGLETRANSLATE(A923, ""zh"", ""en"")"),"P37A2 Resource Use General Disclosure Policies for efficient use of resources including energy, water and other raw materials")</f>
        <v>P37A2 Resource Use General Disclosure Policies for efficient use of resources including energy, water and other raw materials</v>
      </c>
      <c r="B923" s="1" t="str">
        <f ca="1">IFERROR(__xludf.DUMMYFUNCTION("GOOGLETRANSLATE(A923, ""zh"", ""en"")"),"raw materials")</f>
        <v>raw materials</v>
      </c>
      <c r="C923" s="1" t="str">
        <f ca="1">IFERROR(__xludf.DUMMYFUNCTION("GOOGLETRANSLATE(E923, ""zh"", ""en"")"),"Qualitative text")</f>
        <v>Qualitative text</v>
      </c>
    </row>
    <row r="924" spans="1:3" ht="13" x14ac:dyDescent="0.15">
      <c r="A924" s="1" t="str">
        <f ca="1">IFERROR(__xludf.DUMMYFUNCTION("GOOGLETRANSLATE(A924, ""zh"", ""en"")"),"4 Shenzhen District organized party members and youth league members to carry out voluntary tree planting activities and planted more than 120 fine-leaved fig trees")</f>
        <v>4 Shenzhen District organized party members and youth league members to carry out voluntary tree planting activities and planted more than 120 fine-leaved fig trees</v>
      </c>
      <c r="B924" s="1" t="str">
        <f ca="1">IFERROR(__xludf.DUMMYFUNCTION("GOOGLETRANSLATE(A924, ""zh"", ""en"")"),"Public welfare and volunteer service")</f>
        <v>Public welfare and volunteer service</v>
      </c>
      <c r="C924" s="1" t="str">
        <f ca="1">IFERROR(__xludf.DUMMYFUNCTION("GOOGLETRANSLATE(E924, ""zh"", ""en"")"),"Quantitative Text")</f>
        <v>Quantitative Text</v>
      </c>
    </row>
    <row r="925" spans="1:3" ht="13" x14ac:dyDescent="0.15">
      <c r="A925" s="1" t="str">
        <f ca="1">IFERROR(__xludf.DUMMYFUNCTION("GOOGLETRANSLATE(A925, ""zh"", ""en"")"),"P49 Operating Practices B5 Supply Chain Management General Disclosure Policy on Managing Environmental and Social Risks in the Supply Chain")</f>
        <v>P49 Operating Practices B5 Supply Chain Management General Disclosure Policy on Managing Environmental and Social Risks in the Supply Chain</v>
      </c>
      <c r="B925" s="1" t="str">
        <f ca="1">IFERROR(__xludf.DUMMYFUNCTION("GOOGLETRANSLATE(A925, ""zh"", ""en"")"),"supply chain management")</f>
        <v>supply chain management</v>
      </c>
      <c r="C925" s="1" t="str">
        <f ca="1">IFERROR(__xludf.DUMMYFUNCTION("GOOGLETRANSLATE(E925, ""zh"", ""en"")"),"Qualitative text")</f>
        <v>Qualitative text</v>
      </c>
    </row>
    <row r="926" spans="1:3" ht="13" x14ac:dyDescent="0.15">
      <c r="A926" s="1" t="str">
        <f ca="1">IFERROR(__xludf.DUMMYFUNCTION("GOOGLETRANSLATE(A926, ""zh"", ""en"")"),"Carry out anti-corruption warning education and special study activities on party style and clean government construction to strengthen the awareness of integrity and self-discipline among leading cadres")</f>
        <v>Carry out anti-corruption warning education and special study activities on party style and clean government construction to strengthen the awareness of integrity and self-discipline among leading cadres</v>
      </c>
      <c r="B926" s="1" t="str">
        <f ca="1">IFERROR(__xludf.DUMMYFUNCTION("GOOGLETRANSLATE(A926, ""zh"", ""en"")"),"Anti-corruption and anti-money laundering")</f>
        <v>Anti-corruption and anti-money laundering</v>
      </c>
      <c r="C926" s="1" t="str">
        <f ca="1">IFERROR(__xludf.DUMMYFUNCTION("GOOGLETRANSLATE(E926, ""zh"", ""en"")"),"Qualitative text")</f>
        <v>Qualitative text</v>
      </c>
    </row>
    <row r="927" spans="1:3" ht="13" x14ac:dyDescent="0.15">
      <c r="A927" s="1" t="str">
        <f ca="1">IFERROR(__xludf.DUMMYFUNCTION("GOOGLETRANSLATE(A927, ""zh"", ""en"")"),"Hold democratic life meetings for senior management every quarter to discuss problems openly and develop solutions together")</f>
        <v>Hold democratic life meetings for senior management every quarter to discuss problems openly and develop solutions together</v>
      </c>
      <c r="B927" s="1" t="str">
        <f ca="1">IFERROR(__xludf.DUMMYFUNCTION("GOOGLETRANSLATE(A927, ""zh"", ""en"")"),"Organizational structure and operations")</f>
        <v>Organizational structure and operations</v>
      </c>
      <c r="C927" s="1" t="str">
        <f ca="1">IFERROR(__xludf.DUMMYFUNCTION("GOOGLETRANSLATE(E927, ""zh"", ""en"")"),"Qualitative text")</f>
        <v>Qualitative text</v>
      </c>
    </row>
    <row r="928" spans="1:3" ht="13" x14ac:dyDescent="0.15">
      <c r="A928" s="1" t="str">
        <f ca="1">IFERROR(__xludf.DUMMYFUNCTION("GOOGLETRANSLATE(A928, ""zh"", ""en"")"),"Highlight the new functional positioning of the headquarters' four centers and implement internal control systems to manage the entire life cycle, including establishment, revision, abolition, interpretation and evaluation.")</f>
        <v>Highlight the new functional positioning of the headquarters' four centers and implement internal control systems to manage the entire life cycle, including establishment, revision, abolition, interpretation and evaluation.</v>
      </c>
      <c r="B928" s="1" t="str">
        <f ca="1">IFERROR(__xludf.DUMMYFUNCTION("GOOGLETRANSLATE(A928, ""zh"", ""en"")"),"Organizational structure and operations")</f>
        <v>Organizational structure and operations</v>
      </c>
      <c r="C928" s="1" t="str">
        <f ca="1">IFERROR(__xludf.DUMMYFUNCTION("GOOGLETRANSLATE(E928, ""zh"", ""en"")"),"Qualitative text")</f>
        <v>Qualitative text</v>
      </c>
    </row>
    <row r="929" spans="1:3" ht="13" x14ac:dyDescent="0.15">
      <c r="A929" s="1" t="str">
        <f ca="1">IFERROR(__xludf.DUMMYFUNCTION("GOOGLETRANSLATE(A929, ""zh"", ""en"")"),"72 Key Performance Indicator B4.1 Description of measures to review recruitment practices to avoid child labor and forced labor")</f>
        <v>72 Key Performance Indicator B4.1 Description of measures to review recruitment practices to avoid child labor and forced labor</v>
      </c>
      <c r="B929" s="1" t="str">
        <f ca="1">IFERROR(__xludf.DUMMYFUNCTION("GOOGLETRANSLATE(A929, ""zh"", ""en"")"),"staff")</f>
        <v>staff</v>
      </c>
      <c r="C929" s="1" t="str">
        <f ca="1">IFERROR(__xludf.DUMMYFUNCTION("GOOGLETRANSLATE(E929, ""zh"", ""en"")"),"Qualitative text")</f>
        <v>Qualitative text</v>
      </c>
    </row>
    <row r="930" spans="1:3" ht="13" x14ac:dyDescent="0.15">
      <c r="A930" s="1" t="str">
        <f ca="1">IFERROR(__xludf.DUMMYFUNCTION("GOOGLETRANSLATE(A930, ""zh"", ""en"")"),"The company has won many awards such as the Public Welfare Enterprise Medical Pioneer for its great love spirit that benefits a large number of cancer patients.")</f>
        <v>The company has won many awards such as the Public Welfare Enterprise Medical Pioneer for its great love spirit that benefits a large number of cancer patients.</v>
      </c>
      <c r="B930" s="1" t="str">
        <f ca="1">IFERROR(__xludf.DUMMYFUNCTION("GOOGLETRANSLATE(A930, ""zh"", ""en"")"),"Public welfare and volunteer service")</f>
        <v>Public welfare and volunteer service</v>
      </c>
      <c r="C930" s="1" t="str">
        <f ca="1">IFERROR(__xludf.DUMMYFUNCTION("GOOGLETRANSLATE(E930, ""zh"", ""en"")"),"Quantitative Text")</f>
        <v>Quantitative Text</v>
      </c>
    </row>
    <row r="931" spans="1:3" ht="13" x14ac:dyDescent="0.15">
      <c r="A931" s="1" t="str">
        <f ca="1">IFERROR(__xludf.DUMMYFUNCTION("GOOGLETRANSLATE(A931, ""zh"", ""en"")"),"In 2022, we guided Wuhan Puke to establish a trade union organization and assisted Renfu Kangcheng to successfully complete the trade union election.")</f>
        <v>In 2022, we guided Wuhan Puke to establish a trade union organization and assisted Renfu Kangcheng to successfully complete the trade union election.</v>
      </c>
      <c r="B931" s="1" t="str">
        <f ca="1">IFERROR(__xludf.DUMMYFUNCTION("GOOGLETRANSLATE(A931, ""zh"", ""en"")"),"Promoting employment")</f>
        <v>Promoting employment</v>
      </c>
      <c r="C931" s="1" t="str">
        <f ca="1">IFERROR(__xludf.DUMMYFUNCTION("GOOGLETRANSLATE(E931, ""zh"", ""en"")"),"Qualitative text")</f>
        <v>Qualitative text</v>
      </c>
    </row>
    <row r="932" spans="1:3" ht="13" x14ac:dyDescent="0.15">
      <c r="A932" s="1" t="str">
        <f ca="1">IFERROR(__xludf.DUMMYFUNCTION("GOOGLETRANSLATE(A932, ""zh"", ""en"")"),"103104 KPI B6.3 Description of practices related to maintaining and protecting intellectual property rights")</f>
        <v>103104 KPI B6.3 Description of practices related to maintaining and protecting intellectual property rights</v>
      </c>
      <c r="B932" s="1" t="str">
        <f ca="1">IFERROR(__xludf.DUMMYFUNCTION("GOOGLETRANSLATE(A932, ""zh"", ""en"")"),"Intellectual Property Protection")</f>
        <v>Intellectual Property Protection</v>
      </c>
      <c r="C932" s="1" t="str">
        <f ca="1">IFERROR(__xludf.DUMMYFUNCTION("GOOGLETRANSLATE(E932, ""zh"", ""en"")"),"Qualitative text")</f>
        <v>Qualitative text</v>
      </c>
    </row>
    <row r="933" spans="1:3" ht="13" x14ac:dyDescent="0.15">
      <c r="A933" s="1" t="str">
        <f ca="1">IFERROR(__xludf.DUMMYFUNCTION("GOOGLETRANSLATE(A933, ""zh"", ""en"")"),"The company conducts business improvement rotations from time to time to help employees broaden their horizons and improve their professional skills and business capabilities")</f>
        <v>The company conducts business improvement rotations from time to time to help employees broaden their horizons and improve their professional skills and business capabilities</v>
      </c>
      <c r="B933" s="1" t="str">
        <f ca="1">IFERROR(__xludf.DUMMYFUNCTION("GOOGLETRANSLATE(A933, ""zh"", ""en"")"),"staff")</f>
        <v>staff</v>
      </c>
      <c r="C933" s="1" t="str">
        <f ca="1">IFERROR(__xludf.DUMMYFUNCTION("GOOGLETRANSLATE(E933, ""zh"", ""en"")"),"Qualitative text")</f>
        <v>Qualitative text</v>
      </c>
    </row>
    <row r="934" spans="1:3" ht="13" x14ac:dyDescent="0.15">
      <c r="A934" s="1" t="str">
        <f ca="1">IFERROR(__xludf.DUMMYFUNCTION("GOOGLETRANSLATE(A934, ""zh"", ""en"")"),"Implement the special funds of RMB 565,000 allocated by the Group Labor Union to help member units purchase prevention and control materials")</f>
        <v>Implement the special funds of RMB 565,000 allocated by the Group Labor Union to help member units purchase prevention and control materials</v>
      </c>
      <c r="B934" s="1" t="str">
        <f ca="1">IFERROR(__xludf.DUMMYFUNCTION("GOOGLETRANSLATE(A934, ""zh"", ""en"")"),"Fighting the epidemic")</f>
        <v>Fighting the epidemic</v>
      </c>
      <c r="C934" s="1" t="str">
        <f ca="1">IFERROR(__xludf.DUMMYFUNCTION("GOOGLETRANSLATE(E934, ""zh"", ""en"")"),"Quantitative Text")</f>
        <v>Quantitative Text</v>
      </c>
    </row>
    <row r="935" spans="1:3" ht="13" x14ac:dyDescent="0.15">
      <c r="A935" s="1" t="str">
        <f ca="1">IFERROR(__xludf.DUMMYFUNCTION("GOOGLETRANSLATE(A935, ""zh"", ""en"")"),"The company continues to publicize the new safety production law and all employees meet the standards. 21 compulsory courses in the Light School are available to learn the new safety production law.")</f>
        <v>The company continues to publicize the new safety production law and all employees meet the standards. 21 compulsory courses in the Light School are available to learn the new safety production law.</v>
      </c>
      <c r="B935" s="1" t="str">
        <f ca="1">IFERROR(__xludf.DUMMYFUNCTION("GOOGLETRANSLATE(A935, ""zh"", ""en"")"),"staff")</f>
        <v>staff</v>
      </c>
      <c r="C935" s="1" t="str">
        <f ca="1">IFERROR(__xludf.DUMMYFUNCTION("GOOGLETRANSLATE(E935, ""zh"", ""en"")"),"Qualitative text")</f>
        <v>Qualitative text</v>
      </c>
    </row>
    <row r="936" spans="1:3" ht="13" x14ac:dyDescent="0.15">
      <c r="A936" s="1" t="str">
        <f ca="1">IFERROR(__xludf.DUMMYFUNCTION("GOOGLETRANSLATE(A936, ""zh"", ""en"")"),"In 2019, the Group established a special supervision working group to organize comprehensive self-inspections and on-site inspections of four member companies.")</f>
        <v>In 2019, the Group established a special supervision working group to organize comprehensive self-inspections and on-site inspections of four member companies.</v>
      </c>
      <c r="B936" s="1" t="str">
        <f ca="1">IFERROR(__xludf.DUMMYFUNCTION("GOOGLETRANSLATE(A936, ""zh"", ""en"")"),"Organizational structure and operations")</f>
        <v>Organizational structure and operations</v>
      </c>
      <c r="C936" s="1" t="str">
        <f ca="1">IFERROR(__xludf.DUMMYFUNCTION("GOOGLETRANSLATE(E936, ""zh"", ""en"")"),"Quantitative Text")</f>
        <v>Quantitative Text</v>
      </c>
    </row>
    <row r="937" spans="1:3" ht="13" x14ac:dyDescent="0.15">
      <c r="A937" s="1" t="str">
        <f ca="1">IFERROR(__xludf.DUMMYFUNCTION("GOOGLETRANSLATE(A937, ""zh"", ""en"")"),"The financial data in this report is in RMB. If there is any discrepancy with the financial report, the financial report shall prevail.")</f>
        <v>The financial data in this report is in RMB. If there is any discrepancy with the financial report, the financial report shall prevail.</v>
      </c>
      <c r="B937" s="1" t="str">
        <f ca="1">IFERROR(__xludf.DUMMYFUNCTION("GOOGLETRANSLATE(A937, ""zh"", ""en"")"),"irrelevant text")</f>
        <v>irrelevant text</v>
      </c>
      <c r="C937" s="1" t="str">
        <f ca="1">IFERROR(__xludf.DUMMYFUNCTION("GOOGLETRANSLATE(E937, ""zh"", ""en"")"),"irrelevant text")</f>
        <v>irrelevant text</v>
      </c>
    </row>
    <row r="938" spans="1:3" ht="13" x14ac:dyDescent="0.15">
      <c r="A938" s="1" t="str">
        <f ca="1">IFERROR(__xludf.DUMMYFUNCTION("GOOGLETRANSLATE(A938, ""zh"", ""en"")"),"Clobazam tablets, approved for marketing this year, provide better treatment opportunities for children with LGS aged 2 years and above.")</f>
        <v>Clobazam tablets, approved for marketing this year, provide better treatment opportunities for children with LGS aged 2 years and above.</v>
      </c>
      <c r="B938" s="1" t="str">
        <f ca="1">IFERROR(__xludf.DUMMYFUNCTION("GOOGLETRANSLATE(A938, ""zh"", ""en"")"),"Product quality")</f>
        <v>Product quality</v>
      </c>
      <c r="C938" s="1" t="str">
        <f ca="1">IFERROR(__xludf.DUMMYFUNCTION("GOOGLETRANSLATE(E938, ""zh"", ""en"")"),"Qualitative text")</f>
        <v>Qualitative text</v>
      </c>
    </row>
    <row r="939" spans="1:3" ht="13" x14ac:dyDescent="0.15">
      <c r="A939" s="1" t="str">
        <f ca="1">IFERROR(__xludf.DUMMYFUNCTION("GOOGLETRANSLATE(A939, ""zh"", ""en"")"),"The manual is a rare collection of knowledge and a learning manual that every student wants to treasure and share at any time.")</f>
        <v>The manual is a rare collection of knowledge and a learning manual that every student wants to treasure and share at any time.</v>
      </c>
      <c r="B939" s="1" t="str">
        <f ca="1">IFERROR(__xludf.DUMMYFUNCTION("GOOGLETRANSLATE(A939, ""zh"", ""en"")"),"irrelevant text")</f>
        <v>irrelevant text</v>
      </c>
      <c r="C939" s="1" t="str">
        <f ca="1">IFERROR(__xludf.DUMMYFUNCTION("GOOGLETRANSLATE(E939, ""zh"", ""en"")"),"irrelevant text")</f>
        <v>irrelevant text</v>
      </c>
    </row>
    <row r="940" spans="1:3" ht="13" x14ac:dyDescent="0.15">
      <c r="A940" s="1" t="str">
        <f ca="1">IFERROR(__xludf.DUMMYFUNCTION("GOOGLETRANSLATE(A940, ""zh"", ""en"")"),"Fosun Pharma Group has always regarded employees as the most valuable assets of the company and attaches great importance to the development and training of talents.")</f>
        <v>Fosun Pharma Group has always regarded employees as the most valuable assets of the company and attaches great importance to the development and training of talents.</v>
      </c>
      <c r="B940" s="1" t="str">
        <f ca="1">IFERROR(__xludf.DUMMYFUNCTION("GOOGLETRANSLATE(A940, ""zh"", ""en"")"),"staff")</f>
        <v>staff</v>
      </c>
      <c r="C940" s="1" t="str">
        <f ca="1">IFERROR(__xludf.DUMMYFUNCTION("GOOGLETRANSLATE(E940, ""zh"", ""en"")"),"Qualitative text")</f>
        <v>Qualitative text</v>
      </c>
    </row>
    <row r="941" spans="1:3" ht="13" x14ac:dyDescent="0.15">
      <c r="A941" s="1" t="str">
        <f ca="1">IFERROR(__xludf.DUMMYFUNCTION("GOOGLETRANSLATE(A941, ""zh"", ""en"")"),"In terms of system, the company revised the reward and punishment system in 2019 to provide employees with a healthy, fair and respected development space.")</f>
        <v>In terms of system, the company revised the reward and punishment system in 2019 to provide employees with a healthy, fair and respected development space.</v>
      </c>
      <c r="B941" s="1" t="str">
        <f ca="1">IFERROR(__xludf.DUMMYFUNCTION("GOOGLETRANSLATE(A941, ""zh"", ""en"")"),"staff")</f>
        <v>staff</v>
      </c>
      <c r="C941" s="1" t="str">
        <f ca="1">IFERROR(__xludf.DUMMYFUNCTION("GOOGLETRANSLATE(E941, ""zh"", ""en"")"),"Qualitative text")</f>
        <v>Qualitative text</v>
      </c>
    </row>
    <row r="942" spans="1:3" ht="13" x14ac:dyDescent="0.15">
      <c r="A942" s="1" t="str">
        <f ca="1">IFERROR(__xludf.DUMMYFUNCTION("GOOGLETRANSLATE(A942, ""zh"", ""en"")"),"Fosun Pharma Group actively recommends external talents through internal talent recommendation.")</f>
        <v>Fosun Pharma Group actively recommends external talents through internal talent recommendation.</v>
      </c>
      <c r="B942" s="1" t="str">
        <f ca="1">IFERROR(__xludf.DUMMYFUNCTION("GOOGLETRANSLATE(A942, ""zh"", ""en"")"),"staff")</f>
        <v>staff</v>
      </c>
      <c r="C942" s="1" t="str">
        <f ca="1">IFERROR(__xludf.DUMMYFUNCTION("GOOGLETRANSLATE(E942, ""zh"", ""en"")"),"Qualitative text")</f>
        <v>Qualitative text</v>
      </c>
    </row>
    <row r="943" spans="1:3" ht="13" x14ac:dyDescent="0.15">
      <c r="A943" s="1" t="str">
        <f ca="1">IFERROR(__xludf.DUMMYFUNCTION("GOOGLETRANSLATE(A943, ""zh"", ""en"")"),"management logic to achieve continuous improvement in the Group's environmental management and occupational health and safety management")</f>
        <v>management logic to achieve continuous improvement in the Group's environmental management and occupational health and safety management</v>
      </c>
      <c r="B943" s="1" t="str">
        <f ca="1">IFERROR(__xludf.DUMMYFUNCTION("GOOGLETRANSLATE(A943, ""zh"", ""en"")"),"staff")</f>
        <v>staff</v>
      </c>
      <c r="C943" s="1" t="str">
        <f ca="1">IFERROR(__xludf.DUMMYFUNCTION("GOOGLETRANSLATE(E943, ""zh"", ""en"")"),"Qualitative text")</f>
        <v>Qualitative text</v>
      </c>
    </row>
    <row r="944" spans="1:3" ht="13" x14ac:dyDescent="0.15">
      <c r="A944" s="1" t="str">
        <f ca="1">IFERROR(__xludf.DUMMYFUNCTION("GOOGLETRANSLATE(A944, ""zh"", ""en"")"),"Since the launch of FOPEX in 2017, we have continuously improved the internal operational efficiency of the company.")</f>
        <v>Since the launch of FOPEX in 2017, we have continuously improved the internal operational efficiency of the company.</v>
      </c>
      <c r="B944" s="1" t="str">
        <f ca="1">IFERROR(__xludf.DUMMYFUNCTION("GOOGLETRANSLATE(A944, ""zh"", ""en"")"),"Organizational structure and operations")</f>
        <v>Organizational structure and operations</v>
      </c>
      <c r="C944" s="1" t="str">
        <f ca="1">IFERROR(__xludf.DUMMYFUNCTION("GOOGLETRANSLATE(E944, ""zh"", ""en"")"),"Qualitative text")</f>
        <v>Qualitative text</v>
      </c>
    </row>
    <row r="945" spans="1:3" ht="13" x14ac:dyDescent="0.15">
      <c r="A945" s="1" t="str">
        <f ca="1">IFERROR(__xludf.DUMMYFUNCTION("GOOGLETRANSLATE(A945, ""zh"", ""en"")"),"We care about life and are enthusiastic about social welfare. We help poor patients and strong umbilical cord volume stocks and assume corporate social responsibility.")</f>
        <v>We care about life and are enthusiastic about social welfare. We help poor patients and strong umbilical cord volume stocks and assume corporate social responsibility.</v>
      </c>
      <c r="B945" s="1" t="str">
        <f ca="1">IFERROR(__xludf.DUMMYFUNCTION("GOOGLETRANSLATE(A945, ""zh"", ""en"")"),"Public welfare and volunteer service")</f>
        <v>Public welfare and volunteer service</v>
      </c>
      <c r="C945" s="1" t="str">
        <f ca="1">IFERROR(__xludf.DUMMYFUNCTION("GOOGLETRANSLATE(E945, ""zh"", ""en"")"),"Qualitative text")</f>
        <v>Qualitative text</v>
      </c>
    </row>
    <row r="946" spans="1:3" ht="13" x14ac:dyDescent="0.15">
      <c r="A946" s="1" t="str">
        <f ca="1">IFERROR(__xludf.DUMMYFUNCTION("GOOGLETRANSLATE(A946, ""zh"", ""en"")"),"The Group requires suppliers participating in the bidding process to protect the legitimate rights and interests of the whistleblower and the contract counterparty when registering.")</f>
        <v>The Group requires suppliers participating in the bidding process to protect the legitimate rights and interests of the whistleblower and the contract counterparty when registering.</v>
      </c>
      <c r="B946" s="1" t="str">
        <f ca="1">IFERROR(__xludf.DUMMYFUNCTION("GOOGLETRANSLATE(A946, ""zh"", ""en"")"),"Reporting System")</f>
        <v>Reporting System</v>
      </c>
      <c r="C946" s="1" t="str">
        <f ca="1">IFERROR(__xludf.DUMMYFUNCTION("GOOGLETRANSLATE(E946, ""zh"", ""en"")"),"Qualitative text")</f>
        <v>Qualitative text</v>
      </c>
    </row>
    <row r="947" spans="1:3" ht="13" x14ac:dyDescent="0.15">
      <c r="A947" s="1" t="str">
        <f ca="1">IFERROR(__xludf.DUMMYFUNCTION("GOOGLETRANSLATE(A947, ""zh"", ""en"")"),"CITIC Securities International, a subsidiary of CITIC Securities, actively carries out public welfare projects around the world to enhance its public welfare influence and fulfill its social responsibility.")</f>
        <v>CITIC Securities International, a subsidiary of CITIC Securities, actively carries out public welfare projects around the world to enhance its public welfare influence and fulfill its social responsibility.</v>
      </c>
      <c r="B947" s="1" t="str">
        <f ca="1">IFERROR(__xludf.DUMMYFUNCTION("GOOGLETRANSLATE(A947, ""zh"", ""en"")"),"Public welfare and volunteer service")</f>
        <v>Public welfare and volunteer service</v>
      </c>
      <c r="C947" s="1" t="str">
        <f ca="1">IFERROR(__xludf.DUMMYFUNCTION("GOOGLETRANSLATE(E947, ""zh"", ""en"")"),"Qualitative text")</f>
        <v>Qualitative text</v>
      </c>
    </row>
    <row r="948" spans="1:3" ht="13" x14ac:dyDescent="0.15">
      <c r="A948" s="1" t="str">
        <f ca="1">IFERROR(__xludf.DUMMYFUNCTION("GOOGLETRANSLATE(A948, ""zh"", ""en"")"),"The company is actively developing the third pillar of pension business based on the steady progress of enterprise annuity and occupational annuity business.")</f>
        <v>The company is actively developing the third pillar of pension business based on the steady progress of enterprise annuity and occupational annuity business.</v>
      </c>
      <c r="B948" s="1" t="str">
        <f ca="1">IFERROR(__xludf.DUMMYFUNCTION("GOOGLETRANSLATE(A948, ""zh"", ""en"")"),"staff")</f>
        <v>staff</v>
      </c>
      <c r="C948" s="1" t="str">
        <f ca="1">IFERROR(__xludf.DUMMYFUNCTION("GOOGLETRANSLATE(E948, ""zh"", ""en"")"),"Qualitative text")</f>
        <v>Qualitative text</v>
      </c>
    </row>
    <row r="949" spans="1:3" ht="13" x14ac:dyDescent="0.15">
      <c r="A949" s="1" t="str">
        <f ca="1">IFERROR(__xludf.DUMMYFUNCTION("GOOGLETRANSLATE(A949, ""zh"", ""en"")"),"Appendix 1 Key Performance Indicator Table B1.2 Employee Turnover Rate by Gender, Age Group and Region")</f>
        <v>Appendix 1 Key Performance Indicator Table B1.2 Employee Turnover Rate by Gender, Age Group and Region</v>
      </c>
      <c r="B949" s="1" t="str">
        <f ca="1">IFERROR(__xludf.DUMMYFUNCTION("GOOGLETRANSLATE(A949, ""zh"", ""en"")"),"staff")</f>
        <v>staff</v>
      </c>
      <c r="C949" s="1" t="str">
        <f ca="1">IFERROR(__xludf.DUMMYFUNCTION("GOOGLETRANSLATE(E949, ""zh"", ""en"")"),"Qualitative text")</f>
        <v>Qualitative text</v>
      </c>
    </row>
    <row r="950" spans="1:3" ht="13" x14ac:dyDescent="0.15">
      <c r="A950" s="1" t="str">
        <f ca="1">IFERROR(__xludf.DUMMYFUNCTION("GOOGLETRANSLATE(A950, ""zh"", ""en"")"),"3. Waste electronic information products mainly include microcomputers, monitors, notebook computers, printers and servers")</f>
        <v>3. Waste electronic information products mainly include microcomputers, monitors, notebook computers, printers and servers</v>
      </c>
      <c r="B950" s="1" t="str">
        <f ca="1">IFERROR(__xludf.DUMMYFUNCTION("GOOGLETRANSLATE(A950, ""zh"", ""en"")"),"Waste Management")</f>
        <v>Waste Management</v>
      </c>
      <c r="C950" s="1" t="str">
        <f ca="1">IFERROR(__xludf.DUMMYFUNCTION("GOOGLETRANSLATE(E950, ""zh"", ""en"")"),"Qualitative text")</f>
        <v>Qualitative text</v>
      </c>
    </row>
    <row r="951" spans="1:3" ht="13" x14ac:dyDescent="0.15">
      <c r="A951" s="1" t="str">
        <f ca="1">IFERROR(__xludf.DUMMYFUNCTION("GOOGLETRANSLATE(A951, ""zh"", ""en"")"),"In 2023, we will hire an external professional organization to conduct a comprehensive review of the Bank’s energy and resource consumption in 2022.")</f>
        <v>In 2023, we will hire an external professional organization to conduct a comprehensive review of the Bank’s energy and resource consumption in 2022.</v>
      </c>
      <c r="B951" s="1" t="str">
        <f ca="1">IFERROR(__xludf.DUMMYFUNCTION("GOOGLETRANSLATE(A951, ""zh"", ""en"")"),"Energy and resource consumption")</f>
        <v>Energy and resource consumption</v>
      </c>
      <c r="C951" s="1" t="str">
        <f ca="1">IFERROR(__xludf.DUMMYFUNCTION("GOOGLETRANSLATE(E951, ""zh"", ""en"")"),"Qualitative text")</f>
        <v>Qualitative text</v>
      </c>
    </row>
    <row r="952" spans="1:3" ht="13" x14ac:dyDescent="0.15">
      <c r="A952" s="1" t="str">
        <f ca="1">IFERROR(__xludf.DUMMYFUNCTION("GOOGLETRANSLATE(A952, ""zh"", ""en"")"),"From 2022 to 2026, pilot projects for recycled water recycling will be promoted in qualified branches.")</f>
        <v>From 2022 to 2026, pilot projects for recycled water recycling will be promoted in qualified branches.</v>
      </c>
      <c r="B952" s="1" t="str">
        <f ca="1">IFERROR(__xludf.DUMMYFUNCTION("GOOGLETRANSLATE(A952, ""zh"", ""en"")"),"Water resources")</f>
        <v>Water resources</v>
      </c>
      <c r="C952" s="1" t="str">
        <f ca="1">IFERROR(__xludf.DUMMYFUNCTION("GOOGLETRANSLATE(E952, ""zh"", ""en"")"),"Qualitative text")</f>
        <v>Qualitative text</v>
      </c>
    </row>
    <row r="953" spans="1:3" ht="13" x14ac:dyDescent="0.15">
      <c r="A953" s="1" t="str">
        <f ca="1">IFERROR(__xludf.DUMMYFUNCTION("GOOGLETRANSLATE(A953, ""zh"", ""en"")"),"The company continues to focus on key core technology research and development and has made new progress in technology research and development in multiple fields in 2022.")</f>
        <v>The company continues to focus on key core technology research and development and has made new progress in technology research and development in multiple fields in 2022.</v>
      </c>
      <c r="B953" s="1" t="str">
        <f ca="1">IFERROR(__xludf.DUMMYFUNCTION("GOOGLETRANSLATE(A953, ""zh"", ""en"")"),"Technological innovation")</f>
        <v>Technological innovation</v>
      </c>
      <c r="C953" s="1" t="str">
        <f ca="1">IFERROR(__xludf.DUMMYFUNCTION("GOOGLETRANSLATE(E953, ""zh"", ""en"")"),"Qualitative text")</f>
        <v>Qualitative text</v>
      </c>
    </row>
    <row r="954" spans="1:3" ht="13" x14ac:dyDescent="0.15">
      <c r="A954" s="1" t="str">
        <f ca="1">IFERROR(__xludf.DUMMYFUNCTION("GOOGLETRANSLATE(A954, ""zh"", ""en"")"),"Adopt refined operation and maintenance to reduce energy consumption through cold channel closure, near-end cooling, optimized lighting strategies, and other measures")</f>
        <v>Adopt refined operation and maintenance to reduce energy consumption through cold channel closure, near-end cooling, optimized lighting strategies, and other measures</v>
      </c>
      <c r="B954" s="1" t="str">
        <f ca="1">IFERROR(__xludf.DUMMYFUNCTION("GOOGLETRANSLATE(A954, ""zh"", ""en"")"),"Energy and resource consumption")</f>
        <v>Energy and resource consumption</v>
      </c>
      <c r="C954" s="1" t="str">
        <f ca="1">IFERROR(__xludf.DUMMYFUNCTION("GOOGLETRANSLATE(E954, ""zh"", ""en"")"),"Qualitative text")</f>
        <v>Qualitative text</v>
      </c>
    </row>
    <row r="955" spans="1:3" ht="13" x14ac:dyDescent="0.15">
      <c r="A955" s="1" t="str">
        <f ca="1">IFERROR(__xludf.DUMMYFUNCTION("GOOGLETRANSLATE(A955, ""zh"", ""en"")"),"Responsible for reviewing and supervising the development planning and operating performance of natural gas, hydrogen, renewable energy, energy conservation and emission reduction businesses")</f>
        <v>Responsible for reviewing and supervising the development planning and operating performance of natural gas, hydrogen, renewable energy, energy conservation and emission reduction businesses</v>
      </c>
      <c r="B955" s="1" t="str">
        <f ca="1">IFERROR(__xludf.DUMMYFUNCTION("GOOGLETRANSLATE(A955, ""zh"", ""en"")"),"Energy and resource consumption")</f>
        <v>Energy and resource consumption</v>
      </c>
      <c r="C955" s="1" t="str">
        <f ca="1">IFERROR(__xludf.DUMMYFUNCTION("GOOGLETRANSLATE(E955, ""zh"", ""en"")"),"Qualitative text")</f>
        <v>Qualitative text</v>
      </c>
    </row>
    <row r="956" spans="1:3" ht="13" x14ac:dyDescent="0.15">
      <c r="A956" s="1" t="str">
        <f ca="1">IFERROR(__xludf.DUMMYFUNCTION("GOOGLETRANSLATE(A956, ""zh"", ""en"")"),"The company has implemented rectification measures for relevant issues found during the audit process and no major defects were found in the audit work.")</f>
        <v>The company has implemented rectification measures for relevant issues found during the audit process and no major defects were found in the audit work.</v>
      </c>
      <c r="B956" s="1" t="str">
        <f ca="1">IFERROR(__xludf.DUMMYFUNCTION("GOOGLETRANSLATE(A956, ""zh"", ""en"")"),"Audit work")</f>
        <v>Audit work</v>
      </c>
      <c r="C956" s="1" t="str">
        <f ca="1">IFERROR(__xludf.DUMMYFUNCTION("GOOGLETRANSLATE(E956, ""zh"", ""en"")"),"Quantitative Text")</f>
        <v>Quantitative Text</v>
      </c>
    </row>
    <row r="957" spans="1:3" ht="13" x14ac:dyDescent="0.15">
      <c r="A957" s="1" t="str">
        <f ca="1">IFERROR(__xludf.DUMMYFUNCTION("GOOGLETRANSLATE(A957, ""zh"", ""en"")"),"In 2022, the company used shared pallets to reduce the use of 140,000 wooden pallets and reduce costs by 9 million yuan.")</f>
        <v>In 2022, the company used shared pallets to reduce the use of 140,000 wooden pallets and reduce costs by 9 million yuan.</v>
      </c>
      <c r="B957" s="1" t="str">
        <f ca="1">IFERROR(__xludf.DUMMYFUNCTION("GOOGLETRANSLATE(A957, ""zh"", ""en"")"),"raw materials")</f>
        <v>raw materials</v>
      </c>
      <c r="C957" s="1" t="str">
        <f ca="1">IFERROR(__xludf.DUMMYFUNCTION("GOOGLETRANSLATE(E957, ""zh"", ""en"")"),"Quantitative Text")</f>
        <v>Quantitative Text</v>
      </c>
    </row>
    <row r="958" spans="1:3" ht="13" x14ac:dyDescent="0.15">
      <c r="A958" s="1" t="str">
        <f ca="1">IFERROR(__xludf.DUMMYFUNCTION("GOOGLETRANSLATE(A958, ""zh"", ""en"")"),"For more information, please refer to China Finance 2022, Issue 21: Finance Supports Energy Security and Low-Carbon Transformation")</f>
        <v>For more information, please refer to China Finance 2022, Issue 21: Finance Supports Energy Security and Low-Carbon Transformation</v>
      </c>
      <c r="B958" s="1" t="str">
        <f ca="1">IFERROR(__xludf.DUMMYFUNCTION("GOOGLETRANSLATE(A958, ""zh"", ""en"")"),"carbon emissions")</f>
        <v>carbon emissions</v>
      </c>
      <c r="C958" s="1" t="str">
        <f ca="1">IFERROR(__xludf.DUMMYFUNCTION("GOOGLETRANSLATE(E958, ""zh"", ""en"")"),"Qualitative text")</f>
        <v>Qualitative text</v>
      </c>
    </row>
    <row r="959" spans="1:3" ht="13" x14ac:dyDescent="0.15">
      <c r="A959" s="1" t="str">
        <f ca="1">IFERROR(__xludf.DUMMYFUNCTION("GOOGLETRANSLATE(A959, ""zh"", ""en"")"),"Actively cooperate with the development of the new energy vehicle industry to promote the construction of new energy vehicle charging and battery replacement supporting facilities and hydrogen refueling stations")</f>
        <v>Actively cooperate with the development of the new energy vehicle industry to promote the construction of new energy vehicle charging and battery replacement supporting facilities and hydrogen refueling stations</v>
      </c>
      <c r="B959" s="1" t="str">
        <f ca="1">IFERROR(__xludf.DUMMYFUNCTION("GOOGLETRANSLATE(A959, ""zh"", ""en"")"),"Technological innovation")</f>
        <v>Technological innovation</v>
      </c>
      <c r="C959" s="1" t="str">
        <f ca="1">IFERROR(__xludf.DUMMYFUNCTION("GOOGLETRANSLATE(E959, ""zh"", ""en"")"),"Qualitative text")</f>
        <v>Qualitative text</v>
      </c>
    </row>
    <row r="960" spans="1:3" ht="13" x14ac:dyDescent="0.15">
      <c r="A960" s="1" t="str">
        <f ca="1">IFERROR(__xludf.DUMMYFUNCTION("GOOGLETRANSLATE(A960, ""zh"", ""en"")"),"Unless otherwise specified in this report, the relevant data include those of Sinopec and its wholly-owned and majority-owned subsidiaries.")</f>
        <v>Unless otherwise specified in this report, the relevant data include those of Sinopec and its wholly-owned and majority-owned subsidiaries.</v>
      </c>
      <c r="B960" s="1" t="str">
        <f ca="1">IFERROR(__xludf.DUMMYFUNCTION("GOOGLETRANSLATE(A960, ""zh"", ""en"")"),"irrelevant text")</f>
        <v>irrelevant text</v>
      </c>
      <c r="C960" s="1" t="str">
        <f ca="1">IFERROR(__xludf.DUMMYFUNCTION("GOOGLETRANSLATE(E960, ""zh"", ""en"")"),"irrelevant text")</f>
        <v>irrelevant text</v>
      </c>
    </row>
    <row r="961" spans="1:3" ht="13" x14ac:dyDescent="0.15">
      <c r="A961" s="1" t="str">
        <f ca="1">IFERROR(__xludf.DUMMYFUNCTION("GOOGLETRANSLATE(A961, ""zh"", ""en"")"),"Actively promote special actions for digital transformation and promote the digital development of business through demonstration projects such as the Industrial Internet")</f>
        <v>Actively promote special actions for digital transformation and promote the digital development of business through demonstration projects such as the Industrial Internet</v>
      </c>
      <c r="B961" s="1" t="str">
        <f ca="1">IFERROR(__xludf.DUMMYFUNCTION("GOOGLETRANSLATE(A961, ""zh"", ""en"")"),"Technological innovation")</f>
        <v>Technological innovation</v>
      </c>
      <c r="C961" s="1" t="str">
        <f ca="1">IFERROR(__xludf.DUMMYFUNCTION("GOOGLETRANSLATE(E961, ""zh"", ""en"")"),"Qualitative text")</f>
        <v>Qualitative text</v>
      </c>
    </row>
    <row r="962" spans="1:3" ht="13" x14ac:dyDescent="0.15">
      <c r="A962" s="1" t="str">
        <f ca="1">IFERROR(__xludf.DUMMYFUNCTION("GOOGLETRANSLATE(A962, ""zh"", ""en"")"),"Solidly promote the protection and restoration of important ecosystems and launch the Sinopec Saihanba Ecological Demonstration Forest Project")</f>
        <v>Solidly promote the protection and restoration of important ecosystems and launch the Sinopec Saihanba Ecological Demonstration Forest Project</v>
      </c>
      <c r="B962" s="1" t="str">
        <f ca="1">IFERROR(__xludf.DUMMYFUNCTION("GOOGLETRANSLATE(A962, ""zh"", ""en"")"),"biodiversity")</f>
        <v>biodiversity</v>
      </c>
      <c r="C962" s="1" t="str">
        <f ca="1">IFERROR(__xludf.DUMMYFUNCTION("GOOGLETRANSLATE(E962, ""zh"", ""en"")"),"Qualitative text")</f>
        <v>Qualitative text</v>
      </c>
    </row>
    <row r="963" spans="1:3" ht="13" x14ac:dyDescent="0.15">
      <c r="A963" s="1" t="str">
        <f ca="1">IFERROR(__xludf.DUMMYFUNCTION("GOOGLETRANSLATE(A963, ""zh"", ""en"")"),"The main contents of the report and accusation materials shall be summarized in accordance with relevant regulations and entered into the petition and reporting management system.")</f>
        <v>The main contents of the report and accusation materials shall be summarized in accordance with relevant regulations and entered into the petition and reporting management system.</v>
      </c>
      <c r="B963" s="1" t="str">
        <f ca="1">IFERROR(__xludf.DUMMYFUNCTION("GOOGLETRANSLATE(A963, ""zh"", ""en"")"),"Reporting System")</f>
        <v>Reporting System</v>
      </c>
      <c r="C963" s="1" t="str">
        <f ca="1">IFERROR(__xludf.DUMMYFUNCTION("GOOGLETRANSLATE(E963, ""zh"", ""en"")"),"Qualitative text")</f>
        <v>Qualitative text</v>
      </c>
    </row>
    <row r="964" spans="1:3" ht="13" x14ac:dyDescent="0.15">
      <c r="A964" s="1" t="str">
        <f ca="1">IFERROR(__xludf.DUMMYFUNCTION("GOOGLETRANSLATE(A964, ""zh"", ""en"")"),"The definition of self-service banking refers to the self-service banking branch service requirements GBT4146120223.2")</f>
        <v>The definition of self-service banking refers to the self-service banking branch service requirements GBT4146120223.2</v>
      </c>
      <c r="B964" s="1" t="str">
        <f ca="1">IFERROR(__xludf.DUMMYFUNCTION("GOOGLETRANSLATE(A964, ""zh"", ""en"")"),"irrelevant text")</f>
        <v>irrelevant text</v>
      </c>
      <c r="C964" s="1" t="str">
        <f ca="1">IFERROR(__xludf.DUMMYFUNCTION("GOOGLETRANSLATE(E964, ""zh"", ""en"")"),"irrelevant text")</f>
        <v>irrelevant text</v>
      </c>
    </row>
    <row r="965" spans="1:3" ht="13" x14ac:dyDescent="0.15">
      <c r="A965" s="1" t="str">
        <f ca="1">IFERROR(__xludf.DUMMYFUNCTION("GOOGLETRANSLATE(A965, ""zh"", ""en"")"),"The social contribution value per share is derived from the Shanghai Stock Exchange's Guidelines for the Self-regulation and Supervision of Listed Companies No. 1.")</f>
        <v>The social contribution value per share is derived from the Shanghai Stock Exchange's Guidelines for the Self-regulation and Supervision of Listed Companies No. 1.</v>
      </c>
      <c r="B965" s="1" t="str">
        <f ca="1">IFERROR(__xludf.DUMMYFUNCTION("GOOGLETRANSLATE(A965, ""zh"", ""en"")"),"Public welfare and volunteer service")</f>
        <v>Public welfare and volunteer service</v>
      </c>
      <c r="C965" s="1" t="str">
        <f ca="1">IFERROR(__xludf.DUMMYFUNCTION("GOOGLETRANSLATE(E965, ""zh"", ""en"")"),"Qualitative text")</f>
        <v>Qualitative text</v>
      </c>
    </row>
    <row r="966" spans="1:3" ht="13" x14ac:dyDescent="0.15">
      <c r="A966" s="1" t="str">
        <f ca="1">IFERROR(__xludf.DUMMYFUNCTION("GOOGLETRANSLATE(A966, ""zh"", ""en"")"),"In 2022, the company held 4 meetings of the Board of Supervisors to discuss 9 topics, with an overall attendance rate of 100%")</f>
        <v>In 2022, the company held 4 meetings of the Board of Supervisors to discuss 9 topics, with an overall attendance rate of 100%</v>
      </c>
      <c r="B966" s="1" t="str">
        <f ca="1">IFERROR(__xludf.DUMMYFUNCTION("GOOGLETRANSLATE(A966, ""zh"", ""en"")"),"Organizational structure and operations")</f>
        <v>Organizational structure and operations</v>
      </c>
      <c r="C966" s="1" t="str">
        <f ca="1">IFERROR(__xludf.DUMMYFUNCTION("GOOGLETRANSLATE(E966, ""zh"", ""en"")"),"Quantitative Text")</f>
        <v>Quantitative Text</v>
      </c>
    </row>
    <row r="967" spans="1:3" ht="13" x14ac:dyDescent="0.15">
      <c r="A967" s="1" t="str">
        <f ca="1">IFERROR(__xludf.DUMMYFUNCTION("GOOGLETRANSLATE(A967, ""zh"", ""en"")"),"Shanghai Electric showcased its new image and won the third prize in the 6th Shanghai Legal Skills Competition.")</f>
        <v>Shanghai Electric showcased its new image and won the third prize in the 6th Shanghai Legal Skills Competition.</v>
      </c>
      <c r="B967" s="1" t="str">
        <f ca="1">IFERROR(__xludf.DUMMYFUNCTION("GOOGLETRANSLATE(A967, ""zh"", ""en"")"),"Legal proceedings and external sanctions")</f>
        <v>Legal proceedings and external sanctions</v>
      </c>
      <c r="C967" s="1" t="str">
        <f ca="1">IFERROR(__xludf.DUMMYFUNCTION("GOOGLETRANSLATE(E967, ""zh"", ""en"")"),"Quantitative Text")</f>
        <v>Quantitative Text</v>
      </c>
    </row>
    <row r="968" spans="1:3" ht="13" x14ac:dyDescent="0.15">
      <c r="A968" s="1" t="str">
        <f ca="1">IFERROR(__xludf.DUMMYFUNCTION("GOOGLETRANSLATE(A968, ""zh"", ""en"")"),"Continue to improve data security and privacy protection policies, strengthen data security protection capabilities, and optimize protection strategies.")</f>
        <v>Continue to improve data security and privacy protection policies, strengthen data security protection capabilities, and optimize protection strategies.</v>
      </c>
      <c r="B968" s="1" t="str">
        <f ca="1">IFERROR(__xludf.DUMMYFUNCTION("GOOGLETRANSLATE(A968, ""zh"", ""en"")"),"Data security")</f>
        <v>Data security</v>
      </c>
      <c r="C968" s="1" t="str">
        <f ca="1">IFERROR(__xludf.DUMMYFUNCTION("GOOGLETRANSLATE(E968, ""zh"", ""en"")"),"Qualitative text")</f>
        <v>Qualitative text</v>
      </c>
    </row>
    <row r="969" spans="1:3" ht="13" x14ac:dyDescent="0.15">
      <c r="A969" s="1" t="str">
        <f ca="1">IFERROR(__xludf.DUMMYFUNCTION("GOOGLETRANSLATE(A969, ""zh"", ""en"")"),"In terms of protecting female employees, the company has established a women's committee of the labor union to provide special care for female employees.")</f>
        <v>In terms of protecting female employees, the company has established a women's committee of the labor union to provide special care for female employees.</v>
      </c>
      <c r="B969" s="1" t="str">
        <f ca="1">IFERROR(__xludf.DUMMYFUNCTION("GOOGLETRANSLATE(A969, ""zh"", ""en"")"),"staff")</f>
        <v>staff</v>
      </c>
      <c r="C969" s="1" t="str">
        <f ca="1">IFERROR(__xludf.DUMMYFUNCTION("GOOGLETRANSLATE(E969, ""zh"", ""en"")"),"Qualitative text")</f>
        <v>Qualitative text</v>
      </c>
    </row>
    <row r="970" spans="1:3" ht="13" x14ac:dyDescent="0.15">
      <c r="A970" s="1" t="str">
        <f ca="1">IFERROR(__xludf.DUMMYFUNCTION("GOOGLETRANSLATE(A970, ""zh"", ""en"")"),"In 2022, the Trade Union Working Committee visited 18,000 employees and helped solve 17,000 of their problems.")</f>
        <v>In 2022, the Trade Union Working Committee visited 18,000 employees and helped solve 17,000 of their problems.</v>
      </c>
      <c r="B970" s="1" t="str">
        <f ca="1">IFERROR(__xludf.DUMMYFUNCTION("GOOGLETRANSLATE(A970, ""zh"", ""en"")"),"staff")</f>
        <v>staff</v>
      </c>
      <c r="C970" s="1" t="str">
        <f ca="1">IFERROR(__xludf.DUMMYFUNCTION("GOOGLETRANSLATE(E970, ""zh"", ""en"")"),"Quantitative Text")</f>
        <v>Quantitative Text</v>
      </c>
    </row>
    <row r="971" spans="1:3" ht="13" x14ac:dyDescent="0.15">
      <c r="A971" s="1" t="str">
        <f ca="1">IFERROR(__xludf.DUMMYFUNCTION("GOOGLETRANSLATE(A971, ""zh"", ""en"")"),"Launch online Xinfu Express frontline activities to provide online counseling to open up the last mile to employees' hearts")</f>
        <v>Launch online Xinfu Express frontline activities to provide online counseling to open up the last mile to employees' hearts</v>
      </c>
      <c r="B971" s="1" t="str">
        <f ca="1">IFERROR(__xludf.DUMMYFUNCTION("GOOGLETRANSLATE(A971, ""zh"", ""en"")"),"staff")</f>
        <v>staff</v>
      </c>
      <c r="C971" s="1" t="str">
        <f ca="1">IFERROR(__xludf.DUMMYFUNCTION("GOOGLETRANSLATE(E971, ""zh"", ""en"")"),"Qualitative text")</f>
        <v>Qualitative text</v>
      </c>
    </row>
    <row r="972" spans="1:3" ht="13" x14ac:dyDescent="0.15">
      <c r="A972" s="1" t="str">
        <f ca="1">IFERROR(__xludf.DUMMYFUNCTION("GOOGLETRANSLATE(A972, ""zh"", ""en"")"),"Strive to serve the real economy and provide China Construction Bank with professional financial solutions for high-quality economic and social development")</f>
        <v>Strive to serve the real economy and provide China Construction Bank with professional financial solutions for high-quality economic and social development</v>
      </c>
      <c r="B972" s="1" t="str">
        <f ca="1">IFERROR(__xludf.DUMMYFUNCTION("GOOGLETRANSLATE(A972, ""zh"", ""en"")"),"irrelevant text")</f>
        <v>irrelevant text</v>
      </c>
      <c r="C972" s="1" t="str">
        <f ca="1">IFERROR(__xludf.DUMMYFUNCTION("GOOGLETRANSLATE(E972, ""zh"", ""en"")"),"irrelevant text")</f>
        <v>irrelevant text</v>
      </c>
    </row>
    <row r="973" spans="1:3" ht="13" x14ac:dyDescent="0.15">
      <c r="A973" s="1" t="str">
        <f ca="1">IFERROR(__xludf.DUMMYFUNCTION("GOOGLETRANSLATE(A973, ""zh"", ""en"")"),"104 Key Performance Indicator A2.2 Total water consumption and density, if calculated per unit of production per facility")</f>
        <v>104 Key Performance Indicator A2.2 Total water consumption and density, if calculated per unit of production per facility</v>
      </c>
      <c r="B973" s="1" t="str">
        <f ca="1">IFERROR(__xludf.DUMMYFUNCTION("GOOGLETRANSLATE(A973, ""zh"", ""en"")"),"Water resources")</f>
        <v>Water resources</v>
      </c>
      <c r="C973" s="1" t="str">
        <f ca="1">IFERROR(__xludf.DUMMYFUNCTION("GOOGLETRANSLATE(E973, ""zh"", ""en"")"),"Qualitative text")</f>
        <v>Qualitative text</v>
      </c>
    </row>
    <row r="974" spans="1:3" ht="13" x14ac:dyDescent="0.15">
      <c r="A974" s="1" t="str">
        <f ca="1">IFERROR(__xludf.DUMMYFUNCTION("GOOGLETRANSLATE(A974, ""zh"", ""en"")"),"79 KPI B4.1 Description of measures to review recruitment practices to avoid child labor and forced labor")</f>
        <v>79 KPI B4.1 Description of measures to review recruitment practices to avoid child labor and forced labor</v>
      </c>
      <c r="B974" s="1" t="str">
        <f ca="1">IFERROR(__xludf.DUMMYFUNCTION("GOOGLETRANSLATE(A974, ""zh"", ""en"")"),"staff")</f>
        <v>staff</v>
      </c>
      <c r="C974" s="1" t="str">
        <f ca="1">IFERROR(__xludf.DUMMYFUNCTION("GOOGLETRANSLATE(E974, ""zh"", ""en"")"),"Qualitative text")</f>
        <v>Qualitative text</v>
      </c>
    </row>
    <row r="975" spans="1:3" ht="13" x14ac:dyDescent="0.15">
      <c r="A975" s="1" t="str">
        <f ca="1">IFERROR(__xludf.DUMMYFUNCTION("GOOGLETRANSLATE(A975, ""zh"", ""en"")"),"Market-oriented results incentives formulate a plan for the introduction of high-end talents, and the group will bear the salary difference of high-end talents.")</f>
        <v>Market-oriented results incentives formulate a plan for the introduction of high-end talents, and the group will bear the salary difference of high-end talents.</v>
      </c>
      <c r="B975" s="1" t="str">
        <f ca="1">IFERROR(__xludf.DUMMYFUNCTION("GOOGLETRANSLATE(A975, ""zh"", ""en"")"),"staff")</f>
        <v>staff</v>
      </c>
      <c r="C975" s="1" t="str">
        <f ca="1">IFERROR(__xludf.DUMMYFUNCTION("GOOGLETRANSLATE(E975, ""zh"", ""en"")"),"Qualitative text")</f>
        <v>Qualitative text</v>
      </c>
    </row>
    <row r="976" spans="1:3" ht="13" x14ac:dyDescent="0.15">
      <c r="A976" s="1" t="str">
        <f ca="1">IFERROR(__xludf.DUMMYFUNCTION("GOOGLETRANSLATE(A976, ""zh"", ""en"")"),"The Group has been supporting local development and promoting rural revitalization through rural paired assistance and targeted donations.")</f>
        <v>The Group has been supporting local development and promoting rural revitalization through rural paired assistance and targeted donations.</v>
      </c>
      <c r="B976" s="1" t="str">
        <f ca="1">IFERROR(__xludf.DUMMYFUNCTION("GOOGLETRANSLATE(A976, ""zh"", ""en"")"),"Rural assistance")</f>
        <v>Rural assistance</v>
      </c>
      <c r="C976" s="1" t="str">
        <f ca="1">IFERROR(__xludf.DUMMYFUNCTION("GOOGLETRANSLATE(E976, ""zh"", ""en"")"),"Qualitative text")</f>
        <v>Qualitative text</v>
      </c>
    </row>
    <row r="977" spans="1:3" ht="13" x14ac:dyDescent="0.15">
      <c r="A977" s="1" t="str">
        <f ca="1">IFERROR(__xludf.DUMMYFUNCTION("GOOGLETRANSLATE(A977, ""zh"", ""en"")"),"2022 is a connecting year for the 14th Five-Year Plan and a key year for comprehensively promoting rural revitalization.")</f>
        <v>2022 is a connecting year for the 14th Five-Year Plan and a key year for comprehensively promoting rural revitalization.</v>
      </c>
      <c r="B977" s="1" t="str">
        <f ca="1">IFERROR(__xludf.DUMMYFUNCTION("GOOGLETRANSLATE(A977, ""zh"", ""en"")"),"Rural assistance")</f>
        <v>Rural assistance</v>
      </c>
      <c r="C977" s="1" t="str">
        <f ca="1">IFERROR(__xludf.DUMMYFUNCTION("GOOGLETRANSLATE(E977, ""zh"", ""en"")"),"Qualitative text")</f>
        <v>Qualitative text</v>
      </c>
    </row>
    <row r="978" spans="1:3" ht="13" x14ac:dyDescent="0.15">
      <c r="A978" s="1" t="str">
        <f ca="1">IFERROR(__xludf.DUMMYFUNCTION("GOOGLETRANSLATE(A978, ""zh"", ""en"")"),"Shanghai Electric provided assistance to 5,244 employees in need throughout the year, investing RMB 6.988 million in assistance.")</f>
        <v>Shanghai Electric provided assistance to 5,244 employees in need throughout the year, investing RMB 6.988 million in assistance.</v>
      </c>
      <c r="B978" s="1" t="str">
        <f ca="1">IFERROR(__xludf.DUMMYFUNCTION("GOOGLETRANSLATE(A978, ""zh"", ""en"")"),"staff")</f>
        <v>staff</v>
      </c>
      <c r="C978" s="1" t="str">
        <f ca="1">IFERROR(__xludf.DUMMYFUNCTION("GOOGLETRANSLATE(E978, ""zh"", ""en"")"),"Quantitative Text")</f>
        <v>Quantitative Text</v>
      </c>
    </row>
    <row r="979" spans="1:3" ht="13" x14ac:dyDescent="0.15">
      <c r="A979" s="1" t="str">
        <f ca="1">IFERROR(__xludf.DUMMYFUNCTION("GOOGLETRANSLATE(A979, ""zh"", ""en"")"),"203 party member assault teams were established to give full play to the vanguard and exemplary role of party members and cadres, overcome difficulties and achieve new successes")</f>
        <v>203 party member assault teams were established to give full play to the vanguard and exemplary role of party members and cadres, overcome difficulties and achieve new successes</v>
      </c>
      <c r="B979" s="1" t="str">
        <f ca="1">IFERROR(__xludf.DUMMYFUNCTION("GOOGLETRANSLATE(A979, ""zh"", ""en"")"),"Organizational structure and operations")</f>
        <v>Organizational structure and operations</v>
      </c>
      <c r="C979" s="1" t="str">
        <f ca="1">IFERROR(__xludf.DUMMYFUNCTION("GOOGLETRANSLATE(E979, ""zh"", ""en"")"),"Quantitative Text")</f>
        <v>Quantitative Text</v>
      </c>
    </row>
    <row r="980" spans="1:3" ht="13" x14ac:dyDescent="0.15">
      <c r="A980" s="1" t="str">
        <f ca="1">IFERROR(__xludf.DUMMYFUNCTION("GOOGLETRANSLATE(A980, ""zh"", ""en"")"),"By the end of 2022, Shanghai Electric had 10 female senior managers, accounting for 30% of the total.")</f>
        <v>By the end of 2022, Shanghai Electric had 10 female senior managers, accounting for 30% of the total.</v>
      </c>
      <c r="B980" s="1" t="str">
        <f ca="1">IFERROR(__xludf.DUMMYFUNCTION("GOOGLETRANSLATE(A980, ""zh"", ""en"")"),"Organizational structure and operations")</f>
        <v>Organizational structure and operations</v>
      </c>
      <c r="C980" s="1" t="str">
        <f ca="1">IFERROR(__xludf.DUMMYFUNCTION("GOOGLETRANSLATE(E980, ""zh"", ""en"")"),"Quantitative Text")</f>
        <v>Quantitative Text</v>
      </c>
    </row>
    <row r="981" spans="1:3" ht="13" x14ac:dyDescent="0.15">
      <c r="A981" s="1" t="str">
        <f ca="1">IFERROR(__xludf.DUMMYFUNCTION("GOOGLETRANSLATE(A981, ""zh"", ""en"")"),"The meeting pointed out that the atmosphere of strengthening the Party's style and clean government construction has become stronger throughout the group, and the work has made good progress overall.")</f>
        <v>The meeting pointed out that the atmosphere of strengthening the Party's style and clean government construction has become stronger throughout the group, and the work has made good progress overall.</v>
      </c>
      <c r="B981" s="1" t="str">
        <f ca="1">IFERROR(__xludf.DUMMYFUNCTION("GOOGLETRANSLATE(A981, ""zh"", ""en"")"),"Anti-corruption and anti-money laundering")</f>
        <v>Anti-corruption and anti-money laundering</v>
      </c>
      <c r="C981" s="1" t="str">
        <f ca="1">IFERROR(__xludf.DUMMYFUNCTION("GOOGLETRANSLATE(E981, ""zh"", ""en"")"),"Qualitative text")</f>
        <v>Qualitative text</v>
      </c>
    </row>
    <row r="982" spans="1:3" ht="13" x14ac:dyDescent="0.15">
      <c r="A982" s="1" t="str">
        <f ca="1">IFERROR(__xludf.DUMMYFUNCTION("GOOGLETRANSLATE(A982, ""zh"", ""en"")"),"In addition, the ESG report, as an important external disclosure channel for Shanghai Electric, has also been upgraded year by year.")</f>
        <v>In addition, the ESG report, as an important external disclosure channel for Shanghai Electric, has also been upgraded year by year.</v>
      </c>
      <c r="B982" s="1" t="str">
        <f ca="1">IFERROR(__xludf.DUMMYFUNCTION("GOOGLETRANSLATE(A982, ""zh"", ""en"")"),"Information Disclosure and Investor Communication")</f>
        <v>Information Disclosure and Investor Communication</v>
      </c>
      <c r="C982" s="1" t="str">
        <f ca="1">IFERROR(__xludf.DUMMYFUNCTION("GOOGLETRANSLATE(E982, ""zh"", ""en"")"),"Qualitative text")</f>
        <v>Qualitative text</v>
      </c>
    </row>
    <row r="983" spans="1:3" ht="13" x14ac:dyDescent="0.15">
      <c r="A983" s="1" t="str">
        <f ca="1">IFERROR(__xludf.DUMMYFUNCTION("GOOGLETRANSLATE(A983, ""zh"", ""en"")"),"Employee Human Rights Protection: In 2022, the company had no violations in employment that had a significant impact on its business.")</f>
        <v>Employee Human Rights Protection: In 2022, the company had no violations in employment that had a significant impact on its business.</v>
      </c>
      <c r="B983" s="1" t="str">
        <f ca="1">IFERROR(__xludf.DUMMYFUNCTION("GOOGLETRANSLATE(A983, ""zh"", ""en"")"),"staff")</f>
        <v>staff</v>
      </c>
      <c r="C983" s="1" t="str">
        <f ca="1">IFERROR(__xludf.DUMMYFUNCTION("GOOGLETRANSLATE(E983, ""zh"", ""en"")"),"Quantitative Text")</f>
        <v>Quantitative Text</v>
      </c>
    </row>
    <row r="984" spans="1:3" ht="13" x14ac:dyDescent="0.15">
      <c r="A984" s="1" t="str">
        <f ca="1">IFERROR(__xludf.DUMMYFUNCTION("GOOGLETRANSLATE(A984, ""zh"", ""en"")"),"At the same time, we continue to pay attention to the female group, build a professional stage for more women and give full play to their feminine style.")</f>
        <v>At the same time, we continue to pay attention to the female group, build a professional stage for more women and give full play to their feminine style.</v>
      </c>
      <c r="B984" s="1" t="str">
        <f ca="1">IFERROR(__xludf.DUMMYFUNCTION("GOOGLETRANSLATE(A984, ""zh"", ""en"")"),"Promoting employment")</f>
        <v>Promoting employment</v>
      </c>
      <c r="C984" s="1" t="str">
        <f ca="1">IFERROR(__xludf.DUMMYFUNCTION("GOOGLETRANSLATE(E984, ""zh"", ""en"")"),"Qualitative text")</f>
        <v>Qualitative text</v>
      </c>
    </row>
    <row r="985" spans="1:3" ht="13" x14ac:dyDescent="0.15">
      <c r="A985" s="1" t="str">
        <f ca="1">IFERROR(__xludf.DUMMYFUNCTION("GOOGLETRANSLATE(A985, ""zh"", ""en"")"),"Provide financial aid and scholarships to high school students from families with financial difficulties to help them complete their studies and realize their educational dreams")</f>
        <v>Provide financial aid and scholarships to high school students from families with financial difficulties to help them complete their studies and realize their educational dreams</v>
      </c>
      <c r="B985" s="1" t="str">
        <f ca="1">IFERROR(__xludf.DUMMYFUNCTION("GOOGLETRANSLATE(A985, ""zh"", ""en"")"),"Public welfare and volunteer service")</f>
        <v>Public welfare and volunteer service</v>
      </c>
      <c r="C985" s="1" t="str">
        <f ca="1">IFERROR(__xludf.DUMMYFUNCTION("GOOGLETRANSLATE(E985, ""zh"", ""en"")"),"Qualitative text")</f>
        <v>Qualitative text</v>
      </c>
    </row>
    <row r="986" spans="1:3" ht="13" x14ac:dyDescent="0.15">
      <c r="A986" s="1" t="str">
        <f ca="1">IFERROR(__xludf.DUMMYFUNCTION("GOOGLETRANSLATE(A986, ""zh"", ""en"")"),"Reporting Scope This report covers the performance of COSL and its subsidiaries in economic, environmental and social aspects.")</f>
        <v>Reporting Scope This report covers the performance of COSL and its subsidiaries in economic, environmental and social aspects.</v>
      </c>
      <c r="B986" s="1" t="str">
        <f ca="1">IFERROR(__xludf.DUMMYFUNCTION("GOOGLETRANSLATE(A986, ""zh"", ""en"")"),"irrelevant text")</f>
        <v>irrelevant text</v>
      </c>
      <c r="C986" s="1" t="str">
        <f ca="1">IFERROR(__xludf.DUMMYFUNCTION("GOOGLETRANSLATE(E986, ""zh"", ""en"")"),"irrelevant text")</f>
        <v>irrelevant text</v>
      </c>
    </row>
    <row r="987" spans="1:3" ht="13" x14ac:dyDescent="0.15">
      <c r="A987" s="1" t="str">
        <f ca="1">IFERROR(__xludf.DUMMYFUNCTION("GOOGLETRANSLATE(A987, ""zh"", ""en"")"),"In 2022, 11 new suppliers failed to enter the supply chain network because they did not pass the self-commitment assessment")</f>
        <v>In 2022, 11 new suppliers failed to enter the supply chain network because they did not pass the self-commitment assessment</v>
      </c>
      <c r="B987" s="1" t="str">
        <f ca="1">IFERROR(__xludf.DUMMYFUNCTION("GOOGLETRANSLATE(A987, ""zh"", ""en"")"),"supply chain management")</f>
        <v>supply chain management</v>
      </c>
      <c r="C987" s="1" t="str">
        <f ca="1">IFERROR(__xludf.DUMMYFUNCTION("GOOGLETRANSLATE(E987, ""zh"", ""en"")"),"Quantitative Text")</f>
        <v>Quantitative Text</v>
      </c>
    </row>
    <row r="988" spans="1:3" ht="13" x14ac:dyDescent="0.15">
      <c r="A988" s="1" t="str">
        <f ca="1">IFERROR(__xludf.DUMMYFUNCTION("GOOGLETRANSLATE(A988, ""zh"", ""en"")"),"Strengthening compliance and integrity risk prevention and control management, strengthening ESG risk management, and steadily improving the company's risk management capabilities.")</f>
        <v>Strengthening compliance and integrity risk prevention and control management, strengthening ESG risk management, and steadily improving the company's risk management capabilities.</v>
      </c>
      <c r="B988" s="1" t="str">
        <f ca="1">IFERROR(__xludf.DUMMYFUNCTION("GOOGLETRANSLATE(A988, ""zh"", ""en"")"),"Anti-corruption and anti-money laundering")</f>
        <v>Anti-corruption and anti-money laundering</v>
      </c>
      <c r="C988" s="1" t="str">
        <f ca="1">IFERROR(__xludf.DUMMYFUNCTION("GOOGLETRANSLATE(E988, ""zh"", ""en"")"),"Qualitative text")</f>
        <v>Qualitative text</v>
      </c>
    </row>
    <row r="989" spans="1:3" ht="13" x14ac:dyDescent="0.15">
      <c r="A989" s="1" t="str">
        <f ca="1">IFERROR(__xludf.DUMMYFUNCTION("GOOGLETRANSLATE(A989, ""zh"", ""en"")"),"The report is published after review by the board of directors to ensure that the content does not contain any false records, misleading statements or material omissions")</f>
        <v>The report is published after review by the board of directors to ensure that the content does not contain any false records, misleading statements or material omissions</v>
      </c>
      <c r="B989" s="1" t="str">
        <f ca="1">IFERROR(__xludf.DUMMYFUNCTION("GOOGLETRANSLATE(A989, ""zh"", ""en"")"),"irrelevant text")</f>
        <v>irrelevant text</v>
      </c>
      <c r="C989" s="1" t="str">
        <f ca="1">IFERROR(__xludf.DUMMYFUNCTION("GOOGLETRANSLATE(E989, ""zh"", ""en"")"),"irrelevant text")</f>
        <v>irrelevant text</v>
      </c>
    </row>
    <row r="990" spans="1:3" ht="13" x14ac:dyDescent="0.15">
      <c r="A990" s="1" t="str">
        <f ca="1">IFERROR(__xludf.DUMMYFUNCTION("GOOGLETRANSLATE(A990, ""zh"", ""en"")"),"The innovative achievement ""New World in the Mountains"" forest classroom won the second place in the top ten typical cases of common prosperity in the provincial forestry system.")</f>
        <v>The innovative achievement "New World in the Mountains" forest classroom won the second place in the top ten typical cases of common prosperity in the provincial forestry system.</v>
      </c>
      <c r="B990" s="1" t="str">
        <f ca="1">IFERROR(__xludf.DUMMYFUNCTION("GOOGLETRANSLATE(A990, ""zh"", ""en"")"),"Technological innovation")</f>
        <v>Technological innovation</v>
      </c>
      <c r="C990" s="1" t="str">
        <f ca="1">IFERROR(__xludf.DUMMYFUNCTION("GOOGLETRANSLATE(E990, ""zh"", ""en"")"),"Quantitative Text")</f>
        <v>Quantitative Text</v>
      </c>
    </row>
    <row r="991" spans="1:3" ht="13" x14ac:dyDescent="0.15">
      <c r="A991" s="1" t="str">
        <f ca="1">IFERROR(__xludf.DUMMYFUNCTION("GOOGLETRANSLATE(A991, ""zh"", ""en"")"),"Strengthen the dynamic adjustment of training candidates to form a reserve candidate pool for training plans and continuously track the status of training candidates")</f>
        <v>Strengthen the dynamic adjustment of training candidates to form a reserve candidate pool for training plans and continuously track the status of training candidates</v>
      </c>
      <c r="B991" s="1" t="str">
        <f ca="1">IFERROR(__xludf.DUMMYFUNCTION("GOOGLETRANSLATE(A991, ""zh"", ""en"")"),"staff")</f>
        <v>staff</v>
      </c>
      <c r="C991" s="1" t="str">
        <f ca="1">IFERROR(__xludf.DUMMYFUNCTION("GOOGLETRANSLATE(E991, ""zh"", ""en"")"),"Qualitative text")</f>
        <v>Qualitative text</v>
      </c>
    </row>
    <row r="992" spans="1:3" ht="13" x14ac:dyDescent="0.15">
      <c r="A992" s="1" t="str">
        <f ca="1">IFERROR(__xludf.DUMMYFUNCTION("GOOGLETRANSLATE(A992, ""zh"", ""en"")"),"Due to the influence of external variables, the actual future development results or trends may be different from the statements")</f>
        <v>Due to the influence of external variables, the actual future development results or trends may be different from the statements</v>
      </c>
      <c r="B992" s="1" t="str">
        <f ca="1">IFERROR(__xludf.DUMMYFUNCTION("GOOGLETRANSLATE(A992, ""zh"", ""en"")"),"irrelevant text")</f>
        <v>irrelevant text</v>
      </c>
      <c r="C992" s="1" t="str">
        <f ca="1">IFERROR(__xludf.DUMMYFUNCTION("GOOGLETRANSLATE(E992, ""zh"", ""en"")"),"irrelevant text")</f>
        <v>irrelevant text</v>
      </c>
    </row>
    <row r="993" spans="1:3" ht="13" x14ac:dyDescent="0.15">
      <c r="A993" s="1" t="str">
        <f ca="1">IFERROR(__xludf.DUMMYFUNCTION("GOOGLETRANSLATE(A993, ""zh"", ""en"")"),"Throughout the year, 2 new senior technicians were recruited, 4 passed the examination and 16 technicians were recruited.")</f>
        <v>Throughout the year, 2 new senior technicians were recruited, 4 passed the examination and 16 technicians were recruited.</v>
      </c>
      <c r="B993" s="1" t="str">
        <f ca="1">IFERROR(__xludf.DUMMYFUNCTION("GOOGLETRANSLATE(A993, ""zh"", ""en"")"),"staff")</f>
        <v>staff</v>
      </c>
      <c r="C993" s="1" t="str">
        <f ca="1">IFERROR(__xludf.DUMMYFUNCTION("GOOGLETRANSLATE(E993, ""zh"", ""en"")"),"Quantitative Text")</f>
        <v>Quantitative Text</v>
      </c>
    </row>
    <row r="994" spans="1:3" ht="13" x14ac:dyDescent="0.15">
      <c r="A994" s="1" t="str">
        <f ca="1">IFERROR(__xludf.DUMMYFUNCTION("GOOGLETRANSLATE(A994, ""zh"", ""en"")"),"The company operates in accordance with ten unified norms and has formed a harmonious and win-win relationship with its partners in the logistics industry chain.")</f>
        <v>The company operates in accordance with ten unified norms and has formed a harmonious and win-win relationship with its partners in the logistics industry chain.</v>
      </c>
      <c r="B994" s="1" t="str">
        <f ca="1">IFERROR(__xludf.DUMMYFUNCTION("GOOGLETRANSLATE(A994, ""zh"", ""en"")"),"supply chain management")</f>
        <v>supply chain management</v>
      </c>
      <c r="C994" s="1" t="str">
        <f ca="1">IFERROR(__xludf.DUMMYFUNCTION("GOOGLETRANSLATE(E994, ""zh"", ""en"")"),"Qualitative text")</f>
        <v>Qualitative text</v>
      </c>
    </row>
    <row r="995" spans="1:3" ht="13" x14ac:dyDescent="0.15">
      <c r="A995" s="1" t="str">
        <f ca="1">IFERROR(__xludf.DUMMYFUNCTION("GOOGLETRANSLATE(A995, ""zh"", ""en"")"),"Use various media to create a strong safety education atmosphere and conduct regular fire safety, anti-terrorism and explosion prevention training and drills for employees")</f>
        <v>Use various media to create a strong safety education atmosphere and conduct regular fire safety, anti-terrorism and explosion prevention training and drills for employees</v>
      </c>
      <c r="B995" s="1" t="str">
        <f ca="1">IFERROR(__xludf.DUMMYFUNCTION("GOOGLETRANSLATE(A995, ""zh"", ""en"")"),"staff")</f>
        <v>staff</v>
      </c>
      <c r="C995" s="1" t="str">
        <f ca="1">IFERROR(__xludf.DUMMYFUNCTION("GOOGLETRANSLATE(E995, ""zh"", ""en"")"),"Qualitative text")</f>
        <v>Qualitative text</v>
      </c>
    </row>
    <row r="996" spans="1:3" ht="13" x14ac:dyDescent="0.15">
      <c r="A996" s="1" t="str">
        <f ca="1">IFERROR(__xludf.DUMMYFUNCTION("GOOGLETRANSLATE(A996, ""zh"", ""en"")"),"Dima shares also keep up with the times to explore smart technology and strive to contribute to the construction of smart cities and smart people's livelihood")</f>
        <v>Dima shares also keep up with the times to explore smart technology and strive to contribute to the construction of smart cities and smart people's livelihood</v>
      </c>
      <c r="B996" s="1" t="str">
        <f ca="1">IFERROR(__xludf.DUMMYFUNCTION("GOOGLETRANSLATE(A996, ""zh"", ""en"")"),"Technological innovation")</f>
        <v>Technological innovation</v>
      </c>
      <c r="C996" s="1" t="str">
        <f ca="1">IFERROR(__xludf.DUMMYFUNCTION("GOOGLETRANSLATE(E996, ""zh"", ""en"")"),"Qualitative text")</f>
        <v>Qualitative text</v>
      </c>
    </row>
    <row r="997" spans="1:3" ht="13" x14ac:dyDescent="0.15">
      <c r="A997" s="1" t="str">
        <f ca="1">IFERROR(__xludf.DUMMYFUNCTION("GOOGLETRANSLATE(A997, ""zh"", ""en"")"),"In 2022, 80% of real estate sector employee training will be conducted online, with marketing capability improvement as the main course.")</f>
        <v>In 2022, 80% of real estate sector employee training will be conducted online, with marketing capability improvement as the main course.</v>
      </c>
      <c r="B997" s="1" t="str">
        <f ca="1">IFERROR(__xludf.DUMMYFUNCTION("GOOGLETRANSLATE(A997, ""zh"", ""en"")"),"staff")</f>
        <v>staff</v>
      </c>
      <c r="C997" s="1" t="str">
        <f ca="1">IFERROR(__xludf.DUMMYFUNCTION("GOOGLETRANSLATE(E997, ""zh"", ""en"")"),"Quantitative Text")</f>
        <v>Quantitative Text</v>
      </c>
    </row>
    <row r="998" spans="1:3" ht="13" x14ac:dyDescent="0.15">
      <c r="A998" s="1" t="str">
        <f ca="1">IFERROR(__xludf.DUMMYFUNCTION("GOOGLETRANSLATE(A998, ""zh"", ""en"")"),"In accordance with the unified deployment of the group, we will do a good job in software legalization and obtain a total of 6 software copyrights in 2022")</f>
        <v>In accordance with the unified deployment of the group, we will do a good job in software legalization and obtain a total of 6 software copyrights in 2022</v>
      </c>
      <c r="B998" s="1" t="str">
        <f ca="1">IFERROR(__xludf.DUMMYFUNCTION("GOOGLETRANSLATE(A998, ""zh"", ""en"")"),"Intellectual Property Protection")</f>
        <v>Intellectual Property Protection</v>
      </c>
      <c r="C998" s="1" t="str">
        <f ca="1">IFERROR(__xludf.DUMMYFUNCTION("GOOGLETRANSLATE(E998, ""zh"", ""en"")"),"Quantitative Text")</f>
        <v>Quantitative Text</v>
      </c>
    </row>
    <row r="999" spans="1:3" ht="13" x14ac:dyDescent="0.15">
      <c r="A999" s="1" t="str">
        <f ca="1">IFERROR(__xludf.DUMMYFUNCTION("GOOGLETRANSLATE(A999, ""zh"", ""en"")"),"Continue to implement the eight major actions for building clean state-owned enterprises and the special action of zero tolerance for anti-corruption in state-owned enterprises with full coverage and no blind spots")</f>
        <v>Continue to implement the eight major actions for building clean state-owned enterprises and the special action of zero tolerance for anti-corruption in state-owned enterprises with full coverage and no blind spots</v>
      </c>
      <c r="B999" s="1" t="str">
        <f ca="1">IFERROR(__xludf.DUMMYFUNCTION("GOOGLETRANSLATE(A999, ""zh"", ""en"")"),"Anti-corruption and anti-money laundering")</f>
        <v>Anti-corruption and anti-money laundering</v>
      </c>
      <c r="C999" s="1" t="str">
        <f ca="1">IFERROR(__xludf.DUMMYFUNCTION("GOOGLETRANSLATE(E999, ""zh"", ""en"")"),"Qualitative text")</f>
        <v>Qualitative text</v>
      </c>
    </row>
    <row r="1000" spans="1:3" ht="13" x14ac:dyDescent="0.15">
      <c r="A1000" s="1" t="str">
        <f ca="1">IFERROR(__xludf.DUMMYFUNCTION("GOOGLETRANSLATE(A1000, ""zh"", ""en"")"),"To communicate information on development plans and other issues, and to enhance investors' awareness and attention to the company.")</f>
        <v>To communicate information on development plans and other issues, and to enhance investors' awareness and attention to the company.</v>
      </c>
      <c r="B1000" s="1" t="str">
        <f ca="1">IFERROR(__xludf.DUMMYFUNCTION("GOOGLETRANSLATE(A1000, ""zh"", ""en"")"),"Information Disclosure and Investor Communication")</f>
        <v>Information Disclosure and Investor Communication</v>
      </c>
      <c r="C1000" s="1" t="str">
        <f ca="1">IFERROR(__xludf.DUMMYFUNCTION("GOOGLETRANSLATE(E1000, ""zh"", ""en"")"),"Qualitative text")</f>
        <v>Qualitative text</v>
      </c>
    </row>
    <row r="1001" spans="1:3" ht="13" x14ac:dyDescent="0.15">
      <c r="A1001" s="1" t="str">
        <f ca="1">IFERROR(__xludf.DUMMYFUNCTION("GOOGLETRANSLATE(A1001, ""zh"", ""en"")"),"Organize employees to participate in blood donation activities to light up micro wishes, Longquan team township primary school charity activities and other volunteer service activities")</f>
        <v>Organize employees to participate in blood donation activities to light up micro wishes, Longquan team township primary school charity activities and other volunteer service activities</v>
      </c>
      <c r="B1001" s="1" t="str">
        <f ca="1">IFERROR(__xludf.DUMMYFUNCTION("GOOGLETRANSLATE(A1001, ""zh"", ""en"")"),"Public welfare and volunteer service")</f>
        <v>Public welfare and volunteer service</v>
      </c>
      <c r="C1001" s="1" t="str">
        <f ca="1">IFERROR(__xludf.DUMMYFUNCTION("GOOGLETRANSLATE(E1001, ""zh"", ""en"")"),"Qualitative text")</f>
        <v>Qualitative text</v>
      </c>
    </row>
    <row r="1002" spans="1:3" ht="13" x14ac:dyDescent="0.15">
      <c r="A1002" s="1" t="str">
        <f ca="1">IFERROR(__xludf.DUMMYFUNCTION("GOOGLETRANSLATE(A1002, ""zh"", ""en"")"),"In terms of customer privacy protection, Shanghai Electric requires all employees to attach great importance to the security of information related to customer privacy.")</f>
        <v>In terms of customer privacy protection, Shanghai Electric requires all employees to attach great importance to the security of information related to customer privacy.</v>
      </c>
      <c r="B1002" s="1" t="str">
        <f ca="1">IFERROR(__xludf.DUMMYFUNCTION("GOOGLETRANSLATE(A1002, ""zh"", ""en"")"),"Data security")</f>
        <v>Data security</v>
      </c>
      <c r="C1002" s="1" t="str">
        <f ca="1">IFERROR(__xludf.DUMMYFUNCTION("GOOGLETRANSLATE(E1002, ""zh"", ""en"")"),"Qualitative text")</f>
        <v>Qualitative text</v>
      </c>
    </row>
    <row r="1003" spans="1:3" ht="13" x14ac:dyDescent="0.15">
      <c r="A1003" s="1" t="str">
        <f ca="1">IFERROR(__xludf.DUMMYFUNCTION("GOOGLETRANSLATE(A1003, ""zh"", ""en"")"),"The electronic version of this report can be viewed and downloaded on the company's website https://www..cn and the exchange's website")</f>
        <v>The electronic version of this report can be viewed and downloaded on the company's website https://www..cn and the exchange's website</v>
      </c>
      <c r="B1003" s="1" t="str">
        <f ca="1">IFERROR(__xludf.DUMMYFUNCTION("GOOGLETRANSLATE(A1003, ""zh"", ""en"")"),"irrelevant text")</f>
        <v>irrelevant text</v>
      </c>
      <c r="C1003" s="1" t="str">
        <f ca="1">IFERROR(__xludf.DUMMYFUNCTION("GOOGLETRANSLATE(E1003, ""zh"", ""en"")"),"irrelevant text")</f>
        <v>irrelevant text</v>
      </c>
    </row>
    <row r="1004" spans="1:3" ht="13" x14ac:dyDescent="0.15">
      <c r="A1004" s="1" t="str">
        <f ca="1">IFERROR(__xludf.DUMMYFUNCTION("GOOGLETRANSLATE(A1004, ""zh"", ""en"")"),"We are constantly improving water resource utilization and enhancing water recycling efficiency through technological innovation and equipment transformation.")</f>
        <v>We are constantly improving water resource utilization and enhancing water recycling efficiency through technological innovation and equipment transformation.</v>
      </c>
      <c r="B1004" s="1" t="str">
        <f ca="1">IFERROR(__xludf.DUMMYFUNCTION("GOOGLETRANSLATE(A1004, ""zh"", ""en"")"),"Water resources")</f>
        <v>Water resources</v>
      </c>
      <c r="C1004" s="1" t="str">
        <f ca="1">IFERROR(__xludf.DUMMYFUNCTION("GOOGLETRANSLATE(E1004, ""zh"", ""en"")"),"Qualitative text")</f>
        <v>Qualitative text</v>
      </c>
    </row>
    <row r="1005" spans="1:3" ht="13" x14ac:dyDescent="0.15">
      <c r="A1005" s="1" t="str">
        <f ca="1">IFERROR(__xludf.DUMMYFUNCTION("GOOGLETRANSLATE(A1005, ""zh"", ""en"")"),"At the same time, in order to better cope with the global mineral allocation, we continue to leverage our technological advantages to acquire high-quality mineral resources.")</f>
        <v>At the same time, in order to better cope with the global mineral allocation, we continue to leverage our technological advantages to acquire high-quality mineral resources.</v>
      </c>
      <c r="B1005" s="1" t="str">
        <f ca="1">IFERROR(__xludf.DUMMYFUNCTION("GOOGLETRANSLATE(A1005, ""zh"", ""en"")"),"raw materials")</f>
        <v>raw materials</v>
      </c>
      <c r="C1005" s="1" t="str">
        <f ca="1">IFERROR(__xludf.DUMMYFUNCTION("GOOGLETRANSLATE(E1005, ""zh"", ""en"")"),"Qualitative text")</f>
        <v>Qualitative text</v>
      </c>
    </row>
    <row r="1006" spans="1:3" ht="13" x14ac:dyDescent="0.15">
      <c r="A1006" s="1" t="str">
        <f ca="1">IFERROR(__xludf.DUMMYFUNCTION("GOOGLETRANSLATE(A1006, ""zh"", ""en"")"),"China Storage Development Shenyang Logistics Co., Ltd. invested nearly RMB 400,000 to green the park and beautify the surrounding environment.")</f>
        <v>China Storage Development Shenyang Logistics Co., Ltd. invested nearly RMB 400,000 to green the park and beautify the surrounding environment.</v>
      </c>
      <c r="B1006" s="1" t="str">
        <f ca="1">IFERROR(__xludf.DUMMYFUNCTION("GOOGLETRANSLATE(A1006, ""zh"", ""en"")"),"Green Building")</f>
        <v>Green Building</v>
      </c>
      <c r="C1006" s="1" t="str">
        <f ca="1">IFERROR(__xludf.DUMMYFUNCTION("GOOGLETRANSLATE(E1006, ""zh"", ""en"")"),"Quantitative Text")</f>
        <v>Quantitative Text</v>
      </c>
    </row>
    <row r="1007" spans="1:3" ht="13" x14ac:dyDescent="0.15">
      <c r="A1007" s="1" t="str">
        <f ca="1">IFERROR(__xludf.DUMMYFUNCTION("GOOGLETRANSLATE(A1007, ""zh"", ""en"")"),"The company serves a wide range of customers including manufacturers, traders, and end users, and has established good cooperative relationships with them.")</f>
        <v>The company serves a wide range of customers including manufacturers, traders, and end users, and has established good cooperative relationships with them.</v>
      </c>
      <c r="B1007" s="1" t="str">
        <f ca="1">IFERROR(__xludf.DUMMYFUNCTION("GOOGLETRANSLATE(A1007, ""zh"", ""en"")"),"Customers and Consumers")</f>
        <v>Customers and Consumers</v>
      </c>
      <c r="C1007" s="1" t="str">
        <f ca="1">IFERROR(__xludf.DUMMYFUNCTION("GOOGLETRANSLATE(E1007, ""zh"", ""en"")"),"Qualitative text")</f>
        <v>Qualitative text</v>
      </c>
    </row>
    <row r="1008" spans="1:3" ht="13" x14ac:dyDescent="0.15">
      <c r="A1008" s="1" t="str">
        <f ca="1">IFERROR(__xludf.DUMMYFUNCTION("GOOGLETRANSLATE(A1008, ""zh"", ""en"")"),"The company's general meeting of shareholders is convened and voted in strict accordance with the provisions of the Company Law, the Company's Articles of Association and the Rules of Procedure for the General Meeting of Shareholders.")</f>
        <v>The company's general meeting of shareholders is convened and voted in strict accordance with the provisions of the Company Law, the Company's Articles of Association and the Rules of Procedure for the General Meeting of Shareholders.</v>
      </c>
      <c r="B1008" s="1" t="str">
        <f ca="1">IFERROR(__xludf.DUMMYFUNCTION("GOOGLETRANSLATE(A1008, ""zh"", ""en"")"),"Shareholder and creditor rights")</f>
        <v>Shareholder and creditor rights</v>
      </c>
      <c r="C1008" s="1" t="str">
        <f ca="1">IFERROR(__xludf.DUMMYFUNCTION("GOOGLETRANSLATE(E1008, ""zh"", ""en"")"),"Qualitative text")</f>
        <v>Qualitative text</v>
      </c>
    </row>
    <row r="1009" spans="1:3" ht="13" x14ac:dyDescent="0.15">
      <c r="A1009" s="1" t="str">
        <f ca="1">IFERROR(__xludf.DUMMYFUNCTION("GOOGLETRANSLATE(A1009, ""zh"", ""en"")"),"As important logistics platforms in various regional markets, the company's grassroots units have indirectly created a large number of jobs in various regions.")</f>
        <v>As important logistics platforms in various regional markets, the company's grassroots units have indirectly created a large number of jobs in various regions.</v>
      </c>
      <c r="B1009" s="1" t="str">
        <f ca="1">IFERROR(__xludf.DUMMYFUNCTION("GOOGLETRANSLATE(A1009, ""zh"", ""en"")"),"Promoting employment")</f>
        <v>Promoting employment</v>
      </c>
      <c r="C1009" s="1" t="str">
        <f ca="1">IFERROR(__xludf.DUMMYFUNCTION("GOOGLETRANSLATE(E1009, ""zh"", ""en"")"),"Qualitative text")</f>
        <v>Qualitative text</v>
      </c>
    </row>
    <row r="1010" spans="1:3" ht="13" x14ac:dyDescent="0.15">
      <c r="A1010" s="1" t="str">
        <f ca="1">IFERROR(__xludf.DUMMYFUNCTION("GOOGLETRANSLATE(A1010, ""zh"", ""en"")"),"In 2022, the headquarters complaint hotline received a total of 5 valid complaints and the results of the handling and communication with customers were recognized.")</f>
        <v>In 2022, the headquarters complaint hotline received a total of 5 valid complaints and the results of the handling and communication with customers were recognized.</v>
      </c>
      <c r="B1010" s="1" t="str">
        <f ca="1">IFERROR(__xludf.DUMMYFUNCTION("GOOGLETRANSLATE(A1010, ""zh"", ""en"")"),"Customers and Consumers")</f>
        <v>Customers and Consumers</v>
      </c>
      <c r="C1010" s="1" t="str">
        <f ca="1">IFERROR(__xludf.DUMMYFUNCTION("GOOGLETRANSLATE(E1010, ""zh"", ""en"")"),"Quantitative Text")</f>
        <v>Quantitative Text</v>
      </c>
    </row>
    <row r="1011" spans="1:3" ht="13" x14ac:dyDescent="0.15">
      <c r="A1011" s="1" t="str">
        <f ca="1">IFERROR(__xludf.DUMMYFUNCTION("GOOGLETRANSLATE(A1011, ""zh"", ""en"")"),"The Board of Supervisors strictly abides by laws and regulations and the company's rules of procedure for the Board of Supervisors to elect members.")</f>
        <v>The Board of Supervisors strictly abides by laws and regulations and the company's rules of procedure for the Board of Supervisors to elect members.</v>
      </c>
      <c r="B1011" s="1" t="str">
        <f ca="1">IFERROR(__xludf.DUMMYFUNCTION("GOOGLETRANSLATE(A1011, ""zh"", ""en"")"),"Organizational structure and operations")</f>
        <v>Organizational structure and operations</v>
      </c>
      <c r="C1011" s="1" t="str">
        <f ca="1">IFERROR(__xludf.DUMMYFUNCTION("GOOGLETRANSLATE(E1011, ""zh"", ""en"")"),"Qualitative text")</f>
        <v>Qualitative text</v>
      </c>
    </row>
    <row r="1012" spans="1:3" ht="13" x14ac:dyDescent="0.15">
      <c r="A1012" s="1" t="str">
        <f ca="1">IFERROR(__xludf.DUMMYFUNCTION("GOOGLETRANSLATE(A1012, ""zh"", ""en"")"),"The company serves a wide range of customers including manufacturers, traders, and end users, and has established good cooperative relationships with them.")</f>
        <v>The company serves a wide range of customers including manufacturers, traders, and end users, and has established good cooperative relationships with them.</v>
      </c>
      <c r="B1012" s="1" t="str">
        <f ca="1">IFERROR(__xludf.DUMMYFUNCTION("GOOGLETRANSLATE(A1012, ""zh"", ""en"")"),"Customers and Consumers")</f>
        <v>Customers and Consumers</v>
      </c>
      <c r="C1012" s="1" t="str">
        <f ca="1">IFERROR(__xludf.DUMMYFUNCTION("GOOGLETRANSLATE(E1012, ""zh"", ""en"")"),"Qualitative text")</f>
        <v>Qualitative text</v>
      </c>
    </row>
    <row r="1013" spans="1:3" ht="13" x14ac:dyDescent="0.15">
      <c r="A1013" s="1" t="str">
        <f ca="1">IFERROR(__xludf.DUMMYFUNCTION("GOOGLETRANSLATE(A1013, ""zh"", ""en"")"),"Further enhance the image of central enterprises, enrich the connotation of their social responsibility, improve their core business competitiveness and serve the national economy and people's livelihood")</f>
        <v>Further enhance the image of central enterprises, enrich the connotation of their social responsibility, improve their core business competitiveness and serve the national economy and people's livelihood</v>
      </c>
      <c r="B1013" s="1" t="str">
        <f ca="1">IFERROR(__xludf.DUMMYFUNCTION("GOOGLETRANSLATE(A1013, ""zh"", ""en"")"),"irrelevant text")</f>
        <v>irrelevant text</v>
      </c>
      <c r="C1013" s="1" t="str">
        <f ca="1">IFERROR(__xludf.DUMMYFUNCTION("GOOGLETRANSLATE(E1013, ""zh"", ""en"")"),"irrelevant text")</f>
        <v>irrelevant text</v>
      </c>
    </row>
    <row r="1014" spans="1:3" ht="13" x14ac:dyDescent="0.15">
      <c r="A1014" s="1" t="str">
        <f ca="1">IFERROR(__xludf.DUMMYFUNCTION("GOOGLETRANSLATE(A1014, ""zh"", ""en"")"),"We visited 31 non-local employees who were celebrating the Spring Festival in Beijing and distributed a total of 93,000 yuan in condolence money.")</f>
        <v>We visited 31 non-local employees who were celebrating the Spring Festival in Beijing and distributed a total of 93,000 yuan in condolence money.</v>
      </c>
      <c r="B1014" s="1" t="str">
        <f ca="1">IFERROR(__xludf.DUMMYFUNCTION("GOOGLETRANSLATE(A1014, ""zh"", ""en"")"),"staff")</f>
        <v>staff</v>
      </c>
      <c r="C1014" s="1" t="str">
        <f ca="1">IFERROR(__xludf.DUMMYFUNCTION("GOOGLETRANSLATE(E1014, ""zh"", ""en"")"),"Quantitative Text")</f>
        <v>Quantitative Text</v>
      </c>
    </row>
    <row r="1015" spans="1:3" ht="13" x14ac:dyDescent="0.15">
      <c r="A1015" s="1" t="str">
        <f ca="1">IFERROR(__xludf.DUMMYFUNCTION("GOOGLETRANSLATE(A1015, ""zh"", ""en"")"),"Provide material support for garbage classification facilities and signs to ensure the accuracy of garbage classification and facilitate management by dedicated personnel")</f>
        <v>Provide material support for garbage classification facilities and signs to ensure the accuracy of garbage classification and facilitate management by dedicated personnel</v>
      </c>
      <c r="B1015" s="1" t="str">
        <f ca="1">IFERROR(__xludf.DUMMYFUNCTION("GOOGLETRANSLATE(A1015, ""zh"", ""en"")"),"Waste Management")</f>
        <v>Waste Management</v>
      </c>
      <c r="C1015" s="1" t="str">
        <f ca="1">IFERROR(__xludf.DUMMYFUNCTION("GOOGLETRANSLATE(E1015, ""zh"", ""en"")"),"Qualitative text")</f>
        <v>Qualitative text</v>
      </c>
    </row>
    <row r="1016" spans="1:3" ht="13" x14ac:dyDescent="0.15">
      <c r="A1016" s="1" t="str">
        <f ca="1">IFERROR(__xludf.DUMMYFUNCTION("GOOGLETRANSLATE(A1016, ""zh"", ""en"")"),"We pay attention to the challenges or difficulties that female employees may face in the workplace and provide them with necessary support")</f>
        <v>We pay attention to the challenges or difficulties that female employees may face in the workplace and provide them with necessary support</v>
      </c>
      <c r="B1016" s="1" t="str">
        <f ca="1">IFERROR(__xludf.DUMMYFUNCTION("GOOGLETRANSLATE(A1016, ""zh"", ""en"")"),"staff")</f>
        <v>staff</v>
      </c>
      <c r="C1016" s="1" t="str">
        <f ca="1">IFERROR(__xludf.DUMMYFUNCTION("GOOGLETRANSLATE(E1016, ""zh"", ""en"")"),"Qualitative text")</f>
        <v>Qualitative text</v>
      </c>
    </row>
    <row r="1017" spans="1:3" ht="13" x14ac:dyDescent="0.15">
      <c r="A1017" s="1" t="str">
        <f ca="1">IFERROR(__xludf.DUMMYFUNCTION("GOOGLETRANSLATE(A1017, ""zh"", ""en"")"),"We are committed to attracting talents with various backgrounds and skills in different industries to build a diversified employee system")</f>
        <v>We are committed to attracting talents with various backgrounds and skills in different industries to build a diversified employee system</v>
      </c>
      <c r="B1017" s="1" t="str">
        <f ca="1">IFERROR(__xludf.DUMMYFUNCTION("GOOGLETRANSLATE(A1017, ""zh"", ""en"")"),"staff")</f>
        <v>staff</v>
      </c>
      <c r="C1017" s="1" t="str">
        <f ca="1">IFERROR(__xludf.DUMMYFUNCTION("GOOGLETRANSLATE(E1017, ""zh"", ""en"")"),"Qualitative text")</f>
        <v>Qualitative text</v>
      </c>
    </row>
    <row r="1018" spans="1:3" ht="13" x14ac:dyDescent="0.15">
      <c r="A1018" s="1" t="str">
        <f ca="1">IFERROR(__xludf.DUMMYFUNCTION("GOOGLETRANSLATE(A1018, ""zh"", ""en"")"),"In 2022, the company had 1,758 R&amp;D personnel, accounting for 10.94% of the company's total number of employees.")</f>
        <v>In 2022, the company had 1,758 R&amp;D personnel, accounting for 10.94% of the company's total number of employees.</v>
      </c>
      <c r="B1018" s="1" t="str">
        <f ca="1">IFERROR(__xludf.DUMMYFUNCTION("GOOGLETRANSLATE(A1018, ""zh"", ""en"")"),"staff")</f>
        <v>staff</v>
      </c>
      <c r="C1018" s="1" t="str">
        <f ca="1">IFERROR(__xludf.DUMMYFUNCTION("GOOGLETRANSLATE(E1018, ""zh"", ""en"")"),"Quantitative Text")</f>
        <v>Quantitative Text</v>
      </c>
    </row>
    <row r="1019" spans="1:3" ht="13" x14ac:dyDescent="0.15">
      <c r="A1019" s="1" t="str">
        <f ca="1">IFERROR(__xludf.DUMMYFUNCTION("GOOGLETRANSLATE(A1019, ""zh"", ""en"")"),"During the reporting period, the company's directors, supervisors and senior management performed their duties diligently and provided strong support for the company's scientific decision-making.")</f>
        <v>During the reporting period, the company's directors, supervisors and senior management performed their duties diligently and provided strong support for the company's scientific decision-making.</v>
      </c>
      <c r="B1019" s="1" t="str">
        <f ca="1">IFERROR(__xludf.DUMMYFUNCTION("GOOGLETRANSLATE(A1019, ""zh"", ""en"")"),"Organizational structure and operations")</f>
        <v>Organizational structure and operations</v>
      </c>
      <c r="C1019" s="1" t="str">
        <f ca="1">IFERROR(__xludf.DUMMYFUNCTION("GOOGLETRANSLATE(E1019, ""zh"", ""en"")"),"Qualitative text")</f>
        <v>Qualitative text</v>
      </c>
    </row>
    <row r="1020" spans="1:3" ht="13" x14ac:dyDescent="0.15">
      <c r="A1020" s="1" t="str">
        <f ca="1">IFERROR(__xludf.DUMMYFUNCTION("GOOGLETRANSLATE(A1020, ""zh"", ""en"")"),"We have carried out safety training for all employees and the certification rate for special equipment operators, safety managers and other positions has reached 100%.")</f>
        <v>We have carried out safety training for all employees and the certification rate for special equipment operators, safety managers and other positions has reached 100%.</v>
      </c>
      <c r="B1020" s="1" t="str">
        <f ca="1">IFERROR(__xludf.DUMMYFUNCTION("GOOGLETRANSLATE(A1020, ""zh"", ""en"")"),"staff")</f>
        <v>staff</v>
      </c>
      <c r="C1020" s="1" t="str">
        <f ca="1">IFERROR(__xludf.DUMMYFUNCTION("GOOGLETRANSLATE(E1020, ""zh"", ""en"")"),"Quantitative Text")</f>
        <v>Quantitative Text</v>
      </c>
    </row>
    <row r="1021" spans="1:3" ht="13" x14ac:dyDescent="0.15">
      <c r="A1021" s="1" t="str">
        <f ca="1">IFERROR(__xludf.DUMMYFUNCTION("GOOGLETRANSLATE(A1021, ""zh"", ""en"")"),"The company invested RMB 40,000 to purchase fruit tree seedlings for planting, turning the vacant land in the assisted villages into a scenic spot and bearing fruits that bring wealth.")</f>
        <v>The company invested RMB 40,000 to purchase fruit tree seedlings for planting, turning the vacant land in the assisted villages into a scenic spot and bearing fruits that bring wealth.</v>
      </c>
      <c r="B1021" s="1" t="str">
        <f ca="1">IFERROR(__xludf.DUMMYFUNCTION("GOOGLETRANSLATE(A1021, ""zh"", ""en"")"),"Rural assistance")</f>
        <v>Rural assistance</v>
      </c>
      <c r="C1021" s="1" t="str">
        <f ca="1">IFERROR(__xludf.DUMMYFUNCTION("GOOGLETRANSLATE(E1021, ""zh"", ""en"")"),"Quantitative Text")</f>
        <v>Quantitative Text</v>
      </c>
    </row>
    <row r="1022" spans="1:3" ht="13" x14ac:dyDescent="0.15">
      <c r="A1022" s="1" t="str">
        <f ca="1">IFERROR(__xludf.DUMMYFUNCTION("GOOGLETRANSLATE(A1022, ""zh"", ""en"")"),"Strengthen pollution prevention and control. All company construction projects have environmental impact assessment reports and relevant environmental acceptance procedures approved by the environmental protection department.")</f>
        <v>Strengthen pollution prevention and control. All company construction projects have environmental impact assessment reports and relevant environmental acceptance procedures approved by the environmental protection department.</v>
      </c>
      <c r="B1022" s="1" t="str">
        <f ca="1">IFERROR(__xludf.DUMMYFUNCTION("GOOGLETRANSLATE(A1022, ""zh"", ""en"")"),"Environmental Policy")</f>
        <v>Environmental Policy</v>
      </c>
      <c r="C1022" s="1" t="str">
        <f ca="1">IFERROR(__xludf.DUMMYFUNCTION("GOOGLETRANSLATE(E1022, ""zh"", ""en"")"),"Qualitative text")</f>
        <v>Qualitative text</v>
      </c>
    </row>
    <row r="1023" spans="1:3" ht="13" x14ac:dyDescent="0.15">
      <c r="A1023" s="1" t="str">
        <f ca="1">IFERROR(__xludf.DUMMYFUNCTION("GOOGLETRANSLATE(A1023, ""zh"", ""en"")"),"Please download the company's notice from the Shenma Industrial Co., Ltd. website www.shenma.com")</f>
        <v>Please download the company's notice from the Shenma Industrial Co., Ltd. website www.shenma.com</v>
      </c>
      <c r="B1023" s="1" t="str">
        <f ca="1">IFERROR(__xludf.DUMMYFUNCTION("GOOGLETRANSLATE(A1023, ""zh"", ""en"")"),"irrelevant text")</f>
        <v>irrelevant text</v>
      </c>
      <c r="C1023" s="1" t="str">
        <f ca="1">IFERROR(__xludf.DUMMYFUNCTION("GOOGLETRANSLATE(E1023, ""zh"", ""en"")"),"irrelevant text")</f>
        <v>irrelevant text</v>
      </c>
    </row>
    <row r="1024" spans="1:3" ht="13" x14ac:dyDescent="0.15">
      <c r="A1024" s="1" t="str">
        <f ca="1">IFERROR(__xludf.DUMMYFUNCTION("GOOGLETRANSLATE(A1024, ""zh"", ""en"")"),"In 2022, there were no major environmental pollution accidents or environmental administrative penalties in any of Kangyuan's production subsidiaries.")</f>
        <v>In 2022, there were no major environmental pollution accidents or environmental administrative penalties in any of Kangyuan's production subsidiaries.</v>
      </c>
      <c r="B1024" s="1" t="str">
        <f ca="1">IFERROR(__xludf.DUMMYFUNCTION("GOOGLETRANSLATE(A1024, ""zh"", ""en"")"),"Environmental penalties")</f>
        <v>Environmental penalties</v>
      </c>
      <c r="C1024" s="1" t="str">
        <f ca="1">IFERROR(__xludf.DUMMYFUNCTION("GOOGLETRANSLATE(E1024, ""zh"", ""en"")"),"Quantitative Text")</f>
        <v>Quantitative Text</v>
      </c>
    </row>
    <row r="1025" spans="1:3" ht="13" x14ac:dyDescent="0.15">
      <c r="A1025" s="1" t="str">
        <f ca="1">IFERROR(__xludf.DUMMYFUNCTION("GOOGLETRANSLATE(A1025, ""zh"", ""en"")"),"In addition, we regularly perform data backup according to the backup system and regularly inspect hardware equipment to ensure data security.")</f>
        <v>In addition, we regularly perform data backup according to the backup system and regularly inspect hardware equipment to ensure data security.</v>
      </c>
      <c r="B1025" s="1" t="str">
        <f ca="1">IFERROR(__xludf.DUMMYFUNCTION("GOOGLETRANSLATE(A1025, ""zh"", ""en"")"),"Data security")</f>
        <v>Data security</v>
      </c>
      <c r="C1025" s="1" t="str">
        <f ca="1">IFERROR(__xludf.DUMMYFUNCTION("GOOGLETRANSLATE(E1025, ""zh"", ""en"")"),"Qualitative text")</f>
        <v>Qualitative text</v>
      </c>
    </row>
    <row r="1026" spans="1:3" ht="13" x14ac:dyDescent="0.15">
      <c r="A1026" s="1" t="str">
        <f ca="1">IFERROR(__xludf.DUMMYFUNCTION("GOOGLETRANSLATE(A1026, ""zh"", ""en"")"),"The various specialized committees under the Board of Directors have played an important role in the scientific decision-making of the Board of Directors by leveraging their respective strengths.")</f>
        <v>The various specialized committees under the Board of Directors have played an important role in the scientific decision-making of the Board of Directors by leveraging their respective strengths.</v>
      </c>
      <c r="B1026" s="1" t="str">
        <f ca="1">IFERROR(__xludf.DUMMYFUNCTION("GOOGLETRANSLATE(A1026, ""zh"", ""en"")"),"Organizational structure and operations")</f>
        <v>Organizational structure and operations</v>
      </c>
      <c r="C1026" s="1" t="str">
        <f ca="1">IFERROR(__xludf.DUMMYFUNCTION("GOOGLETRANSLATE(E1026, ""zh"", ""en"")"),"Qualitative text")</f>
        <v>Qualitative text</v>
      </c>
    </row>
    <row r="1027" spans="1:3" ht="13" x14ac:dyDescent="0.15">
      <c r="A1027" s="1" t="str">
        <f ca="1">IFERROR(__xludf.DUMMYFUNCTION("GOOGLETRANSLATE(A1027, ""zh"", ""en"")"),"In terms of supplier performance evaluation, we have communicated the responsibilities and obligations of responsible minerals to excellent suppliers step by step.")</f>
        <v>In terms of supplier performance evaluation, we have communicated the responsibilities and obligations of responsible minerals to excellent suppliers step by step.</v>
      </c>
      <c r="B1027" s="1" t="str">
        <f ca="1">IFERROR(__xludf.DUMMYFUNCTION("GOOGLETRANSLATE(A1027, ""zh"", ""en"")"),"supply chain management")</f>
        <v>supply chain management</v>
      </c>
      <c r="C1027" s="1" t="str">
        <f ca="1">IFERROR(__xludf.DUMMYFUNCTION("GOOGLETRANSLATE(E1027, ""zh"", ""en"")"),"Qualitative text")</f>
        <v>Qualitative text</v>
      </c>
    </row>
    <row r="1028" spans="1:3" ht="13" x14ac:dyDescent="0.15">
      <c r="A1028" s="1" t="str">
        <f ca="1">IFERROR(__xludf.DUMMYFUNCTION("GOOGLETRANSLATE(A1028, ""zh"", ""en"")"),"We will stay true to our original aspiration and continue to move forward on the path of digital, sustainable, and new energy transformation under the guidance of the dual carbon goals.")</f>
        <v>We will stay true to our original aspiration and continue to move forward on the path of digital, sustainable, and new energy transformation under the guidance of the dual carbon goals.</v>
      </c>
      <c r="B1028" s="1" t="str">
        <f ca="1">IFERROR(__xludf.DUMMYFUNCTION("GOOGLETRANSLATE(A1028, ""zh"", ""en"")"),"carbon emissions")</f>
        <v>carbon emissions</v>
      </c>
      <c r="C1028" s="1" t="str">
        <f ca="1">IFERROR(__xludf.DUMMYFUNCTION("GOOGLETRANSLATE(E1028, ""zh"", ""en"")"),"Qualitative text")</f>
        <v>Qualitative text</v>
      </c>
    </row>
    <row r="1029" spans="1:3" ht="13" x14ac:dyDescent="0.15">
      <c r="A1029" s="1" t="str">
        <f ca="1">IFERROR(__xludf.DUMMYFUNCTION("GOOGLETRANSLATE(A1029, ""zh"", ""en"")"),"The definition of self-service teller machines refers to the self-service bank branch service requirements GBT4146120223.1")</f>
        <v>The definition of self-service teller machines refers to the self-service bank branch service requirements GBT4146120223.1</v>
      </c>
      <c r="B1029" s="1" t="str">
        <f ca="1">IFERROR(__xludf.DUMMYFUNCTION("GOOGLETRANSLATE(A1029, ""zh"", ""en"")"),"irrelevant text")</f>
        <v>irrelevant text</v>
      </c>
      <c r="C1029" s="1" t="str">
        <f ca="1">IFERROR(__xludf.DUMMYFUNCTION("GOOGLETRANSLATE(E1029, ""zh"", ""en"")"),"irrelevant text")</f>
        <v>irrelevant text</v>
      </c>
    </row>
    <row r="1030" spans="1:3" ht="13" x14ac:dyDescent="0.15">
      <c r="A1030" s="1" t="str">
        <f ca="1">IFERROR(__xludf.DUMMYFUNCTION("GOOGLETRANSLATE(A1030, ""zh"", ""en"")"),"89929597 Key Performance Indicator B8.2 Resources used in the focus area, such as money or time")</f>
        <v>89929597 Key Performance Indicator B8.2 Resources used in the focus area, such as money or time</v>
      </c>
      <c r="B1030" s="1" t="str">
        <f ca="1">IFERROR(__xludf.DUMMYFUNCTION("GOOGLETRANSLATE(A1030, ""zh"", ""en"")"),"irrelevant text")</f>
        <v>irrelevant text</v>
      </c>
      <c r="C1030" s="1" t="str">
        <f ca="1">IFERROR(__xludf.DUMMYFUNCTION("GOOGLETRANSLATE(E1030, ""zh"", ""en"")"),"irrelevant text")</f>
        <v>irrelevant text</v>
      </c>
    </row>
    <row r="1031" spans="1:3" ht="13" x14ac:dyDescent="0.15">
      <c r="A1031" s="1" t="str">
        <f ca="1">IFERROR(__xludf.DUMMYFUNCTION("GOOGLETRANSLATE(A1031, ""zh"", ""en"")"),"The company has established several overseas R&amp;D centers to communicate and collaborate with local companies to carry out scientific research and technical support")</f>
        <v>The company has established several overseas R&amp;D centers to communicate and collaborate with local companies to carry out scientific research and technical support</v>
      </c>
      <c r="B1031" s="1" t="str">
        <f ca="1">IFERROR(__xludf.DUMMYFUNCTION("GOOGLETRANSLATE(A1031, ""zh"", ""en"")"),"Technological innovation")</f>
        <v>Technological innovation</v>
      </c>
      <c r="C1031" s="1" t="str">
        <f ca="1">IFERROR(__xludf.DUMMYFUNCTION("GOOGLETRANSLATE(E1031, ""zh"", ""en"")"),"Qualitative text")</f>
        <v>Qualitative text</v>
      </c>
    </row>
    <row r="1032" spans="1:3" ht="13" x14ac:dyDescent="0.15">
      <c r="A1032" s="1" t="str">
        <f ca="1">IFERROR(__xludf.DUMMYFUNCTION("GOOGLETRANSLATE(A1032, ""zh"", ""en"")"),"Organize the preparation of long-term plans for basic research and further strengthen the top-level design and systematic layout of strategic basic research")</f>
        <v>Organize the preparation of long-term plans for basic research and further strengthen the top-level design and systematic layout of strategic basic research</v>
      </c>
      <c r="B1032" s="1" t="str">
        <f ca="1">IFERROR(__xludf.DUMMYFUNCTION("GOOGLETRANSLATE(A1032, ""zh"", ""en"")"),"Technological innovation")</f>
        <v>Technological innovation</v>
      </c>
      <c r="C1032" s="1" t="str">
        <f ca="1">IFERROR(__xludf.DUMMYFUNCTION("GOOGLETRANSLATE(E1032, ""zh"", ""en"")"),"Qualitative text")</f>
        <v>Qualitative text</v>
      </c>
    </row>
    <row r="1033" spans="1:3" ht="13" x14ac:dyDescent="0.15">
      <c r="A1033" s="1" t="str">
        <f ca="1">IFERROR(__xludf.DUMMYFUNCTION("GOOGLETRANSLATE(A1033, ""zh"", ""en"")"),"Promote the construction of quality informationization, carry out activities to enhance the quality awareness of all employees, and create an atmosphere of full participation in quality management")</f>
        <v>Promote the construction of quality informationization, carry out activities to enhance the quality awareness of all employees, and create an atmosphere of full participation in quality management</v>
      </c>
      <c r="B1033" s="1" t="str">
        <f ca="1">IFERROR(__xludf.DUMMYFUNCTION("GOOGLETRANSLATE(A1033, ""zh"", ""en"")"),"Product quality")</f>
        <v>Product quality</v>
      </c>
      <c r="C1033" s="1" t="str">
        <f ca="1">IFERROR(__xludf.DUMMYFUNCTION("GOOGLETRANSLATE(E1033, ""zh"", ""en"")"),"Qualitative text")</f>
        <v>Qualitative text</v>
      </c>
    </row>
    <row r="1034" spans="1:3" ht="13" x14ac:dyDescent="0.15">
      <c r="A1034" s="1" t="str">
        <f ca="1">IFERROR(__xludf.DUMMYFUNCTION("GOOGLETRANSLATE(A1034, ""zh"", ""en"")"),"The company has established a closed-loop management process for accepting, handling and returning complaints to ensure that problems reported by customers are resolved promptly and properly.")</f>
        <v>The company has established a closed-loop management process for accepting, handling and returning complaints to ensure that problems reported by customers are resolved promptly and properly.</v>
      </c>
      <c r="B1034" s="1" t="str">
        <f ca="1">IFERROR(__xludf.DUMMYFUNCTION("GOOGLETRANSLATE(A1034, ""zh"", ""en"")"),"Customers and Consumers")</f>
        <v>Customers and Consumers</v>
      </c>
      <c r="C1034" s="1" t="str">
        <f ca="1">IFERROR(__xludf.DUMMYFUNCTION("GOOGLETRANSLATE(E1034, ""zh"", ""en"")"),"Qualitative text")</f>
        <v>Qualitative text</v>
      </c>
    </row>
    <row r="1035" spans="1:3" ht="13" x14ac:dyDescent="0.15">
      <c r="A1035" s="1" t="str">
        <f ca="1">IFERROR(__xludf.DUMMYFUNCTION("GOOGLETRANSLATE(A1035, ""zh"", ""en"")"),"All 40 sales companies under the company have passed the ISO9000 quality management system third-party certification")</f>
        <v>All 40 sales companies under the company have passed the ISO9000 quality management system third-party certification</v>
      </c>
      <c r="B1035" s="1" t="str">
        <f ca="1">IFERROR(__xludf.DUMMYFUNCTION("GOOGLETRANSLATE(A1035, ""zh"", ""en"")"),"Sustainable certification")</f>
        <v>Sustainable certification</v>
      </c>
      <c r="C1035" s="1" t="str">
        <f ca="1">IFERROR(__xludf.DUMMYFUNCTION("GOOGLETRANSLATE(E1035, ""zh"", ""en"")"),"Quantitative Text")</f>
        <v>Quantitative Text</v>
      </c>
    </row>
    <row r="1036" spans="1:3" ht="13" x14ac:dyDescent="0.15">
      <c r="A1036" s="1" t="str">
        <f ca="1">IFERROR(__xludf.DUMMYFUNCTION("GOOGLETRANSLATE(A1036, ""zh"", ""en"")"),"Continue to strengthen energy conservation and emission reduction efforts, improve the efficiency of energy and water resources, and reduce dependence on natural resources.")</f>
        <v>Continue to strengthen energy conservation and emission reduction efforts, improve the efficiency of energy and water resources, and reduce dependence on natural resources.</v>
      </c>
      <c r="B1036" s="1" t="str">
        <f ca="1">IFERROR(__xludf.DUMMYFUNCTION("GOOGLETRANSLATE(A1036, ""zh"", ""en"")"),"Energy and resource consumption")</f>
        <v>Energy and resource consumption</v>
      </c>
      <c r="C1036" s="1" t="str">
        <f ca="1">IFERROR(__xludf.DUMMYFUNCTION("GOOGLETRANSLATE(E1036, ""zh"", ""en"")"),"Qualitative text")</f>
        <v>Qualitative text</v>
      </c>
    </row>
    <row r="1037" spans="1:3" ht="13" x14ac:dyDescent="0.15">
      <c r="A1037" s="1" t="str">
        <f ca="1">IFERROR(__xludf.DUMMYFUNCTION("GOOGLETRANSLATE(A1037, ""zh"", ""en"")"),"Long-term system operation and coordinated development have built Shanghai Electric's ability to collaboratively develop, manufacture and operate multiple sectors.")</f>
        <v>Long-term system operation and coordinated development have built Shanghai Electric's ability to collaboratively develop, manufacture and operate multiple sectors.</v>
      </c>
      <c r="B1037" s="1" t="str">
        <f ca="1">IFERROR(__xludf.DUMMYFUNCTION("GOOGLETRANSLATE(A1037, ""zh"", ""en"")"),"Organizational structure and operations")</f>
        <v>Organizational structure and operations</v>
      </c>
      <c r="C1037" s="1" t="str">
        <f ca="1">IFERROR(__xludf.DUMMYFUNCTION("GOOGLETRANSLATE(E1037, ""zh"", ""en"")"),"Qualitative text")</f>
        <v>Qualitative text</v>
      </c>
    </row>
    <row r="1038" spans="1:3" ht="13" x14ac:dyDescent="0.15">
      <c r="A1038" s="1" t="str">
        <f ca="1">IFERROR(__xludf.DUMMYFUNCTION("GOOGLETRANSLATE(A1038, ""zh"", ""en"")"),"Since the implementation of the inclusive finance strategy, China Construction Bank has become the first bank to have a loan balance of inclusive finance exceeding 2 trillion yuan.")</f>
        <v>Since the implementation of the inclusive finance strategy, China Construction Bank has become the first bank to have a loan balance of inclusive finance exceeding 2 trillion yuan.</v>
      </c>
      <c r="B1038" s="1" t="str">
        <f ca="1">IFERROR(__xludf.DUMMYFUNCTION("GOOGLETRANSLATE(A1038, ""zh"", ""en"")"),"Public welfare and volunteer service")</f>
        <v>Public welfare and volunteer service</v>
      </c>
      <c r="C1038" s="1" t="str">
        <f ca="1">IFERROR(__xludf.DUMMYFUNCTION("GOOGLETRANSLATE(E1038, ""zh"", ""en"")"),"Quantitative Text")</f>
        <v>Quantitative Text</v>
      </c>
    </row>
    <row r="1039" spans="1:3" ht="13" x14ac:dyDescent="0.15">
      <c r="A1039" s="1" t="str">
        <f ca="1">IFERROR(__xludf.DUMMYFUNCTION("GOOGLETRANSLATE(A1039, ""zh"", ""en"")"),"Carry out special rectification of contractor safety, set up a special safety inspection team and completed three rounds of inspections on 51 companies")</f>
        <v>Carry out special rectification of contractor safety, set up a special safety inspection team and completed three rounds of inspections on 51 companies</v>
      </c>
      <c r="B1039" s="1" t="str">
        <f ca="1">IFERROR(__xludf.DUMMYFUNCTION("GOOGLETRANSLATE(A1039, ""zh"", ""en"")"),"staff")</f>
        <v>staff</v>
      </c>
      <c r="C1039" s="1" t="str">
        <f ca="1">IFERROR(__xludf.DUMMYFUNCTION("GOOGLETRANSLATE(E1039, ""zh"", ""en"")"),"Quantitative Text")</f>
        <v>Quantitative Text</v>
      </c>
    </row>
    <row r="1040" spans="1:3" ht="13" x14ac:dyDescent="0.15">
      <c r="A1040" s="1" t="str">
        <f ca="1">IFERROR(__xludf.DUMMYFUNCTION("GOOGLETRANSLATE(A1040, ""zh"", ""en"")"),"Construction waste is recycled according to the disposal plan approved by the local government or sent to a designated waste dump for disposal")</f>
        <v>Construction waste is recycled according to the disposal plan approved by the local government or sent to a designated waste dump for disposal</v>
      </c>
      <c r="B1040" s="1" t="str">
        <f ca="1">IFERROR(__xludf.DUMMYFUNCTION("GOOGLETRANSLATE(A1040, ""zh"", ""en"")"),"Waste Management")</f>
        <v>Waste Management</v>
      </c>
      <c r="C1040" s="1" t="str">
        <f ca="1">IFERROR(__xludf.DUMMYFUNCTION("GOOGLETRANSLATE(E1040, ""zh"", ""en"")"),"Qualitative text")</f>
        <v>Qualitative text</v>
      </c>
    </row>
    <row r="1041" spans="1:3" ht="13" x14ac:dyDescent="0.15">
      <c r="A1041" s="1" t="str">
        <f ca="1">IFERROR(__xludf.DUMMYFUNCTION("GOOGLETRANSLATE(A1041, ""zh"", ""en"")"),"CITIC Securities Co., Ltd. issued its Anti-Commercial Bribery and Integrity Practice Policy to regulate the company's integrity management.")</f>
        <v>CITIC Securities Co., Ltd. issued its Anti-Commercial Bribery and Integrity Practice Policy to regulate the company's integrity management.</v>
      </c>
      <c r="B1041" s="1" t="str">
        <f ca="1">IFERROR(__xludf.DUMMYFUNCTION("GOOGLETRANSLATE(A1041, ""zh"", ""en"")"),"Anti-corruption and anti-money laundering")</f>
        <v>Anti-corruption and anti-money laundering</v>
      </c>
      <c r="C1041" s="1" t="str">
        <f ca="1">IFERROR(__xludf.DUMMYFUNCTION("GOOGLETRANSLATE(E1041, ""zh"", ""en"")"),"Qualitative text")</f>
        <v>Qualitative text</v>
      </c>
    </row>
    <row r="1042" spans="1:3" ht="13" x14ac:dyDescent="0.15">
      <c r="A1042" s="1" t="str">
        <f ca="1">IFERROR(__xludf.DUMMYFUNCTION("GOOGLETRANSLATE(A1042, ""zh"", ""en"")"),"The meeting pointed out that studying, publicizing and implementing the spirit of the 20th CPC National Congress is the primary political task at present and in the future.")</f>
        <v>The meeting pointed out that studying, publicizing and implementing the spirit of the 20th CPC National Congress is the primary political task at present and in the future.</v>
      </c>
      <c r="B1042" s="1" t="str">
        <f ca="1">IFERROR(__xludf.DUMMYFUNCTION("GOOGLETRANSLATE(A1042, ""zh"", ""en"")"),"irrelevant text")</f>
        <v>irrelevant text</v>
      </c>
      <c r="C1042" s="1" t="str">
        <f ca="1">IFERROR(__xludf.DUMMYFUNCTION("GOOGLETRANSLATE(E1042, ""zh"", ""en"")"),"irrelevant text")</f>
        <v>irrelevant text</v>
      </c>
    </row>
    <row r="1043" spans="1:3" ht="13" x14ac:dyDescent="0.15">
      <c r="A1043" s="1" t="str">
        <f ca="1">IFERROR(__xludf.DUMMYFUNCTION("GOOGLETRANSLATE(A1043, ""zh"", ""en"")"),"Natural gas is a fossil energy with low carbon emission intensity and plays an important role in the green and low-carbon transformation of energy.")</f>
        <v>Natural gas is a fossil energy with low carbon emission intensity and plays an important role in the green and low-carbon transformation of energy.</v>
      </c>
      <c r="B1043" s="1" t="str">
        <f ca="1">IFERROR(__xludf.DUMMYFUNCTION("GOOGLETRANSLATE(A1043, ""zh"", ""en"")"),"carbon emissions")</f>
        <v>carbon emissions</v>
      </c>
      <c r="C1043" s="1" t="str">
        <f ca="1">IFERROR(__xludf.DUMMYFUNCTION("GOOGLETRANSLATE(E1043, ""zh"", ""en"")"),"Qualitative text")</f>
        <v>Qualitative text</v>
      </c>
    </row>
    <row r="1044" spans="1:3" ht="13" x14ac:dyDescent="0.15">
      <c r="A1044" s="1" t="str">
        <f ca="1">IFERROR(__xludf.DUMMYFUNCTION("GOOGLETRANSLATE(A1044, ""zh"", ""en"")"),"Male employees whose spouses give birth to children have diversified opportunities, work hours, vacations and other benefits, and can enjoy paternity leave.")</f>
        <v>Male employees whose spouses give birth to children have diversified opportunities, work hours, vacations and other benefits, and can enjoy paternity leave.</v>
      </c>
      <c r="B1044" s="1" t="str">
        <f ca="1">IFERROR(__xludf.DUMMYFUNCTION("GOOGLETRANSLATE(A1044, ""zh"", ""en"")"),"staff")</f>
        <v>staff</v>
      </c>
      <c r="C1044" s="1" t="str">
        <f ca="1">IFERROR(__xludf.DUMMYFUNCTION("GOOGLETRANSLATE(E1044, ""zh"", ""en"")"),"Qualitative text")</f>
        <v>Qualitative text</v>
      </c>
    </row>
    <row r="1045" spans="1:3" ht="13" x14ac:dyDescent="0.15">
      <c r="A1045" s="1" t="str">
        <f ca="1">IFERROR(__xludf.DUMMYFUNCTION("GOOGLETRANSLATE(A1045, ""zh"", ""en"")"),"The event was divided into daytime and nighttime sessions and lasted all day. More than 600 people from more than 200 families of Yaoyou Pharmaceutical employees participated.")</f>
        <v>The event was divided into daytime and nighttime sessions and lasted all day. More than 600 people from more than 200 families of Yaoyou Pharmaceutical employees participated.</v>
      </c>
      <c r="B1045" s="1" t="str">
        <f ca="1">IFERROR(__xludf.DUMMYFUNCTION("GOOGLETRANSLATE(A1045, ""zh"", ""en"")"),"Public welfare and volunteer service")</f>
        <v>Public welfare and volunteer service</v>
      </c>
      <c r="C1045" s="1" t="str">
        <f ca="1">IFERROR(__xludf.DUMMYFUNCTION("GOOGLETRANSLATE(E1045, ""zh"", ""en"")"),"Quantitative Text")</f>
        <v>Quantitative Text</v>
      </c>
    </row>
    <row r="1046" spans="1:3" ht="13" x14ac:dyDescent="0.15">
      <c r="A1046" s="1" t="str">
        <f ca="1">IFERROR(__xludf.DUMMYFUNCTION("GOOGLETRANSLATE(A1046, ""zh"", ""en"")"),"and the AA1000 series of standards to develop a set of protocols for sustainability reporting verification.")</f>
        <v>and the AA1000 series of standards to develop a set of protocols for sustainability reporting verification.</v>
      </c>
      <c r="B1046" s="1" t="str">
        <f ca="1">IFERROR(__xludf.DUMMYFUNCTION("GOOGLETRANSLATE(A1046, ""zh"", ""en"")"),"Sustainable certification")</f>
        <v>Sustainable certification</v>
      </c>
      <c r="C1046" s="1" t="str">
        <f ca="1">IFERROR(__xludf.DUMMYFUNCTION("GOOGLETRANSLATE(E1046, ""zh"", ""en"")"),"Qualitative text")</f>
        <v>Qualitative text</v>
      </c>
    </row>
    <row r="1047" spans="1:3" ht="13" x14ac:dyDescent="0.15">
      <c r="A1047" s="1" t="str">
        <f ca="1">IFERROR(__xludf.DUMMYFUNCTION("GOOGLETRANSLATE(A1047, ""zh"", ""en"")"),"At the same time, in 2022, we invited Dr. Gao Guang, the chief quality consultant, to provide more than 24 hours of quality training per person per year.")</f>
        <v>At the same time, in 2022, we invited Dr. Gao Guang, the chief quality consultant, to provide more than 24 hours of quality training per person per year.</v>
      </c>
      <c r="B1047" s="1" t="str">
        <f ca="1">IFERROR(__xludf.DUMMYFUNCTION("GOOGLETRANSLATE(A1047, ""zh"", ""en"")"),"Product quality")</f>
        <v>Product quality</v>
      </c>
      <c r="C1047" s="1" t="str">
        <f ca="1">IFERROR(__xludf.DUMMYFUNCTION("GOOGLETRANSLATE(E1047, ""zh"", ""en"")"),"Quantitative Text")</f>
        <v>Quantitative Text</v>
      </c>
    </row>
    <row r="1048" spans="1:3" ht="13" x14ac:dyDescent="0.15">
      <c r="A1048" s="1" t="str">
        <f ca="1">IFERROR(__xludf.DUMMYFUNCTION("GOOGLETRANSLATE(A1048, ""zh"", ""en"")"),"6 national continuing education projects, 8 provincial projects, 39 pages of papers, and more than 47 SCI papers published")</f>
        <v>6 national continuing education projects, 8 provincial projects, 39 pages of papers, and more than 47 SCI papers published</v>
      </c>
      <c r="B1048" s="1" t="str">
        <f ca="1">IFERROR(__xludf.DUMMYFUNCTION("GOOGLETRANSLATE(A1048, ""zh"", ""en"")"),"Technological innovation")</f>
        <v>Technological innovation</v>
      </c>
      <c r="C1048" s="1" t="str">
        <f ca="1">IFERROR(__xludf.DUMMYFUNCTION("GOOGLETRANSLATE(E1048, ""zh"", ""en"")"),"Quantitative Text")</f>
        <v>Quantitative Text</v>
      </c>
    </row>
    <row r="1049" spans="1:3" ht="13" x14ac:dyDescent="0.15">
      <c r="A1049" s="1" t="str">
        <f ca="1">IFERROR(__xludf.DUMMYFUNCTION("GOOGLETRANSLATE(A1049, ""zh"", ""en"")"),"The employee response rate for this survey reached 97%, with an overall satisfaction score of 75, an increase of 5 percentage points from 2021.")</f>
        <v>The employee response rate for this survey reached 97%, with an overall satisfaction score of 75, an increase of 5 percentage points from 2021.</v>
      </c>
      <c r="B1049" s="1" t="str">
        <f ca="1">IFERROR(__xludf.DUMMYFUNCTION("GOOGLETRANSLATE(A1049, ""zh"", ""en"")"),"staff")</f>
        <v>staff</v>
      </c>
      <c r="C1049" s="1" t="str">
        <f ca="1">IFERROR(__xludf.DUMMYFUNCTION("GOOGLETRANSLATE(E1049, ""zh"", ""en"")"),"Quantitative Text")</f>
        <v>Quantitative Text</v>
      </c>
    </row>
    <row r="1050" spans="1:3" ht="13" x14ac:dyDescent="0.15">
      <c r="A1050" s="1" t="str">
        <f ca="1">IFERROR(__xludf.DUMMYFUNCTION("GOOGLETRANSLATE(A1050, ""zh"", ""en"")"),"Unless the individual agrees, the reward for reporting the complaint and any other information about the person reporting the complaint shall not be disclosed.")</f>
        <v>Unless the individual agrees, the reward for reporting the complaint and any other information about the person reporting the complaint shall not be disclosed.</v>
      </c>
      <c r="B1050" s="1" t="str">
        <f ca="1">IFERROR(__xludf.DUMMYFUNCTION("GOOGLETRANSLATE(A1050, ""zh"", ""en"")"),"Reporting System")</f>
        <v>Reporting System</v>
      </c>
      <c r="C1050" s="1" t="str">
        <f ca="1">IFERROR(__xludf.DUMMYFUNCTION("GOOGLETRANSLATE(E1050, ""zh"", ""en"")"),"Qualitative text")</f>
        <v>Qualitative text</v>
      </c>
    </row>
    <row r="1051" spans="1:3" ht="13" x14ac:dyDescent="0.15">
      <c r="A1051" s="1" t="str">
        <f ca="1">IFERROR(__xludf.DUMMYFUNCTION("GOOGLETRANSLATE(A1051, ""zh"", ""en"")"),"Budesonide Inhalation Suspension has completed Macau registration and completed the first overseas sales of inhalation preparations")</f>
        <v>Budesonide Inhalation Suspension has completed Macau registration and completed the first overseas sales of inhalation preparations</v>
      </c>
      <c r="B1051" s="1" t="str">
        <f ca="1">IFERROR(__xludf.DUMMYFUNCTION("GOOGLETRANSLATE(A1051, ""zh"", ""en"")"),"Product quality")</f>
        <v>Product quality</v>
      </c>
      <c r="C1051" s="1" t="str">
        <f ca="1">IFERROR(__xludf.DUMMYFUNCTION("GOOGLETRANSLATE(E1051, ""zh"", ""en"")"),"Qualitative text")</f>
        <v>Qualitative text</v>
      </c>
    </row>
    <row r="1052" spans="1:3" ht="13" x14ac:dyDescent="0.15">
      <c r="A1052" s="1" t="str">
        <f ca="1">IFERROR(__xludf.DUMMYFUNCTION("GOOGLETRANSLATE(A1052, ""zh"", ""en"")"),"Starting from 2022, ESG indicators will be added to the personal performance appraisal of all members of the Social Responsibility Working Group")</f>
        <v>Starting from 2022, ESG indicators will be added to the personal performance appraisal of all members of the Social Responsibility Working Group</v>
      </c>
      <c r="B1052" s="1" t="str">
        <f ca="1">IFERROR(__xludf.DUMMYFUNCTION("GOOGLETRANSLATE(A1052, ""zh"", ""en"")"),"irrelevant text")</f>
        <v>irrelevant text</v>
      </c>
      <c r="C1052" s="1" t="str">
        <f ca="1">IFERROR(__xludf.DUMMYFUNCTION("GOOGLETRANSLATE(E1052, ""zh"", ""en"")"),"irrelevant text")</f>
        <v>irrelevant text</v>
      </c>
    </row>
    <row r="1053" spans="1:3" ht="13" x14ac:dyDescent="0.15">
      <c r="A1053" s="1" t="str">
        <f ca="1">IFERROR(__xludf.DUMMYFUNCTION("GOOGLETRANSLATE(A1053, ""zh"", ""en"")"),"As some data involve continuity and comparability, some contents in this report may be extended or traced as needed.")</f>
        <v>As some data involve continuity and comparability, some contents in this report may be extended or traced as needed.</v>
      </c>
      <c r="B1053" s="1" t="str">
        <f ca="1">IFERROR(__xludf.DUMMYFUNCTION("GOOGLETRANSLATE(A1053, ""zh"", ""en"")"),"irrelevant text")</f>
        <v>irrelevant text</v>
      </c>
      <c r="C1053" s="1" t="str">
        <f ca="1">IFERROR(__xludf.DUMMYFUNCTION("GOOGLETRANSLATE(E1053, ""zh"", ""en"")"),"irrelevant text")</f>
        <v>irrelevant text</v>
      </c>
    </row>
    <row r="1054" spans="1:3" ht="13" x14ac:dyDescent="0.15">
      <c r="A1054" s="1" t="str">
        <f ca="1">IFERROR(__xludf.DUMMYFUNCTION("GOOGLETRANSLATE(A1054, ""zh"", ""en"")"),"We have further standardized supplier audits and determined the audit frequency and form based on supplier risk categories.")</f>
        <v>We have further standardized supplier audits and determined the audit frequency and form based on supplier risk categories.</v>
      </c>
      <c r="B1054" s="1" t="str">
        <f ca="1">IFERROR(__xludf.DUMMYFUNCTION("GOOGLETRANSLATE(A1054, ""zh"", ""en"")"),"Audit work")</f>
        <v>Audit work</v>
      </c>
      <c r="C1054" s="1" t="str">
        <f ca="1">IFERROR(__xludf.DUMMYFUNCTION("GOOGLETRANSLATE(E1054, ""zh"", ""en"")"),"Qualitative text")</f>
        <v>Qualitative text</v>
      </c>
    </row>
    <row r="1055" spans="1:3" ht="13" x14ac:dyDescent="0.15">
      <c r="A1055" s="1" t="str">
        <f ca="1">IFERROR(__xludf.DUMMYFUNCTION("GOOGLETRANSLATE(A1055, ""zh"", ""en"")"),"In 2022, we will support urban ecological health and environmental protection through public donations on the Tencent Charity Platform.")</f>
        <v>In 2022, we will support urban ecological health and environmental protection through public donations on the Tencent Charity Platform.</v>
      </c>
      <c r="B1055" s="1" t="str">
        <f ca="1">IFERROR(__xludf.DUMMYFUNCTION("GOOGLETRANSLATE(A1055, ""zh"", ""en"")"),"Public welfare and volunteer service")</f>
        <v>Public welfare and volunteer service</v>
      </c>
      <c r="C1055" s="1" t="str">
        <f ca="1">IFERROR(__xludf.DUMMYFUNCTION("GOOGLETRANSLATE(E1055, ""zh"", ""en"")"),"Qualitative text")</f>
        <v>Qualitative text</v>
      </c>
    </row>
    <row r="1056" spans="1:3" ht="13" x14ac:dyDescent="0.15">
      <c r="A1056" s="1" t="str">
        <f ca="1">IFERROR(__xludf.DUMMYFUNCTION("GOOGLETRANSLATE(A1056, ""zh"", ""en"")"),"This year, we were awarded the Most Socially Responsible Award by Douyin for actively carrying out public welfare science popularization live broadcasts on Douyin.")</f>
        <v>This year, we were awarded the Most Socially Responsible Award by Douyin for actively carrying out public welfare science popularization live broadcasts on Douyin.</v>
      </c>
      <c r="B1056" s="1" t="str">
        <f ca="1">IFERROR(__xludf.DUMMYFUNCTION("GOOGLETRANSLATE(A1056, ""zh"", ""en"")"),"Public welfare and volunteer service")</f>
        <v>Public welfare and volunteer service</v>
      </c>
      <c r="C1056" s="1" t="str">
        <f ca="1">IFERROR(__xludf.DUMMYFUNCTION("GOOGLETRANSLATE(E1056, ""zh"", ""en"")"),"Quantitative Text")</f>
        <v>Quantitative Text</v>
      </c>
    </row>
    <row r="1057" spans="1:3" ht="13" x14ac:dyDescent="0.15">
      <c r="A1057" s="1" t="str">
        <f ca="1">IFERROR(__xludf.DUMMYFUNCTION("GOOGLETRANSLATE(A1057, ""zh"", ""en"")"),"We are fully committed and hope to work with all stakeholders to meet life's challenges and strive together to realize the unlimited potential of healthy living.")</f>
        <v>We are fully committed and hope to work with all stakeholders to meet life's challenges and strive together to realize the unlimited potential of healthy living.</v>
      </c>
      <c r="B1057" s="1" t="str">
        <f ca="1">IFERROR(__xludf.DUMMYFUNCTION("GOOGLETRANSLATE(A1057, ""zh"", ""en"")"),"irrelevant text")</f>
        <v>irrelevant text</v>
      </c>
      <c r="C1057" s="1" t="str">
        <f ca="1">IFERROR(__xludf.DUMMYFUNCTION("GOOGLETRANSLATE(E1057, ""zh"", ""en"")"),"irrelevant text")</f>
        <v>irrelevant text</v>
      </c>
    </row>
    <row r="1058" spans="1:3" ht="13" x14ac:dyDescent="0.15">
      <c r="A1058" s="1" t="str">
        <f ca="1">IFERROR(__xludf.DUMMYFUNCTION("GOOGLETRANSLATE(A1058, ""zh"", ""en"")"),"For more information on the number of corruption lawsuits and the results of the lawsuits, please visit the website of the Central Commission for Discipline Inspection and the National Supervisory Commission.")</f>
        <v>For more information on the number of corruption lawsuits and the results of the lawsuits, please visit the website of the Central Commission for Discipline Inspection and the National Supervisory Commission.</v>
      </c>
      <c r="B1058" s="1" t="str">
        <f ca="1">IFERROR(__xludf.DUMMYFUNCTION("GOOGLETRANSLATE(A1058, ""zh"", ""en"")"),"Legal proceedings and external sanctions")</f>
        <v>Legal proceedings and external sanctions</v>
      </c>
      <c r="C1058" s="1" t="str">
        <f ca="1">IFERROR(__xludf.DUMMYFUNCTION("GOOGLETRANSLATE(E1058, ""zh"", ""en"")"),"Qualitative text")</f>
        <v>Qualitative text</v>
      </c>
    </row>
    <row r="1059" spans="1:3" ht="13" x14ac:dyDescent="0.15">
      <c r="A1059" s="1" t="str">
        <f ca="1">IFERROR(__xludf.DUMMYFUNCTION("GOOGLETRANSLATE(A1059, ""zh"", ""en"")"),"A3 Environment and Natural Resources General Disclosure Policies on minimizing the issuer’s significant impacts on the environment and natural resources")</f>
        <v>A3 Environment and Natural Resources General Disclosure Policies on minimizing the issuer’s significant impacts on the environment and natural resources</v>
      </c>
      <c r="B1059" s="1" t="str">
        <f ca="1">IFERROR(__xludf.DUMMYFUNCTION("GOOGLETRANSLATE(A1059, ""zh"", ""en"")"),"Environmental Policy")</f>
        <v>Environmental Policy</v>
      </c>
      <c r="C1059" s="1" t="str">
        <f ca="1">IFERROR(__xludf.DUMMYFUNCTION("GOOGLETRANSLATE(E1059, ""zh"", ""en"")"),"Qualitative text")</f>
        <v>Qualitative text</v>
      </c>
    </row>
    <row r="1060" spans="1:3" ht="13" x14ac:dyDescent="0.15">
      <c r="A1060" s="1" t="str">
        <f ca="1">IFERROR(__xludf.DUMMYFUNCTION("GOOGLETRANSLATE(A1060, ""zh"", ""en"")"),"Dima Industry can maintain its leading position in the industry not only with high-quality products but also with wholehearted service and guarantee.")</f>
        <v>Dima Industry can maintain its leading position in the industry not only with high-quality products but also with wholehearted service and guarantee.</v>
      </c>
      <c r="B1060" s="1" t="str">
        <f ca="1">IFERROR(__xludf.DUMMYFUNCTION("GOOGLETRANSLATE(A1060, ""zh"", ""en"")"),"Product quality")</f>
        <v>Product quality</v>
      </c>
      <c r="C1060" s="1" t="str">
        <f ca="1">IFERROR(__xludf.DUMMYFUNCTION("GOOGLETRANSLATE(E1060, ""zh"", ""en"")"),"Qualitative text")</f>
        <v>Qualitative text</v>
      </c>
    </row>
    <row r="1061" spans="1:3" ht="13" x14ac:dyDescent="0.15">
      <c r="A1061" s="1" t="str">
        <f ca="1">IFERROR(__xludf.DUMMYFUNCTION("GOOGLETRANSLATE(A1061, ""zh"", ""en"")"),"The company actively promotes the construction of green and low-carbon logistics chain and continuously strives to build a stable, open and secure international logistics chain system")</f>
        <v>The company actively promotes the construction of green and low-carbon logistics chain and continuously strives to build a stable, open and secure international logistics chain system</v>
      </c>
      <c r="B1061" s="1" t="str">
        <f ca="1">IFERROR(__xludf.DUMMYFUNCTION("GOOGLETRANSLATE(A1061, ""zh"", ""en"")"),"supply chain management")</f>
        <v>supply chain management</v>
      </c>
      <c r="C1061" s="1" t="str">
        <f ca="1">IFERROR(__xludf.DUMMYFUNCTION("GOOGLETRANSLATE(E1061, ""zh"", ""en"")"),"Qualitative text")</f>
        <v>Qualitative text</v>
      </c>
    </row>
    <row r="1062" spans="1:3" ht="13" x14ac:dyDescent="0.15">
      <c r="A1062" s="1" t="str">
        <f ca="1">IFERROR(__xludf.DUMMYFUNCTION("GOOGLETRANSLATE(A1062, ""zh"", ""en"")"),"In 2018, the public welfare joint search was launched, and the new digital public welfare function Daquan Public Welfare Service Hall and the first organ donation public welfare were launched online.")</f>
        <v>In 2018, the public welfare joint search was launched, and the new digital public welfare function Daquan Public Welfare Service Hall and the first organ donation public welfare were launched online.</v>
      </c>
      <c r="B1062" s="1" t="str">
        <f ca="1">IFERROR(__xludf.DUMMYFUNCTION("GOOGLETRANSLATE(A1062, ""zh"", ""en"")"),"Public welfare and volunteer service")</f>
        <v>Public welfare and volunteer service</v>
      </c>
      <c r="C1062" s="1" t="str">
        <f ca="1">IFERROR(__xludf.DUMMYFUNCTION("GOOGLETRANSLATE(E1062, ""zh"", ""en"")"),"Qualitative text")</f>
        <v>Qualitative text</v>
      </c>
    </row>
    <row r="1063" spans="1:3" ht="13" x14ac:dyDescent="0.15">
      <c r="A1063" s="1" t="str">
        <f ca="1">IFERROR(__xludf.DUMMYFUNCTION("GOOGLETRANSLATE(A1063, ""zh"", ""en"")"),"We earnestly implement the requirements of political and people-oriented financial work and move forward with determination on the journey of helping people achieve a better life.")</f>
        <v>We earnestly implement the requirements of political and people-oriented financial work and move forward with determination on the journey of helping people achieve a better life.</v>
      </c>
      <c r="B1063" s="1" t="str">
        <f ca="1">IFERROR(__xludf.DUMMYFUNCTION("GOOGLETRANSLATE(A1063, ""zh"", ""en"")"),"irrelevant text")</f>
        <v>irrelevant text</v>
      </c>
      <c r="C1063" s="1" t="str">
        <f ca="1">IFERROR(__xludf.DUMMYFUNCTION("GOOGLETRANSLATE(E1063, ""zh"", ""en"")"),"irrelevant text")</f>
        <v>irrelevant text</v>
      </c>
    </row>
    <row r="1064" spans="1:3" ht="13" x14ac:dyDescent="0.15">
      <c r="A1064" s="1" t="str">
        <f ca="1">IFERROR(__xludf.DUMMYFUNCTION("GOOGLETRANSLATE(A1064, ""zh"", ""en"")"),"We firmly believe that establishing a responsible supply chain can better meet user needs while having a positive impact on society and the environment.")</f>
        <v>We firmly believe that establishing a responsible supply chain can better meet user needs while having a positive impact on society and the environment.</v>
      </c>
      <c r="B1064" s="1" t="str">
        <f ca="1">IFERROR(__xludf.DUMMYFUNCTION("GOOGLETRANSLATE(A1064, ""zh"", ""en"")"),"supply chain management")</f>
        <v>supply chain management</v>
      </c>
      <c r="C1064" s="1" t="str">
        <f ca="1">IFERROR(__xludf.DUMMYFUNCTION("GOOGLETRANSLATE(E1064, ""zh"", ""en"")"),"Qualitative text")</f>
        <v>Qualitative text</v>
      </c>
    </row>
    <row r="1065" spans="1:3" ht="13" x14ac:dyDescent="0.15">
      <c r="A1065" s="1" t="str">
        <f ca="1">IFERROR(__xludf.DUMMYFUNCTION("GOOGLETRANSLATE(A1065, ""zh"", ""en"")"),"We firmly believe that public welfare activities not only contribute to the development of the company but also embody the concrete expression of caring for the society.")</f>
        <v>We firmly believe that public welfare activities not only contribute to the development of the company but also embody the concrete expression of caring for the society.</v>
      </c>
      <c r="B1065" s="1" t="str">
        <f ca="1">IFERROR(__xludf.DUMMYFUNCTION("GOOGLETRANSLATE(A1065, ""zh"", ""en"")"),"Public welfare and volunteer service")</f>
        <v>Public welfare and volunteer service</v>
      </c>
      <c r="C1065" s="1" t="str">
        <f ca="1">IFERROR(__xludf.DUMMYFUNCTION("GOOGLETRANSLATE(E1065, ""zh"", ""en"")"),"Qualitative text")</f>
        <v>Qualitative text</v>
      </c>
    </row>
    <row r="1066" spans="1:3" ht="13" x14ac:dyDescent="0.15">
      <c r="A1066" s="1" t="str">
        <f ca="1">IFERROR(__xludf.DUMMYFUNCTION("GOOGLETRANSLATE(A1066, ""zh"", ""en"")"),"In addition, we use the process performance feedback mechanism to notify, warn, suspend or stop cooperation with unqualified suppliers.")</f>
        <v>In addition, we use the process performance feedback mechanism to notify, warn, suspend or stop cooperation with unqualified suppliers.</v>
      </c>
      <c r="B1066" s="1" t="str">
        <f ca="1">IFERROR(__xludf.DUMMYFUNCTION("GOOGLETRANSLATE(A1066, ""zh"", ""en"")"),"supply chain management")</f>
        <v>supply chain management</v>
      </c>
      <c r="C1066" s="1" t="str">
        <f ca="1">IFERROR(__xludf.DUMMYFUNCTION("GOOGLETRANSLATE(E1066, ""zh"", ""en"")"),"Qualitative text")</f>
        <v>Qualitative text</v>
      </c>
    </row>
    <row r="1067" spans="1:3" ht="13" x14ac:dyDescent="0.15">
      <c r="A1067" s="1" t="str">
        <f ca="1">IFERROR(__xludf.DUMMYFUNCTION("GOOGLETRANSLATE(A1067, ""zh"", ""en"")"),"In the future, we will take on more responsibilities and take the initiative to set an example for the whole society and play a leading role in demonstration.")</f>
        <v>In the future, we will take on more responsibilities and take the initiative to set an example for the whole society and play a leading role in demonstration.</v>
      </c>
      <c r="B1067" s="1" t="str">
        <f ca="1">IFERROR(__xludf.DUMMYFUNCTION("GOOGLETRANSLATE(A1067, ""zh"", ""en"")"),"irrelevant text")</f>
        <v>irrelevant text</v>
      </c>
      <c r="C1067" s="1" t="str">
        <f ca="1">IFERROR(__xludf.DUMMYFUNCTION("GOOGLETRANSLATE(E1067, ""zh"", ""en"")"),"irrelevant text")</f>
        <v>irrelevant text</v>
      </c>
    </row>
    <row r="1068" spans="1:3" ht="13" x14ac:dyDescent="0.15">
      <c r="A1068" s="1" t="str">
        <f ca="1">IFERROR(__xludf.DUMMYFUNCTION("GOOGLETRANSLATE(A1068, ""zh"", ""en"")"),"The Risk Management Department is the lead department responsible for organizing and coordinating compliance management work and providing compliance support to other departments.")</f>
        <v>The Risk Management Department is the lead department responsible for organizing and coordinating compliance management work and providing compliance support to other departments.</v>
      </c>
      <c r="B1068" s="1" t="str">
        <f ca="1">IFERROR(__xludf.DUMMYFUNCTION("GOOGLETRANSLATE(A1068, ""zh"", ""en"")"),"Legal proceedings and external sanctions")</f>
        <v>Legal proceedings and external sanctions</v>
      </c>
      <c r="C1068" s="1" t="str">
        <f ca="1">IFERROR(__xludf.DUMMYFUNCTION("GOOGLETRANSLATE(E1068, ""zh"", ""en"")"),"Qualitative text")</f>
        <v>Qualitative text</v>
      </c>
    </row>
    <row r="1069" spans="1:3" ht="13" x14ac:dyDescent="0.15">
      <c r="A1069" s="1" t="str">
        <f ca="1">IFERROR(__xludf.DUMMYFUNCTION("GOOGLETRANSLATE(A1069, ""zh"", ""en"")"),"Organize professional training and professional knowledge Q&amp;A sessions covering external directors and board office staff to continuously improve their job performance capabilities")</f>
        <v>Organize professional training and professional knowledge Q&amp;A sessions covering external directors and board office staff to continuously improve their job performance capabilities</v>
      </c>
      <c r="B1069" s="1" t="str">
        <f ca="1">IFERROR(__xludf.DUMMYFUNCTION("GOOGLETRANSLATE(A1069, ""zh"", ""en"")"),"Organizational structure and operations")</f>
        <v>Organizational structure and operations</v>
      </c>
      <c r="C1069" s="1" t="str">
        <f ca="1">IFERROR(__xludf.DUMMYFUNCTION("GOOGLETRANSLATE(E1069, ""zh"", ""en"")"),"Qualitative text")</f>
        <v>Qualitative text</v>
      </c>
    </row>
    <row r="1070" spans="1:3" ht="13" x14ac:dyDescent="0.15">
      <c r="A1070" s="1" t="str">
        <f ca="1">IFERROR(__xludf.DUMMYFUNCTION("GOOGLETRANSLATE(A1070, ""zh"", ""en"")"),"On June 16, 2022, Yuantong Automobile officially launched the 2022 annual safety production activities for a period of one month.")</f>
        <v>On June 16, 2022, Yuantong Automobile officially launched the 2022 annual safety production activities for a period of one month.</v>
      </c>
      <c r="B1070" s="1" t="str">
        <f ca="1">IFERROR(__xludf.DUMMYFUNCTION("GOOGLETRANSLATE(A1070, ""zh"", ""en"")"),"staff")</f>
        <v>staff</v>
      </c>
      <c r="C1070" s="1" t="str">
        <f ca="1">IFERROR(__xludf.DUMMYFUNCTION("GOOGLETRANSLATE(E1070, ""zh"", ""en"")"),"Qualitative text")</f>
        <v>Qualitative text</v>
      </c>
    </row>
    <row r="1071" spans="1:3" ht="13" x14ac:dyDescent="0.15">
      <c r="A1071" s="1" t="str">
        <f ca="1">IFERROR(__xludf.DUMMYFUNCTION("GOOGLETRANSLATE(A1071, ""zh"", ""en"")"),"Throughout the year, we promoted trade unions at all levels to organize more than 500 cultural and sports activities for employees, with 19,000 employees participating.")</f>
        <v>Throughout the year, we promoted trade unions at all levels to organize more than 500 cultural and sports activities for employees, with 19,000 employees participating.</v>
      </c>
      <c r="B1071" s="1" t="str">
        <f ca="1">IFERROR(__xludf.DUMMYFUNCTION("GOOGLETRANSLATE(A1071, ""zh"", ""en"")"),"staff")</f>
        <v>staff</v>
      </c>
      <c r="C1071" s="1" t="str">
        <f ca="1">IFERROR(__xludf.DUMMYFUNCTION("GOOGLETRANSLATE(E1071, ""zh"", ""en"")"),"Quantitative Text")</f>
        <v>Quantitative Text</v>
      </c>
    </row>
    <row r="1072" spans="1:3" ht="13" x14ac:dyDescent="0.15">
      <c r="A1072" s="1" t="str">
        <f ca="1">IFERROR(__xludf.DUMMYFUNCTION("GOOGLETRANSLATE(A1072, ""zh"", ""en"")"),"107108 Key Performance Indicator B1.2 Employee turnover rate by gender, age group and region")</f>
        <v>107108 Key Performance Indicator B1.2 Employee turnover rate by gender, age group and region</v>
      </c>
      <c r="B1072" s="1" t="str">
        <f ca="1">IFERROR(__xludf.DUMMYFUNCTION("GOOGLETRANSLATE(A1072, ""zh"", ""en"")"),"staff")</f>
        <v>staff</v>
      </c>
      <c r="C1072" s="1" t="str">
        <f ca="1">IFERROR(__xludf.DUMMYFUNCTION("GOOGLETRANSLATE(E1072, ""zh"", ""en"")"),"Qualitative text")</f>
        <v>Qualitative text</v>
      </c>
    </row>
    <row r="1073" spans="1:3" ht="13" x14ac:dyDescent="0.15">
      <c r="A1073" s="1" t="str">
        <f ca="1">IFERROR(__xludf.DUMMYFUNCTION("GOOGLETRANSLATE(A1073, ""zh"", ""en"")"),"Conduct a special survey on post-95s employees, conduct comprehensive interviews with post-95s employees of the company, and form a research report")</f>
        <v>Conduct a special survey on post-95s employees, conduct comprehensive interviews with post-95s employees of the company, and form a research report</v>
      </c>
      <c r="B1073" s="1" t="str">
        <f ca="1">IFERROR(__xludf.DUMMYFUNCTION("GOOGLETRANSLATE(A1073, ""zh"", ""en"")"),"staff")</f>
        <v>staff</v>
      </c>
      <c r="C1073" s="1" t="str">
        <f ca="1">IFERROR(__xludf.DUMMYFUNCTION("GOOGLETRANSLATE(E1073, ""zh"", ""en"")"),"Qualitative text")</f>
        <v>Qualitative text</v>
      </c>
    </row>
    <row r="1074" spans="1:3" ht="13" x14ac:dyDescent="0.15">
      <c r="A1074" s="1" t="str">
        <f ca="1">IFERROR(__xludf.DUMMYFUNCTION("GOOGLETRANSLATE(A1074, ""zh"", ""en"")"),"Mali, a West African country, has a weak industrial base and its pharmaceutical market is dominated by expensive imported drugs. The overall level of drug use is low.")</f>
        <v>Mali, a West African country, has a weak industrial base and its pharmaceutical market is dominated by expensive imported drugs. The overall level of drug use is low.</v>
      </c>
      <c r="B1074" s="1" t="str">
        <f ca="1">IFERROR(__xludf.DUMMYFUNCTION("GOOGLETRANSLATE(A1074, ""zh"", ""en"")"),"Product quality")</f>
        <v>Product quality</v>
      </c>
      <c r="C1074" s="1" t="str">
        <f ca="1">IFERROR(__xludf.DUMMYFUNCTION("GOOGLETRANSLATE(E1074, ""zh"", ""en"")"),"Qualitative text")</f>
        <v>Qualitative text</v>
      </c>
    </row>
    <row r="1075" spans="1:3" ht="13" x14ac:dyDescent="0.15">
      <c r="A1075" s="1" t="str">
        <f ca="1">IFERROR(__xludf.DUMMYFUNCTION("GOOGLETRANSLATE(A1075, ""zh"", ""en"")"),"The construction and operation of the company's information security management system complies with relevant laws, regulations and government regulatory agencies.")</f>
        <v>The construction and operation of the company's information security management system complies with relevant laws, regulations and government regulatory agencies.</v>
      </c>
      <c r="B1075" s="1" t="str">
        <f ca="1">IFERROR(__xludf.DUMMYFUNCTION("GOOGLETRANSLATE(A1075, ""zh"", ""en"")"),"Data security")</f>
        <v>Data security</v>
      </c>
      <c r="C1075" s="1" t="str">
        <f ca="1">IFERROR(__xludf.DUMMYFUNCTION("GOOGLETRANSLATE(E1075, ""zh"", ""en"")"),"Qualitative text")</f>
        <v>Qualitative text</v>
      </c>
    </row>
    <row r="1076" spans="1:3" ht="13" x14ac:dyDescent="0.15">
      <c r="A1076" s="1" t="str">
        <f ca="1">IFERROR(__xludf.DUMMYFUNCTION("GOOGLETRANSLATE(A1076, ""zh"", ""en"")"),"The project received support from three major national, provincial and municipal science and technology special funds and applied for 49 domestic and foreign patents.")</f>
        <v>The project received support from three major national, provincial and municipal science and technology special funds and applied for 49 domestic and foreign patents.</v>
      </c>
      <c r="B1076" s="1" t="str">
        <f ca="1">IFERROR(__xludf.DUMMYFUNCTION("GOOGLETRANSLATE(A1076, ""zh"", ""en"")"),"Intellectual Property Protection")</f>
        <v>Intellectual Property Protection</v>
      </c>
      <c r="C1076" s="1" t="str">
        <f ca="1">IFERROR(__xludf.DUMMYFUNCTION("GOOGLETRANSLATE(E1076, ""zh"", ""en"")"),"Quantitative Text")</f>
        <v>Quantitative Text</v>
      </c>
    </row>
    <row r="1077" spans="1:3" ht="13" x14ac:dyDescent="0.15">
      <c r="A1077" s="1" t="str">
        <f ca="1">IFERROR(__xludf.DUMMYFUNCTION("GOOGLETRANSLATE(A1077, ""zh"", ""en"")"),"Case Study: Elite Program Enhances Leadership: Xinjiang Uyghur Medicine established the Feiyue Project to select and train core reserve talents.")</f>
        <v>Case Study: Elite Program Enhances Leadership: Xinjiang Uyghur Medicine established the Feiyue Project to select and train core reserve talents.</v>
      </c>
      <c r="B1077" s="1" t="str">
        <f ca="1">IFERROR(__xludf.DUMMYFUNCTION("GOOGLETRANSLATE(A1077, ""zh"", ""en"")"),"staff")</f>
        <v>staff</v>
      </c>
      <c r="C1077" s="1" t="str">
        <f ca="1">IFERROR(__xludf.DUMMYFUNCTION("GOOGLETRANSLATE(E1077, ""zh"", ""en"")"),"Qualitative text")</f>
        <v>Qualitative text</v>
      </c>
    </row>
    <row r="1078" spans="1:3" ht="13" x14ac:dyDescent="0.15">
      <c r="A1078" s="1" t="str">
        <f ca="1">IFERROR(__xludf.DUMMYFUNCTION("GOOGLETRANSLATE(A1078, ""zh"", ""en"")"),"The electronic version of the report can be downloaded from http://www.sinopec.com/listco")</f>
        <v>The electronic version of the report can be downloaded from http://www.sinopec.com/listco</v>
      </c>
      <c r="B1078" s="1" t="str">
        <f ca="1">IFERROR(__xludf.DUMMYFUNCTION("GOOGLETRANSLATE(A1078, ""zh"", ""en"")"),"irrelevant text")</f>
        <v>irrelevant text</v>
      </c>
      <c r="C1078" s="1" t="str">
        <f ca="1">IFERROR(__xludf.DUMMYFUNCTION("GOOGLETRANSLATE(E1078, ""zh"", ""en"")"),"irrelevant text")</f>
        <v>irrelevant text</v>
      </c>
    </row>
    <row r="1079" spans="1:3" ht="13" x14ac:dyDescent="0.15">
      <c r="A1079" s="1" t="str">
        <f ca="1">IFERROR(__xludf.DUMMYFUNCTION("GOOGLETRANSLATE(A1079, ""zh"", ""en"")"),"07 Building a harmonious society B8.1 Focus on areas of contribution such as education, environment, labor needs, health, culture and sports")</f>
        <v>07 Building a harmonious society B8.1 Focus on areas of contribution such as education, environment, labor needs, health, culture and sports</v>
      </c>
      <c r="B1079" s="1" t="str">
        <f ca="1">IFERROR(__xludf.DUMMYFUNCTION("GOOGLETRANSLATE(A1079, ""zh"", ""en"")"),"Public welfare and volunteer service")</f>
        <v>Public welfare and volunteer service</v>
      </c>
      <c r="C1079" s="1" t="str">
        <f ca="1">IFERROR(__xludf.DUMMYFUNCTION("GOOGLETRANSLATE(E1079, ""zh"", ""en"")"),"Qualitative text")</f>
        <v>Qualitative text</v>
      </c>
    </row>
    <row r="1080" spans="1:3" ht="13" x14ac:dyDescent="0.15">
      <c r="A1080" s="1" t="str">
        <f ca="1">IFERROR(__xludf.DUMMYFUNCTION("GOOGLETRANSLATE(A1080, ""zh"", ""en"")"),"Three of the independent directors serve as chairpersons of the Remuneration and Appraisal Committee, the Audit Committee, and the Nomination Committee.")</f>
        <v>Three of the independent directors serve as chairpersons of the Remuneration and Appraisal Committee, the Audit Committee, and the Nomination Committee.</v>
      </c>
      <c r="B1080" s="1" t="str">
        <f ca="1">IFERROR(__xludf.DUMMYFUNCTION("GOOGLETRANSLATE(A1080, ""zh"", ""en"")"),"Organizational structure and operations")</f>
        <v>Organizational structure and operations</v>
      </c>
      <c r="C1080" s="1" t="str">
        <f ca="1">IFERROR(__xludf.DUMMYFUNCTION("GOOGLETRANSLATE(E1080, ""zh"", ""en"")"),"Quantitative Text")</f>
        <v>Quantitative Text</v>
      </c>
    </row>
    <row r="1081" spans="1:3" ht="13" x14ac:dyDescent="0.15">
      <c r="A1081" s="1" t="str">
        <f ca="1">IFERROR(__xludf.DUMMYFUNCTION("GOOGLETRANSLATE(A1081, ""zh"", ""en"")"),"The company looks forward to establishing and maintaining good cooperative relationships with excellent suppliers and further expanding the scope of cooperation with excellent companies.")</f>
        <v>The company looks forward to establishing and maintaining good cooperative relationships with excellent suppliers and further expanding the scope of cooperation with excellent companies.</v>
      </c>
      <c r="B1081" s="1" t="str">
        <f ca="1">IFERROR(__xludf.DUMMYFUNCTION("GOOGLETRANSLATE(A1081, ""zh"", ""en"")"),"supply chain management")</f>
        <v>supply chain management</v>
      </c>
      <c r="C1081" s="1" t="str">
        <f ca="1">IFERROR(__xludf.DUMMYFUNCTION("GOOGLETRANSLATE(E1081, ""zh"", ""en"")"),"Qualitative text")</f>
        <v>Qualitative text</v>
      </c>
    </row>
    <row r="1082" spans="1:3" ht="13" x14ac:dyDescent="0.15">
      <c r="A1082" s="1" t="str">
        <f ca="1">IFERROR(__xludf.DUMMYFUNCTION("GOOGLETRANSLATE(A1082, ""zh"", ""en"")"),"In 2022, the company will conduct drills and expand plans for extreme weather response plans to promote them as reference cases.")</f>
        <v>In 2022, the company will conduct drills and expand plans for extreme weather response plans to promote them as reference cases.</v>
      </c>
      <c r="B1082" s="1" t="str">
        <f ca="1">IFERROR(__xludf.DUMMYFUNCTION("GOOGLETRANSLATE(A1082, ""zh"", ""en"")"),"Addressing climate change")</f>
        <v>Addressing climate change</v>
      </c>
      <c r="C1082" s="1" t="str">
        <f ca="1">IFERROR(__xludf.DUMMYFUNCTION("GOOGLETRANSLATE(E1082, ""zh"", ""en"")"),"Qualitative text")</f>
        <v>Qualitative text</v>
      </c>
    </row>
    <row r="1083" spans="1:3" ht="13" x14ac:dyDescent="0.15">
      <c r="A1083" s="1" t="str">
        <f ca="1">IFERROR(__xludf.DUMMYFUNCTION("GOOGLETRANSLATE(A1083, ""zh"", ""en"")"),"We have published reporting channels on multiple channels so that suppliers and employees can report any issues they find.")</f>
        <v>We have published reporting channels on multiple channels so that suppliers and employees can report any issues they find.</v>
      </c>
      <c r="B1083" s="1" t="str">
        <f ca="1">IFERROR(__xludf.DUMMYFUNCTION("GOOGLETRANSLATE(A1083, ""zh"", ""en"")"),"Reporting System")</f>
        <v>Reporting System</v>
      </c>
      <c r="C1083" s="1" t="str">
        <f ca="1">IFERROR(__xludf.DUMMYFUNCTION("GOOGLETRANSLATE(E1083, ""zh"", ""en"")"),"Qualitative text")</f>
        <v>Qualitative text</v>
      </c>
    </row>
    <row r="1084" spans="1:3" ht="13" x14ac:dyDescent="0.15">
      <c r="A1084" s="1" t="str">
        <f ca="1">IFERROR(__xludf.DUMMYFUNCTION("GOOGLETRANSLATE(A1084, ""zh"", ""en"")"),"By 2022, the employee complaint resolution rate will reach 100% and more than 1,000 people will participate in feedback exchanges on the online platform.")</f>
        <v>By 2022, the employee complaint resolution rate will reach 100% and more than 1,000 people will participate in feedback exchanges on the online platform.</v>
      </c>
      <c r="B1084" s="1" t="str">
        <f ca="1">IFERROR(__xludf.DUMMYFUNCTION("GOOGLETRANSLATE(A1084, ""zh"", ""en"")"),"staff")</f>
        <v>staff</v>
      </c>
      <c r="C1084" s="1" t="str">
        <f ca="1">IFERROR(__xludf.DUMMYFUNCTION("GOOGLETRANSLATE(E1084, ""zh"", ""en"")"),"Quantitative Text")</f>
        <v>Quantitative Text</v>
      </c>
    </row>
    <row r="1085" spans="1:3" ht="13" x14ac:dyDescent="0.15">
      <c r="A1085" s="1" t="str">
        <f ca="1">IFERROR(__xludf.DUMMYFUNCTION("GOOGLETRANSLATE(A1085, ""zh"", ""en"")"),"As of the end of 2022, a total of 28 companies of the company have passed the ISO14000 environmental management system certification")</f>
        <v>As of the end of 2022, a total of 28 companies of the company have passed the ISO14000 environmental management system certification</v>
      </c>
      <c r="B1085" s="1" t="str">
        <f ca="1">IFERROR(__xludf.DUMMYFUNCTION("GOOGLETRANSLATE(A1085, ""zh"", ""en"")"),"Sustainable certification")</f>
        <v>Sustainable certification</v>
      </c>
      <c r="C1085" s="1" t="str">
        <f ca="1">IFERROR(__xludf.DUMMYFUNCTION("GOOGLETRANSLATE(E1085, ""zh"", ""en"")"),"Quantitative Text")</f>
        <v>Quantitative Text</v>
      </c>
    </row>
    <row r="1086" spans="1:3" ht="13" x14ac:dyDescent="0.15">
      <c r="A1086" s="1" t="str">
        <f ca="1">IFERROR(__xludf.DUMMYFUNCTION("GOOGLETRANSLATE(A1086, ""zh"", ""en"")"),"In 2021, the company successfully passed the information security management system renewal training rate 100% and provided quality service review")</f>
        <v>In 2021, the company successfully passed the information security management system renewal training rate 100% and provided quality service review</v>
      </c>
      <c r="B1086" s="1" t="str">
        <f ca="1">IFERROR(__xludf.DUMMYFUNCTION("GOOGLETRANSLATE(A1086, ""zh"", ""en"")"),"Data security")</f>
        <v>Data security</v>
      </c>
      <c r="C1086" s="1" t="str">
        <f ca="1">IFERROR(__xludf.DUMMYFUNCTION("GOOGLETRANSLATE(E1086, ""zh"", ""en"")"),"Quantitative Text")</f>
        <v>Quantitative Text</v>
      </c>
    </row>
    <row r="1087" spans="1:3" ht="13" x14ac:dyDescent="0.15">
      <c r="A1087" s="1" t="str">
        <f ca="1">IFERROR(__xludf.DUMMYFUNCTION("GOOGLETRANSLATE(A1087, ""zh"", ""en"")"),"In order to ensure the high quality of the products, the company conducts multi-dimensional product inspection to ensure that the products meet the best user experience")</f>
        <v>In order to ensure the high quality of the products, the company conducts multi-dimensional product inspection to ensure that the products meet the best user experience</v>
      </c>
      <c r="B1087" s="1" t="str">
        <f ca="1">IFERROR(__xludf.DUMMYFUNCTION("GOOGLETRANSLATE(A1087, ""zh"", ""en"")"),"Product quality")</f>
        <v>Product quality</v>
      </c>
      <c r="C1087" s="1" t="str">
        <f ca="1">IFERROR(__xludf.DUMMYFUNCTION("GOOGLETRANSLATE(E1087, ""zh"", ""en"")"),"Qualitative text")</f>
        <v>Qualitative text</v>
      </c>
    </row>
    <row r="1088" spans="1:3" ht="13" x14ac:dyDescent="0.15">
      <c r="A1088" s="1" t="str">
        <f ca="1">IFERROR(__xludf.DUMMYFUNCTION("GOOGLETRANSLATE(A1088, ""zh"", ""en"")"),"Intensive land use, strengthen land regulation, make arrangements for land use in the following year at the end of each year, and adjust the plan appropriately according to actual conditions in the middle of the year.")</f>
        <v>Intensive land use, strengthen land regulation, make arrangements for land use in the following year at the end of each year, and adjust the plan appropriately according to actual conditions in the middle of the year.</v>
      </c>
      <c r="B1088" s="1" t="str">
        <f ca="1">IFERROR(__xludf.DUMMYFUNCTION("GOOGLETRANSLATE(A1088, ""zh"", ""en"")"),"Land use")</f>
        <v>Land use</v>
      </c>
      <c r="C1088" s="1" t="str">
        <f ca="1">IFERROR(__xludf.DUMMYFUNCTION("GOOGLETRANSLATE(E1088, ""zh"", ""en"")"),"Qualitative text")</f>
        <v>Qualitative text</v>
      </c>
    </row>
    <row r="1089" spans="1:3" ht="13" x14ac:dyDescent="0.15">
      <c r="A1089" s="1" t="str">
        <f ca="1">IFERROR(__xludf.DUMMYFUNCTION("GOOGLETRANSLATE(A1089, ""zh"", ""en"")"),"Hazardous waste and general industrial solid waste are entrusted to units with relevant technologies for comprehensive utilization or safe landfill")</f>
        <v>Hazardous waste and general industrial solid waste are entrusted to units with relevant technologies for comprehensive utilization or safe landfill</v>
      </c>
      <c r="B1089" s="1" t="str">
        <f ca="1">IFERROR(__xludf.DUMMYFUNCTION("GOOGLETRANSLATE(A1089, ""zh"", ""en"")"),"Waste Management")</f>
        <v>Waste Management</v>
      </c>
      <c r="C1089" s="1" t="str">
        <f ca="1">IFERROR(__xludf.DUMMYFUNCTION("GOOGLETRANSLATE(E1089, ""zh"", ""en"")"),"Qualitative text")</f>
        <v>Qualitative text</v>
      </c>
    </row>
    <row r="1090" spans="1:3" ht="13" x14ac:dyDescent="0.15">
      <c r="A1090" s="1" t="str">
        <f ca="1">IFERROR(__xludf.DUMMYFUNCTION("GOOGLETRANSLATE(A1090, ""zh"", ""en"")"),"An embarrassing fact is that large companies are prone to formalism, overstaffing and failure to embrace cutting-edge trends and technologies.")</f>
        <v>An embarrassing fact is that large companies are prone to formalism, overstaffing and failure to embrace cutting-edge trends and technologies.</v>
      </c>
      <c r="B1090" s="1" t="str">
        <f ca="1">IFERROR(__xludf.DUMMYFUNCTION("GOOGLETRANSLATE(A1090, ""zh"", ""en"")"),"irrelevant text")</f>
        <v>irrelevant text</v>
      </c>
      <c r="C1090" s="1" t="str">
        <f ca="1">IFERROR(__xludf.DUMMYFUNCTION("GOOGLETRANSLATE(E1090, ""zh"", ""en"")"),"irrelevant text")</f>
        <v>irrelevant text</v>
      </c>
    </row>
    <row r="1091" spans="1:3" ht="13" x14ac:dyDescent="0.15">
      <c r="A1091" s="1" t="str">
        <f ca="1">IFERROR(__xludf.DUMMYFUNCTION("GOOGLETRANSLATE(A1091, ""zh"", ""en"")"),"Carry out energy efficiency benchmarking activities and formulate energy efficiency benchmarking indicator systems to encourage enterprises to strengthen energy efficiency management and improve energy efficiency levels")</f>
        <v>Carry out energy efficiency benchmarking activities and formulate energy efficiency benchmarking indicator systems to encourage enterprises to strengthen energy efficiency management and improve energy efficiency levels</v>
      </c>
      <c r="B1091" s="1" t="str">
        <f ca="1">IFERROR(__xludf.DUMMYFUNCTION("GOOGLETRANSLATE(A1091, ""zh"", ""en"")"),"Energy and resource consumption")</f>
        <v>Energy and resource consumption</v>
      </c>
      <c r="C1091" s="1" t="str">
        <f ca="1">IFERROR(__xludf.DUMMYFUNCTION("GOOGLETRANSLATE(E1091, ""zh"", ""en"")"),"Qualitative text")</f>
        <v>Qualitative text</v>
      </c>
    </row>
    <row r="1092" spans="1:3" ht="13" x14ac:dyDescent="0.15">
      <c r="A1092" s="1" t="str">
        <f ca="1">IFERROR(__xludf.DUMMYFUNCTION("GOOGLETRANSLATE(A1092, ""zh"", ""en"")"),"Vigorously develop the photovoltaic and wind power industries, promote the deep integration of wind, solar and green electricity with traditional businesses, and continuously increase the proportion of green electricity applications.")</f>
        <v>Vigorously develop the photovoltaic and wind power industries, promote the deep integration of wind, solar and green electricity with traditional businesses, and continuously increase the proportion of green electricity applications.</v>
      </c>
      <c r="B1092" s="1" t="str">
        <f ca="1">IFERROR(__xludf.DUMMYFUNCTION("GOOGLETRANSLATE(A1092, ""zh"", ""en"")"),"Energy and resource consumption")</f>
        <v>Energy and resource consumption</v>
      </c>
      <c r="C1092" s="1" t="str">
        <f ca="1">IFERROR(__xludf.DUMMYFUNCTION("GOOGLETRANSLATE(E1092, ""zh"", ""en"")"),"Qualitative text")</f>
        <v>Qualitative text</v>
      </c>
    </row>
    <row r="1093" spans="1:3" ht="13" x14ac:dyDescent="0.15">
      <c r="A1093" s="1" t="str">
        <f ca="1">IFERROR(__xludf.DUMMYFUNCTION("GOOGLETRANSLATE(A1093, ""zh"", ""en"")"),"As of December 31, 2022, more than 300 employees have obtained first aid certificates for hidden danger detection and management.")</f>
        <v>As of December 31, 2022, more than 300 employees have obtained first aid certificates for hidden danger detection and management.</v>
      </c>
      <c r="B1093" s="1" t="str">
        <f ca="1">IFERROR(__xludf.DUMMYFUNCTION("GOOGLETRANSLATE(A1093, ""zh"", ""en"")"),"staff")</f>
        <v>staff</v>
      </c>
      <c r="C1093" s="1" t="str">
        <f ca="1">IFERROR(__xludf.DUMMYFUNCTION("GOOGLETRANSLATE(E1093, ""zh"", ""en"")"),"Quantitative Text")</f>
        <v>Quantitative Text</v>
      </c>
    </row>
    <row r="1094" spans="1:3" ht="13" x14ac:dyDescent="0.15">
      <c r="A1094" s="1" t="str">
        <f ca="1">IFERROR(__xludf.DUMMYFUNCTION("GOOGLETRANSLATE(A1094, ""zh"", ""en"")"),"The development and testing of the first dense phase injection device in China filled the gap in equipment manufacturing and application in this field in China.")</f>
        <v>The development and testing of the first dense phase injection device in China filled the gap in equipment manufacturing and application in this field in China.</v>
      </c>
      <c r="B1094" s="1" t="str">
        <f ca="1">IFERROR(__xludf.DUMMYFUNCTION("GOOGLETRANSLATE(A1094, ""zh"", ""en"")"),"Technological innovation")</f>
        <v>Technological innovation</v>
      </c>
      <c r="C1094" s="1" t="str">
        <f ca="1">IFERROR(__xludf.DUMMYFUNCTION("GOOGLETRANSLATE(E1094, ""zh"", ""en"")"),"Qualitative text")</f>
        <v>Qualitative text</v>
      </c>
    </row>
    <row r="1095" spans="1:3" ht="13" x14ac:dyDescent="0.15">
      <c r="A1095" s="1" t="str">
        <f ca="1">IFERROR(__xludf.DUMMYFUNCTION("GOOGLETRANSLATE(A1095, ""zh"", ""en"")"),"From 2022 to 2026, scrapped ATMs and other self-service equipment will be recycled by qualified suppliers at a rate of RMB 100 per year.")</f>
        <v>From 2022 to 2026, scrapped ATMs and other self-service equipment will be recycled by qualified suppliers at a rate of RMB 100 per year.</v>
      </c>
      <c r="B1095" s="1" t="str">
        <f ca="1">IFERROR(__xludf.DUMMYFUNCTION("GOOGLETRANSLATE(A1095, ""zh"", ""en"")"),"Waste Management")</f>
        <v>Waste Management</v>
      </c>
      <c r="C1095" s="1" t="str">
        <f ca="1">IFERROR(__xludf.DUMMYFUNCTION("GOOGLETRANSLATE(E1095, ""zh"", ""en"")"),"Quantitative Text")</f>
        <v>Quantitative Text</v>
      </c>
    </row>
    <row r="1096" spans="1:3" ht="13" x14ac:dyDescent="0.15">
      <c r="A1096" s="1" t="str">
        <f ca="1">IFERROR(__xludf.DUMMYFUNCTION("GOOGLETRANSLATE(A1096, ""zh"", ""en"")"),"In 2022, the company's employees participated in compliance training, with a total of 330,000 person-times and a compliance training employee coverage rate of 59.13%.")</f>
        <v>In 2022, the company's employees participated in compliance training, with a total of 330,000 person-times and a compliance training employee coverage rate of 59.13%.</v>
      </c>
      <c r="B1096" s="1" t="str">
        <f ca="1">IFERROR(__xludf.DUMMYFUNCTION("GOOGLETRANSLATE(A1096, ""zh"", ""en"")"),"staff")</f>
        <v>staff</v>
      </c>
      <c r="C1096" s="1" t="str">
        <f ca="1">IFERROR(__xludf.DUMMYFUNCTION("GOOGLETRANSLATE(E1096, ""zh"", ""en"")"),"Quantitative Text")</f>
        <v>Quantitative Text</v>
      </c>
    </row>
    <row r="1097" spans="1:3" ht="13" x14ac:dyDescent="0.15">
      <c r="A1097" s="1" t="str">
        <f ca="1">IFERROR(__xludf.DUMMYFUNCTION("GOOGLETRANSLATE(A1097, ""zh"", ""en"")"),"There are two ways: one is that the employee requests to terminate the labor contract with CCB; the other is that the employee is dismissed by the bank for violating industry regulations.")</f>
        <v>There are two ways: one is that the employee requests to terminate the labor contract with CCB; the other is that the employee is dismissed by the bank for violating industry regulations.</v>
      </c>
      <c r="B1097" s="1" t="str">
        <f ca="1">IFERROR(__xludf.DUMMYFUNCTION("GOOGLETRANSLATE(A1097, ""zh"", ""en"")"),"staff")</f>
        <v>staff</v>
      </c>
      <c r="C1097" s="1" t="str">
        <f ca="1">IFERROR(__xludf.DUMMYFUNCTION("GOOGLETRANSLATE(E1097, ""zh"", ""en"")"),"Qualitative text")</f>
        <v>Qualitative text</v>
      </c>
    </row>
    <row r="1098" spans="1:3" ht="13" x14ac:dyDescent="0.15">
      <c r="A1098" s="1" t="str">
        <f ca="1">IFERROR(__xludf.DUMMYFUNCTION("GOOGLETRANSLATE(A1098, ""zh"", ""en"")"),"In the future, the company will continue to expand its natural gas business scale, improve its natural gas supply capacity and its share in oil and gas production.")</f>
        <v>In the future, the company will continue to expand its natural gas business scale, improve its natural gas supply capacity and its share in oil and gas production.</v>
      </c>
      <c r="B1098" s="1" t="str">
        <f ca="1">IFERROR(__xludf.DUMMYFUNCTION("GOOGLETRANSLATE(A1098, ""zh"", ""en"")"),"Energy and resource consumption")</f>
        <v>Energy and resource consumption</v>
      </c>
      <c r="C1098" s="1" t="str">
        <f ca="1">IFERROR(__xludf.DUMMYFUNCTION("GOOGLETRANSLATE(E1098, ""zh"", ""en"")"),"Qualitative text")</f>
        <v>Qualitative text</v>
      </c>
    </row>
    <row r="1099" spans="1:3" ht="13" x14ac:dyDescent="0.15">
      <c r="A1099" s="1" t="str">
        <f ca="1">IFERROR(__xludf.DUMMYFUNCTION("GOOGLETRANSLATE(A1099, ""zh"", ""en"")"),"In 2022, the annual comprehensive wastewater compliance rate of the company's subsidiaries will be 100%, and the total amount of water pollutant emissions will continue to decrease.")</f>
        <v>In 2022, the annual comprehensive wastewater compliance rate of the company's subsidiaries will be 100%, and the total amount of water pollutant emissions will continue to decrease.</v>
      </c>
      <c r="B1099" s="1" t="str">
        <f ca="1">IFERROR(__xludf.DUMMYFUNCTION("GOOGLETRANSLATE(A1099, ""zh"", ""en"")"),"Water resources")</f>
        <v>Water resources</v>
      </c>
      <c r="C1099" s="1" t="str">
        <f ca="1">IFERROR(__xludf.DUMMYFUNCTION("GOOGLETRANSLATE(E1099, ""zh"", ""en"")"),"Quantitative Text")</f>
        <v>Quantitative Text</v>
      </c>
    </row>
    <row r="1100" spans="1:3" ht="13" x14ac:dyDescent="0.15">
      <c r="A1100" s="1" t="str">
        <f ca="1">IFERROR(__xludf.DUMMYFUNCTION("GOOGLETRANSLATE(A1100, ""zh"", ""en"")"),"In 2022, the company held 9 board meetings and approved 42 proposals. The overall attendance rate of directors was 100%.")</f>
        <v>In 2022, the company held 9 board meetings and approved 42 proposals. The overall attendance rate of directors was 100%.</v>
      </c>
      <c r="B1100" s="1" t="str">
        <f ca="1">IFERROR(__xludf.DUMMYFUNCTION("GOOGLETRANSLATE(A1100, ""zh"", ""en"")"),"Organizational structure and operations")</f>
        <v>Organizational structure and operations</v>
      </c>
      <c r="C1100" s="1" t="str">
        <f ca="1">IFERROR(__xludf.DUMMYFUNCTION("GOOGLETRANSLATE(E1100, ""zh"", ""en"")"),"Quantitative Text")</f>
        <v>Quantitative Text</v>
      </c>
    </row>
    <row r="1101" spans="1:3" ht="13" x14ac:dyDescent="0.15">
      <c r="A1101" s="1" t="str">
        <f ca="1">IFERROR(__xludf.DUMMYFUNCTION("GOOGLETRANSLATE(A1101, ""zh"", ""en"")"),"On December 8, Shanghai Electric's hydrogen production equipment rolled off the assembly line and the unveiling ceremony of Shanghai Hydrogen Era Technology Co., Ltd. was held in Shanghai.")</f>
        <v>On December 8, Shanghai Electric's hydrogen production equipment rolled off the assembly line and the unveiling ceremony of Shanghai Hydrogen Era Technology Co., Ltd. was held in Shanghai.</v>
      </c>
      <c r="B1101" s="1" t="str">
        <f ca="1">IFERROR(__xludf.DUMMYFUNCTION("GOOGLETRANSLATE(A1101, ""zh"", ""en"")"),"Technological innovation")</f>
        <v>Technological innovation</v>
      </c>
      <c r="C1101" s="1" t="str">
        <f ca="1">IFERROR(__xludf.DUMMYFUNCTION("GOOGLETRANSLATE(E1101, ""zh"", ""en"")"),"Qualitative text")</f>
        <v>Qualitative text</v>
      </c>
    </row>
    <row r="1102" spans="1:3" ht="13" x14ac:dyDescent="0.15">
      <c r="A1102" s="1" t="str">
        <f ca="1">IFERROR(__xludf.DUMMYFUNCTION("GOOGLETRANSLATE(A1102, ""zh"", ""en"")"),"At the same time, the company incorporates anti-corruption assessment content into the performance appraisal system and links the assessment results with salary, position and grade adjustments.")</f>
        <v>At the same time, the company incorporates anti-corruption assessment content into the performance appraisal system and links the assessment results with salary, position and grade adjustments.</v>
      </c>
      <c r="B1102" s="1" t="str">
        <f ca="1">IFERROR(__xludf.DUMMYFUNCTION("GOOGLETRANSLATE(A1102, ""zh"", ""en"")"),"Anti-corruption and anti-money laundering")</f>
        <v>Anti-corruption and anti-money laundering</v>
      </c>
      <c r="C1102" s="1" t="str">
        <f ca="1">IFERROR(__xludf.DUMMYFUNCTION("GOOGLETRANSLATE(E1102, ""zh"", ""en"")"),"Qualitative text")</f>
        <v>Qualitative text</v>
      </c>
    </row>
    <row r="1103" spans="1:3" ht="13" x14ac:dyDescent="0.15">
      <c r="A1103" s="1" t="str">
        <f ca="1">IFERROR(__xludf.DUMMYFUNCTION("GOOGLETRANSLATE(A1103, ""zh"", ""en"")"),"Vigorously carry out water balance testing and water supply network leak detection and elimination work, upgrade and renovate old pipelines to reduce water loss in the pipeline network")</f>
        <v>Vigorously carry out water balance testing and water supply network leak detection and elimination work, upgrade and renovate old pipelines to reduce water loss in the pipeline network</v>
      </c>
      <c r="B1103" s="1" t="str">
        <f ca="1">IFERROR(__xludf.DUMMYFUNCTION("GOOGLETRANSLATE(A1103, ""zh"", ""en"")"),"Water resources")</f>
        <v>Water resources</v>
      </c>
      <c r="C1103" s="1" t="str">
        <f ca="1">IFERROR(__xludf.DUMMYFUNCTION("GOOGLETRANSLATE(E1103, ""zh"", ""en"")"),"Qualitative text")</f>
        <v>Qualitative text</v>
      </c>
    </row>
    <row r="1104" spans="1:3" ht="13" x14ac:dyDescent="0.15">
      <c r="A1104" s="1" t="str">
        <f ca="1">IFERROR(__xludf.DUMMYFUNCTION("GOOGLETRANSLATE(A1104, ""zh"", ""en"")"),"The company's board of directors attaches great importance to ESG risk management and has established a risk management committee to hold regular meetings to identify and evaluate risks.")</f>
        <v>The company's board of directors attaches great importance to ESG risk management and has established a risk management committee to hold regular meetings to identify and evaluate risks.</v>
      </c>
      <c r="B1104" s="1" t="str">
        <f ca="1">IFERROR(__xludf.DUMMYFUNCTION("GOOGLETRANSLATE(A1104, ""zh"", ""en"")"),"Organizational structure and operations")</f>
        <v>Organizational structure and operations</v>
      </c>
      <c r="C1104" s="1" t="str">
        <f ca="1">IFERROR(__xludf.DUMMYFUNCTION("GOOGLETRANSLATE(E1104, ""zh"", ""en"")"),"Qualitative text")</f>
        <v>Qualitative text</v>
      </c>
    </row>
    <row r="1105" spans="1:3" ht="13" x14ac:dyDescent="0.15">
      <c r="A1105" s="1" t="str">
        <f ca="1">IFERROR(__xludf.DUMMYFUNCTION("GOOGLETRANSLATE(A1105, ""zh"", ""en"")"),"Attach great importance to employee development, optimize incentive assessment and talent training mechanisms, and build a first-class talent team with professional business services")</f>
        <v>Attach great importance to employee development, optimize incentive assessment and talent training mechanisms, and build a first-class talent team with professional business services</v>
      </c>
      <c r="B1105" s="1" t="str">
        <f ca="1">IFERROR(__xludf.DUMMYFUNCTION("GOOGLETRANSLATE(A1105, ""zh"", ""en"")"),"staff")</f>
        <v>staff</v>
      </c>
      <c r="C1105" s="1" t="str">
        <f ca="1">IFERROR(__xludf.DUMMYFUNCTION("GOOGLETRANSLATE(E1105, ""zh"", ""en"")"),"Qualitative text")</f>
        <v>Qualitative text</v>
      </c>
    </row>
    <row r="1106" spans="1:3" ht="13" x14ac:dyDescent="0.15">
      <c r="A1106" s="1" t="str">
        <f ca="1">IFERROR(__xludf.DUMMYFUNCTION("GOOGLETRANSLATE(A1106, ""zh"", ""en"")"),"If you have any questions or suggestions about the report, please send an email to 600061sdic.com.cn for consultation.")</f>
        <v>If you have any questions or suggestions about the report, please send an email to 600061sdic.com.cn for consultation.</v>
      </c>
      <c r="B1106" s="1" t="str">
        <f ca="1">IFERROR(__xludf.DUMMYFUNCTION("GOOGLETRANSLATE(A1106, ""zh"", ""en"")"),"irrelevant text")</f>
        <v>irrelevant text</v>
      </c>
      <c r="C1106" s="1" t="str">
        <f ca="1">IFERROR(__xludf.DUMMYFUNCTION("GOOGLETRANSLATE(E1106, ""zh"", ""en"")"),"irrelevant text")</f>
        <v>irrelevant text</v>
      </c>
    </row>
    <row r="1107" spans="1:3" ht="13" x14ac:dyDescent="0.15">
      <c r="A1107" s="1" t="str">
        <f ca="1">IFERROR(__xludf.DUMMYFUNCTION("GOOGLETRANSLATE(A1107, ""zh"", ""en"")"),"The Guangying Huinong Photovoltaic Project, which helps build beautiful villages, was successfully shortlisted for the 2022 list of typical cases of inclusive finance in China.")</f>
        <v>The Guangying Huinong Photovoltaic Project, which helps build beautiful villages, was successfully shortlisted for the 2022 list of typical cases of inclusive finance in China.</v>
      </c>
      <c r="B1107" s="1" t="str">
        <f ca="1">IFERROR(__xludf.DUMMYFUNCTION("GOOGLETRANSLATE(A1107, ""zh"", ""en"")"),"Rural assistance")</f>
        <v>Rural assistance</v>
      </c>
      <c r="C1107" s="1" t="str">
        <f ca="1">IFERROR(__xludf.DUMMYFUNCTION("GOOGLETRANSLATE(E1107, ""zh"", ""en"")"),"Quantitative Text")</f>
        <v>Quantitative Text</v>
      </c>
    </row>
    <row r="1108" spans="1:3" ht="13" x14ac:dyDescent="0.15">
      <c r="A1108" s="1" t="str">
        <f ca="1">IFERROR(__xludf.DUMMYFUNCTION("GOOGLETRANSLATE(A1108, ""zh"", ""en"")"),"One-day charity donations promote the spirit of charity, spread positive energy, establish good social customs and promote the construction of spiritual civilization.")</f>
        <v>One-day charity donations promote the spirit of charity, spread positive energy, establish good social customs and promote the construction of spiritual civilization.</v>
      </c>
      <c r="B1108" s="1" t="str">
        <f ca="1">IFERROR(__xludf.DUMMYFUNCTION("GOOGLETRANSLATE(A1108, ""zh"", ""en"")"),"Public welfare and volunteer service")</f>
        <v>Public welfare and volunteer service</v>
      </c>
      <c r="C1108" s="1" t="str">
        <f ca="1">IFERROR(__xludf.DUMMYFUNCTION("GOOGLETRANSLATE(E1108, ""zh"", ""en"")"),"Qualitative text")</f>
        <v>Qualitative text</v>
      </c>
    </row>
    <row r="1109" spans="1:3" ht="13" x14ac:dyDescent="0.15">
      <c r="A1109" s="1" t="str">
        <f ca="1">IFERROR(__xludf.DUMMYFUNCTION("GOOGLETRANSLATE(A1109, ""zh"", ""en"")"),"The company not only provides efficient and comprehensive product solutions, but also focuses on providing users with personalized and diversified service experience")</f>
        <v>The company not only provides efficient and comprehensive product solutions, but also focuses on providing users with personalized and diversified service experience</v>
      </c>
      <c r="B1109" s="1" t="str">
        <f ca="1">IFERROR(__xludf.DUMMYFUNCTION("GOOGLETRANSLATE(A1109, ""zh"", ""en"")"),"Customers and Consumers")</f>
        <v>Customers and Consumers</v>
      </c>
      <c r="C1109" s="1" t="str">
        <f ca="1">IFERROR(__xludf.DUMMYFUNCTION("GOOGLETRANSLATE(E1109, ""zh"", ""en"")"),"Qualitative text")</f>
        <v>Qualitative text</v>
      </c>
    </row>
    <row r="1110" spans="1:3" ht="13" x14ac:dyDescent="0.15">
      <c r="A1110" s="1" t="str">
        <f ca="1">IFERROR(__xludf.DUMMYFUNCTION("GOOGLETRANSLATE(A1110, ""zh"", ""en"")"),"The 118 employee representatives of the Central Storage System held a meeting to review and approve the company's 2021 annual work report.")</f>
        <v>The 118 employee representatives of the Central Storage System held a meeting to review and approve the company's 2021 annual work report.</v>
      </c>
      <c r="B1110" s="1" t="str">
        <f ca="1">IFERROR(__xludf.DUMMYFUNCTION("GOOGLETRANSLATE(A1110, ""zh"", ""en"")"),"staff")</f>
        <v>staff</v>
      </c>
      <c r="C1110" s="1" t="str">
        <f ca="1">IFERROR(__xludf.DUMMYFUNCTION("GOOGLETRANSLATE(E1110, ""zh"", ""en"")"),"Quantitative Text")</f>
        <v>Quantitative Text</v>
      </c>
    </row>
    <row r="1111" spans="1:3" ht="13" x14ac:dyDescent="0.15">
      <c r="A1111" s="1" t="str">
        <f ca="1">IFERROR(__xludf.DUMMYFUNCTION("GOOGLETRANSLATE(A1111, ""zh"", ""en"")"),"The Party Committee of the company where the model workers are stationed in the village has determined the idea of ​​pairing up with the units where the cadres are stationed in the village to ensure that the assistance work is effective.")</f>
        <v>The Party Committee of the company where the model workers are stationed in the village has determined the idea of ​​pairing up with the units where the cadres are stationed in the village to ensure that the assistance work is effective.</v>
      </c>
      <c r="B1111" s="1" t="str">
        <f ca="1">IFERROR(__xludf.DUMMYFUNCTION("GOOGLETRANSLATE(A1111, ""zh"", ""en"")"),"Rural assistance")</f>
        <v>Rural assistance</v>
      </c>
      <c r="C1111" s="1" t="str">
        <f ca="1">IFERROR(__xludf.DUMMYFUNCTION("GOOGLETRANSLATE(E1111, ""zh"", ""en"")"),"Qualitative text")</f>
        <v>Qualitative text</v>
      </c>
    </row>
    <row r="1112" spans="1:3" ht="13" x14ac:dyDescent="0.15">
      <c r="A1112" s="1" t="str">
        <f ca="1">IFERROR(__xludf.DUMMYFUNCTION("GOOGLETRANSLATE(A1112, ""zh"", ""en"")"),"In the past three years, the Group has not experienced any major layoffs or major mergers or acquisitions that have affected employees.")</f>
        <v>In the past three years, the Group has not experienced any major layoffs or major mergers or acquisitions that have affected employees.</v>
      </c>
      <c r="B1112" s="1" t="str">
        <f ca="1">IFERROR(__xludf.DUMMYFUNCTION("GOOGLETRANSLATE(A1112, ""zh"", ""en"")"),"staff")</f>
        <v>staff</v>
      </c>
      <c r="C1112" s="1" t="str">
        <f ca="1">IFERROR(__xludf.DUMMYFUNCTION("GOOGLETRANSLATE(E1112, ""zh"", ""en"")"),"Quantitative Text")</f>
        <v>Quantitative Text</v>
      </c>
    </row>
    <row r="1113" spans="1:3" ht="13" x14ac:dyDescent="0.15">
      <c r="A1113" s="1" t="str">
        <f ca="1">IFERROR(__xludf.DUMMYFUNCTION("GOOGLETRANSLATE(A1113, ""zh"", ""en"")"),"This drill allowed employees to master the methods of handling and reporting after an accident and improved the coordination ability among emergency response teams.")</f>
        <v>This drill allowed employees to master the methods of handling and reporting after an accident and improved the coordination ability among emergency response teams.</v>
      </c>
      <c r="B1113" s="1" t="str">
        <f ca="1">IFERROR(__xludf.DUMMYFUNCTION("GOOGLETRANSLATE(A1113, ""zh"", ""en"")"),"staff")</f>
        <v>staff</v>
      </c>
      <c r="C1113" s="1" t="str">
        <f ca="1">IFERROR(__xludf.DUMMYFUNCTION("GOOGLETRANSLATE(E1113, ""zh"", ""en"")"),"Qualitative text")</f>
        <v>Qualitative text</v>
      </c>
    </row>
    <row r="1114" spans="1:3" ht="13" x14ac:dyDescent="0.15">
      <c r="A1114" s="1" t="str">
        <f ca="1">IFERROR(__xludf.DUMMYFUNCTION("GOOGLETRANSLATE(A1114, ""zh"", ""en"")"),"To promote talent mobility, we pay full attention to employees who are willing to transfer and provide appropriate support to encourage employees to develop horizontally.")</f>
        <v>To promote talent mobility, we pay full attention to employees who are willing to transfer and provide appropriate support to encourage employees to develop horizontally.</v>
      </c>
      <c r="B1114" s="1" t="str">
        <f ca="1">IFERROR(__xludf.DUMMYFUNCTION("GOOGLETRANSLATE(A1114, ""zh"", ""en"")"),"staff")</f>
        <v>staff</v>
      </c>
      <c r="C1114" s="1" t="str">
        <f ca="1">IFERROR(__xludf.DUMMYFUNCTION("GOOGLETRANSLATE(E1114, ""zh"", ""en"")"),"Qualitative text")</f>
        <v>Qualitative text</v>
      </c>
    </row>
    <row r="1115" spans="1:3" ht="13" x14ac:dyDescent="0.15">
      <c r="A1115" s="1" t="str">
        <f ca="1">IFERROR(__xludf.DUMMYFUNCTION("GOOGLETRANSLATE(A1115, ""zh"", ""en"")"),"We have set up multiple reporting channels and openly accept reports through letters, telephone, email, etc. on the group's official website.")</f>
        <v>We have set up multiple reporting channels and openly accept reports through letters, telephone, email, etc. on the group's official website.</v>
      </c>
      <c r="B1115" s="1" t="str">
        <f ca="1">IFERROR(__xludf.DUMMYFUNCTION("GOOGLETRANSLATE(A1115, ""zh"", ""en"")"),"Reporting System")</f>
        <v>Reporting System</v>
      </c>
      <c r="C1115" s="1" t="str">
        <f ca="1">IFERROR(__xludf.DUMMYFUNCTION("GOOGLETRANSLATE(E1115, ""zh"", ""en"")"),"Qualitative text")</f>
        <v>Qualitative text</v>
      </c>
    </row>
    <row r="1116" spans="1:3" ht="13" x14ac:dyDescent="0.15">
      <c r="A1116" s="1" t="str">
        <f ca="1">IFERROR(__xludf.DUMMYFUNCTION("GOOGLETRANSLATE(A1116, ""zh"", ""en"")"),"Joincare Group currently has 9 board members, including 4 independent directors, of whom 3 are female directors, accounting for more than 30%")</f>
        <v>Joincare Group currently has 9 board members, including 4 independent directors, of whom 3 are female directors, accounting for more than 30%</v>
      </c>
      <c r="B1116" s="1" t="str">
        <f ca="1">IFERROR(__xludf.DUMMYFUNCTION("GOOGLETRANSLATE(A1116, ""zh"", ""en"")"),"Organizational structure and operations")</f>
        <v>Organizational structure and operations</v>
      </c>
      <c r="C1116" s="1" t="str">
        <f ca="1">IFERROR(__xludf.DUMMYFUNCTION("GOOGLETRANSLATE(E1116, ""zh"", ""en"")"),"Quantitative Text")</f>
        <v>Quantitative Text</v>
      </c>
    </row>
    <row r="1117" spans="1:3" ht="13" x14ac:dyDescent="0.15">
      <c r="A1117" s="1" t="str">
        <f ca="1">IFERROR(__xludf.DUMMYFUNCTION("GOOGLETRANSLATE(A1117, ""zh"", ""en"")"),"In 2022, Kangyuan conducted more than 400 quality-related training sessions totaling over 2,700 hours.")</f>
        <v>In 2022, Kangyuan conducted more than 400 quality-related training sessions totaling over 2,700 hours.</v>
      </c>
      <c r="B1117" s="1" t="str">
        <f ca="1">IFERROR(__xludf.DUMMYFUNCTION("GOOGLETRANSLATE(A1117, ""zh"", ""en"")"),"Product quality")</f>
        <v>Product quality</v>
      </c>
      <c r="C1117" s="1" t="str">
        <f ca="1">IFERROR(__xludf.DUMMYFUNCTION("GOOGLETRANSLATE(E1117, ""zh"", ""en"")"),"Quantitative Text")</f>
        <v>Quantitative Text</v>
      </c>
    </row>
    <row r="1118" spans="1:3" ht="13" x14ac:dyDescent="0.15">
      <c r="A1118" s="1" t="str">
        <f ca="1">IFERROR(__xludf.DUMMYFUNCTION("GOOGLETRANSLATE(A1118, ""zh"", ""en"")"),"We have established a supplier management system to standardize supplier access management and evaluation work and further strengthen supply chain management")</f>
        <v>We have established a supplier management system to standardize supplier access management and evaluation work and further strengthen supply chain management</v>
      </c>
      <c r="B1118" s="1" t="str">
        <f ca="1">IFERROR(__xludf.DUMMYFUNCTION("GOOGLETRANSLATE(A1118, ""zh"", ""en"")"),"supply chain management")</f>
        <v>supply chain management</v>
      </c>
      <c r="C1118" s="1" t="str">
        <f ca="1">IFERROR(__xludf.DUMMYFUNCTION("GOOGLETRANSLATE(E1118, ""zh"", ""en"")"),"Qualitative text")</f>
        <v>Qualitative text</v>
      </c>
    </row>
    <row r="1119" spans="1:3" ht="13" x14ac:dyDescent="0.15">
      <c r="A1119" s="1" t="str">
        <f ca="1">IFERROR(__xludf.DUMMYFUNCTION("GOOGLETRANSLATE(A1119, ""zh"", ""en"")"),"Products such as budesonide inhalation suspension and compound ipratropium bromide solution for inhalation are being registered in countries such as the Philippines.")</f>
        <v>Products such as budesonide inhalation suspension and compound ipratropium bromide solution for inhalation are being registered in countries such as the Philippines.</v>
      </c>
      <c r="B1119" s="1" t="str">
        <f ca="1">IFERROR(__xludf.DUMMYFUNCTION("GOOGLETRANSLATE(A1119, ""zh"", ""en"")"),"Product quality")</f>
        <v>Product quality</v>
      </c>
      <c r="C1119" s="1" t="str">
        <f ca="1">IFERROR(__xludf.DUMMYFUNCTION("GOOGLETRANSLATE(E1119, ""zh"", ""en"")"),"Qualitative text")</f>
        <v>Qualitative text</v>
      </c>
    </row>
    <row r="1120" spans="1:3" ht="13" x14ac:dyDescent="0.15">
      <c r="A1120" s="1" t="str">
        <f ca="1">IFERROR(__xludf.DUMMYFUNCTION("GOOGLETRANSLATE(A1120, ""zh"", ""en"")"),"We are committed to achieving integrated production of raw materials and preparations from the source and steadily improving our independent production capacity of major raw materials.")</f>
        <v>We are committed to achieving integrated production of raw materials and preparations from the source and steadily improving our independent production capacity of major raw materials.</v>
      </c>
      <c r="B1120" s="1" t="str">
        <f ca="1">IFERROR(__xludf.DUMMYFUNCTION("GOOGLETRANSLATE(A1120, ""zh"", ""en"")"),"raw materials")</f>
        <v>raw materials</v>
      </c>
      <c r="C1120" s="1" t="str">
        <f ca="1">IFERROR(__xludf.DUMMYFUNCTION("GOOGLETRANSLATE(E1120, ""zh"", ""en"")"),"Qualitative text")</f>
        <v>Qualitative text</v>
      </c>
    </row>
    <row r="1121" spans="1:3" ht="13" x14ac:dyDescent="0.15">
      <c r="A1121" s="1" t="str">
        <f ca="1">IFERROR(__xludf.DUMMYFUNCTION("GOOGLETRANSLATE(A1121, ""zh"", ""en"")"),"Xinxiang Haibin signed a disposal agreement with a qualified unit to carry out harmless disposal of the sludge generated by the company")</f>
        <v>Xinxiang Haibin signed a disposal agreement with a qualified unit to carry out harmless disposal of the sludge generated by the company</v>
      </c>
      <c r="B1121" s="1" t="str">
        <f ca="1">IFERROR(__xludf.DUMMYFUNCTION("GOOGLETRANSLATE(A1121, ""zh"", ""en"")"),"Waste Management")</f>
        <v>Waste Management</v>
      </c>
      <c r="C1121" s="1" t="str">
        <f ca="1">IFERROR(__xludf.DUMMYFUNCTION("GOOGLETRANSLATE(E1121, ""zh"", ""en"")"),"Qualitative text")</f>
        <v>Qualitative text</v>
      </c>
    </row>
    <row r="1122" spans="1:3" ht="13" x14ac:dyDescent="0.15">
      <c r="A1122" s="1" t="str">
        <f ca="1">IFERROR(__xludf.DUMMYFUNCTION("GOOGLETRANSLATE(A1122, ""zh"", ""en"")"),"The Company promises that the information disclosed in this report is true, accurate, objective and fair and does not contain any false records or misleading statements.")</f>
        <v>The Company promises that the information disclosed in this report is true, accurate, objective and fair and does not contain any false records or misleading statements.</v>
      </c>
      <c r="B1122" s="1" t="str">
        <f ca="1">IFERROR(__xludf.DUMMYFUNCTION("GOOGLETRANSLATE(A1122, ""zh"", ""en"")"),"irrelevant text")</f>
        <v>irrelevant text</v>
      </c>
      <c r="C1122" s="1" t="str">
        <f ca="1">IFERROR(__xludf.DUMMYFUNCTION("GOOGLETRANSLATE(E1122, ""zh"", ""en"")"),"irrelevant text")</f>
        <v>irrelevant text</v>
      </c>
    </row>
    <row r="1123" spans="1:3" ht="13" x14ac:dyDescent="0.15">
      <c r="A1123" s="1" t="str">
        <f ca="1">IFERROR(__xludf.DUMMYFUNCTION("GOOGLETRANSLATE(A1123, ""zh"", ""en"")"),"Increase the recruitment of graduates from high-end colleges and universities, do a good job in attracting, cultivating and utilizing talents, and implement the strategy of strengthening enterprises with talents.")</f>
        <v>Increase the recruitment of graduates from high-end colleges and universities, do a good job in attracting, cultivating and utilizing talents, and implement the strategy of strengthening enterprises with talents.</v>
      </c>
      <c r="B1123" s="1" t="str">
        <f ca="1">IFERROR(__xludf.DUMMYFUNCTION("GOOGLETRANSLATE(A1123, ""zh"", ""en"")"),"Promoting employment")</f>
        <v>Promoting employment</v>
      </c>
      <c r="C1123" s="1" t="str">
        <f ca="1">IFERROR(__xludf.DUMMYFUNCTION("GOOGLETRANSLATE(E1123, ""zh"", ""en"")"),"Qualitative text")</f>
        <v>Qualitative text</v>
      </c>
    </row>
    <row r="1124" spans="1:3" ht="13" x14ac:dyDescent="0.15">
      <c r="A1124" s="1" t="str">
        <f ca="1">IFERROR(__xludf.DUMMYFUNCTION("GOOGLETRANSLATE(A1124, ""zh"", ""en"")"),"For more details, please refer to the sections on Managing Key ESG Risks in Business Activities, Promoting Responsible Investment, and Supporting Sustainable Financing.")</f>
        <v>For more details, please refer to the sections on Managing Key ESG Risks in Business Activities, Promoting Responsible Investment, and Supporting Sustainable Financing.</v>
      </c>
      <c r="B1124" s="1" t="str">
        <f ca="1">IFERROR(__xludf.DUMMYFUNCTION("GOOGLETRANSLATE(A1124, ""zh"", ""en"")"),"irrelevant text")</f>
        <v>irrelevant text</v>
      </c>
      <c r="C1124" s="1" t="str">
        <f ca="1">IFERROR(__xludf.DUMMYFUNCTION("GOOGLETRANSLATE(E1124, ""zh"", ""en"")"),"irrelevant text")</f>
        <v>irrelevant text</v>
      </c>
    </row>
    <row r="1125" spans="1:3" ht="13" x14ac:dyDescent="0.15">
      <c r="A1125" s="1" t="str">
        <f ca="1">IFERROR(__xludf.DUMMYFUNCTION("GOOGLETRANSLATE(A1125, ""zh"", ""en"")"),"The company actively participates in industry exchanges in the carbon market, promotes industry cooperation and standard setting, and participates in the design of multiple core systems")</f>
        <v>The company actively participates in industry exchanges in the carbon market, promotes industry cooperation and standard setting, and participates in the design of multiple core systems</v>
      </c>
      <c r="B1125" s="1" t="str">
        <f ca="1">IFERROR(__xludf.DUMMYFUNCTION("GOOGLETRANSLATE(A1125, ""zh"", ""en"")"),"carbon emissions")</f>
        <v>carbon emissions</v>
      </c>
      <c r="C1125" s="1" t="str">
        <f ca="1">IFERROR(__xludf.DUMMYFUNCTION("GOOGLETRANSLATE(E1125, ""zh"", ""en"")"),"Qualitative text")</f>
        <v>Qualitative text</v>
      </c>
    </row>
    <row r="1126" spans="1:3" ht="13" x14ac:dyDescent="0.15">
      <c r="A1126" s="1" t="str">
        <f ca="1">IFERROR(__xludf.DUMMYFUNCTION("GOOGLETRANSLATE(A1126, ""zh"", ""en"")"),"We monitor the water usage in the office building and regularly inspect pipelines and equipment for leaks so that they can be repaired in a timely manner.")</f>
        <v>We monitor the water usage in the office building and regularly inspect pipelines and equipment for leaks so that they can be repaired in a timely manner.</v>
      </c>
      <c r="B1126" s="1" t="str">
        <f ca="1">IFERROR(__xludf.DUMMYFUNCTION("GOOGLETRANSLATE(A1126, ""zh"", ""en"")"),"Water resources")</f>
        <v>Water resources</v>
      </c>
      <c r="C1126" s="1" t="str">
        <f ca="1">IFERROR(__xludf.DUMMYFUNCTION("GOOGLETRANSLATE(E1126, ""zh"", ""en"")"),"Qualitative text")</f>
        <v>Qualitative text</v>
      </c>
    </row>
    <row r="1127" spans="1:3" ht="13" x14ac:dyDescent="0.15">
      <c r="A1127" s="1" t="str">
        <f ca="1">IFERROR(__xludf.DUMMYFUNCTION("GOOGLETRANSLATE(A1127, ""zh"", ""en"")"),"Completed due diligence on 2,933 suppliers in 2022, bringing the total number of suppliers due diligence completed to 10,378.")</f>
        <v>Completed due diligence on 2,933 suppliers in 2022, bringing the total number of suppliers due diligence completed to 10,378.</v>
      </c>
      <c r="B1127" s="1" t="str">
        <f ca="1">IFERROR(__xludf.DUMMYFUNCTION("GOOGLETRANSLATE(A1127, ""zh"", ""en"")"),"supply chain management")</f>
        <v>supply chain management</v>
      </c>
      <c r="C1127" s="1" t="str">
        <f ca="1">IFERROR(__xludf.DUMMYFUNCTION("GOOGLETRANSLATE(E1127, ""zh"", ""en"")"),"Quantitative Text")</f>
        <v>Quantitative Text</v>
      </c>
    </row>
    <row r="1128" spans="1:3" ht="13" x14ac:dyDescent="0.15">
      <c r="A1128" s="1" t="str">
        <f ca="1">IFERROR(__xludf.DUMMYFUNCTION("GOOGLETRANSLATE(A1128, ""zh"", ""en"")"),"5960 Level A2 Resource Use General Disclosure Policies for the efficient use of resources, including energy, water, and other raw materials")</f>
        <v>5960 Level A2 Resource Use General Disclosure Policies for the efficient use of resources, including energy, water, and other raw materials</v>
      </c>
      <c r="B1128" s="1" t="str">
        <f ca="1">IFERROR(__xludf.DUMMYFUNCTION("GOOGLETRANSLATE(A1128, ""zh"", ""en"")"),"raw materials")</f>
        <v>raw materials</v>
      </c>
      <c r="C1128" s="1" t="str">
        <f ca="1">IFERROR(__xludf.DUMMYFUNCTION("GOOGLETRANSLATE(E1128, ""zh"", ""en"")"),"Qualitative text")</f>
        <v>Qualitative text</v>
      </c>
    </row>
    <row r="1129" spans="1:3" ht="13" x14ac:dyDescent="0.15">
      <c r="A1129" s="1" t="str">
        <f ca="1">IFERROR(__xludf.DUMMYFUNCTION("GOOGLETRANSLATE(A1129, ""zh"", ""en"")"),"Issued the implementation opinions on strengthening the construction of scientific and technological talent team and the implementation opinions on strengthening the construction of skilled talent team")</f>
        <v>Issued the implementation opinions on strengthening the construction of scientific and technological talent team and the implementation opinions on strengthening the construction of skilled talent team</v>
      </c>
      <c r="B1129" s="1" t="str">
        <f ca="1">IFERROR(__xludf.DUMMYFUNCTION("GOOGLETRANSLATE(A1129, ""zh"", ""en"")"),"Technological innovation")</f>
        <v>Technological innovation</v>
      </c>
      <c r="C1129" s="1" t="str">
        <f ca="1">IFERROR(__xludf.DUMMYFUNCTION("GOOGLETRANSLATE(E1129, ""zh"", ""en"")"),"Qualitative text")</f>
        <v>Qualitative text</v>
      </c>
    </row>
    <row r="1130" spans="1:3" ht="13" x14ac:dyDescent="0.15">
      <c r="A1130" s="1" t="str">
        <f ca="1">IFERROR(__xludf.DUMMYFUNCTION("GOOGLETRANSLATE(A1130, ""zh"", ""en"")"),"In recent years, the company's turnover rate has crossed the inflection point and has shown a relatively stable trend. The problem of talent loss has been effectively alleviated.")</f>
        <v>In recent years, the company's turnover rate has crossed the inflection point and has shown a relatively stable trend. The problem of talent loss has been effectively alleviated.</v>
      </c>
      <c r="B1130" s="1" t="str">
        <f ca="1">IFERROR(__xludf.DUMMYFUNCTION("GOOGLETRANSLATE(A1130, ""zh"", ""en"")"),"staff")</f>
        <v>staff</v>
      </c>
      <c r="C1130" s="1" t="str">
        <f ca="1">IFERROR(__xludf.DUMMYFUNCTION("GOOGLETRANSLATE(E1130, ""zh"", ""en"")"),"Qualitative text")</f>
        <v>Qualitative text</v>
      </c>
    </row>
    <row r="1131" spans="1:3" ht="13" x14ac:dyDescent="0.15">
      <c r="A1131" s="1" t="str">
        <f ca="1">IFERROR(__xludf.DUMMYFUNCTION("GOOGLETRANSLATE(A1131, ""zh"", ""en"")"),"105 KPI B3.2 Average hours of training completed per employee by gender and employee category")</f>
        <v>105 KPI B3.2 Average hours of training completed per employee by gender and employee category</v>
      </c>
      <c r="B1131" s="1" t="str">
        <f ca="1">IFERROR(__xludf.DUMMYFUNCTION("GOOGLETRANSLATE(A1131, ""zh"", ""en"")"),"staff")</f>
        <v>staff</v>
      </c>
      <c r="C1131" s="1" t="str">
        <f ca="1">IFERROR(__xludf.DUMMYFUNCTION("GOOGLETRANSLATE(E1131, ""zh"", ""en"")"),"Quantitative Text")</f>
        <v>Quantitative Text</v>
      </c>
    </row>
    <row r="1132" spans="1:3" ht="13" x14ac:dyDescent="0.15">
      <c r="A1132" s="1" t="str">
        <f ca="1">IFERROR(__xludf.DUMMYFUNCTION("GOOGLETRANSLATE(A1132, ""zh"", ""en"")"),"2122 Key Performance Indicator B7.2 Description of preventive measures and reporting procedures and related implementation and monitoring methods")</f>
        <v>2122 Key Performance Indicator B7.2 Description of preventive measures and reporting procedures and related implementation and monitoring methods</v>
      </c>
      <c r="B1132" s="1" t="str">
        <f ca="1">IFERROR(__xludf.DUMMYFUNCTION("GOOGLETRANSLATE(A1132, ""zh"", ""en"")"),"Reporting System")</f>
        <v>Reporting System</v>
      </c>
      <c r="C1132" s="1" t="str">
        <f ca="1">IFERROR(__xludf.DUMMYFUNCTION("GOOGLETRANSLATE(E1132, ""zh"", ""en"")"),"Qualitative text")</f>
        <v>Qualitative text</v>
      </c>
    </row>
    <row r="1133" spans="1:3" ht="13" x14ac:dyDescent="0.15">
      <c r="A1133" s="1" t="str">
        <f ca="1">IFERROR(__xludf.DUMMYFUNCTION("GOOGLETRANSLATE(A1133, ""zh"", ""en"")"),"Information Disclosure During the reporting period, Tibet Everest promptly updated the public on the company's progress in various aspects through a series of reports.")</f>
        <v>Information Disclosure During the reporting period, Tibet Everest promptly updated the public on the company's progress in various aspects through a series of reports.</v>
      </c>
      <c r="B1133" s="1" t="str">
        <f ca="1">IFERROR(__xludf.DUMMYFUNCTION("GOOGLETRANSLATE(A1133, ""zh"", ""en"")"),"Information Disclosure and Investor Communication")</f>
        <v>Information Disclosure and Investor Communication</v>
      </c>
      <c r="C1133" s="1" t="str">
        <f ca="1">IFERROR(__xludf.DUMMYFUNCTION("GOOGLETRANSLATE(E1133, ""zh"", ""en"")"),"Qualitative text")</f>
        <v>Qualitative text</v>
      </c>
    </row>
    <row r="1134" spans="1:3" ht="13" x14ac:dyDescent="0.15">
      <c r="A1134" s="1" t="str">
        <f ca="1">IFERROR(__xludf.DUMMYFUNCTION("GOOGLETRANSLATE(A1134, ""zh"", ""en"")"),"Tibet Qomolangma will continue to pay attention to local agricultural development and residents' living conditions and provide more support and assistance to community development.")</f>
        <v>Tibet Qomolangma will continue to pay attention to local agricultural development and residents' living conditions and provide more support and assistance to community development.</v>
      </c>
      <c r="B1134" s="1" t="str">
        <f ca="1">IFERROR(__xludf.DUMMYFUNCTION("GOOGLETRANSLATE(A1134, ""zh"", ""en"")"),"Rural assistance")</f>
        <v>Rural assistance</v>
      </c>
      <c r="C1134" s="1" t="str">
        <f ca="1">IFERROR(__xludf.DUMMYFUNCTION("GOOGLETRANSLATE(E1134, ""zh"", ""en"")"),"Qualitative text")</f>
        <v>Qualitative text</v>
      </c>
    </row>
    <row r="1135" spans="1:3" ht="13" x14ac:dyDescent="0.15">
      <c r="A1135" s="1" t="str">
        <f ca="1">IFERROR(__xludf.DUMMYFUNCTION("GOOGLETRANSLATE(A1135, ""zh"", ""en"")"),"In terms of curriculum setting, we have established high school science and vocational courses and provided schools with mining professional knowledge manuals.")</f>
        <v>In terms of curriculum setting, we have established high school science and vocational courses and provided schools with mining professional knowledge manuals.</v>
      </c>
      <c r="B1135" s="1" t="str">
        <f ca="1">IFERROR(__xludf.DUMMYFUNCTION("GOOGLETRANSLATE(A1135, ""zh"", ""en"")"),"Promoting employment")</f>
        <v>Promoting employment</v>
      </c>
      <c r="C1135" s="1" t="str">
        <f ca="1">IFERROR(__xludf.DUMMYFUNCTION("GOOGLETRANSLATE(E1135, ""zh"", ""en"")"),"Qualitative text")</f>
        <v>Qualitative text</v>
      </c>
    </row>
    <row r="1136" spans="1:3" ht="13" x14ac:dyDescent="0.15">
      <c r="A1136" s="1" t="str">
        <f ca="1">IFERROR(__xludf.DUMMYFUNCTION("GOOGLETRANSLATE(A1136, ""zh"", ""en"")"),"Through innovative service models, we will build a SaaS service ecosystem and become a promoter of digital common prosperity for small and medium-sized enterprises.")</f>
        <v>Through innovative service models, we will build a SaaS service ecosystem and become a promoter of digital common prosperity for small and medium-sized enterprises.</v>
      </c>
      <c r="B1136" s="1" t="str">
        <f ca="1">IFERROR(__xludf.DUMMYFUNCTION("GOOGLETRANSLATE(A1136, ""zh"", ""en"")"),"Technological innovation")</f>
        <v>Technological innovation</v>
      </c>
      <c r="C1136" s="1" t="str">
        <f ca="1">IFERROR(__xludf.DUMMYFUNCTION("GOOGLETRANSLATE(E1136, ""zh"", ""en"")"),"Qualitative text")</f>
        <v>Qualitative text</v>
      </c>
    </row>
    <row r="1137" spans="1:3" ht="13" x14ac:dyDescent="0.15">
      <c r="A1137" s="1" t="str">
        <f ca="1">IFERROR(__xludf.DUMMYFUNCTION("GOOGLETRANSLATE(A1137, ""zh"", ""en"")"),"Emphasis on personal network security protection, free security to protect hundreds of millions of consumers to use the Internet safely and improve the national network security level")</f>
        <v>Emphasis on personal network security protection, free security to protect hundreds of millions of consumers to use the Internet safely and improve the national network security level</v>
      </c>
      <c r="B1137" s="1" t="str">
        <f ca="1">IFERROR(__xludf.DUMMYFUNCTION("GOOGLETRANSLATE(A1137, ""zh"", ""en"")"),"Data security")</f>
        <v>Data security</v>
      </c>
      <c r="C1137" s="1" t="str">
        <f ca="1">IFERROR(__xludf.DUMMYFUNCTION("GOOGLETRANSLATE(E1137, ""zh"", ""en"")"),"Qualitative text")</f>
        <v>Qualitative text</v>
      </c>
    </row>
    <row r="1138" spans="1:3" ht="13" x14ac:dyDescent="0.15">
      <c r="A1138" s="1" t="str">
        <f ca="1">IFERROR(__xludf.DUMMYFUNCTION("GOOGLETRANSLATE(A1138, ""zh"", ""en"")"),"Quality Management: General Manager Li Yaohui led the inspection team to the first standardized mining area of ​​Tazhong Mining, Qialata Mine")</f>
        <v>Quality Management: General Manager Li Yaohui led the inspection team to the first standardized mining area of ​​Tazhong Mining, Qialata Mine</v>
      </c>
      <c r="B1138" s="1" t="str">
        <f ca="1">IFERROR(__xludf.DUMMYFUNCTION("GOOGLETRANSLATE(A1138, ""zh"", ""en"")"),"Product quality")</f>
        <v>Product quality</v>
      </c>
      <c r="C1138" s="1" t="str">
        <f ca="1">IFERROR(__xludf.DUMMYFUNCTION("GOOGLETRANSLATE(E1138, ""zh"", ""en"")"),"Qualitative text")</f>
        <v>Qualitative text</v>
      </c>
    </row>
    <row r="1139" spans="1:3" ht="13" x14ac:dyDescent="0.15">
      <c r="A1139" s="1" t="str">
        <f ca="1">IFERROR(__xludf.DUMMYFUNCTION("GOOGLETRANSLATE(A1139, ""zh"", ""en"")"),"As of the end of the reporting period, the company had a total of 1,883 employees, including 1,871 full-time employees and 12 part-time employees.")</f>
        <v>As of the end of the reporting period, the company had a total of 1,883 employees, including 1,871 full-time employees and 12 part-time employees.</v>
      </c>
      <c r="B1139" s="1" t="str">
        <f ca="1">IFERROR(__xludf.DUMMYFUNCTION("GOOGLETRANSLATE(A1139, ""zh"", ""en"")"),"staff")</f>
        <v>staff</v>
      </c>
      <c r="C1139" s="1" t="str">
        <f ca="1">IFERROR(__xludf.DUMMYFUNCTION("GOOGLETRANSLATE(E1139, ""zh"", ""en"")"),"Quantitative Text")</f>
        <v>Quantitative Text</v>
      </c>
    </row>
    <row r="1140" spans="1:3" ht="13" x14ac:dyDescent="0.15">
      <c r="A1140" s="1" t="str">
        <f ca="1">IFERROR(__xludf.DUMMYFUNCTION("GOOGLETRANSLATE(A1140, ""zh"", ""en"")"),"In the performance appraisal, we should fully consider the three aspects of job positioning, job performance, and special matters to evaluate employee performance.")</f>
        <v>In the performance appraisal, we should fully consider the three aspects of job positioning, job performance, and special matters to evaluate employee performance.</v>
      </c>
      <c r="B1140" s="1" t="str">
        <f ca="1">IFERROR(__xludf.DUMMYFUNCTION("GOOGLETRANSLATE(A1140, ""zh"", ""en"")"),"staff")</f>
        <v>staff</v>
      </c>
      <c r="C1140" s="1" t="str">
        <f ca="1">IFERROR(__xludf.DUMMYFUNCTION("GOOGLETRANSLATE(E1140, ""zh"", ""en"")"),"Qualitative text")</f>
        <v>Qualitative text</v>
      </c>
    </row>
    <row r="1141" spans="1:3" ht="13" x14ac:dyDescent="0.15">
      <c r="A1141" s="1" t="str">
        <f ca="1">IFERROR(__xludf.DUMMYFUNCTION("GOOGLETRANSLATE(A1141, ""zh"", ""en"")"),"The cross-departmental working group on sustainable development is promoting the implementation of the strategy to prepare for the company's low-carbon transformation in the future.")</f>
        <v>The cross-departmental working group on sustainable development is promoting the implementation of the strategy to prepare for the company's low-carbon transformation in the future.</v>
      </c>
      <c r="B1141" s="1" t="str">
        <f ca="1">IFERROR(__xludf.DUMMYFUNCTION("GOOGLETRANSLATE(A1141, ""zh"", ""en"")"),"carbon emissions")</f>
        <v>carbon emissions</v>
      </c>
      <c r="C1141" s="1" t="str">
        <f ca="1">IFERROR(__xludf.DUMMYFUNCTION("GOOGLETRANSLATE(E1141, ""zh"", ""en"")"),"Qualitative text")</f>
        <v>Qualitative text</v>
      </c>
    </row>
    <row r="1142" spans="1:3" ht="13" x14ac:dyDescent="0.15">
      <c r="A1142" s="1" t="str">
        <f ca="1">IFERROR(__xludf.DUMMYFUNCTION("GOOGLETRANSLATE(A1142, ""zh"", ""en"")"),"Over the past year, Renmin Pharmaceutical has actively cooperated with various stakeholders and responded promptly to their requests to help partners grow.")</f>
        <v>Over the past year, Renmin Pharmaceutical has actively cooperated with various stakeholders and responded promptly to their requests to help partners grow.</v>
      </c>
      <c r="B1142" s="1" t="str">
        <f ca="1">IFERROR(__xludf.DUMMYFUNCTION("GOOGLETRANSLATE(A1142, ""zh"", ""en"")"),"staff")</f>
        <v>staff</v>
      </c>
      <c r="C1142" s="1" t="str">
        <f ca="1">IFERROR(__xludf.DUMMYFUNCTION("GOOGLETRANSLATE(E1142, ""zh"", ""en"")"),"Qualitative text")</f>
        <v>Qualitative text</v>
      </c>
    </row>
    <row r="1143" spans="1:3" ht="13" x14ac:dyDescent="0.15">
      <c r="A1143" s="1" t="str">
        <f ca="1">IFERROR(__xludf.DUMMYFUNCTION("GOOGLETRANSLATE(A1143, ""zh"", ""en"")"),"In order to provide motivation for management innovation, Haier Smart Home has established a comprehensive salary assessment and incentive system for senior management.")</f>
        <v>In order to provide motivation for management innovation, Haier Smart Home has established a comprehensive salary assessment and incentive system for senior management.</v>
      </c>
      <c r="B1143" s="1" t="str">
        <f ca="1">IFERROR(__xludf.DUMMYFUNCTION("GOOGLETRANSLATE(A1143, ""zh"", ""en"")"),"Organizational structure and operations")</f>
        <v>Organizational structure and operations</v>
      </c>
      <c r="C1143" s="1" t="str">
        <f ca="1">IFERROR(__xludf.DUMMYFUNCTION("GOOGLETRANSLATE(E1143, ""zh"", ""en"")"),"Qualitative text")</f>
        <v>Qualitative text</v>
      </c>
    </row>
    <row r="1144" spans="1:3" ht="13" x14ac:dyDescent="0.15">
      <c r="A1144" s="1" t="str">
        <f ca="1">IFERROR(__xludf.DUMMYFUNCTION("GOOGLETRANSLATE(A1144, ""zh"", ""en"")"),"2.1 Technology-enabled digital intelligence integration Key Performance Indicator B6.4 Description of the quality inspection process and product recycling procedures")</f>
        <v>2.1 Technology-enabled digital intelligence integration Key Performance Indicator B6.4 Description of the quality inspection process and product recycling procedures</v>
      </c>
      <c r="B1144" s="1" t="str">
        <f ca="1">IFERROR(__xludf.DUMMYFUNCTION("GOOGLETRANSLATE(A1144, ""zh"", ""en"")"),"Product quality")</f>
        <v>Product quality</v>
      </c>
      <c r="C1144" s="1" t="str">
        <f ca="1">IFERROR(__xludf.DUMMYFUNCTION("GOOGLETRANSLATE(E1144, ""zh"", ""en"")"),"Qualitative text")</f>
        <v>Qualitative text</v>
      </c>
    </row>
    <row r="1145" spans="1:3" ht="13" x14ac:dyDescent="0.15">
      <c r="A1145" s="1" t="str">
        <f ca="1">IFERROR(__xludf.DUMMYFUNCTION("GOOGLETRANSLATE(A1145, ""zh"", ""en"")"),"P5052B1.1 Total number of employees by gender, employment type (e.g., full-time or part-time), age group, and region")</f>
        <v>P5052B1.1 Total number of employees by gender, employment type (e.g., full-time or part-time), age group, and region</v>
      </c>
      <c r="B1145" s="1" t="str">
        <f ca="1">IFERROR(__xludf.DUMMYFUNCTION("GOOGLETRANSLATE(A1145, ""zh"", ""en"")"),"staff")</f>
        <v>staff</v>
      </c>
      <c r="C1145" s="1" t="str">
        <f ca="1">IFERROR(__xludf.DUMMYFUNCTION("GOOGLETRANSLATE(E1145, ""zh"", ""en"")"),"Qualitative text")</f>
        <v>Qualitative text</v>
      </c>
    </row>
    <row r="1146" spans="1:3" ht="13" x14ac:dyDescent="0.15">
      <c r="A1146" s="1" t="str">
        <f ca="1">IFERROR(__xludf.DUMMYFUNCTION("GOOGLETRANSLATE(A1146, ""zh"", ""en"")"),"There were 26 Level II suppliers audited on site, 18 of which had some issues but no major non-conformities.")</f>
        <v>There were 26 Level II suppliers audited on site, 18 of which had some issues but no major non-conformities.</v>
      </c>
      <c r="B1146" s="1" t="str">
        <f ca="1">IFERROR(__xludf.DUMMYFUNCTION("GOOGLETRANSLATE(A1146, ""zh"", ""en"")"),"supply chain management")</f>
        <v>supply chain management</v>
      </c>
      <c r="C1146" s="1" t="str">
        <f ca="1">IFERROR(__xludf.DUMMYFUNCTION("GOOGLETRANSLATE(E1146, ""zh"", ""en"")"),"Quantitative Text")</f>
        <v>Quantitative Text</v>
      </c>
    </row>
    <row r="1147" spans="1:3" ht="13" x14ac:dyDescent="0.15">
      <c r="A1147" s="1" t="str">
        <f ca="1">IFERROR(__xludf.DUMMYFUNCTION("GOOGLETRANSLATE(A1147, ""zh"", ""en"")"),"Actively promote the cultivation of innovation platforms and leading enterprises, adding 5 R&amp;D platforms at or above the provincial level and 12 leading enterprises of various types")</f>
        <v>Actively promote the cultivation of innovation platforms and leading enterprises, adding 5 R&amp;D platforms at or above the provincial level and 12 leading enterprises of various types</v>
      </c>
      <c r="B1147" s="1" t="str">
        <f ca="1">IFERROR(__xludf.DUMMYFUNCTION("GOOGLETRANSLATE(A1147, ""zh"", ""en"")"),"Technological innovation")</f>
        <v>Technological innovation</v>
      </c>
      <c r="C1147" s="1" t="str">
        <f ca="1">IFERROR(__xludf.DUMMYFUNCTION("GOOGLETRANSLATE(E1147, ""zh"", ""en"")"),"Quantitative Text")</f>
        <v>Quantitative Text</v>
      </c>
    </row>
    <row r="1148" spans="1:3" ht="13" x14ac:dyDescent="0.15">
      <c r="A1148" s="1" t="str">
        <f ca="1">IFERROR(__xludf.DUMMYFUNCTION("GOOGLETRANSLATE(A1148, ""zh"", ""en"")"),"For the convenience of description, Wuchan Zhongda Group Co., Ltd. is also referred to as Wuchan Zhongda Group Co., Ltd. or our company in this report.")</f>
        <v>For the convenience of description, Wuchan Zhongda Group Co., Ltd. is also referred to as Wuchan Zhongda Group Co., Ltd. or our company in this report.</v>
      </c>
      <c r="B1148" s="1" t="str">
        <f ca="1">IFERROR(__xludf.DUMMYFUNCTION("GOOGLETRANSLATE(A1148, ""zh"", ""en"")"),"irrelevant text")</f>
        <v>irrelevant text</v>
      </c>
      <c r="C1148" s="1" t="str">
        <f ca="1">IFERROR(__xludf.DUMMYFUNCTION("GOOGLETRANSLATE(E1148, ""zh"", ""en"")"),"irrelevant text")</f>
        <v>irrelevant text</v>
      </c>
    </row>
    <row r="1149" spans="1:3" ht="13" x14ac:dyDescent="0.15">
      <c r="A1149" s="1" t="str">
        <f ca="1">IFERROR(__xludf.DUMMYFUNCTION("GOOGLETRANSLATE(A1149, ""zh"", ""en"")"),"This digital office space is the first in the industry to use the WELL certification standard as its framework to provide a full-process digital experience.")</f>
        <v>This digital office space is the first in the industry to use the WELL certification standard as its framework to provide a full-process digital experience.</v>
      </c>
      <c r="B1149" s="1" t="str">
        <f ca="1">IFERROR(__xludf.DUMMYFUNCTION("GOOGLETRANSLATE(A1149, ""zh"", ""en"")"),"Sustainable certification")</f>
        <v>Sustainable certification</v>
      </c>
      <c r="C1149" s="1" t="str">
        <f ca="1">IFERROR(__xludf.DUMMYFUNCTION("GOOGLETRANSLATE(E1149, ""zh"", ""en"")"),"Qualitative text")</f>
        <v>Qualitative text</v>
      </c>
    </row>
    <row r="1150" spans="1:3" ht="13" x14ac:dyDescent="0.15">
      <c r="A1150" s="1" t="str">
        <f ca="1">IFERROR(__xludf.DUMMYFUNCTION("GOOGLETRANSLATE(A1150, ""zh"", ""en"")"),"Value-added services We take customer satisfaction as our purpose and continuously improve the quality of our products and services and strive to improve our service network and functions.")</f>
        <v>Value-added services We take customer satisfaction as our purpose and continuously improve the quality of our products and services and strive to improve our service network and functions.</v>
      </c>
      <c r="B1150" s="1" t="str">
        <f ca="1">IFERROR(__xludf.DUMMYFUNCTION("GOOGLETRANSLATE(A1150, ""zh"", ""en"")"),"Customers and Consumers")</f>
        <v>Customers and Consumers</v>
      </c>
      <c r="C1150" s="1" t="str">
        <f ca="1">IFERROR(__xludf.DUMMYFUNCTION("GOOGLETRANSLATE(E1150, ""zh"", ""en"")"),"Qualitative text")</f>
        <v>Qualitative text</v>
      </c>
    </row>
    <row r="1151" spans="1:3" ht="13" x14ac:dyDescent="0.15">
      <c r="A1151" s="1" t="str">
        <f ca="1">IFERROR(__xludf.DUMMYFUNCTION("GOOGLETRANSLATE(A1151, ""zh"", ""en"")"),"my country has proposed building a community with a shared future for mankind, clarified the goals of carbon peak and carbon neutrality, and required the energy industry to accelerate its transformation and development.")</f>
        <v>my country has proposed building a community with a shared future for mankind, clarified the goals of carbon peak and carbon neutrality, and required the energy industry to accelerate its transformation and development.</v>
      </c>
      <c r="B1151" s="1" t="str">
        <f ca="1">IFERROR(__xludf.DUMMYFUNCTION("GOOGLETRANSLATE(A1151, ""zh"", ""en"")"),"carbon emissions")</f>
        <v>carbon emissions</v>
      </c>
      <c r="C1151" s="1" t="str">
        <f ca="1">IFERROR(__xludf.DUMMYFUNCTION("GOOGLETRANSLATE(E1151, ""zh"", ""en"")"),"Qualitative text")</f>
        <v>Qualitative text</v>
      </c>
    </row>
    <row r="1152" spans="1:3" ht="13" x14ac:dyDescent="0.15">
      <c r="A1152" s="1" t="str">
        <f ca="1">IFERROR(__xludf.DUMMYFUNCTION("GOOGLETRANSLATE(A1152, ""zh"", ""en"")"),"The COSCO Liangwancheng residential complex was developed in 1999. The old elevators in the complex are in increasingly poor condition and require urgent renovation.")</f>
        <v>The COSCO Liangwancheng residential complex was developed in 1999. The old elevators in the complex are in increasingly poor condition and require urgent renovation.</v>
      </c>
      <c r="B1152" s="1" t="str">
        <f ca="1">IFERROR(__xludf.DUMMYFUNCTION("GOOGLETRANSLATE(A1152, ""zh"", ""en"")"),"irrelevant text")</f>
        <v>irrelevant text</v>
      </c>
      <c r="C1152" s="1" t="str">
        <f ca="1">IFERROR(__xludf.DUMMYFUNCTION("GOOGLETRANSLATE(E1152, ""zh"", ""en"")"),"irrelevant text")</f>
        <v>irrelevant text</v>
      </c>
    </row>
    <row r="1153" spans="1:3" ht="13" x14ac:dyDescent="0.15">
      <c r="A1153" s="1" t="str">
        <f ca="1">IFERROR(__xludf.DUMMYFUNCTION("GOOGLETRANSLATE(A1153, ""zh"", ""en"")"),"The establishment of Shanghai Electric's internal talent market has successfully broken down the barriers between the group and enterprises and promoted the flow of internal talent.")</f>
        <v>The establishment of Shanghai Electric's internal talent market has successfully broken down the barriers between the group and enterprises and promoted the flow of internal talent.</v>
      </c>
      <c r="B1153" s="1" t="str">
        <f ca="1">IFERROR(__xludf.DUMMYFUNCTION("GOOGLETRANSLATE(A1153, ""zh"", ""en"")"),"Promoting employment")</f>
        <v>Promoting employment</v>
      </c>
      <c r="C1153" s="1" t="str">
        <f ca="1">IFERROR(__xludf.DUMMYFUNCTION("GOOGLETRANSLATE(E1153, ""zh"", ""en"")"),"Qualitative text")</f>
        <v>Qualitative text</v>
      </c>
    </row>
    <row r="1154" spans="1:3" ht="13" x14ac:dyDescent="0.15">
      <c r="A1154" s="1" t="str">
        <f ca="1">IFERROR(__xludf.DUMMYFUNCTION("GOOGLETRANSLATE(A1154, ""zh"", ""en"")"),"In the Kela 2 gas field operating area, the company has been persistently carrying out greening and tree planting activities, and has currently built a green area of ​​156 mu.")</f>
        <v>In the Kela 2 gas field operating area, the company has been persistently carrying out greening and tree planting activities, and has currently built a green area of ​​156 mu.</v>
      </c>
      <c r="B1154" s="1" t="str">
        <f ca="1">IFERROR(__xludf.DUMMYFUNCTION("GOOGLETRANSLATE(A1154, ""zh"", ""en"")"),"Public welfare and volunteer service")</f>
        <v>Public welfare and volunteer service</v>
      </c>
      <c r="C1154" s="1" t="str">
        <f ca="1">IFERROR(__xludf.DUMMYFUNCTION("GOOGLETRANSLATE(E1154, ""zh"", ""en"")"),"Quantitative Text")</f>
        <v>Quantitative Text</v>
      </c>
    </row>
    <row r="1155" spans="1:3" ht="13" x14ac:dyDescent="0.15">
      <c r="A1155" s="1" t="str">
        <f ca="1">IFERROR(__xludf.DUMMYFUNCTION("GOOGLETRANSLATE(A1155, ""zh"", ""en"")"),"In 2022, the Group carried out special condolence and assistance, benefiting a total of 1,244 people and disbursing 1.244 million yuan in condolence funds.")</f>
        <v>In 2022, the Group carried out special condolence and assistance, benefiting a total of 1,244 people and disbursing 1.244 million yuan in condolence funds.</v>
      </c>
      <c r="B1155" s="1" t="str">
        <f ca="1">IFERROR(__xludf.DUMMYFUNCTION("GOOGLETRANSLATE(A1155, ""zh"", ""en"")"),"Public welfare and volunteer service")</f>
        <v>Public welfare and volunteer service</v>
      </c>
      <c r="C1155" s="1" t="str">
        <f ca="1">IFERROR(__xludf.DUMMYFUNCTION("GOOGLETRANSLATE(E1155, ""zh"", ""en"")"),"Quantitative Text")</f>
        <v>Quantitative Text</v>
      </c>
    </row>
    <row r="1156" spans="1:3" ht="13" x14ac:dyDescent="0.15">
      <c r="A1156" s="1" t="str">
        <f ca="1">IFERROR(__xludf.DUMMYFUNCTION("GOOGLETRANSLATE(A1156, ""zh"", ""en"")"),"It is reported that this Family Day event has been held for 7 years in Yaoyou Pharmaceutical and is well received by all Yaoyou Pharmaceutical employees and their families.")</f>
        <v>It is reported that this Family Day event has been held for 7 years in Yaoyou Pharmaceutical and is well received by all Yaoyou Pharmaceutical employees and their families.</v>
      </c>
      <c r="B1156" s="1" t="str">
        <f ca="1">IFERROR(__xludf.DUMMYFUNCTION("GOOGLETRANSLATE(A1156, ""zh"", ""en"")"),"staff")</f>
        <v>staff</v>
      </c>
      <c r="C1156" s="1" t="str">
        <f ca="1">IFERROR(__xludf.DUMMYFUNCTION("GOOGLETRANSLATE(E1156, ""zh"", ""en"")"),"Qualitative text")</f>
        <v>Qualitative text</v>
      </c>
    </row>
    <row r="1157" spans="1:3" ht="13" x14ac:dyDescent="0.15">
      <c r="A1157" s="1" t="str">
        <f ca="1">IFERROR(__xludf.DUMMYFUNCTION("GOOGLETRANSLATE(A1157, ""zh"", ""en"")"),"Employee Incentives We have established a diversified and multi-dimensional incentive program for PreIPO investment projects")</f>
        <v>Employee Incentives We have established a diversified and multi-dimensional incentive program for PreIPO investment projects</v>
      </c>
      <c r="B1157" s="1" t="str">
        <f ca="1">IFERROR(__xludf.DUMMYFUNCTION("GOOGLETRANSLATE(A1157, ""zh"", ""en"")"),"staff")</f>
        <v>staff</v>
      </c>
      <c r="C1157" s="1" t="str">
        <f ca="1">IFERROR(__xludf.DUMMYFUNCTION("GOOGLETRANSLATE(E1157, ""zh"", ""en"")"),"Qualitative text")</f>
        <v>Qualitative text</v>
      </c>
    </row>
    <row r="1158" spans="1:3" ht="13" x14ac:dyDescent="0.15">
      <c r="A1158" s="1" t="str">
        <f ca="1">IFERROR(__xludf.DUMMYFUNCTION("GOOGLETRANSLATE(A1158, ""zh"", ""en"")"),"The Chengdu plant deployed a 4-ton boiler and a 2-ton boiler for alternating use to improve equipment operating efficiency, reduce gas consumption and exhaust emissions.")</f>
        <v>The Chengdu plant deployed a 4-ton boiler and a 2-ton boiler for alternating use to improve equipment operating efficiency, reduce gas consumption and exhaust emissions.</v>
      </c>
      <c r="B1158" s="1" t="str">
        <f ca="1">IFERROR(__xludf.DUMMYFUNCTION("GOOGLETRANSLATE(A1158, ""zh"", ""en"")"),"Energy and resource consumption")</f>
        <v>Energy and resource consumption</v>
      </c>
      <c r="C1158" s="1" t="str">
        <f ca="1">IFERROR(__xludf.DUMMYFUNCTION("GOOGLETRANSLATE(E1158, ""zh"", ""en"")"),"Quantitative Text")</f>
        <v>Quantitative Text</v>
      </c>
    </row>
    <row r="1159" spans="1:3" ht="13" x14ac:dyDescent="0.15">
      <c r="A1159" s="1" t="str">
        <f ca="1">IFERROR(__xludf.DUMMYFUNCTION("GOOGLETRANSLATE(A1159, ""zh"", ""en"")"),"For the first time, the report includes climate change and energy transition as independent chapters, strengthening climate-related disclosure within the TCFD framework.")</f>
        <v>For the first time, the report includes climate change and energy transition as independent chapters, strengthening climate-related disclosure within the TCFD framework.</v>
      </c>
      <c r="B1159" s="1" t="str">
        <f ca="1">IFERROR(__xludf.DUMMYFUNCTION("GOOGLETRANSLATE(A1159, ""zh"", ""en"")"),"Addressing climate change")</f>
        <v>Addressing climate change</v>
      </c>
      <c r="C1159" s="1" t="str">
        <f ca="1">IFERROR(__xludf.DUMMYFUNCTION("GOOGLETRANSLATE(E1159, ""zh"", ""en"")"),"Qualitative text")</f>
        <v>Qualitative text</v>
      </c>
    </row>
    <row r="1160" spans="1:3" ht="13" x14ac:dyDescent="0.15">
      <c r="A1160" s="1" t="str">
        <f ca="1">IFERROR(__xludf.DUMMYFUNCTION("GOOGLETRANSLATE(A1160, ""zh"", ""en"")"),"7478 Key Performance Indicator B2.1 Number and ratio of work-related deaths in each of the past three years, including the reporting year")</f>
        <v>7478 Key Performance Indicator B2.1 Number and ratio of work-related deaths in each of the past three years, including the reporting year</v>
      </c>
      <c r="B1160" s="1" t="str">
        <f ca="1">IFERROR(__xludf.DUMMYFUNCTION("GOOGLETRANSLATE(A1160, ""zh"", ""en"")"),"staff")</f>
        <v>staff</v>
      </c>
      <c r="C1160" s="1" t="str">
        <f ca="1">IFERROR(__xludf.DUMMYFUNCTION("GOOGLETRANSLATE(E1160, ""zh"", ""en"")"),"Quantitative Text")</f>
        <v>Quantitative Text</v>
      </c>
    </row>
    <row r="1161" spans="1:3" ht="13" x14ac:dyDescent="0.15">
      <c r="A1161" s="1" t="str">
        <f ca="1">IFERROR(__xludf.DUMMYFUNCTION("GOOGLETRANSLATE(A1161, ""zh"", ""en"")"),"The Integrity Matrix creates a clean circle of friends in the new consumer sector and is selected as a 2022 Zhejiang Province State-owned Enterprise Integrity Culture Innovation Case")</f>
        <v>The Integrity Matrix creates a clean circle of friends in the new consumer sector and is selected as a 2022 Zhejiang Province State-owned Enterprise Integrity Culture Innovation Case</v>
      </c>
      <c r="B1161" s="1" t="str">
        <f ca="1">IFERROR(__xludf.DUMMYFUNCTION("GOOGLETRANSLATE(A1161, ""zh"", ""en"")"),"Anti-corruption and anti-money laundering")</f>
        <v>Anti-corruption and anti-money laundering</v>
      </c>
      <c r="C1161" s="1" t="str">
        <f ca="1">IFERROR(__xludf.DUMMYFUNCTION("GOOGLETRANSLATE(E1161, ""zh"", ""en"")"),"Quantitative Text")</f>
        <v>Quantitative Text</v>
      </c>
    </row>
    <row r="1162" spans="1:3" ht="13" x14ac:dyDescent="0.15">
      <c r="A1162" s="1" t="str">
        <f ca="1">IFERROR(__xludf.DUMMYFUNCTION("GOOGLETRANSLATE(A1162, ""zh"", ""en"")"),"Actively promote the establishment and cultivation of trade union brands at the grassroots level of each member unit and form 26 grassroots trade union brand cultivation projects")</f>
        <v>Actively promote the establishment and cultivation of trade union brands at the grassroots level of each member unit and form 26 grassroots trade union brand cultivation projects</v>
      </c>
      <c r="B1162" s="1" t="str">
        <f ca="1">IFERROR(__xludf.DUMMYFUNCTION("GOOGLETRANSLATE(A1162, ""zh"", ""en"")"),"staff")</f>
        <v>staff</v>
      </c>
      <c r="C1162" s="1" t="str">
        <f ca="1">IFERROR(__xludf.DUMMYFUNCTION("GOOGLETRANSLATE(E1162, ""zh"", ""en"")"),"Quantitative Text")</f>
        <v>Quantitative Text</v>
      </c>
    </row>
    <row r="1163" spans="1:3" ht="13" x14ac:dyDescent="0.15">
      <c r="A1163" s="1" t="str">
        <f ca="1">IFERROR(__xludf.DUMMYFUNCTION("GOOGLETRANSLATE(A1163, ""zh"", ""en"")"),"The company has 1 provincial enterprise research institute, 1 national skill master studio, 1 provincial skill master studio and 4")</f>
        <v>The company has 1 provincial enterprise research institute, 1 national skill master studio, 1 provincial skill master studio and 4</v>
      </c>
      <c r="B1163" s="1" t="str">
        <f ca="1">IFERROR(__xludf.DUMMYFUNCTION("GOOGLETRANSLATE(A1163, ""zh"", ""en"")"),"Promoting employment")</f>
        <v>Promoting employment</v>
      </c>
      <c r="C1163" s="1" t="str">
        <f ca="1">IFERROR(__xludf.DUMMYFUNCTION("GOOGLETRANSLATE(E1163, ""zh"", ""en"")"),"Quantitative Text")</f>
        <v>Quantitative Text</v>
      </c>
    </row>
    <row r="1164" spans="1:3" ht="13" x14ac:dyDescent="0.15">
      <c r="A1164" s="1" t="str">
        <f ca="1">IFERROR(__xludf.DUMMYFUNCTION("GOOGLETRANSLATE(A1164, ""zh"", ""en"")"),"At the same time, we have carried out safety inspections on subordinate enterprises at all levels through various means, totaling more than 60 times.")</f>
        <v>At the same time, we have carried out safety inspections on subordinate enterprises at all levels through various means, totaling more than 60 times.</v>
      </c>
      <c r="B1164" s="1" t="str">
        <f ca="1">IFERROR(__xludf.DUMMYFUNCTION("GOOGLETRANSLATE(A1164, ""zh"", ""en"")"),"staff")</f>
        <v>staff</v>
      </c>
      <c r="C1164" s="1" t="str">
        <f ca="1">IFERROR(__xludf.DUMMYFUNCTION("GOOGLETRANSLATE(E1164, ""zh"", ""en"")"),"Quantitative Text")</f>
        <v>Quantitative Text</v>
      </c>
    </row>
    <row r="1165" spans="1:3" ht="13" x14ac:dyDescent="0.15">
      <c r="A1165" s="1" t="str">
        <f ca="1">IFERROR(__xludf.DUMMYFUNCTION("GOOGLETRANSLATE(A1165, ""zh"", ""en"")"),"The Shanghai Electric Group Rights Protection Assistance Station of the China Shanghai Intellectual Property Protection Center was officially unveiled at the event.")</f>
        <v>The Shanghai Electric Group Rights Protection Assistance Station of the China Shanghai Intellectual Property Protection Center was officially unveiled at the event.</v>
      </c>
      <c r="B1165" s="1" t="str">
        <f ca="1">IFERROR(__xludf.DUMMYFUNCTION("GOOGLETRANSLATE(A1165, ""zh"", ""en"")"),"Intellectual Property Protection")</f>
        <v>Intellectual Property Protection</v>
      </c>
      <c r="C1165" s="1" t="str">
        <f ca="1">IFERROR(__xludf.DUMMYFUNCTION("GOOGLETRANSLATE(E1165, ""zh"", ""en"")"),"Qualitative text")</f>
        <v>Qualitative text</v>
      </c>
    </row>
    <row r="1166" spans="1:3" ht="13" x14ac:dyDescent="0.15">
      <c r="A1166" s="1" t="str">
        <f ca="1">IFERROR(__xludf.DUMMYFUNCTION("GOOGLETRANSLATE(A1166, ""zh"", ""en"")"),"2425 Key Performance Indicator B7.2 Description of preventive measures and reporting procedures and related implementation and monitoring methods")</f>
        <v>2425 Key Performance Indicator B7.2 Description of preventive measures and reporting procedures and related implementation and monitoring methods</v>
      </c>
      <c r="B1166" s="1" t="str">
        <f ca="1">IFERROR(__xludf.DUMMYFUNCTION("GOOGLETRANSLATE(A1166, ""zh"", ""en"")"),"Reporting System")</f>
        <v>Reporting System</v>
      </c>
      <c r="C1166" s="1" t="str">
        <f ca="1">IFERROR(__xludf.DUMMYFUNCTION("GOOGLETRANSLATE(E1166, ""zh"", ""en"")"),"Qualitative text")</f>
        <v>Qualitative text</v>
      </c>
    </row>
    <row r="1167" spans="1:3" ht="13" x14ac:dyDescent="0.15">
      <c r="A1167" s="1" t="str">
        <f ca="1">IFERROR(__xludf.DUMMYFUNCTION("GOOGLETRANSLATE(A1167, ""zh"", ""en"")"),"109 KPI B3.2 Average hours of training completed per employee by gender and employee category")</f>
        <v>109 KPI B3.2 Average hours of training completed per employee by gender and employee category</v>
      </c>
      <c r="B1167" s="1" t="str">
        <f ca="1">IFERROR(__xludf.DUMMYFUNCTION("GOOGLETRANSLATE(A1167, ""zh"", ""en"")"),"staff")</f>
        <v>staff</v>
      </c>
      <c r="C1167" s="1" t="str">
        <f ca="1">IFERROR(__xludf.DUMMYFUNCTION("GOOGLETRANSLATE(E1167, ""zh"", ""en"")"),"Quantitative Text")</f>
        <v>Quantitative Text</v>
      </c>
    </row>
    <row r="1168" spans="1:3" ht="13" x14ac:dyDescent="0.15">
      <c r="A1168" s="1" t="str">
        <f ca="1">IFERROR(__xludf.DUMMYFUNCTION("GOOGLETRANSLATE(A1168, ""zh"", ""en"")"),"The Group organized a large-scale blood donation campaign, with more than 600 employees actively responding and donating a total of 146,800 milliliters of blood.")</f>
        <v>The Group organized a large-scale blood donation campaign, with more than 600 employees actively responding and donating a total of 146,800 milliliters of blood.</v>
      </c>
      <c r="B1168" s="1" t="str">
        <f ca="1">IFERROR(__xludf.DUMMYFUNCTION("GOOGLETRANSLATE(A1168, ""zh"", ""en"")"),"Public welfare and volunteer service")</f>
        <v>Public welfare and volunteer service</v>
      </c>
      <c r="C1168" s="1" t="str">
        <f ca="1">IFERROR(__xludf.DUMMYFUNCTION("GOOGLETRANSLATE(E1168, ""zh"", ""en"")"),"Quantitative Text")</f>
        <v>Quantitative Text</v>
      </c>
    </row>
    <row r="1169" spans="1:3" ht="13" x14ac:dyDescent="0.15">
      <c r="A1169" s="1" t="str">
        <f ca="1">IFERROR(__xludf.DUMMYFUNCTION("GOOGLETRANSLATE(A1169, ""zh"", ""en"")"),"Deepening East-West Assistance, donating 200,000 yuan in aid to Guangming Town, Xide County, Liangshan Prefecture, Sichuan Province to help rural revitalization")</f>
        <v>Deepening East-West Assistance, donating 200,000 yuan in aid to Guangming Town, Xide County, Liangshan Prefecture, Sichuan Province to help rural revitalization</v>
      </c>
      <c r="B1169" s="1" t="str">
        <f ca="1">IFERROR(__xludf.DUMMYFUNCTION("GOOGLETRANSLATE(A1169, ""zh"", ""en"")"),"Rural assistance")</f>
        <v>Rural assistance</v>
      </c>
      <c r="C1169" s="1" t="str">
        <f ca="1">IFERROR(__xludf.DUMMYFUNCTION("GOOGLETRANSLATE(E1169, ""zh"", ""en"")"),"Quantitative Text")</f>
        <v>Quantitative Text</v>
      </c>
    </row>
    <row r="1170" spans="1:3" ht="13" x14ac:dyDescent="0.15">
      <c r="A1170" s="1" t="str">
        <f ca="1">IFERROR(__xludf.DUMMYFUNCTION("GOOGLETRANSLATE(A1170, ""zh"", ""en"")"),"The Board of Directors has established four professional committees: Audit Committee, Remuneration and Appraisal Committee, Strategy Committee, and Nomination Committee.")</f>
        <v>The Board of Directors has established four professional committees: Audit Committee, Remuneration and Appraisal Committee, Strategy Committee, and Nomination Committee.</v>
      </c>
      <c r="B1170" s="1" t="str">
        <f ca="1">IFERROR(__xludf.DUMMYFUNCTION("GOOGLETRANSLATE(A1170, ""zh"", ""en"")"),"Organizational structure and operations")</f>
        <v>Organizational structure and operations</v>
      </c>
      <c r="C1170" s="1" t="str">
        <f ca="1">IFERROR(__xludf.DUMMYFUNCTION("GOOGLETRANSLATE(E1170, ""zh"", ""en"")"),"Qualitative text")</f>
        <v>Qualitative text</v>
      </c>
    </row>
    <row r="1171" spans="1:3" ht="13" x14ac:dyDescent="0.15">
      <c r="A1171" s="1" t="str">
        <f ca="1">IFERROR(__xludf.DUMMYFUNCTION("GOOGLETRANSLATE(A1171, ""zh"", ""en"")"),"After the full lifting of the lockdown, we will pay more attention to the health of residents, especially the elderly living alone, so that owners can feel at ease and protected.")</f>
        <v>After the full lifting of the lockdown, we will pay more attention to the health of residents, especially the elderly living alone, so that owners can feel at ease and protected.</v>
      </c>
      <c r="B1171" s="1" t="str">
        <f ca="1">IFERROR(__xludf.DUMMYFUNCTION("GOOGLETRANSLATE(A1171, ""zh"", ""en"")"),"Fighting the epidemic")</f>
        <v>Fighting the epidemic</v>
      </c>
      <c r="C1171" s="1" t="str">
        <f ca="1">IFERROR(__xludf.DUMMYFUNCTION("GOOGLETRANSLATE(E1171, ""zh"", ""en"")"),"Qualitative text")</f>
        <v>Qualitative text</v>
      </c>
    </row>
    <row r="1172" spans="1:3" ht="13" x14ac:dyDescent="0.15">
      <c r="A1172" s="1" t="str">
        <f ca="1">IFERROR(__xludf.DUMMYFUNCTION("GOOGLETRANSLATE(A1172, ""zh"", ""en"")"),"Actively participate in various public welfare undertakings, organize volunteer service teams and jointly carry out volunteer service activities with party organizations at all levels")</f>
        <v>Actively participate in various public welfare undertakings, organize volunteer service teams and jointly carry out volunteer service activities with party organizations at all levels</v>
      </c>
      <c r="B1172" s="1" t="str">
        <f ca="1">IFERROR(__xludf.DUMMYFUNCTION("GOOGLETRANSLATE(A1172, ""zh"", ""en"")"),"Public welfare and volunteer service")</f>
        <v>Public welfare and volunteer service</v>
      </c>
      <c r="C1172" s="1" t="str">
        <f ca="1">IFERROR(__xludf.DUMMYFUNCTION("GOOGLETRANSLATE(E1172, ""zh"", ""en"")"),"Qualitative text")</f>
        <v>Qualitative text</v>
      </c>
    </row>
    <row r="1173" spans="1:3" ht="13" x14ac:dyDescent="0.15">
      <c r="A1173" s="1" t="str">
        <f ca="1">IFERROR(__xludf.DUMMYFUNCTION("GOOGLETRANSLATE(A1173, ""zh"", ""en"")"),"Incentive Mechanism Upgrade: In 2022, we will optimize the salary structure for our shareholding employees and introduce a more incentive-based salary plan.")</f>
        <v>Incentive Mechanism Upgrade: In 2022, we will optimize the salary structure for our shareholding employees and introduce a more incentive-based salary plan.</v>
      </c>
      <c r="B1173" s="1" t="str">
        <f ca="1">IFERROR(__xludf.DUMMYFUNCTION("GOOGLETRANSLATE(A1173, ""zh"", ""en"")"),"staff")</f>
        <v>staff</v>
      </c>
      <c r="C1173" s="1" t="str">
        <f ca="1">IFERROR(__xludf.DUMMYFUNCTION("GOOGLETRANSLATE(E1173, ""zh"", ""en"")"),"Qualitative text")</f>
        <v>Qualitative text</v>
      </c>
    </row>
    <row r="1174" spans="1:3" ht="13" x14ac:dyDescent="0.15">
      <c r="A1174" s="1" t="str">
        <f ca="1">IFERROR(__xludf.DUMMYFUNCTION("GOOGLETRANSLATE(A1174, ""zh"", ""en"")"),"Incorporate efficient operations, energy conservation, emission reduction, safety, environmental protection, and compliance management into the company's management's annual performance appraisal as assessment indicators")</f>
        <v>Incorporate efficient operations, energy conservation, emission reduction, safety, environmental protection, and compliance management into the company's management's annual performance appraisal as assessment indicators</v>
      </c>
      <c r="B1174" s="1" t="str">
        <f ca="1">IFERROR(__xludf.DUMMYFUNCTION("GOOGLETRANSLATE(A1174, ""zh"", ""en"")"),"Energy and resource consumption")</f>
        <v>Energy and resource consumption</v>
      </c>
      <c r="C1174" s="1" t="str">
        <f ca="1">IFERROR(__xludf.DUMMYFUNCTION("GOOGLETRANSLATE(E1174, ""zh"", ""en"")"),"Qualitative text")</f>
        <v>Qualitative text</v>
      </c>
    </row>
    <row r="1175" spans="1:3" ht="13" x14ac:dyDescent="0.15">
      <c r="A1175" s="1" t="str">
        <f ca="1">IFERROR(__xludf.DUMMYFUNCTION("GOOGLETRANSLATE(A1175, ""zh"", ""en"")"),"The platform forms a security maturity assessment model based on the attacker's perspective, establishes a closed loop for security skills improvement and ensures security protection.")</f>
        <v>The platform forms a security maturity assessment model based on the attacker's perspective, establishes a closed loop for security skills improvement and ensures security protection.</v>
      </c>
      <c r="B1175" s="1" t="str">
        <f ca="1">IFERROR(__xludf.DUMMYFUNCTION("GOOGLETRANSLATE(A1175, ""zh"", ""en"")"),"Data security")</f>
        <v>Data security</v>
      </c>
      <c r="C1175" s="1" t="str">
        <f ca="1">IFERROR(__xludf.DUMMYFUNCTION("GOOGLETRANSLATE(E1175, ""zh"", ""en"")"),"Qualitative text")</f>
        <v>Qualitative text</v>
      </c>
    </row>
    <row r="1176" spans="1:3" ht="13" x14ac:dyDescent="0.15">
      <c r="A1176" s="1" t="str">
        <f ca="1">IFERROR(__xludf.DUMMYFUNCTION("GOOGLETRANSLATE(A1176, ""zh"", ""en"")"),"At the same time, corrective and preventive measures are implemented to ensure high customer satisfaction")</f>
        <v>At the same time, corrective and preventive measures are implemented to ensure high customer satisfaction</v>
      </c>
      <c r="B1176" s="1" t="str">
        <f ca="1">IFERROR(__xludf.DUMMYFUNCTION("GOOGLETRANSLATE(A1176, ""zh"", ""en"")"),"Customers and Consumers")</f>
        <v>Customers and Consumers</v>
      </c>
      <c r="C1176" s="1" t="str">
        <f ca="1">IFERROR(__xludf.DUMMYFUNCTION("GOOGLETRANSLATE(E1176, ""zh"", ""en"")"),"Quantitative Text")</f>
        <v>Quantitative Text</v>
      </c>
    </row>
    <row r="1177" spans="1:3" ht="13" x14ac:dyDescent="0.15">
      <c r="A1177" s="1" t="str">
        <f ca="1">IFERROR(__xludf.DUMMYFUNCTION("GOOGLETRANSLATE(A1177, ""zh"", ""en"")"),"A total of 99 quality-related customer complaints were received")</f>
        <v>A total of 99 quality-related customer complaints were received</v>
      </c>
      <c r="B1177" s="1" t="str">
        <f ca="1">IFERROR(__xludf.DUMMYFUNCTION("GOOGLETRANSLATE(A1177, ""zh"", ""en"")"),"Product quality")</f>
        <v>Product quality</v>
      </c>
      <c r="C1177" s="1" t="str">
        <f ca="1">IFERROR(__xludf.DUMMYFUNCTION("GOOGLETRANSLATE(E1177, ""zh"", ""en"")"),"Quantitative Text")</f>
        <v>Quantitative Text</v>
      </c>
    </row>
    <row r="1178" spans="1:3" ht="13" x14ac:dyDescent="0.15">
      <c r="A1178" s="1" t="str">
        <f ca="1">IFERROR(__xludf.DUMMYFUNCTION("GOOGLETRANSLATE(A1178, ""zh"", ""en"")"),"We have established a good technical environment to encourage online learning and social cohesion and continuously optimize the learning experience")</f>
        <v>We have established a good technical environment to encourage online learning and social cohesion and continuously optimize the learning experience</v>
      </c>
      <c r="B1178" s="1" t="str">
        <f ca="1">IFERROR(__xludf.DUMMYFUNCTION("GOOGLETRANSLATE(A1178, ""zh"", ""en"")"),"staff")</f>
        <v>staff</v>
      </c>
      <c r="C1178" s="1" t="str">
        <f ca="1">IFERROR(__xludf.DUMMYFUNCTION("GOOGLETRANSLATE(E1178, ""zh"", ""en"")"),"Qualitative text")</f>
        <v>Qualitative text</v>
      </c>
    </row>
    <row r="1179" spans="1:3" ht="13" x14ac:dyDescent="0.15">
      <c r="A1179" s="1" t="str">
        <f ca="1">IFERROR(__xludf.DUMMYFUNCTION("GOOGLETRANSLATE(A1179, ""zh"", ""en"")"),"First, standardize the performance evaluation and salary management of the company's management team members and establish an effective incentive and constraint mechanism")</f>
        <v>First, standardize the performance evaluation and salary management of the company's management team members and establish an effective incentive and constraint mechanism</v>
      </c>
      <c r="B1179" s="1" t="str">
        <f ca="1">IFERROR(__xludf.DUMMYFUNCTION("GOOGLETRANSLATE(A1179, ""zh"", ""en"")"),"Organizational structure and operations")</f>
        <v>Organizational structure and operations</v>
      </c>
      <c r="C1179" s="1" t="str">
        <f ca="1">IFERROR(__xludf.DUMMYFUNCTION("GOOGLETRANSLATE(E1179, ""zh"", ""en"")"),"Qualitative text")</f>
        <v>Qualitative text</v>
      </c>
    </row>
    <row r="1180" spans="1:3" ht="13" x14ac:dyDescent="0.15">
      <c r="A1180" s="1" t="str">
        <f ca="1">IFERROR(__xludf.DUMMYFUNCTION("GOOGLETRANSLATE(A1180, ""zh"", ""en"")"),"06Sound Operation - Standardized Management B7.2 Describe preventive measures and reporting procedures, as well as related implementation and monitoring methods")</f>
        <v>06Sound Operation - Standardized Management B7.2 Describe preventive measures and reporting procedures, as well as related implementation and monitoring methods</v>
      </c>
      <c r="B1180" s="1" t="str">
        <f ca="1">IFERROR(__xludf.DUMMYFUNCTION("GOOGLETRANSLATE(A1180, ""zh"", ""en"")"),"Reporting System")</f>
        <v>Reporting System</v>
      </c>
      <c r="C1180" s="1" t="str">
        <f ca="1">IFERROR(__xludf.DUMMYFUNCTION("GOOGLETRANSLATE(E1180, ""zh"", ""en"")"),"Qualitative text")</f>
        <v>Qualitative text</v>
      </c>
    </row>
    <row r="1181" spans="1:3" ht="13" x14ac:dyDescent="0.15">
      <c r="A1181" s="1" t="str">
        <f ca="1">IFERROR(__xludf.DUMMYFUNCTION("GOOGLETRANSLATE(A1181, ""zh"", ""en"")"),"Chinese employees led local employees to form departmental teams through tug-of-war activities to increase integration between the two sides and cultivate employees' sense of team honor.")</f>
        <v>Chinese employees led local employees to form departmental teams through tug-of-war activities to increase integration between the two sides and cultivate employees' sense of team honor.</v>
      </c>
      <c r="B1181" s="1" t="str">
        <f ca="1">IFERROR(__xludf.DUMMYFUNCTION("GOOGLETRANSLATE(A1181, ""zh"", ""en"")"),"staff")</f>
        <v>staff</v>
      </c>
      <c r="C1181" s="1" t="str">
        <f ca="1">IFERROR(__xludf.DUMMYFUNCTION("GOOGLETRANSLATE(E1181, ""zh"", ""en"")"),"Qualitative text")</f>
        <v>Qualitative text</v>
      </c>
    </row>
    <row r="1182" spans="1:3" ht="13" x14ac:dyDescent="0.15">
      <c r="A1182" s="1" t="str">
        <f ca="1">IFERROR(__xludf.DUMMYFUNCTION("GOOGLETRANSLATE(A1182, ""zh"", ""en"")"),"As of 2022, the company has a total of 52 varieties, including 81 pre-filled products, that have passed the consistency evaluation.")</f>
        <v>As of 2022, the company has a total of 52 varieties, including 81 pre-filled products, that have passed the consistency evaluation.</v>
      </c>
      <c r="B1182" s="1" t="str">
        <f ca="1">IFERROR(__xludf.DUMMYFUNCTION("GOOGLETRANSLATE(A1182, ""zh"", ""en"")"),"Product quality")</f>
        <v>Product quality</v>
      </c>
      <c r="C1182" s="1" t="str">
        <f ca="1">IFERROR(__xludf.DUMMYFUNCTION("GOOGLETRANSLATE(E1182, ""zh"", ""en"")"),"Quantitative Text")</f>
        <v>Quantitative Text</v>
      </c>
    </row>
    <row r="1183" spans="1:3" ht="13" x14ac:dyDescent="0.15">
      <c r="A1183" s="1" t="str">
        <f ca="1">IFERROR(__xludf.DUMMYFUNCTION("GOOGLETRANSLATE(A1183, ""zh"", ""en"")"),"P4445B3 Development and Training General Disclosure Policies on improving employees' knowledge and skills in performing their job duties")</f>
        <v>P4445B3 Development and Training General Disclosure Policies on improving employees' knowledge and skills in performing their job duties</v>
      </c>
      <c r="B1183" s="1" t="str">
        <f ca="1">IFERROR(__xludf.DUMMYFUNCTION("GOOGLETRANSLATE(A1183, ""zh"", ""en"")"),"staff")</f>
        <v>staff</v>
      </c>
      <c r="C1183" s="1" t="str">
        <f ca="1">IFERROR(__xludf.DUMMYFUNCTION("GOOGLETRANSLATE(E1183, ""zh"", ""en"")"),"Qualitative text")</f>
        <v>Qualitative text</v>
      </c>
    </row>
    <row r="1184" spans="1:3" ht="13" x14ac:dyDescent="0.15">
      <c r="A1184" s="1" t="str">
        <f ca="1">IFERROR(__xludf.DUMMYFUNCTION("GOOGLETRANSLATE(A1184, ""zh"", ""en"")"),"The company also organizes relevant training for branch compliance officers in business operations positions on appropriate management")</f>
        <v>The company also organizes relevant training for branch compliance officers in business operations positions on appropriate management</v>
      </c>
      <c r="B1184" s="1" t="str">
        <f ca="1">IFERROR(__xludf.DUMMYFUNCTION("GOOGLETRANSLATE(A1184, ""zh"", ""en"")"),"Organizational structure and operations")</f>
        <v>Organizational structure and operations</v>
      </c>
      <c r="C1184" s="1" t="str">
        <f ca="1">IFERROR(__xludf.DUMMYFUNCTION("GOOGLETRANSLATE(E1184, ""zh"", ""en"")"),"Qualitative text")</f>
        <v>Qualitative text</v>
      </c>
    </row>
    <row r="1185" spans="1:3" ht="13" x14ac:dyDescent="0.15">
      <c r="A1185" s="1" t="str">
        <f ca="1">IFERROR(__xludf.DUMMYFUNCTION("GOOGLETRANSLATE(A1185, ""zh"", ""en"")"),"Appendix 1 Key Performance Indicator Table B3.2 Average training hours completed per employee by gender and employee category")</f>
        <v>Appendix 1 Key Performance Indicator Table B3.2 Average training hours completed per employee by gender and employee category</v>
      </c>
      <c r="B1185" s="1" t="str">
        <f ca="1">IFERROR(__xludf.DUMMYFUNCTION("GOOGLETRANSLATE(A1185, ""zh"", ""en"")"),"staff")</f>
        <v>staff</v>
      </c>
      <c r="C1185" s="1" t="str">
        <f ca="1">IFERROR(__xludf.DUMMYFUNCTION("GOOGLETRANSLATE(E1185, ""zh"", ""en"")"),"Quantitative Text")</f>
        <v>Quantitative Text</v>
      </c>
    </row>
    <row r="1186" spans="1:3" ht="13" x14ac:dyDescent="0.15">
      <c r="A1186" s="1" t="str">
        <f ca="1">IFERROR(__xludf.DUMMYFUNCTION("GOOGLETRANSLATE(A1186, ""zh"", ""en"")"),"The company encourages employees to actively participate in charity activities. In 2022, employees contributed a total of more than 2,300 hours of service.")</f>
        <v>The company encourages employees to actively participate in charity activities. In 2022, employees contributed a total of more than 2,300 hours of service.</v>
      </c>
      <c r="B1186" s="1" t="str">
        <f ca="1">IFERROR(__xludf.DUMMYFUNCTION("GOOGLETRANSLATE(A1186, ""zh"", ""en"")"),"Public welfare and volunteer service")</f>
        <v>Public welfare and volunteer service</v>
      </c>
      <c r="C1186" s="1" t="str">
        <f ca="1">IFERROR(__xludf.DUMMYFUNCTION("GOOGLETRANSLATE(E1186, ""zh"", ""en"")"),"Quantitative Text")</f>
        <v>Quantitative Text</v>
      </c>
    </row>
    <row r="1187" spans="1:3" ht="13" x14ac:dyDescent="0.15">
      <c r="A1187" s="1" t="str">
        <f ca="1">IFERROR(__xludf.DUMMYFUNCTION("GOOGLETRANSLATE(A1187, ""zh"", ""en"")"),"1. Promote and optimize the energy management system and integrate the concept of low-carbon economic development into the entire process of design, construction and operation.")</f>
        <v>1. Promote and optimize the energy management system and integrate the concept of low-carbon economic development into the entire process of design, construction and operation.</v>
      </c>
      <c r="B1187" s="1" t="str">
        <f ca="1">IFERROR(__xludf.DUMMYFUNCTION("GOOGLETRANSLATE(A1187, ""zh"", ""en"")"),"Energy and resource consumption")</f>
        <v>Energy and resource consumption</v>
      </c>
      <c r="C1187" s="1" t="str">
        <f ca="1">IFERROR(__xludf.DUMMYFUNCTION("GOOGLETRANSLATE(E1187, ""zh"", ""en"")"),"Qualitative text")</f>
        <v>Qualitative text</v>
      </c>
    </row>
    <row r="1188" spans="1:3" ht="13" x14ac:dyDescent="0.15">
      <c r="A1188" s="1" t="str">
        <f ca="1">IFERROR(__xludf.DUMMYFUNCTION("GOOGLETRANSLATE(A1188, ""zh"", ""en"")"),"This activity helps employees gradually establish a focus on on-site behavioral safety and avoid unsafe behaviors to reduce the probability of on-site accidents.")</f>
        <v>This activity helps employees gradually establish a focus on on-site behavioral safety and avoid unsafe behaviors to reduce the probability of on-site accidents.</v>
      </c>
      <c r="B1188" s="1" t="str">
        <f ca="1">IFERROR(__xludf.DUMMYFUNCTION("GOOGLETRANSLATE(A1188, ""zh"", ""en"")"),"staff")</f>
        <v>staff</v>
      </c>
      <c r="C1188" s="1" t="str">
        <f ca="1">IFERROR(__xludf.DUMMYFUNCTION("GOOGLETRANSLATE(E1188, ""zh"", ""en"")"),"Qualitative text")</f>
        <v>Qualitative text</v>
      </c>
    </row>
    <row r="1189" spans="1:3" ht="13" x14ac:dyDescent="0.15">
      <c r="A1189" s="1" t="str">
        <f ca="1">IFERROR(__xludf.DUMMYFUNCTION("GOOGLETRANSLATE(A1189, ""zh"", ""en"")"),"The company conducts training rotations from time to time to help young talents accumulate work experience and quickly improve their leadership and management capabilities.")</f>
        <v>The company conducts training rotations from time to time to help young talents accumulate work experience and quickly improve their leadership and management capabilities.</v>
      </c>
      <c r="B1189" s="1" t="str">
        <f ca="1">IFERROR(__xludf.DUMMYFUNCTION("GOOGLETRANSLATE(A1189, ""zh"", ""en"")"),"staff")</f>
        <v>staff</v>
      </c>
      <c r="C1189" s="1" t="str">
        <f ca="1">IFERROR(__xludf.DUMMYFUNCTION("GOOGLETRANSLATE(E1189, ""zh"", ""en"")"),"Qualitative text")</f>
        <v>Qualitative text</v>
      </c>
    </row>
    <row r="1190" spans="1:3" ht="13" x14ac:dyDescent="0.15">
      <c r="A1190" s="1" t="str">
        <f ca="1">IFERROR(__xludf.DUMMYFUNCTION("GOOGLETRANSLATE(A1190, ""zh"", ""en"")"),"In addition, Kailin Pharmaceuticals is also actively promoting the breadth and depth of packaging material replacement to continuously help reduce material consumption.")</f>
        <v>In addition, Kailin Pharmaceuticals is also actively promoting the breadth and depth of packaging material replacement to continuously help reduce material consumption.</v>
      </c>
      <c r="B1190" s="1" t="str">
        <f ca="1">IFERROR(__xludf.DUMMYFUNCTION("GOOGLETRANSLATE(A1190, ""zh"", ""en"")"),"raw materials")</f>
        <v>raw materials</v>
      </c>
      <c r="C1190" s="1" t="str">
        <f ca="1">IFERROR(__xludf.DUMMYFUNCTION("GOOGLETRANSLATE(E1190, ""zh"", ""en"")"),"Qualitative text")</f>
        <v>Qualitative text</v>
      </c>
    </row>
    <row r="1191" spans="1:3" ht="13" x14ac:dyDescent="0.15">
      <c r="A1191" s="1" t="str">
        <f ca="1">IFERROR(__xludf.DUMMYFUNCTION("GOOGLETRANSLATE(A1191, ""zh"", ""en"")"),"98 Intensity of direct and indirect energy use, such as electricity, by type, calculated per unit of production per facility")</f>
        <v>98 Intensity of direct and indirect energy use, such as electricity, by type, calculated per unit of production per facility</v>
      </c>
      <c r="B1191" s="1" t="str">
        <f ca="1">IFERROR(__xludf.DUMMYFUNCTION("GOOGLETRANSLATE(A1191, ""zh"", ""en"")"),"Energy and resource consumption")</f>
        <v>Energy and resource consumption</v>
      </c>
      <c r="C1191" s="1" t="str">
        <f ca="1">IFERROR(__xludf.DUMMYFUNCTION("GOOGLETRANSLATE(E1191, ""zh"", ""en"")"),"Qualitative text")</f>
        <v>Qualitative text</v>
      </c>
    </row>
    <row r="1192" spans="1:3" ht="13" x14ac:dyDescent="0.15">
      <c r="A1192" s="1" t="str">
        <f ca="1">IFERROR(__xludf.DUMMYFUNCTION("GOOGLETRANSLATE(A1192, ""zh"", ""en"")"),"In August 2022, the Yichang Renfu Party Committee organized party member volunteers to jointly carry out anti-drug publicity activities with the Yichang Anti-Drug Committee")</f>
        <v>In August 2022, the Yichang Renfu Party Committee organized party member volunteers to jointly carry out anti-drug publicity activities with the Yichang Anti-Drug Committee</v>
      </c>
      <c r="B1192" s="1" t="str">
        <f ca="1">IFERROR(__xludf.DUMMYFUNCTION("GOOGLETRANSLATE(A1192, ""zh"", ""en"")"),"Public welfare and volunteer service")</f>
        <v>Public welfare and volunteer service</v>
      </c>
      <c r="C1192" s="1" t="str">
        <f ca="1">IFERROR(__xludf.DUMMYFUNCTION("GOOGLETRANSLATE(E1192, ""zh"", ""en"")"),"Qualitative text")</f>
        <v>Qualitative text</v>
      </c>
    </row>
    <row r="1193" spans="1:3" ht="13" x14ac:dyDescent="0.15">
      <c r="A1193" s="1" t="str">
        <f ca="1">IFERROR(__xludf.DUMMYFUNCTION("GOOGLETRANSLATE(A1193, ""zh"", ""en"")"),"In June, Wuhan Puke Ibuprofen Soft Capsules received the drug registration certificate, which is deemed to have passed the generic drug quality and efficacy consistency evaluation.")</f>
        <v>In June, Wuhan Puke Ibuprofen Soft Capsules received the drug registration certificate, which is deemed to have passed the generic drug quality and efficacy consistency evaluation.</v>
      </c>
      <c r="B1193" s="1" t="str">
        <f ca="1">IFERROR(__xludf.DUMMYFUNCTION("GOOGLETRANSLATE(A1193, ""zh"", ""en"")"),"Product quality")</f>
        <v>Product quality</v>
      </c>
      <c r="C1193" s="1" t="str">
        <f ca="1">IFERROR(__xludf.DUMMYFUNCTION("GOOGLETRANSLATE(E1193, ""zh"", ""en"")"),"Qualitative text")</f>
        <v>Qualitative text</v>
      </c>
    </row>
    <row r="1194" spans="1:3" ht="13" x14ac:dyDescent="0.15">
      <c r="A1194" s="1" t="str">
        <f ca="1">IFERROR(__xludf.DUMMYFUNCTION("GOOGLETRANSLATE(A1194, ""zh"", ""en"")"),"By clarifying the various powers, organizational systems and work systems of the staff congress, we can further standardize the content, procedures and forms of factory affairs disclosure")</f>
        <v>By clarifying the various powers, organizational systems and work systems of the staff congress, we can further standardize the content, procedures and forms of factory affairs disclosure</v>
      </c>
      <c r="B1194" s="1" t="str">
        <f ca="1">IFERROR(__xludf.DUMMYFUNCTION("GOOGLETRANSLATE(A1194, ""zh"", ""en"")"),"Organizational structure and operations")</f>
        <v>Organizational structure and operations</v>
      </c>
      <c r="C1194" s="1" t="str">
        <f ca="1">IFERROR(__xludf.DUMMYFUNCTION("GOOGLETRANSLATE(E1194, ""zh"", ""en"")"),"Qualitative text")</f>
        <v>Qualitative text</v>
      </c>
    </row>
    <row r="1195" spans="1:3" ht="13" x14ac:dyDescent="0.15">
      <c r="A1195" s="1" t="str">
        <f ca="1">IFERROR(__xludf.DUMMYFUNCTION("GOOGLETRANSLATE(A1195, ""zh"", ""en"")"),"According to the volunteer activity plan, the focus of this tutoring session is on difficult questions that students often make mistakes on and some important knowledge points.")</f>
        <v>According to the volunteer activity plan, the focus of this tutoring session is on difficult questions that students often make mistakes on and some important knowledge points.</v>
      </c>
      <c r="B1195" s="1" t="str">
        <f ca="1">IFERROR(__xludf.DUMMYFUNCTION("GOOGLETRANSLATE(A1195, ""zh"", ""en"")"),"Public welfare and volunteer service")</f>
        <v>Public welfare and volunteer service</v>
      </c>
      <c r="C1195" s="1" t="str">
        <f ca="1">IFERROR(__xludf.DUMMYFUNCTION("GOOGLETRANSLATE(E1195, ""zh"", ""en"")"),"Qualitative text")</f>
        <v>Qualitative text</v>
      </c>
    </row>
    <row r="1196" spans="1:3" ht="13" x14ac:dyDescent="0.15">
      <c r="A1196" s="1" t="str">
        <f ca="1">IFERROR(__xludf.DUMMYFUNCTION("GOOGLETRANSLATE(A1196, ""zh"", ""en"")"),"For more information, please visit the CNPC website at http://www.cnpc.com.cnen.")</f>
        <v>For more information, please visit the CNPC website at http://www.cnpc.com.cnen.</v>
      </c>
      <c r="B1196" s="1" t="str">
        <f ca="1">IFERROR(__xludf.DUMMYFUNCTION("GOOGLETRANSLATE(A1196, ""zh"", ""en"")"),"irrelevant text")</f>
        <v>irrelevant text</v>
      </c>
      <c r="C1196" s="1" t="str">
        <f ca="1">IFERROR(__xludf.DUMMYFUNCTION("GOOGLETRANSLATE(E1196, ""zh"", ""en"")"),"irrelevant text")</f>
        <v>irrelevant text</v>
      </c>
    </row>
    <row r="1197" spans="1:3" ht="13" x14ac:dyDescent="0.15">
      <c r="A1197" s="1" t="str">
        <f ca="1">IFERROR(__xludf.DUMMYFUNCTION("GOOGLETRANSLATE(A1197, ""zh"", ""en"")"),"In 2022, Xinxiang Haibin invested nearly 1.5 million yuan in solid waste management to build a negative pressure distillation device.")</f>
        <v>In 2022, Xinxiang Haibin invested nearly 1.5 million yuan in solid waste management to build a negative pressure distillation device.</v>
      </c>
      <c r="B1197" s="1" t="str">
        <f ca="1">IFERROR(__xludf.DUMMYFUNCTION("GOOGLETRANSLATE(A1197, ""zh"", ""en"")"),"Waste Management")</f>
        <v>Waste Management</v>
      </c>
      <c r="C1197" s="1" t="str">
        <f ca="1">IFERROR(__xludf.DUMMYFUNCTION("GOOGLETRANSLATE(E1197, ""zh"", ""en"")"),"Quantitative Text")</f>
        <v>Quantitative Text</v>
      </c>
    </row>
    <row r="1198" spans="1:3" ht="13" x14ac:dyDescent="0.15">
      <c r="A1198" s="1" t="str">
        <f ca="1">IFERROR(__xludf.DUMMYFUNCTION("GOOGLETRANSLATE(A1198, ""zh"", ""en"")"),"At the same time, we also encourage internal lecturers to independently develop training courses with job characteristics to further promote the diversification of courses.")</f>
        <v>At the same time, we also encourage internal lecturers to independently develop training courses with job characteristics to further promote the diversification of courses.</v>
      </c>
      <c r="B1198" s="1" t="str">
        <f ca="1">IFERROR(__xludf.DUMMYFUNCTION("GOOGLETRANSLATE(A1198, ""zh"", ""en"")"),"staff")</f>
        <v>staff</v>
      </c>
      <c r="C1198" s="1" t="str">
        <f ca="1">IFERROR(__xludf.DUMMYFUNCTION("GOOGLETRANSLATE(E1198, ""zh"", ""en"")"),"Qualitative text")</f>
        <v>Qualitative text</v>
      </c>
    </row>
    <row r="1199" spans="1:3" ht="13" x14ac:dyDescent="0.15">
      <c r="A1199" s="1" t="str">
        <f ca="1">IFERROR(__xludf.DUMMYFUNCTION("GOOGLETRANSLATE(A1199, ""zh"", ""en"")"),"We actively fulfill our land reclamation obligations and restore the ecosystem of temporary land used for production and operation.")</f>
        <v>We actively fulfill our land reclamation obligations and restore the ecosystem of temporary land used for production and operation.</v>
      </c>
      <c r="B1199" s="1" t="str">
        <f ca="1">IFERROR(__xludf.DUMMYFUNCTION("GOOGLETRANSLATE(A1199, ""zh"", ""en"")"),"Land use")</f>
        <v>Land use</v>
      </c>
      <c r="C1199" s="1" t="str">
        <f ca="1">IFERROR(__xludf.DUMMYFUNCTION("GOOGLETRANSLATE(E1199, ""zh"", ""en"")"),"Quantitative Text")</f>
        <v>Quantitative Text</v>
      </c>
    </row>
    <row r="1200" spans="1:3" ht="13" x14ac:dyDescent="0.15">
      <c r="A1200" s="1" t="str">
        <f ca="1">IFERROR(__xludf.DUMMYFUNCTION("GOOGLETRANSLATE(A1200, ""zh"", ""en"")"),"At the same time, the team has set up a 24-hour duty station in the Longyang Road base to be on standby all the time to meet the emergency repair needs of customers.")</f>
        <v>At the same time, the team has set up a 24-hour duty station in the Longyang Road base to be on standby all the time to meet the emergency repair needs of customers.</v>
      </c>
      <c r="B1200" s="1" t="str">
        <f ca="1">IFERROR(__xludf.DUMMYFUNCTION("GOOGLETRANSLATE(A1200, ""zh"", ""en"")"),"Customers and Consumers")</f>
        <v>Customers and Consumers</v>
      </c>
      <c r="C1200" s="1" t="str">
        <f ca="1">IFERROR(__xludf.DUMMYFUNCTION("GOOGLETRANSLATE(E1200, ""zh"", ""en"")"),"Qualitative text")</f>
        <v>Qualitative text</v>
      </c>
    </row>
    <row r="1201" spans="1:3" ht="13" x14ac:dyDescent="0.15">
      <c r="A1201" s="1" t="str">
        <f ca="1">IFERROR(__xludf.DUMMYFUNCTION("GOOGLETRANSLATE(A1201, ""zh"", ""en"")"),"At the same time, we continue to improve the human resources management procedures, training management system, attendance and vacation management system, employee handbook and other systems")</f>
        <v>At the same time, we continue to improve the human resources management procedures, training management system, attendance and vacation management system, employee handbook and other systems</v>
      </c>
      <c r="B1201" s="1" t="str">
        <f ca="1">IFERROR(__xludf.DUMMYFUNCTION("GOOGLETRANSLATE(A1201, ""zh"", ""en"")"),"staff")</f>
        <v>staff</v>
      </c>
      <c r="C1201" s="1" t="str">
        <f ca="1">IFERROR(__xludf.DUMMYFUNCTION("GOOGLETRANSLATE(E1201, ""zh"", ""en"")"),"Qualitative text")</f>
        <v>Qualitative text</v>
      </c>
    </row>
    <row r="1202" spans="1:3" ht="13" x14ac:dyDescent="0.15">
      <c r="A1202" s="1" t="str">
        <f ca="1">IFERROR(__xludf.DUMMYFUNCTION("GOOGLETRANSLATE(A1202, ""zh"", ""en"")"),"8699 Key Performance Indicator B8.1 Focus on contribution areas such as education, environment, labor needs, health, culture and sports")</f>
        <v>8699 Key Performance Indicator B8.1 Focus on contribution areas such as education, environment, labor needs, health, culture and sports</v>
      </c>
      <c r="B1202" s="1" t="str">
        <f ca="1">IFERROR(__xludf.DUMMYFUNCTION("GOOGLETRANSLATE(A1202, ""zh"", ""en"")"),"staff")</f>
        <v>staff</v>
      </c>
      <c r="C1202" s="1" t="str">
        <f ca="1">IFERROR(__xludf.DUMMYFUNCTION("GOOGLETRANSLATE(E1202, ""zh"", ""en"")"),"Qualitative text")</f>
        <v>Qualitative text</v>
      </c>
    </row>
    <row r="1203" spans="1:3" ht="13" x14ac:dyDescent="0.15">
      <c r="A1203" s="1" t="str">
        <f ca="1">IFERROR(__xludf.DUMMYFUNCTION("GOOGLETRANSLATE(A1203, ""zh"", ""en"")"),"Clearly define the principals of each subsidiary as anti-corruption advocates; conduct anti-monopoly declarations in investment and financing projects and obtain approval once")</f>
        <v>Clearly define the principals of each subsidiary as anti-corruption advocates; conduct anti-monopoly declarations in investment and financing projects and obtain approval once</v>
      </c>
      <c r="B1203" s="1" t="str">
        <f ca="1">IFERROR(__xludf.DUMMYFUNCTION("GOOGLETRANSLATE(A1203, ""zh"", ""en"")"),"Anti-unfair competition")</f>
        <v>Anti-unfair competition</v>
      </c>
      <c r="C1203" s="1" t="str">
        <f ca="1">IFERROR(__xludf.DUMMYFUNCTION("GOOGLETRANSLATE(E1203, ""zh"", ""en"")"),"Quantitative Text")</f>
        <v>Quantitative Text</v>
      </c>
    </row>
    <row r="1204" spans="1:3" ht="13" x14ac:dyDescent="0.15">
      <c r="A1204" s="1" t="str">
        <f ca="1">IFERROR(__xludf.DUMMYFUNCTION("GOOGLETRANSLATE(A1204, ""zh"", ""en"")"),"For the solid waste generated during the production process, select a professional and qualified recycling company to participate in the bidding and recycling")</f>
        <v>For the solid waste generated during the production process, select a professional and qualified recycling company to participate in the bidding and recycling</v>
      </c>
      <c r="B1204" s="1" t="str">
        <f ca="1">IFERROR(__xludf.DUMMYFUNCTION("GOOGLETRANSLATE(A1204, ""zh"", ""en"")"),"Waste Management")</f>
        <v>Waste Management</v>
      </c>
      <c r="C1204" s="1" t="str">
        <f ca="1">IFERROR(__xludf.DUMMYFUNCTION("GOOGLETRANSLATE(E1204, ""zh"", ""en"")"),"Qualitative text")</f>
        <v>Qualitative text</v>
      </c>
    </row>
    <row r="1205" spans="1:3" ht="13" x14ac:dyDescent="0.15">
      <c r="A1205" s="1" t="str">
        <f ca="1">IFERROR(__xludf.DUMMYFUNCTION("GOOGLETRANSLATE(A1205, ""zh"", ""en"")"),"The Group actively responded to the call of the State-owned Assets Supervision and Administration Commission and sent a volunteer team to Minhang Meilong to provide assistance. At the same time, more than 100 volunteers were reserved and on standby at any"&amp;" time.")</f>
        <v>The Group actively responded to the call of the State-owned Assets Supervision and Administration Commission and sent a volunteer team to Minhang Meilong to provide assistance. At the same time, more than 100 volunteers were reserved and on standby at any time.</v>
      </c>
      <c r="B1205" s="1" t="str">
        <f ca="1">IFERROR(__xludf.DUMMYFUNCTION("GOOGLETRANSLATE(A1205, ""zh"", ""en"")"),"Public welfare and volunteer service")</f>
        <v>Public welfare and volunteer service</v>
      </c>
      <c r="C1205" s="1" t="str">
        <f ca="1">IFERROR(__xludf.DUMMYFUNCTION("GOOGLETRANSLATE(E1205, ""zh"", ""en"")"),"Qualitative text")</f>
        <v>Qualitative text</v>
      </c>
    </row>
    <row r="1206" spans="1:3" ht="13" x14ac:dyDescent="0.15">
      <c r="A1206" s="1" t="str">
        <f ca="1">IFERROR(__xludf.DUMMYFUNCTION("GOOGLETRANSLATE(A1206, ""zh"", ""en"")"),"During the reporting period, the company continued to upgrade its waste gas treatment facilities and strengthen facility operation management to ensure efficient operation of pollution prevention and control facilities.")</f>
        <v>During the reporting period, the company continued to upgrade its waste gas treatment facilities and strengthen facility operation management to ensure efficient operation of pollution prevention and control facilities.</v>
      </c>
      <c r="B1206" s="1" t="str">
        <f ca="1">IFERROR(__xludf.DUMMYFUNCTION("GOOGLETRANSLATE(A1206, ""zh"", ""en"")"),"Waste Management")</f>
        <v>Waste Management</v>
      </c>
      <c r="C1206" s="1" t="str">
        <f ca="1">IFERROR(__xludf.DUMMYFUNCTION("GOOGLETRANSLATE(E1206, ""zh"", ""en"")"),"Qualitative text")</f>
        <v>Qualitative text</v>
      </c>
    </row>
    <row r="1207" spans="1:3" ht="13" x14ac:dyDescent="0.15">
      <c r="A1207" s="1" t="str">
        <f ca="1">IFERROR(__xludf.DUMMYFUNCTION("GOOGLETRANSLATE(A1207, ""zh"", ""en"")"),"In 1998, the T5 high-power energy-saving fluorescent lamp and its supporting lamps were awarded the National Torch Program Project Award by the State Science and Technology Commission.")</f>
        <v>In 1998, the T5 high-power energy-saving fluorescent lamp and its supporting lamps were awarded the National Torch Program Project Award by the State Science and Technology Commission.</v>
      </c>
      <c r="B1207" s="1" t="str">
        <f ca="1">IFERROR(__xludf.DUMMYFUNCTION("GOOGLETRANSLATE(A1207, ""zh"", ""en"")"),"Energy and resource consumption")</f>
        <v>Energy and resource consumption</v>
      </c>
      <c r="C1207" s="1" t="str">
        <f ca="1">IFERROR(__xludf.DUMMYFUNCTION("GOOGLETRANSLATE(E1207, ""zh"", ""en"")"),"Qualitative text")</f>
        <v>Qualitative text</v>
      </c>
    </row>
    <row r="1208" spans="1:3" ht="13" x14ac:dyDescent="0.15">
      <c r="A1208" s="1" t="str">
        <f ca="1">IFERROR(__xludf.DUMMYFUNCTION("GOOGLETRANSLATE(A1208, ""zh"", ""en"")"),"In 1988, the plug-in hyperbolic fluorescent lamp was awarded a practical invention patent and began to use patents to protect its inventions.")</f>
        <v>In 1988, the plug-in hyperbolic fluorescent lamp was awarded a practical invention patent and began to use patents to protect its inventions.</v>
      </c>
      <c r="B1208" s="1" t="str">
        <f ca="1">IFERROR(__xludf.DUMMYFUNCTION("GOOGLETRANSLATE(A1208, ""zh"", ""en"")"),"Intellectual Property Protection")</f>
        <v>Intellectual Property Protection</v>
      </c>
      <c r="C1208" s="1" t="str">
        <f ca="1">IFERROR(__xludf.DUMMYFUNCTION("GOOGLETRANSLATE(E1208, ""zh"", ""en"")"),"Qualitative text")</f>
        <v>Qualitative text</v>
      </c>
    </row>
    <row r="1209" spans="1:3" ht="13" x14ac:dyDescent="0.15">
      <c r="A1209" s="1" t="str">
        <f ca="1">IFERROR(__xludf.DUMMYFUNCTION("GOOGLETRANSLATE(A1209, ""zh"", ""en"")"),"At the same time, the company has established a complete career advancement channel for skilled talents. The competence of each level is gradually improved based on performance.")</f>
        <v>At the same time, the company has established a complete career advancement channel for skilled talents. The competence of each level is gradually improved based on performance.</v>
      </c>
      <c r="B1209" s="1" t="str">
        <f ca="1">IFERROR(__xludf.DUMMYFUNCTION("GOOGLETRANSLATE(A1209, ""zh"", ""en"")"),"staff")</f>
        <v>staff</v>
      </c>
      <c r="C1209" s="1" t="str">
        <f ca="1">IFERROR(__xludf.DUMMYFUNCTION("GOOGLETRANSLATE(E1209, ""zh"", ""en"")"),"Qualitative text")</f>
        <v>Qualitative text</v>
      </c>
    </row>
    <row r="1210" spans="1:3" ht="13" x14ac:dyDescent="0.15">
      <c r="A1210" s="1" t="str">
        <f ca="1">IFERROR(__xludf.DUMMYFUNCTION("GOOGLETRANSLATE(A1210, ""zh"", ""en"")"),"Unless otherwise specified, the ESG performance data statistics included in this report do not include entrusted management companies such as China Investment and Insurance and China Investment Leasing.")</f>
        <v>Unless otherwise specified, the ESG performance data statistics included in this report do not include entrusted management companies such as China Investment and Insurance and China Investment Leasing.</v>
      </c>
      <c r="B1210" s="1" t="str">
        <f ca="1">IFERROR(__xludf.DUMMYFUNCTION("GOOGLETRANSLATE(A1210, ""zh"", ""en"")"),"irrelevant text")</f>
        <v>irrelevant text</v>
      </c>
      <c r="C1210" s="1" t="str">
        <f ca="1">IFERROR(__xludf.DUMMYFUNCTION("GOOGLETRANSLATE(E1210, ""zh"", ""en"")"),"irrelevant text")</f>
        <v>irrelevant text</v>
      </c>
    </row>
    <row r="1211" spans="1:3" ht="13" x14ac:dyDescent="0.15">
      <c r="A1211" s="1" t="str">
        <f ca="1">IFERROR(__xludf.DUMMYFUNCTION("GOOGLETRANSLATE(A1211, ""zh"", ""en"")"),"Since the company passed the ISO14001 environmental system certification in 2004, it has passed the review and acceptance every year.")</f>
        <v>Since the company passed the ISO14001 environmental system certification in 2004, it has passed the review and acceptance every year.</v>
      </c>
      <c r="B1211" s="1" t="str">
        <f ca="1">IFERROR(__xludf.DUMMYFUNCTION("GOOGLETRANSLATE(A1211, ""zh"", ""en"")"),"Sustainable certification")</f>
        <v>Sustainable certification</v>
      </c>
      <c r="C1211" s="1" t="str">
        <f ca="1">IFERROR(__xludf.DUMMYFUNCTION("GOOGLETRANSLATE(E1211, ""zh"", ""en"")"),"Quantitative Text")</f>
        <v>Quantitative Text</v>
      </c>
    </row>
    <row r="1212" spans="1:3" ht="13" x14ac:dyDescent="0.15">
      <c r="A1212" s="1" t="str">
        <f ca="1">IFERROR(__xludf.DUMMYFUNCTION("GOOGLETRANSLATE(A1212, ""zh"", ""en"")"),"In 2022, the Huangdao base replaced a total of 56 old power supply and distribution facilities, significantly reducing the company's systemic power consumption risks.")</f>
        <v>In 2022, the Huangdao base replaced a total of 56 old power supply and distribution facilities, significantly reducing the company's systemic power consumption risks.</v>
      </c>
      <c r="B1212" s="1" t="str">
        <f ca="1">IFERROR(__xludf.DUMMYFUNCTION("GOOGLETRANSLATE(A1212, ""zh"", ""en"")"),"Energy and resource consumption")</f>
        <v>Energy and resource consumption</v>
      </c>
      <c r="C1212" s="1" t="str">
        <f ca="1">IFERROR(__xludf.DUMMYFUNCTION("GOOGLETRANSLATE(E1212, ""zh"", ""en"")"),"Quantitative Text")</f>
        <v>Quantitative Text</v>
      </c>
    </row>
    <row r="1213" spans="1:3" ht="13" x14ac:dyDescent="0.15">
      <c r="A1213" s="1" t="str">
        <f ca="1">IFERROR(__xludf.DUMMYFUNCTION("GOOGLETRANSLATE(A1213, ""zh"", ""en"")"),"Sinopec actively promotes employee occupational health management and integrates the concept of occupational health management with the HSE management system")</f>
        <v>Sinopec actively promotes employee occupational health management and integrates the concept of occupational health management with the HSE management system</v>
      </c>
      <c r="B1213" s="1" t="str">
        <f ca="1">IFERROR(__xludf.DUMMYFUNCTION("GOOGLETRANSLATE(A1213, ""zh"", ""en"")"),"staff")</f>
        <v>staff</v>
      </c>
      <c r="C1213" s="1" t="str">
        <f ca="1">IFERROR(__xludf.DUMMYFUNCTION("GOOGLETRANSLATE(E1213, ""zh"", ""en"")"),"Qualitative text")</f>
        <v>Qualitative text</v>
      </c>
    </row>
    <row r="1214" spans="1:3" ht="13" x14ac:dyDescent="0.15">
      <c r="A1214" s="1" t="str">
        <f ca="1">IFERROR(__xludf.DUMMYFUNCTION("GOOGLETRANSLATE(A1214, ""zh"", ""en"")"),"Strengthen supervision of key links and revise a series of safety management systems for direct operation links. Produce warning videos on high-risk operation accidents.")</f>
        <v>Strengthen supervision of key links and revise a series of safety management systems for direct operation links. Produce warning videos on high-risk operation accidents.</v>
      </c>
      <c r="B1214" s="1" t="str">
        <f ca="1">IFERROR(__xludf.DUMMYFUNCTION("GOOGLETRANSLATE(A1214, ""zh"", ""en"")"),"staff")</f>
        <v>staff</v>
      </c>
      <c r="C1214" s="1" t="str">
        <f ca="1">IFERROR(__xludf.DUMMYFUNCTION("GOOGLETRANSLATE(E1214, ""zh"", ""en"")"),"Qualitative text")</f>
        <v>Qualitative text</v>
      </c>
    </row>
    <row r="1215" spans="1:3" ht="13" x14ac:dyDescent="0.15">
      <c r="A1215" s="1" t="str">
        <f ca="1">IFERROR(__xludf.DUMMYFUNCTION("GOOGLETRANSLATE(A1215, ""zh"", ""en"")"),"Adhere to the intensive, capital-light, asset-light development path to ensure the steady, balanced and sustainable development of the main business and core indicators")</f>
        <v>Adhere to the intensive, capital-light, asset-light development path to ensure the steady, balanced and sustainable development of the main business and core indicators</v>
      </c>
      <c r="B1215" s="1" t="str">
        <f ca="1">IFERROR(__xludf.DUMMYFUNCTION("GOOGLETRANSLATE(A1215, ""zh"", ""en"")"),"Organizational structure and operations")</f>
        <v>Organizational structure and operations</v>
      </c>
      <c r="C1215" s="1" t="str">
        <f ca="1">IFERROR(__xludf.DUMMYFUNCTION("GOOGLETRANSLATE(E1215, ""zh"", ""en"")"),"Qualitative text")</f>
        <v>Qualitative text</v>
      </c>
    </row>
    <row r="1216" spans="1:3" ht="13" x14ac:dyDescent="0.15">
      <c r="A1216" s="1" t="str">
        <f ca="1">IFERROR(__xludf.DUMMYFUNCTION("GOOGLETRANSLATE(A1216, ""zh"", ""en"")"),"Water level monitors are installed in the Huangyang River area. Once the water level exceeds the set warning level, people will be evacuated immediately to ensure their safety.")</f>
        <v>Water level monitors are installed in the Huangyang River area. Once the water level exceeds the set warning level, people will be evacuated immediately to ensure their safety.</v>
      </c>
      <c r="B1216" s="1" t="str">
        <f ca="1">IFERROR(__xludf.DUMMYFUNCTION("GOOGLETRANSLATE(A1216, ""zh"", ""en"")"),"Water resources")</f>
        <v>Water resources</v>
      </c>
      <c r="C1216" s="1" t="str">
        <f ca="1">IFERROR(__xludf.DUMMYFUNCTION("GOOGLETRANSLATE(E1216, ""zh"", ""en"")"),"Qualitative text")</f>
        <v>Qualitative text</v>
      </c>
    </row>
    <row r="1217" spans="1:3" ht="13" x14ac:dyDescent="0.15">
      <c r="A1217" s="1" t="str">
        <f ca="1">IFERROR(__xludf.DUMMYFUNCTION("GOOGLETRANSLATE(A1217, ""zh"", ""en"")"),"In terms of training, a total of 12 quality management training sessions will be conducted in 2022, including quality management system promotion and quality tool training.")</f>
        <v>In terms of training, a total of 12 quality management training sessions will be conducted in 2022, including quality management system promotion and quality tool training.</v>
      </c>
      <c r="B1217" s="1" t="str">
        <f ca="1">IFERROR(__xludf.DUMMYFUNCTION("GOOGLETRANSLATE(A1217, ""zh"", ""en"")"),"Product quality")</f>
        <v>Product quality</v>
      </c>
      <c r="C1217" s="1" t="str">
        <f ca="1">IFERROR(__xludf.DUMMYFUNCTION("GOOGLETRANSLATE(E1217, ""zh"", ""en"")"),"Quantitative Text")</f>
        <v>Quantitative Text</v>
      </c>
    </row>
    <row r="1218" spans="1:3" ht="13" x14ac:dyDescent="0.15">
      <c r="A1218" s="1" t="str">
        <f ca="1">IFERROR(__xludf.DUMMYFUNCTION("GOOGLETRANSLATE(A1218, ""zh"", ""en"")"),"The Haidayuan system has a special column for reporting violations of laws and regulations to notify suppliers and Haier internal personnel of violations of laws and regulations")</f>
        <v>The Haidayuan system has a special column for reporting violations of laws and regulations to notify suppliers and Haier internal personnel of violations of laws and regulations</v>
      </c>
      <c r="B1218" s="1" t="str">
        <f ca="1">IFERROR(__xludf.DUMMYFUNCTION("GOOGLETRANSLATE(A1218, ""zh"", ""en"")"),"Reporting System")</f>
        <v>Reporting System</v>
      </c>
      <c r="C1218" s="1" t="str">
        <f ca="1">IFERROR(__xludf.DUMMYFUNCTION("GOOGLETRANSLATE(E1218, ""zh"", ""en"")"),"Qualitative text")</f>
        <v>Qualitative text</v>
      </c>
    </row>
    <row r="1219" spans="1:3" ht="13" x14ac:dyDescent="0.15">
      <c r="A1219" s="1" t="str">
        <f ca="1">IFERROR(__xludf.DUMMYFUNCTION("GOOGLETRANSLATE(A1219, ""zh"", ""en"")"),"1.1 Compliance Operations and Self-Discipline Key Performance Indicator B7.3 Description of anti-corruption training provided to directors and employees")</f>
        <v>1.1 Compliance Operations and Self-Discipline Key Performance Indicator B7.3 Description of anti-corruption training provided to directors and employees</v>
      </c>
      <c r="B1219" s="1" t="str">
        <f ca="1">IFERROR(__xludf.DUMMYFUNCTION("GOOGLETRANSLATE(A1219, ""zh"", ""en"")"),"Anti-corruption and anti-money laundering")</f>
        <v>Anti-corruption and anti-money laundering</v>
      </c>
      <c r="C1219" s="1" t="str">
        <f ca="1">IFERROR(__xludf.DUMMYFUNCTION("GOOGLETRANSLATE(E1219, ""zh"", ""en"")"),"Qualitative text")</f>
        <v>Qualitative text</v>
      </c>
    </row>
    <row r="1220" spans="1:3" ht="13" x14ac:dyDescent="0.15">
      <c r="A1220" s="1" t="str">
        <f ca="1">IFERROR(__xludf.DUMMYFUNCTION("GOOGLETRANSLATE(A1220, ""zh"", ""en"")"),"In 2022, the EAP psychology platform Wisdom Psychology had a total of 1,242 registered employees and 1,400 active users.")</f>
        <v>In 2022, the EAP psychology platform Wisdom Psychology had a total of 1,242 registered employees and 1,400 active users.</v>
      </c>
      <c r="B1220" s="1" t="str">
        <f ca="1">IFERROR(__xludf.DUMMYFUNCTION("GOOGLETRANSLATE(A1220, ""zh"", ""en"")"),"staff")</f>
        <v>staff</v>
      </c>
      <c r="C1220" s="1" t="str">
        <f ca="1">IFERROR(__xludf.DUMMYFUNCTION("GOOGLETRANSLATE(E1220, ""zh"", ""en"")"),"Quantitative Text")</f>
        <v>Quantitative Text</v>
      </c>
    </row>
    <row r="1221" spans="1:3" ht="13" x14ac:dyDescent="0.15">
      <c r="A1221" s="1" t="str">
        <f ca="1">IFERROR(__xludf.DUMMYFUNCTION("GOOGLETRANSLATE(A1221, ""zh"", ""en"")"),"This year, the company added a founding anniversary day to provide souvenirs and other benefits to senior employees with 20 and 30 years of service")</f>
        <v>This year, the company added a founding anniversary day to provide souvenirs and other benefits to senior employees with 20 and 30 years of service</v>
      </c>
      <c r="B1221" s="1" t="str">
        <f ca="1">IFERROR(__xludf.DUMMYFUNCTION("GOOGLETRANSLATE(A1221, ""zh"", ""en"")"),"staff")</f>
        <v>staff</v>
      </c>
      <c r="C1221" s="1" t="str">
        <f ca="1">IFERROR(__xludf.DUMMYFUNCTION("GOOGLETRANSLATE(E1221, ""zh"", ""en"")"),"Qualitative text")</f>
        <v>Qualitative text</v>
      </c>
    </row>
    <row r="1222" spans="1:3" ht="13" x14ac:dyDescent="0.15">
      <c r="A1222" s="1" t="str">
        <f ca="1">IFERROR(__xludf.DUMMYFUNCTION("GOOGLETRANSLATE(A1222, ""zh"", ""en"")"),"P6163B3 Development and Training General Disclosure Policy on improving employees' knowledge and skills to perform their job duties")</f>
        <v>P6163B3 Development and Training General Disclosure Policy on improving employees' knowledge and skills to perform their job duties</v>
      </c>
      <c r="B1222" s="1" t="str">
        <f ca="1">IFERROR(__xludf.DUMMYFUNCTION("GOOGLETRANSLATE(A1222, ""zh"", ""en"")"),"staff")</f>
        <v>staff</v>
      </c>
      <c r="C1222" s="1" t="str">
        <f ca="1">IFERROR(__xludf.DUMMYFUNCTION("GOOGLETRANSLATE(E1222, ""zh"", ""en"")"),"Qualitative text")</f>
        <v>Qualitative text</v>
      </c>
    </row>
    <row r="1223" spans="1:3" ht="13" x14ac:dyDescent="0.15">
      <c r="A1223" s="1" t="str">
        <f ca="1">IFERROR(__xludf.DUMMYFUNCTION("GOOGLETRANSLATE(A1223, ""zh"", ""en"")"),"Since joining the Alliance to End Plastic Waste three years ago, the company has actively fulfilled its obligations as a member and has been fully and deeply involved in the alliance's work.")</f>
        <v>Since joining the Alliance to End Plastic Waste three years ago, the company has actively fulfilled its obligations as a member and has been fully and deeply involved in the alliance's work.</v>
      </c>
      <c r="B1223" s="1" t="str">
        <f ca="1">IFERROR(__xludf.DUMMYFUNCTION("GOOGLETRANSLATE(A1223, ""zh"", ""en"")"),"Waste Management")</f>
        <v>Waste Management</v>
      </c>
      <c r="C1223" s="1" t="str">
        <f ca="1">IFERROR(__xludf.DUMMYFUNCTION("GOOGLETRANSLATE(E1223, ""zh"", ""en"")"),"Qualitative text")</f>
        <v>Qualitative text</v>
      </c>
    </row>
    <row r="1224" spans="1:3" ht="13" x14ac:dyDescent="0.15">
      <c r="A1224" s="1" t="str">
        <f ca="1">IFERROR(__xludf.DUMMYFUNCTION("GOOGLETRANSLATE(A1224, ""zh"", ""en"")"),"In 2022, we achieved the outstanding performance of zero product recalls. No products were recalled due to safety and health issues.")</f>
        <v>In 2022, we achieved the outstanding performance of zero product recalls. No products were recalled due to safety and health issues.</v>
      </c>
      <c r="B1224" s="1" t="str">
        <f ca="1">IFERROR(__xludf.DUMMYFUNCTION("GOOGLETRANSLATE(A1224, ""zh"", ""en"")"),"Product quality")</f>
        <v>Product quality</v>
      </c>
      <c r="C1224" s="1" t="str">
        <f ca="1">IFERROR(__xludf.DUMMYFUNCTION("GOOGLETRANSLATE(E1224, ""zh"", ""en"")"),"Quantitative Text")</f>
        <v>Quantitative Text</v>
      </c>
    </row>
    <row r="1225" spans="1:3" ht="13" x14ac:dyDescent="0.15">
      <c r="A1225" s="1" t="str">
        <f ca="1">IFERROR(__xludf.DUMMYFUNCTION("GOOGLETRANSLATE(A1225, ""zh"", ""en"")"),"In addition, the company actively organizes science popularization activities to build a communication bridge for the public to understand the energy-saving and environmental protection measures of the petrochemical industry.")</f>
        <v>In addition, the company actively organizes science popularization activities to build a communication bridge for the public to understand the energy-saving and environmental protection measures of the petrochemical industry.</v>
      </c>
      <c r="B1225" s="1" t="str">
        <f ca="1">IFERROR(__xludf.DUMMYFUNCTION("GOOGLETRANSLATE(A1225, ""zh"", ""en"")"),"Public welfare and volunteer service")</f>
        <v>Public welfare and volunteer service</v>
      </c>
      <c r="C1225" s="1" t="str">
        <f ca="1">IFERROR(__xludf.DUMMYFUNCTION("GOOGLETRANSLATE(E1225, ""zh"", ""en"")"),"Qualitative text")</f>
        <v>Qualitative text</v>
      </c>
    </row>
    <row r="1226" spans="1:3" ht="13" x14ac:dyDescent="0.15">
      <c r="A1226" s="1" t="str">
        <f ca="1">IFERROR(__xludf.DUMMYFUNCTION("GOOGLETRANSLATE(A1226, ""zh"", ""en"")"),"Developed an honor recognition management system to display personal honor information through a panoramic view of employees to enhance employees' sense of honor and belonging")</f>
        <v>Developed an honor recognition management system to display personal honor information through a panoramic view of employees to enhance employees' sense of honor and belonging</v>
      </c>
      <c r="B1226" s="1" t="str">
        <f ca="1">IFERROR(__xludf.DUMMYFUNCTION("GOOGLETRANSLATE(A1226, ""zh"", ""en"")"),"staff")</f>
        <v>staff</v>
      </c>
      <c r="C1226" s="1" t="str">
        <f ca="1">IFERROR(__xludf.DUMMYFUNCTION("GOOGLETRANSLATE(E1226, ""zh"", ""en"")"),"Qualitative text")</f>
        <v>Qualitative text</v>
      </c>
    </row>
    <row r="1227" spans="1:3" ht="13" x14ac:dyDescent="0.15">
      <c r="A1227" s="1" t="str">
        <f ca="1">IFERROR(__xludf.DUMMYFUNCTION("GOOGLETRANSLATE(A1227, ""zh"", ""en"")"),"Representatives of caring companies and 30 outdoor workers from industries such as sanitation, landscaping, takeaway and express delivery participated in the event.")</f>
        <v>Representatives of caring companies and 30 outdoor workers from industries such as sanitation, landscaping, takeaway and express delivery participated in the event.</v>
      </c>
      <c r="B1227" s="1" t="str">
        <f ca="1">IFERROR(__xludf.DUMMYFUNCTION("GOOGLETRANSLATE(A1227, ""zh"", ""en"")"),"Public welfare and volunteer service")</f>
        <v>Public welfare and volunteer service</v>
      </c>
      <c r="C1227" s="1" t="str">
        <f ca="1">IFERROR(__xludf.DUMMYFUNCTION("GOOGLETRANSLATE(E1227, ""zh"", ""en"")"),"Quantitative Text")</f>
        <v>Quantitative Text</v>
      </c>
    </row>
    <row r="1228" spans="1:3" ht="13" x14ac:dyDescent="0.15">
      <c r="A1228" s="1" t="str">
        <f ca="1">IFERROR(__xludf.DUMMYFUNCTION("GOOGLETRANSLATE(A1228, ""zh"", ""en"")"),"2. Overall turnover rate by gender. Turnover rate by age. Turnover rate statistics do not include overseas employees.")</f>
        <v>2. Overall turnover rate by gender. Turnover rate by age. Turnover rate statistics do not include overseas employees.</v>
      </c>
      <c r="B1228" s="1" t="str">
        <f ca="1">IFERROR(__xludf.DUMMYFUNCTION("GOOGLETRANSLATE(A1228, ""zh"", ""en"")"),"staff")</f>
        <v>staff</v>
      </c>
      <c r="C1228" s="1" t="str">
        <f ca="1">IFERROR(__xludf.DUMMYFUNCTION("GOOGLETRANSLATE(E1228, ""zh"", ""en"")"),"Qualitative text")</f>
        <v>Qualitative text</v>
      </c>
    </row>
    <row r="1229" spans="1:3" ht="13" x14ac:dyDescent="0.15">
      <c r="A1229" s="1" t="str">
        <f ca="1">IFERROR(__xludf.DUMMYFUNCTION("GOOGLETRANSLATE(A1229, ""zh"", ""en"")"),"The Shenzhen Branch's digital consumer protection education venue facilitates customers to learn financial management knowledge online and purchase suitable financial products.")</f>
        <v>The Shenzhen Branch's digital consumer protection education venue facilitates customers to learn financial management knowledge online and purchase suitable financial products.</v>
      </c>
      <c r="B1229" s="1" t="str">
        <f ca="1">IFERROR(__xludf.DUMMYFUNCTION("GOOGLETRANSLATE(A1229, ""zh"", ""en"")"),"Customers and Consumers")</f>
        <v>Customers and Consumers</v>
      </c>
      <c r="C1229" s="1" t="str">
        <f ca="1">IFERROR(__xludf.DUMMYFUNCTION("GOOGLETRANSLATE(E1229, ""zh"", ""en"")"),"Qualitative text")</f>
        <v>Qualitative text</v>
      </c>
    </row>
    <row r="1230" spans="1:3" ht="13" x14ac:dyDescent="0.15">
      <c r="A1230" s="1" t="str">
        <f ca="1">IFERROR(__xludf.DUMMYFUNCTION("GOOGLETRANSLATE(A1230, ""zh"", ""en"")"),"Formulate and implement Sinopec's 14th Five-Year Plan and mid- to long-term talent development plans to promote the development of a high-quality professional talent team")</f>
        <v>Formulate and implement Sinopec's 14th Five-Year Plan and mid- to long-term talent development plans to promote the development of a high-quality professional talent team</v>
      </c>
      <c r="B1230" s="1" t="str">
        <f ca="1">IFERROR(__xludf.DUMMYFUNCTION("GOOGLETRANSLATE(A1230, ""zh"", ""en"")"),"staff")</f>
        <v>staff</v>
      </c>
      <c r="C1230" s="1" t="str">
        <f ca="1">IFERROR(__xludf.DUMMYFUNCTION("GOOGLETRANSLATE(E1230, ""zh"", ""en"")"),"Qualitative text")</f>
        <v>Qualitative text</v>
      </c>
    </row>
    <row r="1231" spans="1:3" ht="13" x14ac:dyDescent="0.15">
      <c r="A1231" s="1" t="str">
        <f ca="1">IFERROR(__xludf.DUMMYFUNCTION("GOOGLETRANSLATE(A1231, ""zh"", ""en"")"),"Actively implement the concept of green and low-carbon development, strengthen communication and exchanges, and promptly respond to stakeholders' concerns about climate issues and impacts.")</f>
        <v>Actively implement the concept of green and low-carbon development, strengthen communication and exchanges, and promptly respond to stakeholders' concerns about climate issues and impacts.</v>
      </c>
      <c r="B1231" s="1" t="str">
        <f ca="1">IFERROR(__xludf.DUMMYFUNCTION("GOOGLETRANSLATE(A1231, ""zh"", ""en"")"),"Addressing climate change")</f>
        <v>Addressing climate change</v>
      </c>
      <c r="C1231" s="1" t="str">
        <f ca="1">IFERROR(__xludf.DUMMYFUNCTION("GOOGLETRANSLATE(E1231, ""zh"", ""en"")"),"Qualitative text")</f>
        <v>Qualitative text</v>
      </c>
    </row>
    <row r="1232" spans="1:3" ht="13" x14ac:dyDescent="0.15">
      <c r="A1232" s="1" t="str">
        <f ca="1">IFERROR(__xludf.DUMMYFUNCTION("GOOGLETRANSLATE(A1232, ""zh"", ""en"")"),"ESG themed product companies actively develop strategic products that comply with ESG themes to provide clients with diversified investment services")</f>
        <v>ESG themed product companies actively develop strategic products that comply with ESG themes to provide clients with diversified investment services</v>
      </c>
      <c r="B1232" s="1" t="str">
        <f ca="1">IFERROR(__xludf.DUMMYFUNCTION("GOOGLETRANSLATE(A1232, ""zh"", ""en"")"),"Customers and Consumers")</f>
        <v>Customers and Consumers</v>
      </c>
      <c r="C1232" s="1" t="str">
        <f ca="1">IFERROR(__xludf.DUMMYFUNCTION("GOOGLETRANSLATE(E1232, ""zh"", ""en"")"),"Qualitative text")</f>
        <v>Qualitative text</v>
      </c>
    </row>
    <row r="1233" spans="1:3" ht="13" x14ac:dyDescent="0.15">
      <c r="A1233" s="1" t="str">
        <f ca="1">IFERROR(__xludf.DUMMYFUNCTION("GOOGLETRANSLATE(A1233, ""zh"", ""en"")"),"The integration of digital and intelligence is an important development theme of the group and runs through the entire process of Shanghai Electric's digital transformation and dual-carbon layout.")</f>
        <v>The integration of digital and intelligence is an important development theme of the group and runs through the entire process of Shanghai Electric's digital transformation and dual-carbon layout.</v>
      </c>
      <c r="B1233" s="1" t="str">
        <f ca="1">IFERROR(__xludf.DUMMYFUNCTION("GOOGLETRANSLATE(A1233, ""zh"", ""en"")"),"Technological innovation")</f>
        <v>Technological innovation</v>
      </c>
      <c r="C1233" s="1" t="str">
        <f ca="1">IFERROR(__xludf.DUMMYFUNCTION("GOOGLETRANSLATE(E1233, ""zh"", ""en"")"),"Qualitative text")</f>
        <v>Qualitative text</v>
      </c>
    </row>
    <row r="1234" spans="1:3" ht="13" x14ac:dyDescent="0.15">
      <c r="A1234" s="1" t="str">
        <f ca="1">IFERROR(__xludf.DUMMYFUNCTION("GOOGLETRANSLATE(A1234, ""zh"", ""en"")"),"As the climate worsens, the increased probability of climate disasters may affect the market valuation of some clients and investment targets.")</f>
        <v>As the climate worsens, the increased probability of climate disasters may affect the market valuation of some clients and investment targets.</v>
      </c>
      <c r="B1234" s="1" t="str">
        <f ca="1">IFERROR(__xludf.DUMMYFUNCTION("GOOGLETRANSLATE(A1234, ""zh"", ""en"")"),"Addressing climate change")</f>
        <v>Addressing climate change</v>
      </c>
      <c r="C1234" s="1" t="str">
        <f ca="1">IFERROR(__xludf.DUMMYFUNCTION("GOOGLETRANSLATE(E1234, ""zh"", ""en"")"),"Qualitative text")</f>
        <v>Qualitative text</v>
      </c>
    </row>
    <row r="1235" spans="1:3" ht="13" x14ac:dyDescent="0.15">
      <c r="A1235" s="1" t="str">
        <f ca="1">IFERROR(__xludf.DUMMYFUNCTION("GOOGLETRANSLATE(A1235, ""zh"", ""en"")"),"On the 19th 614 World Blood Donation Day, the Finance Company organized volunteers to participate in the Wuchan Zhongda Blue Angels Love Blood Donation Activity")</f>
        <v>On the 19th 614 World Blood Donation Day, the Finance Company organized volunteers to participate in the Wuchan Zhongda Blue Angels Love Blood Donation Activity</v>
      </c>
      <c r="B1235" s="1" t="str">
        <f ca="1">IFERROR(__xludf.DUMMYFUNCTION("GOOGLETRANSLATE(A1235, ""zh"", ""en"")"),"Public welfare and volunteer service")</f>
        <v>Public welfare and volunteer service</v>
      </c>
      <c r="C1235" s="1" t="str">
        <f ca="1">IFERROR(__xludf.DUMMYFUNCTION("GOOGLETRANSLATE(E1235, ""zh"", ""en"")"),"Qualitative text")</f>
        <v>Qualitative text</v>
      </c>
    </row>
    <row r="1236" spans="1:3" ht="13" x14ac:dyDescent="0.15">
      <c r="A1236" s="1" t="str">
        <f ca="1">IFERROR(__xludf.DUMMYFUNCTION("GOOGLETRANSLATE(A1236, ""zh"", ""en"")"),"Under the leadership of Shanghai Electric Headquarters, the group's subsidiaries have also actively carried out water-saving actions to strengthen the promotion of water-saving awareness.")</f>
        <v>Under the leadership of Shanghai Electric Headquarters, the group's subsidiaries have also actively carried out water-saving actions to strengthen the promotion of water-saving awareness.</v>
      </c>
      <c r="B1236" s="1" t="str">
        <f ca="1">IFERROR(__xludf.DUMMYFUNCTION("GOOGLETRANSLATE(A1236, ""zh"", ""en"")"),"Water resources")</f>
        <v>Water resources</v>
      </c>
      <c r="C1236" s="1" t="str">
        <f ca="1">IFERROR(__xludf.DUMMYFUNCTION("GOOGLETRANSLATE(E1236, ""zh"", ""en"")"),"Qualitative text")</f>
        <v>Qualitative text</v>
      </c>
    </row>
    <row r="1237" spans="1:3" ht="13" x14ac:dyDescent="0.15">
      <c r="A1237" s="1" t="str">
        <f ca="1">IFERROR(__xludf.DUMMYFUNCTION("GOOGLETRANSLATE(A1237, ""zh"", ""en"")"),"Support the development of carbon trading markets, develop products and services such as credit risk mitigation tools, and participate in the design of multiple systems and the formulation of standards.")</f>
        <v>Support the development of carbon trading markets, develop products and services such as credit risk mitigation tools, and participate in the design of multiple systems and the formulation of standards.</v>
      </c>
      <c r="B1237" s="1" t="str">
        <f ca="1">IFERROR(__xludf.DUMMYFUNCTION("GOOGLETRANSLATE(A1237, ""zh"", ""en"")"),"carbon emissions")</f>
        <v>carbon emissions</v>
      </c>
      <c r="C1237" s="1" t="str">
        <f ca="1">IFERROR(__xludf.DUMMYFUNCTION("GOOGLETRANSLATE(E1237, ""zh"", ""en"")"),"Qualitative text")</f>
        <v>Qualitative text</v>
      </c>
    </row>
    <row r="1238" spans="1:3" ht="13" x14ac:dyDescent="0.15">
      <c r="A1238" s="1" t="str">
        <f ca="1">IFERROR(__xludf.DUMMYFUNCTION("GOOGLETRANSLATE(A1238, ""zh"", ""en"")"),"The company has established a complete and reasonable salary and benefits management system to provide employees with competitive salary, benefits and reward mechanisms")</f>
        <v>The company has established a complete and reasonable salary and benefits management system to provide employees with competitive salary, benefits and reward mechanisms</v>
      </c>
      <c r="B1238" s="1" t="str">
        <f ca="1">IFERROR(__xludf.DUMMYFUNCTION("GOOGLETRANSLATE(A1238, ""zh"", ""en"")"),"staff")</f>
        <v>staff</v>
      </c>
      <c r="C1238" s="1" t="str">
        <f ca="1">IFERROR(__xludf.DUMMYFUNCTION("GOOGLETRANSLATE(E1238, ""zh"", ""en"")"),"Qualitative text")</f>
        <v>Qualitative text</v>
      </c>
    </row>
    <row r="1239" spans="1:3" ht="13" x14ac:dyDescent="0.15">
      <c r="A1239" s="1" t="str">
        <f ca="1">IFERROR(__xludf.DUMMYFUNCTION("GOOGLETRANSLATE(A1239, ""zh"", ""en"")"),"If an employee does not agree with or accept the performance appraisal results, he or she may submit a written appeal to the Human Resources Department within the specified time.")</f>
        <v>If an employee does not agree with or accept the performance appraisal results, he or she may submit a written appeal to the Human Resources Department within the specified time.</v>
      </c>
      <c r="B1239" s="1" t="str">
        <f ca="1">IFERROR(__xludf.DUMMYFUNCTION("GOOGLETRANSLATE(A1239, ""zh"", ""en"")"),"staff")</f>
        <v>staff</v>
      </c>
      <c r="C1239" s="1" t="str">
        <f ca="1">IFERROR(__xludf.DUMMYFUNCTION("GOOGLETRANSLATE(E1239, ""zh"", ""en"")"),"Qualitative text")</f>
        <v>Qualitative text</v>
      </c>
    </row>
    <row r="1240" spans="1:3" ht="13" x14ac:dyDescent="0.15">
      <c r="A1240" s="1" t="str">
        <f ca="1">IFERROR(__xludf.DUMMYFUNCTION("GOOGLETRANSLATE(A1240, ""zh"", ""en"")"),"Aspect A3 Environment and Natural Resources General Disclosure Policies on minimizing the issuer's significant impacts on the environment and natural resources")</f>
        <v>Aspect A3 Environment and Natural Resources General Disclosure Policies on minimizing the issuer's significant impacts on the environment and natural resources</v>
      </c>
      <c r="B1240" s="1" t="str">
        <f ca="1">IFERROR(__xludf.DUMMYFUNCTION("GOOGLETRANSLATE(A1240, ""zh"", ""en"")"),"Environmental Policy")</f>
        <v>Environmental Policy</v>
      </c>
      <c r="C1240" s="1" t="str">
        <f ca="1">IFERROR(__xludf.DUMMYFUNCTION("GOOGLETRANSLATE(E1240, ""zh"", ""en"")"),"Qualitative text")</f>
        <v>Qualitative text</v>
      </c>
    </row>
    <row r="1241" spans="1:3" ht="13" x14ac:dyDescent="0.15">
      <c r="A1241" s="1" t="str">
        <f ca="1">IFERROR(__xludf.DUMMYFUNCTION("GOOGLETRANSLATE(A1241, ""zh"", ""en"")"),"Equipment upgrades and water recovery process improvements have been made to strengthen the reuse of residual water and the reuse of recycled water to achieve water resource recycling and avoid waste.")</f>
        <v>Equipment upgrades and water recovery process improvements have been made to strengthen the reuse of residual water and the reuse of recycled water to achieve water resource recycling and avoid waste.</v>
      </c>
      <c r="B1241" s="1" t="str">
        <f ca="1">IFERROR(__xludf.DUMMYFUNCTION("GOOGLETRANSLATE(A1241, ""zh"", ""en"")"),"Water resources")</f>
        <v>Water resources</v>
      </c>
      <c r="C1241" s="1" t="str">
        <f ca="1">IFERROR(__xludf.DUMMYFUNCTION("GOOGLETRANSLATE(E1241, ""zh"", ""en"")"),"Qualitative text")</f>
        <v>Qualitative text</v>
      </c>
    </row>
    <row r="1242" spans="1:3" ht="13" x14ac:dyDescent="0.15">
      <c r="A1242" s="1" t="str">
        <f ca="1">IFERROR(__xludf.DUMMYFUNCTION("GOOGLETRANSLATE(A1242, ""zh"", ""en"")"),"When the identity of a whistleblower needs to be disclosed for investigation purposes or as required by local law, the company will strictly limit the scope of disclosure.")</f>
        <v>When the identity of a whistleblower needs to be disclosed for investigation purposes or as required by local law, the company will strictly limit the scope of disclosure.</v>
      </c>
      <c r="B1242" s="1" t="str">
        <f ca="1">IFERROR(__xludf.DUMMYFUNCTION("GOOGLETRANSLATE(A1242, ""zh"", ""en"")"),"Reporting System")</f>
        <v>Reporting System</v>
      </c>
      <c r="C1242" s="1" t="str">
        <f ca="1">IFERROR(__xludf.DUMMYFUNCTION("GOOGLETRANSLATE(E1242, ""zh"", ""en"")"),"Qualitative text")</f>
        <v>Qualitative text</v>
      </c>
    </row>
    <row r="1243" spans="1:3" ht="13" x14ac:dyDescent="0.15">
      <c r="A1243" s="1" t="str">
        <f ca="1">IFERROR(__xludf.DUMMYFUNCTION("GOOGLETRANSLATE(A1243, ""zh"", ""en"")"),"Based on historical statistics and carbon inventory results, our carbon emissions mainly come from indirect emissions during the product use phase.")</f>
        <v>Based on historical statistics and carbon inventory results, our carbon emissions mainly come from indirect emissions during the product use phase.</v>
      </c>
      <c r="B1243" s="1" t="str">
        <f ca="1">IFERROR(__xludf.DUMMYFUNCTION("GOOGLETRANSLATE(A1243, ""zh"", ""en"")"),"carbon emissions")</f>
        <v>carbon emissions</v>
      </c>
      <c r="C1243" s="1" t="str">
        <f ca="1">IFERROR(__xludf.DUMMYFUNCTION("GOOGLETRANSLATE(E1243, ""zh"", ""en"")"),"Qualitative text")</f>
        <v>Qualitative text</v>
      </c>
    </row>
    <row r="1244" spans="1:3" ht="13" x14ac:dyDescent="0.15">
      <c r="A1244" s="1" t="str">
        <f ca="1">IFERROR(__xludf.DUMMYFUNCTION("GOOGLETRANSLATE(A1244, ""zh"", ""en"")"),"We regularly conduct routine audits and assessments of information security to promote comprehensive supervision of the company's information security and data protection")</f>
        <v>We regularly conduct routine audits and assessments of information security to promote comprehensive supervision of the company's information security and data protection</v>
      </c>
      <c r="B1244" s="1" t="str">
        <f ca="1">IFERROR(__xludf.DUMMYFUNCTION("GOOGLETRANSLATE(A1244, ""zh"", ""en"")"),"Data security")</f>
        <v>Data security</v>
      </c>
      <c r="C1244" s="1" t="str">
        <f ca="1">IFERROR(__xludf.DUMMYFUNCTION("GOOGLETRANSLATE(E1244, ""zh"", ""en"")"),"Qualitative text")</f>
        <v>Qualitative text</v>
      </c>
    </row>
    <row r="1245" spans="1:3" ht="13" x14ac:dyDescent="0.15">
      <c r="A1245" s="1" t="str">
        <f ca="1">IFERROR(__xludf.DUMMYFUNCTION("GOOGLETRANSLATE(A1245, ""zh"", ""en"")"),"No Haier Smart Home-related apps were publicly notified or removed from shelves by national regulatory authorities this year.")</f>
        <v>No Haier Smart Home-related apps were publicly notified or removed from shelves by national regulatory authorities this year.</v>
      </c>
      <c r="B1245" s="1" t="str">
        <f ca="1">IFERROR(__xludf.DUMMYFUNCTION("GOOGLETRANSLATE(A1245, ""zh"", ""en"")"),"Legal proceedings and external sanctions")</f>
        <v>Legal proceedings and external sanctions</v>
      </c>
      <c r="C1245" s="1" t="str">
        <f ca="1">IFERROR(__xludf.DUMMYFUNCTION("GOOGLETRANSLATE(E1245, ""zh"", ""en"")"),"Quantitative Text")</f>
        <v>Quantitative Text</v>
      </c>
    </row>
    <row r="1246" spans="1:3" ht="13" x14ac:dyDescent="0.15">
      <c r="A1246" s="1" t="str">
        <f ca="1">IFERROR(__xludf.DUMMYFUNCTION("GOOGLETRANSLATE(A1246, ""zh"", ""en"")"),"The Nomination Committee is responsible for reviewing the effectiveness and implementation of the Board's diversity policy and conducting regular diversity assessments each year.")</f>
        <v>The Nomination Committee is responsible for reviewing the effectiveness and implementation of the Board's diversity policy and conducting regular diversity assessments each year.</v>
      </c>
      <c r="B1246" s="1" t="str">
        <f ca="1">IFERROR(__xludf.DUMMYFUNCTION("GOOGLETRANSLATE(A1246, ""zh"", ""en"")"),"Organizational structure and operations")</f>
        <v>Organizational structure and operations</v>
      </c>
      <c r="C1246" s="1" t="str">
        <f ca="1">IFERROR(__xludf.DUMMYFUNCTION("GOOGLETRANSLATE(E1246, ""zh"", ""en"")"),"Qualitative text")</f>
        <v>Qualitative text</v>
      </c>
    </row>
    <row r="1247" spans="1:3" ht="13" x14ac:dyDescent="0.15">
      <c r="A1247" s="1" t="str">
        <f ca="1">IFERROR(__xludf.DUMMYFUNCTION("GOOGLETRANSLATE(A1247, ""zh"", ""en"")"),"We maintain an open mind, advocate collaborative development and win-win cooperation with all stakeholders, and focus on the continuous improvement of employee happiness.")</f>
        <v>We maintain an open mind, advocate collaborative development and win-win cooperation with all stakeholders, and focus on the continuous improvement of employee happiness.</v>
      </c>
      <c r="B1247" s="1" t="str">
        <f ca="1">IFERROR(__xludf.DUMMYFUNCTION("GOOGLETRANSLATE(A1247, ""zh"", ""en"")"),"staff")</f>
        <v>staff</v>
      </c>
      <c r="C1247" s="1" t="str">
        <f ca="1">IFERROR(__xludf.DUMMYFUNCTION("GOOGLETRANSLATE(E1247, ""zh"", ""en"")"),"Qualitative text")</f>
        <v>Qualitative text</v>
      </c>
    </row>
    <row r="1248" spans="1:3" ht="13" x14ac:dyDescent="0.15">
      <c r="A1248" s="1" t="str">
        <f ca="1">IFERROR(__xludf.DUMMYFUNCTION("GOOGLETRANSLATE(A1248, ""zh"", ""en"")"),"The digital platform for centralized procurement of government and enterprises was successfully shortlisted for the first Global Digital Trade Expo results release conference and debuted at the conference.")</f>
        <v>The digital platform for centralized procurement of government and enterprises was successfully shortlisted for the first Global Digital Trade Expo results release conference and debuted at the conference.</v>
      </c>
      <c r="B1248" s="1" t="str">
        <f ca="1">IFERROR(__xludf.DUMMYFUNCTION("GOOGLETRANSLATE(A1248, ""zh"", ""en"")"),"Technological innovation")</f>
        <v>Technological innovation</v>
      </c>
      <c r="C1248" s="1" t="str">
        <f ca="1">IFERROR(__xludf.DUMMYFUNCTION("GOOGLETRANSLATE(E1248, ""zh"", ""en"")"),"Qualitative text")</f>
        <v>Qualitative text</v>
      </c>
    </row>
    <row r="1249" spans="1:3" ht="13" x14ac:dyDescent="0.15">
      <c r="A1249" s="1" t="str">
        <f ca="1">IFERROR(__xludf.DUMMYFUNCTION("GOOGLETRANSLATE(A1249, ""zh"", ""en"")"),"In 2022, Yuantong Automobile continued to carry out poverty alleviation work and purchased agricultural products from Xinling Village in Longquan for a total of more than 613,000 yuan.")</f>
        <v>In 2022, Yuantong Automobile continued to carry out poverty alleviation work and purchased agricultural products from Xinling Village in Longquan for a total of more than 613,000 yuan.</v>
      </c>
      <c r="B1249" s="1" t="str">
        <f ca="1">IFERROR(__xludf.DUMMYFUNCTION("GOOGLETRANSLATE(A1249, ""zh"", ""en"")"),"Rural assistance")</f>
        <v>Rural assistance</v>
      </c>
      <c r="C1249" s="1" t="str">
        <f ca="1">IFERROR(__xludf.DUMMYFUNCTION("GOOGLETRANSLATE(E1249, ""zh"", ""en"")"),"Quantitative Text")</f>
        <v>Quantitative Text</v>
      </c>
    </row>
    <row r="1250" spans="1:3" ht="13" x14ac:dyDescent="0.15">
      <c r="A1250" s="1" t="str">
        <f ca="1">IFERROR(__xludf.DUMMYFUNCTION("GOOGLETRANSLATE(A1250, ""zh"", ""en"")"),"This year, 13 outstanding managers who have received diversity training will provide necessary support and caring assistance to their colleagues.")</f>
        <v>This year, 13 outstanding managers who have received diversity training will provide necessary support and caring assistance to their colleagues.</v>
      </c>
      <c r="B1250" s="1" t="str">
        <f ca="1">IFERROR(__xludf.DUMMYFUNCTION("GOOGLETRANSLATE(A1250, ""zh"", ""en"")"),"staff")</f>
        <v>staff</v>
      </c>
      <c r="C1250" s="1" t="str">
        <f ca="1">IFERROR(__xludf.DUMMYFUNCTION("GOOGLETRANSLATE(E1250, ""zh"", ""en"")"),"Quantitative Text")</f>
        <v>Quantitative Text</v>
      </c>
    </row>
    <row r="1251" spans="1:3" ht="13" x14ac:dyDescent="0.15">
      <c r="A1251" s="1" t="str">
        <f ca="1">IFERROR(__xludf.DUMMYFUNCTION("GOOGLETRANSLATE(A1251, ""zh"", ""en"")"),"In 2022, the company will send personnel to the Americas, Asia Pacific and the Middle East to carry out supervision work to ensure the effective operation of the overseas supervision mechanism.")</f>
        <v>In 2022, the company will send personnel to the Americas, Asia Pacific and the Middle East to carry out supervision work to ensure the effective operation of the overseas supervision mechanism.</v>
      </c>
      <c r="B1251" s="1" t="str">
        <f ca="1">IFERROR(__xludf.DUMMYFUNCTION("GOOGLETRANSLATE(A1251, ""zh"", ""en"")"),"Organizational structure and operations")</f>
        <v>Organizational structure and operations</v>
      </c>
      <c r="C1251" s="1" t="str">
        <f ca="1">IFERROR(__xludf.DUMMYFUNCTION("GOOGLETRANSLATE(E1251, ""zh"", ""en"")"),"Qualitative text")</f>
        <v>Qualitative text</v>
      </c>
    </row>
    <row r="1252" spans="1:3" ht="13" x14ac:dyDescent="0.15">
      <c r="A1252" s="1" t="str">
        <f ca="1">IFERROR(__xludf.DUMMYFUNCTION("GOOGLETRANSLATE(A1252, ""zh"", ""en"")"),"In July 2020, Kangyuan officially established the Social Responsibility Committee of the Board of Directors, under which the Social Responsibility Working Group was established.")</f>
        <v>In July 2020, Kangyuan officially established the Social Responsibility Committee of the Board of Directors, under which the Social Responsibility Working Group was established.</v>
      </c>
      <c r="B1252" s="1" t="str">
        <f ca="1">IFERROR(__xludf.DUMMYFUNCTION("GOOGLETRANSLATE(A1252, ""zh"", ""en"")"),"Organizational structure and operations")</f>
        <v>Organizational structure and operations</v>
      </c>
      <c r="C1252" s="1" t="str">
        <f ca="1">IFERROR(__xludf.DUMMYFUNCTION("GOOGLETRANSLATE(E1252, ""zh"", ""en"")"),"Qualitative text")</f>
        <v>Qualitative text</v>
      </c>
    </row>
    <row r="1253" spans="1:3" ht="13" x14ac:dyDescent="0.15">
      <c r="A1253" s="1" t="str">
        <f ca="1">IFERROR(__xludf.DUMMYFUNCTION("GOOGLETRANSLATE(A1253, ""zh"", ""en"")"),"A total of 28 trainees from the group headquarters and its affiliated industrial enterprises participated in the first phase of training, and 16 trainees participated in the second phase of training.")</f>
        <v>A total of 28 trainees from the group headquarters and its affiliated industrial enterprises participated in the first phase of training, and 16 trainees participated in the second phase of training.</v>
      </c>
      <c r="B1253" s="1" t="str">
        <f ca="1">IFERROR(__xludf.DUMMYFUNCTION("GOOGLETRANSLATE(A1253, ""zh"", ""en"")"),"staff")</f>
        <v>staff</v>
      </c>
      <c r="C1253" s="1" t="str">
        <f ca="1">IFERROR(__xludf.DUMMYFUNCTION("GOOGLETRANSLATE(E1253, ""zh"", ""en"")"),"Quantitative Text")</f>
        <v>Quantitative Text</v>
      </c>
    </row>
    <row r="1254" spans="1:3" ht="13" x14ac:dyDescent="0.15">
      <c r="A1254" s="1" t="str">
        <f ca="1">IFERROR(__xludf.DUMMYFUNCTION("GOOGLETRANSLATE(A1254, ""zh"", ""en"")"),"The Social Responsibility Committee of the Board of Directors is composed of three directors, including one independent director, and is chaired by the Chairman.")</f>
        <v>The Social Responsibility Committee of the Board of Directors is composed of three directors, including one independent director, and is chaired by the Chairman.</v>
      </c>
      <c r="B1254" s="1" t="str">
        <f ca="1">IFERROR(__xludf.DUMMYFUNCTION("GOOGLETRANSLATE(A1254, ""zh"", ""en"")"),"Organizational structure and operations")</f>
        <v>Organizational structure and operations</v>
      </c>
      <c r="C1254" s="1" t="str">
        <f ca="1">IFERROR(__xludf.DUMMYFUNCTION("GOOGLETRANSLATE(E1254, ""zh"", ""en"")"),"Quantitative Text")</f>
        <v>Quantitative Text</v>
      </c>
    </row>
    <row r="1255" spans="1:3" ht="13" x14ac:dyDescent="0.15">
      <c r="A1255" s="1" t="str">
        <f ca="1">IFERROR(__xludf.DUMMYFUNCTION("GOOGLETRANSLATE(A1255, ""zh"", ""en"")"),"In terms of channel construction, we have worked with Xiaodu Smart to establish more than 70 Sunshine Xiaodu Smart experience scene areas in Sunshine stores across the country.")</f>
        <v>In terms of channel construction, we have worked with Xiaodu Smart to establish more than 70 Sunshine Xiaodu Smart experience scene areas in Sunshine stores across the country.</v>
      </c>
      <c r="B1255" s="1" t="str">
        <f ca="1">IFERROR(__xludf.DUMMYFUNCTION("GOOGLETRANSLATE(A1255, ""zh"", ""en"")"),"Technological innovation")</f>
        <v>Technological innovation</v>
      </c>
      <c r="C1255" s="1" t="str">
        <f ca="1">IFERROR(__xludf.DUMMYFUNCTION("GOOGLETRANSLATE(E1255, ""zh"", ""en"")"),"Quantitative Text")</f>
        <v>Quantitative Text</v>
      </c>
    </row>
    <row r="1256" spans="1:3" ht="13" x14ac:dyDescent="0.15">
      <c r="A1256" s="1" t="str">
        <f ca="1">IFERROR(__xludf.DUMMYFUNCTION("GOOGLETRANSLATE(A1256, ""zh"", ""en"")"),"The company has established a long-term mechanism to prevent the controlling shareholder and its affiliated companies from misappropriating the listed company's funds and infringing on the interests of the listed company.")</f>
        <v>The company has established a long-term mechanism to prevent the controlling shareholder and its affiliated companies from misappropriating the listed company's funds and infringing on the interests of the listed company.</v>
      </c>
      <c r="B1256" s="1" t="str">
        <f ca="1">IFERROR(__xludf.DUMMYFUNCTION("GOOGLETRANSLATE(A1256, ""zh"", ""en"")"),"Shareholder and creditor rights")</f>
        <v>Shareholder and creditor rights</v>
      </c>
      <c r="C1256" s="1" t="str">
        <f ca="1">IFERROR(__xludf.DUMMYFUNCTION("GOOGLETRANSLATE(E1256, ""zh"", ""en"")"),"Qualitative text")</f>
        <v>Qualitative text</v>
      </c>
    </row>
    <row r="1257" spans="1:3" ht="13" x14ac:dyDescent="0.15">
      <c r="A1257" s="1" t="str">
        <f ca="1">IFERROR(__xludf.DUMMYFUNCTION("GOOGLETRANSLATE(A1257, ""zh"", ""en"")"),"We continue to carry out chronic disease public welfare projects for low-income chronic disease patients, bringing tangible health dividends to grassroots people.")</f>
        <v>We continue to carry out chronic disease public welfare projects for low-income chronic disease patients, bringing tangible health dividends to grassroots people.</v>
      </c>
      <c r="B1257" s="1" t="str">
        <f ca="1">IFERROR(__xludf.DUMMYFUNCTION("GOOGLETRANSLATE(A1257, ""zh"", ""en"")"),"Public welfare and volunteer service")</f>
        <v>Public welfare and volunteer service</v>
      </c>
      <c r="C1257" s="1" t="str">
        <f ca="1">IFERROR(__xludf.DUMMYFUNCTION("GOOGLETRANSLATE(E1257, ""zh"", ""en"")"),"Qualitative text")</f>
        <v>Qualitative text</v>
      </c>
    </row>
    <row r="1258" spans="1:3" ht="13" x14ac:dyDescent="0.15">
      <c r="A1258" s="1" t="str">
        <f ca="1">IFERROR(__xludf.DUMMYFUNCTION("GOOGLETRANSLATE(A1258, ""zh"", ""en"")"),"Party members' learning aims to guide the majority of party members to take the lead in their posts and strive for excellence, and to contribute to the high-quality development of the group through practical actions.")</f>
        <v>Party members' learning aims to guide the majority of party members to take the lead in their posts and strive for excellence, and to contribute to the high-quality development of the group through practical actions.</v>
      </c>
      <c r="B1258" s="1" t="str">
        <f ca="1">IFERROR(__xludf.DUMMYFUNCTION("GOOGLETRANSLATE(A1258, ""zh"", ""en"")"),"Organizational structure and operations")</f>
        <v>Organizational structure and operations</v>
      </c>
      <c r="C1258" s="1" t="str">
        <f ca="1">IFERROR(__xludf.DUMMYFUNCTION("GOOGLETRANSLATE(E1258, ""zh"", ""en"")"),"Qualitative text")</f>
        <v>Qualitative text</v>
      </c>
    </row>
    <row r="1259" spans="1:3" ht="13" x14ac:dyDescent="0.15">
      <c r="A1259" s="1" t="str">
        <f ca="1">IFERROR(__xludf.DUMMYFUNCTION("GOOGLETRANSLATE(A1259, ""zh"", ""en"")"),"Our functional structure is steadily optimized on the basis of maintaining stability in line with the needs of the group's industrial transformation and intelligent development.")</f>
        <v>Our functional structure is steadily optimized on the basis of maintaining stability in line with the needs of the group's industrial transformation and intelligent development.</v>
      </c>
      <c r="B1259" s="1" t="str">
        <f ca="1">IFERROR(__xludf.DUMMYFUNCTION("GOOGLETRANSLATE(A1259, ""zh"", ""en"")"),"Organizational structure and operations")</f>
        <v>Organizational structure and operations</v>
      </c>
      <c r="C1259" s="1" t="str">
        <f ca="1">IFERROR(__xludf.DUMMYFUNCTION("GOOGLETRANSLATE(E1259, ""zh"", ""en"")"),"Qualitative text")</f>
        <v>Qualitative text</v>
      </c>
    </row>
    <row r="1260" spans="1:3" ht="13" x14ac:dyDescent="0.15">
      <c r="A1260" s="1" t="str">
        <f ca="1">IFERROR(__xludf.DUMMYFUNCTION("GOOGLETRANSLATE(A1260, ""zh"", ""en"")"),"Actual future results or trends may differ materially from those in these forward-looking statements due to numerous variables.")</f>
        <v>Actual future results or trends may differ materially from those in these forward-looking statements due to numerous variables.</v>
      </c>
      <c r="B1260" s="1" t="str">
        <f ca="1">IFERROR(__xludf.DUMMYFUNCTION("GOOGLETRANSLATE(A1260, ""zh"", ""en"")"),"irrelevant text")</f>
        <v>irrelevant text</v>
      </c>
      <c r="C1260" s="1" t="str">
        <f ca="1">IFERROR(__xludf.DUMMYFUNCTION("GOOGLETRANSLATE(E1260, ""zh"", ""en"")"),"irrelevant text")</f>
        <v>irrelevant text</v>
      </c>
    </row>
    <row r="1261" spans="1:3" ht="13" x14ac:dyDescent="0.15">
      <c r="A1261" s="1" t="str">
        <f ca="1">IFERROR(__xludf.DUMMYFUNCTION("GOOGLETRANSLATE(A1261, ""zh"", ""en"")"),"The company discloses its main financial data, shareholder information and company financial statements every quarter and truthfully updates the company's operating conditions.")</f>
        <v>The company discloses its main financial data, shareholder information and company financial statements every quarter and truthfully updates the company's operating conditions.</v>
      </c>
      <c r="B1261" s="1" t="str">
        <f ca="1">IFERROR(__xludf.DUMMYFUNCTION("GOOGLETRANSLATE(A1261, ""zh"", ""en"")"),"Shareholder and creditor rights")</f>
        <v>Shareholder and creditor rights</v>
      </c>
      <c r="C1261" s="1" t="str">
        <f ca="1">IFERROR(__xludf.DUMMYFUNCTION("GOOGLETRANSLATE(E1261, ""zh"", ""en"")"),"Qualitative text")</f>
        <v>Qualitative text</v>
      </c>
    </row>
    <row r="1262" spans="1:3" ht="13" x14ac:dyDescent="0.15">
      <c r="A1262" s="1" t="str">
        <f ca="1">IFERROR(__xludf.DUMMYFUNCTION("GOOGLETRANSLATE(A1262, ""zh"", ""en"")"),"Under the circumstances of global warming, the Group expects to increase energy consumption to maintain normal production and operation costs will further increase.")</f>
        <v>Under the circumstances of global warming, the Group expects to increase energy consumption to maintain normal production and operation costs will further increase.</v>
      </c>
      <c r="B1262" s="1" t="str">
        <f ca="1">IFERROR(__xludf.DUMMYFUNCTION("GOOGLETRANSLATE(A1262, ""zh"", ""en"")"),"Addressing climate change")</f>
        <v>Addressing climate change</v>
      </c>
      <c r="C1262" s="1" t="str">
        <f ca="1">IFERROR(__xludf.DUMMYFUNCTION("GOOGLETRANSLATE(E1262, ""zh"", ""en"")"),"Qualitative text")</f>
        <v>Qualitative text</v>
      </c>
    </row>
    <row r="1263" spans="1:3" ht="13" x14ac:dyDescent="0.15">
      <c r="A1263" s="1" t="str">
        <f ca="1">IFERROR(__xludf.DUMMYFUNCTION("GOOGLETRANSLATE(A1263, ""zh"", ""en"")"),"1The headquarters issued two energy-saving and efficiency-enhancing documents requiring member companies to attach importance to and strengthen energy conservation and emission reduction to improve energy efficiency.")</f>
        <v>1The headquarters issued two energy-saving and efficiency-enhancing documents requiring member companies to attach importance to and strengthen energy conservation and emission reduction to improve energy efficiency.</v>
      </c>
      <c r="B1263" s="1" t="str">
        <f ca="1">IFERROR(__xludf.DUMMYFUNCTION("GOOGLETRANSLATE(A1263, ""zh"", ""en"")"),"Energy and resource consumption")</f>
        <v>Energy and resource consumption</v>
      </c>
      <c r="C1263" s="1" t="str">
        <f ca="1">IFERROR(__xludf.DUMMYFUNCTION("GOOGLETRANSLATE(E1263, ""zh"", ""en"")"),"Qualitative text")</f>
        <v>Qualitative text</v>
      </c>
    </row>
    <row r="1264" spans="1:3" ht="13" x14ac:dyDescent="0.15">
      <c r="A1264" s="1" t="str">
        <f ca="1">IFERROR(__xludf.DUMMYFUNCTION("GOOGLETRANSLATE(A1264, ""zh"", ""en"")"),"At the same time, we fully utilize the functional management platform for employees, retirees, etc. to help employees solve their problems and relieve their worries.")</f>
        <v>At the same time, we fully utilize the functional management platform for employees, retirees, etc. to help employees solve their problems and relieve their worries.</v>
      </c>
      <c r="B1264" s="1" t="str">
        <f ca="1">IFERROR(__xludf.DUMMYFUNCTION("GOOGLETRANSLATE(A1264, ""zh"", ""en"")"),"staff")</f>
        <v>staff</v>
      </c>
      <c r="C1264" s="1" t="str">
        <f ca="1">IFERROR(__xludf.DUMMYFUNCTION("GOOGLETRANSLATE(E1264, ""zh"", ""en"")"),"Qualitative text")</f>
        <v>Qualitative text</v>
      </c>
    </row>
    <row r="1265" spans="1:3" ht="13" x14ac:dyDescent="0.15">
      <c r="A1265" s="1" t="str">
        <f ca="1">IFERROR(__xludf.DUMMYFUNCTION("GOOGLETRANSLATE(A1265, ""zh"", ""en"")"),"6773 Level B3 Development and Training General Disclosure Policies on improving employees' knowledge and skills in performing their job duties")</f>
        <v>6773 Level B3 Development and Training General Disclosure Policies on improving employees' knowledge and skills in performing their job duties</v>
      </c>
      <c r="B1265" s="1" t="str">
        <f ca="1">IFERROR(__xludf.DUMMYFUNCTION("GOOGLETRANSLATE(A1265, ""zh"", ""en"")"),"staff")</f>
        <v>staff</v>
      </c>
      <c r="C1265" s="1" t="str">
        <f ca="1">IFERROR(__xludf.DUMMYFUNCTION("GOOGLETRANSLATE(E1265, ""zh"", ""en"")"),"Qualitative text")</f>
        <v>Qualitative text</v>
      </c>
    </row>
    <row r="1266" spans="1:3" ht="13" x14ac:dyDescent="0.15">
      <c r="A1266" s="1" t="str">
        <f ca="1">IFERROR(__xludf.DUMMYFUNCTION("GOOGLETRANSLATE(A1266, ""zh"", ""en"")"),"We mobilized our employees to conduct regular visits to local residents, especially those living in poverty, to care for their daily needs and provide assistance.")</f>
        <v>We mobilized our employees to conduct regular visits to local residents, especially those living in poverty, to care for their daily needs and provide assistance.</v>
      </c>
      <c r="B1266" s="1" t="str">
        <f ca="1">IFERROR(__xludf.DUMMYFUNCTION("GOOGLETRANSLATE(A1266, ""zh"", ""en"")"),"Rural assistance")</f>
        <v>Rural assistance</v>
      </c>
      <c r="C1266" s="1" t="str">
        <f ca="1">IFERROR(__xludf.DUMMYFUNCTION("GOOGLETRANSLATE(E1266, ""zh"", ""en"")"),"Qualitative text")</f>
        <v>Qualitative text</v>
      </c>
    </row>
    <row r="1267" spans="1:3" ht="13" x14ac:dyDescent="0.15">
      <c r="A1267" s="1" t="str">
        <f ca="1">IFERROR(__xludf.DUMMYFUNCTION("GOOGLETRANSLATE(A1267, ""zh"", ""en"")"),"The overall technology is stable and reliable, with technological leadership and sustainable development of salt lake resources, and has obvious advantages in operational efficiency and economy.")</f>
        <v>The overall technology is stable and reliable, with technological leadership and sustainable development of salt lake resources, and has obvious advantages in operational efficiency and economy.</v>
      </c>
      <c r="B1267" s="1" t="str">
        <f ca="1">IFERROR(__xludf.DUMMYFUNCTION("GOOGLETRANSLATE(A1267, ""zh"", ""en"")"),"raw materials")</f>
        <v>raw materials</v>
      </c>
      <c r="C1267" s="1" t="str">
        <f ca="1">IFERROR(__xludf.DUMMYFUNCTION("GOOGLETRANSLATE(E1267, ""zh"", ""en"")"),"Qualitative text")</f>
        <v>Qualitative text</v>
      </c>
    </row>
    <row r="1268" spans="1:3" ht="13" x14ac:dyDescent="0.15">
      <c r="A1268" s="1" t="str">
        <f ca="1">IFERROR(__xludf.DUMMYFUNCTION("GOOGLETRANSLATE(A1268, ""zh"", ""en"")"),"At the same time, the company actively responds to the carbon neutrality commitments of the countries where its major mining operations are located and is committed to reducing its carbon footprint and environmental impact.")</f>
        <v>At the same time, the company actively responds to the carbon neutrality commitments of the countries where its major mining operations are located and is committed to reducing its carbon footprint and environmental impact.</v>
      </c>
      <c r="B1268" s="1" t="str">
        <f ca="1">IFERROR(__xludf.DUMMYFUNCTION("GOOGLETRANSLATE(A1268, ""zh"", ""en"")"),"carbon emissions")</f>
        <v>carbon emissions</v>
      </c>
      <c r="C1268" s="1" t="str">
        <f ca="1">IFERROR(__xludf.DUMMYFUNCTION("GOOGLETRANSLATE(E1268, ""zh"", ""en"")"),"Qualitative text")</f>
        <v>Qualitative text</v>
      </c>
    </row>
    <row r="1269" spans="1:3" ht="13" x14ac:dyDescent="0.15">
      <c r="A1269" s="1" t="str">
        <f ca="1">IFERROR(__xludf.DUMMYFUNCTION("GOOGLETRANSLATE(A1269, ""zh"", ""en"")"),"During the implementation of the Tibet Everest project in Argentina, the company actively paid attention to local agricultural development and farmers' living standards.")</f>
        <v>During the implementation of the Tibet Everest project in Argentina, the company actively paid attention to local agricultural development and farmers' living standards.</v>
      </c>
      <c r="B1269" s="1" t="str">
        <f ca="1">IFERROR(__xludf.DUMMYFUNCTION("GOOGLETRANSLATE(A1269, ""zh"", ""en"")"),"Rural assistance")</f>
        <v>Rural assistance</v>
      </c>
      <c r="C1269" s="1" t="str">
        <f ca="1">IFERROR(__xludf.DUMMYFUNCTION("GOOGLETRANSLATE(E1269, ""zh"", ""en"")"),"Qualitative text")</f>
        <v>Qualitative text</v>
      </c>
    </row>
    <row r="1270" spans="1:3" ht="13" x14ac:dyDescent="0.15">
      <c r="A1270" s="1" t="str">
        <f ca="1">IFERROR(__xludf.DUMMYFUNCTION("GOOGLETRANSLATE(A1270, ""zh"", ""en"")"),"In Tajikistan, we have built several reservoirs to solve the problem of water supply for production and local domestic use, and to promote the sustainable development of local agriculture.")</f>
        <v>In Tajikistan, we have built several reservoirs to solve the problem of water supply for production and local domestic use, and to promote the sustainable development of local agriculture.</v>
      </c>
      <c r="B1270" s="1" t="str">
        <f ca="1">IFERROR(__xludf.DUMMYFUNCTION("GOOGLETRANSLATE(A1270, ""zh"", ""en"")"),"Water resources")</f>
        <v>Water resources</v>
      </c>
      <c r="C1270" s="1" t="str">
        <f ca="1">IFERROR(__xludf.DUMMYFUNCTION("GOOGLETRANSLATE(E1270, ""zh"", ""en"")"),"Qualitative text")</f>
        <v>Qualitative text</v>
      </c>
    </row>
    <row r="1271" spans="1:3" ht="13" x14ac:dyDescent="0.15">
      <c r="A1271" s="1" t="str">
        <f ca="1">IFERROR(__xludf.DUMMYFUNCTION("GOOGLETRANSLATE(A1271, ""zh"", ""en"")"),"Not applicable A3 Environment and Natural Resources General Disclosure Policy on minimizing the issuer's significant impact on the environment and natural resources")</f>
        <v>Not applicable A3 Environment and Natural Resources General Disclosure Policy on minimizing the issuer's significant impact on the environment and natural resources</v>
      </c>
      <c r="B1271" s="1" t="str">
        <f ca="1">IFERROR(__xludf.DUMMYFUNCTION("GOOGLETRANSLATE(A1271, ""zh"", ""en"")"),"Environmental Policy")</f>
        <v>Environmental Policy</v>
      </c>
      <c r="C1271" s="1" t="str">
        <f ca="1">IFERROR(__xludf.DUMMYFUNCTION("GOOGLETRANSLATE(E1271, ""zh"", ""en"")"),"Qualitative text")</f>
        <v>Qualitative text</v>
      </c>
    </row>
    <row r="1272" spans="1:3" ht="13" x14ac:dyDescent="0.15">
      <c r="A1272" s="1" t="str">
        <f ca="1">IFERROR(__xludf.DUMMYFUNCTION("GOOGLETRANSLATE(A1272, ""zh"", ""en"")"),"We improved the Group's three-tier management and control system, laying a solid foundation for Shanghai Electric's stable, healthy and orderly development and promoting the transformation from management to governance.")</f>
        <v>We improved the Group's three-tier management and control system, laying a solid foundation for Shanghai Electric's stable, healthy and orderly development and promoting the transformation from management to governance.</v>
      </c>
      <c r="B1272" s="1" t="str">
        <f ca="1">IFERROR(__xludf.DUMMYFUNCTION("GOOGLETRANSLATE(A1272, ""zh"", ""en"")"),"Organizational structure and operations")</f>
        <v>Organizational structure and operations</v>
      </c>
      <c r="C1272" s="1" t="str">
        <f ca="1">IFERROR(__xludf.DUMMYFUNCTION("GOOGLETRANSLATE(E1272, ""zh"", ""en"")"),"Qualitative text")</f>
        <v>Qualitative text</v>
      </c>
    </row>
    <row r="1273" spans="1:3" ht="13" x14ac:dyDescent="0.15">
      <c r="A1273" s="1" t="str">
        <f ca="1">IFERROR(__xludf.DUMMYFUNCTION("GOOGLETRANSLATE(A1273, ""zh"", ""en"")"),"The company has updated the equipment in the computer room to reduce energy consumption after comprehensively considering the objective conditions and the safety requirements of the computer room operation.")</f>
        <v>The company has updated the equipment in the computer room to reduce energy consumption after comprehensively considering the objective conditions and the safety requirements of the computer room operation.</v>
      </c>
      <c r="B1273" s="1" t="str">
        <f ca="1">IFERROR(__xludf.DUMMYFUNCTION("GOOGLETRANSLATE(A1273, ""zh"", ""en"")"),"Energy and resource consumption")</f>
        <v>Energy and resource consumption</v>
      </c>
      <c r="C1273" s="1" t="str">
        <f ca="1">IFERROR(__xludf.DUMMYFUNCTION("GOOGLETRANSLATE(E1273, ""zh"", ""en"")"),"Qualitative text")</f>
        <v>Qualitative text</v>
      </c>
    </row>
    <row r="1274" spans="1:3" ht="13" x14ac:dyDescent="0.15">
      <c r="A1274" s="1" t="str">
        <f ca="1">IFERROR(__xludf.DUMMYFUNCTION("GOOGLETRANSLATE(A1274, ""zh"", ""en"")"),"Wuhan Renfu has achieved good communication results by popularizing product knowledge and communicating cooperation information to customers with a professional and open attitude.")</f>
        <v>Wuhan Renfu has achieved good communication results by popularizing product knowledge and communicating cooperation information to customers with a professional and open attitude.</v>
      </c>
      <c r="B1274" s="1" t="str">
        <f ca="1">IFERROR(__xludf.DUMMYFUNCTION("GOOGLETRANSLATE(A1274, ""zh"", ""en"")"),"Customers and Consumers")</f>
        <v>Customers and Consumers</v>
      </c>
      <c r="C1274" s="1" t="str">
        <f ca="1">IFERROR(__xludf.DUMMYFUNCTION("GOOGLETRANSLATE(E1274, ""zh"", ""en"")"),"Qualitative text")</f>
        <v>Qualitative text</v>
      </c>
    </row>
    <row r="1275" spans="1:3" ht="13" x14ac:dyDescent="0.15">
      <c r="A1275" s="1" t="str">
        <f ca="1">IFERROR(__xludf.DUMMYFUNCTION("GOOGLETRANSLATE(A1275, ""zh"", ""en"")"),"Strictly implement funding allocation requirements in accordance with regulatory requirements and actively implement the national requirements for promoting energy conservation and carbon reduction in high-energy-consuming industries")</f>
        <v>Strictly implement funding allocation requirements in accordance with regulatory requirements and actively implement the national requirements for promoting energy conservation and carbon reduction in high-energy-consuming industries</v>
      </c>
      <c r="B1275" s="1" t="str">
        <f ca="1">IFERROR(__xludf.DUMMYFUNCTION("GOOGLETRANSLATE(A1275, ""zh"", ""en"")"),"Energy and resource consumption")</f>
        <v>Energy and resource consumption</v>
      </c>
      <c r="C1275" s="1" t="str">
        <f ca="1">IFERROR(__xludf.DUMMYFUNCTION("GOOGLETRANSLATE(E1275, ""zh"", ""en"")"),"Qualitative text")</f>
        <v>Qualitative text</v>
      </c>
    </row>
    <row r="1276" spans="1:3" ht="13" x14ac:dyDescent="0.15">
      <c r="A1276" s="1" t="str">
        <f ca="1">IFERROR(__xludf.DUMMYFUNCTION("GOOGLETRANSLATE(A1276, ""zh"", ""en"")"),"Industry Exchange In August 2022, Chen Shibo, a researcher at the Chinese Academy of Science and Technology Strategy, and his team visited Xinjiang Uyghur medicine for research")</f>
        <v>Industry Exchange In August 2022, Chen Shibo, a researcher at the Chinese Academy of Science and Technology Strategy, and his team visited Xinjiang Uyghur medicine for research</v>
      </c>
      <c r="B1276" s="1" t="str">
        <f ca="1">IFERROR(__xludf.DUMMYFUNCTION("GOOGLETRANSLATE(A1276, ""zh"", ""en"")"),"Technological innovation")</f>
        <v>Technological innovation</v>
      </c>
      <c r="C1276" s="1" t="str">
        <f ca="1">IFERROR(__xludf.DUMMYFUNCTION("GOOGLETRANSLATE(E1276, ""zh"", ""en"")"),"Qualitative text")</f>
        <v>Qualitative text</v>
      </c>
    </row>
    <row r="1277" spans="1:3" ht="13" x14ac:dyDescent="0.15">
      <c r="A1277" s="1" t="str">
        <f ca="1">IFERROR(__xludf.DUMMYFUNCTION("GOOGLETRANSLATE(A1277, ""zh"", ""en"")"),"The launch of oxycodone hydrochloride extended-release tablets will provide clinicians with more medication options and help more patients relieve pain.")</f>
        <v>The launch of oxycodone hydrochloride extended-release tablets will provide clinicians with more medication options and help more patients relieve pain.</v>
      </c>
      <c r="B1277" s="1" t="str">
        <f ca="1">IFERROR(__xludf.DUMMYFUNCTION("GOOGLETRANSLATE(A1277, ""zh"", ""en"")"),"Product quality")</f>
        <v>Product quality</v>
      </c>
      <c r="C1277" s="1" t="str">
        <f ca="1">IFERROR(__xludf.DUMMYFUNCTION("GOOGLETRANSLATE(E1277, ""zh"", ""en"")"),"Qualitative text")</f>
        <v>Qualitative text</v>
      </c>
    </row>
    <row r="1278" spans="1:3" ht="13" x14ac:dyDescent="0.15">
      <c r="A1278" s="1" t="str">
        <f ca="1">IFERROR(__xludf.DUMMYFUNCTION("GOOGLETRANSLATE(A1278, ""zh"", ""en"")"),"2.3 Customer First Service Excellence Key Performance Indicator B6.3 Description of practices related to maintaining and protecting intellectual property rights")</f>
        <v>2.3 Customer First Service Excellence Key Performance Indicator B6.3 Description of practices related to maintaining and protecting intellectual property rights</v>
      </c>
      <c r="B1278" s="1" t="str">
        <f ca="1">IFERROR(__xludf.DUMMYFUNCTION("GOOGLETRANSLATE(A1278, ""zh"", ""en"")"),"Intellectual Property Protection")</f>
        <v>Intellectual Property Protection</v>
      </c>
      <c r="C1278" s="1" t="str">
        <f ca="1">IFERROR(__xludf.DUMMYFUNCTION("GOOGLETRANSLATE(E1278, ""zh"", ""en"")"),"Qualitative text")</f>
        <v>Qualitative text</v>
      </c>
    </row>
    <row r="1279" spans="1:3" ht="13" x14ac:dyDescent="0.15">
      <c r="A1279" s="1" t="str">
        <f ca="1">IFERROR(__xludf.DUMMYFUNCTION("GOOGLETRANSLATE(A1279, ""zh"", ""en"")"),"Drive local industrial development, improve regional pharmaceutical standards, and provide training to local employees on advanced production management concepts.")</f>
        <v>Drive local industrial development, improve regional pharmaceutical standards, and provide training to local employees on advanced production management concepts.</v>
      </c>
      <c r="B1279" s="1" t="str">
        <f ca="1">IFERROR(__xludf.DUMMYFUNCTION("GOOGLETRANSLATE(A1279, ""zh"", ""en"")"),"staff")</f>
        <v>staff</v>
      </c>
      <c r="C1279" s="1" t="str">
        <f ca="1">IFERROR(__xludf.DUMMYFUNCTION("GOOGLETRANSLATE(E1279, ""zh"", ""en"")"),"Qualitative text")</f>
        <v>Qualitative text</v>
      </c>
    </row>
    <row r="1280" spans="1:3" ht="13" x14ac:dyDescent="0.15">
      <c r="A1280" s="1" t="str">
        <f ca="1">IFERROR(__xludf.DUMMYFUNCTION("GOOGLETRANSLATE(A1280, ""zh"", ""en"")"),"SGS-CSTC did not participate in the preparation of any materials for its 2022 Corporate Social Responsibility Report.")</f>
        <v>SGS-CSTC did not participate in the preparation of any materials for its 2022 Corporate Social Responsibility Report.</v>
      </c>
      <c r="B1280" s="1" t="str">
        <f ca="1">IFERROR(__xludf.DUMMYFUNCTION("GOOGLETRANSLATE(A1280, ""zh"", ""en"")"),"irrelevant text")</f>
        <v>irrelevant text</v>
      </c>
      <c r="C1280" s="1" t="str">
        <f ca="1">IFERROR(__xludf.DUMMYFUNCTION("GOOGLETRANSLATE(E1280, ""zh"", ""en"")"),"irrelevant text")</f>
        <v>irrelevant text</v>
      </c>
    </row>
    <row r="1281" spans="1:3" ht="13" x14ac:dyDescent="0.15">
      <c r="A1281" s="1" t="str">
        <f ca="1">IFERROR(__xludf.DUMMYFUNCTION("GOOGLETRANSLATE(A1281, ""zh"", ""en"")"),"The company invests a large amount of money every year to upgrade energy-consuming equipment and facilities, promote the implementation of energy-saving projects and strive to reduce energy consumption.")</f>
        <v>The company invests a large amount of money every year to upgrade energy-consuming equipment and facilities, promote the implementation of energy-saving projects and strive to reduce energy consumption.</v>
      </c>
      <c r="B1281" s="1" t="str">
        <f ca="1">IFERROR(__xludf.DUMMYFUNCTION("GOOGLETRANSLATE(A1281, ""zh"", ""en"")"),"Energy and resource consumption")</f>
        <v>Energy and resource consumption</v>
      </c>
      <c r="C1281" s="1" t="str">
        <f ca="1">IFERROR(__xludf.DUMMYFUNCTION("GOOGLETRANSLATE(E1281, ""zh"", ""en"")"),"Qualitative text")</f>
        <v>Qualitative text</v>
      </c>
    </row>
    <row r="1282" spans="1:3" ht="13" x14ac:dyDescent="0.15">
      <c r="A1282" s="1" t="str">
        <f ca="1">IFERROR(__xludf.DUMMYFUNCTION("GOOGLETRANSLATE(A1282, ""zh"", ""en"")"),"Continue to develop new green and low-carbon infrastructure and services such as charging and swapping stations and hydrogen refueling stations to support the development of low-carbon hydrogen transportation")</f>
        <v>Continue to develop new green and low-carbon infrastructure and services such as charging and swapping stations and hydrogen refueling stations to support the development of low-carbon hydrogen transportation</v>
      </c>
      <c r="B1282" s="1" t="str">
        <f ca="1">IFERROR(__xludf.DUMMYFUNCTION("GOOGLETRANSLATE(A1282, ""zh"", ""en"")"),"Clean Technology")</f>
        <v>Clean Technology</v>
      </c>
      <c r="C1282" s="1" t="str">
        <f ca="1">IFERROR(__xludf.DUMMYFUNCTION("GOOGLETRANSLATE(E1282, ""zh"", ""en"")"),"Qualitative text")</f>
        <v>Qualitative text</v>
      </c>
    </row>
    <row r="1283" spans="1:3" ht="13" x14ac:dyDescent="0.15">
      <c r="A1283" s="1" t="str">
        <f ca="1">IFERROR(__xludf.DUMMYFUNCTION("GOOGLETRANSLATE(A1283, ""zh"", ""en"")"),"Establish an internal carbon pricing mechanism to integrate green and clean strategies into the company's development and operation process, and reduce the carbon footprint of products throughout their life cycle.")</f>
        <v>Establish an internal carbon pricing mechanism to integrate green and clean strategies into the company's development and operation process, and reduce the carbon footprint of products throughout their life cycle.</v>
      </c>
      <c r="B1283" s="1" t="str">
        <f ca="1">IFERROR(__xludf.DUMMYFUNCTION("GOOGLETRANSLATE(A1283, ""zh"", ""en"")"),"carbon emissions")</f>
        <v>carbon emissions</v>
      </c>
      <c r="C1283" s="1" t="str">
        <f ca="1">IFERROR(__xludf.DUMMYFUNCTION("GOOGLETRANSLATE(E1283, ""zh"", ""en"")"),"Qualitative text")</f>
        <v>Qualitative text</v>
      </c>
    </row>
    <row r="1284" spans="1:3" ht="13" x14ac:dyDescent="0.15">
      <c r="A1284" s="1" t="str">
        <f ca="1">IFERROR(__xludf.DUMMYFUNCTION("GOOGLETRANSLATE(A1284, ""zh"", ""en"")"),"Study the selection criteria and procedures for directors and senior management and make recommendations to the board on the size and composition of the board.")</f>
        <v>Study the selection criteria and procedures for directors and senior management and make recommendations to the board on the size and composition of the board.</v>
      </c>
      <c r="B1284" s="1" t="str">
        <f ca="1">IFERROR(__xludf.DUMMYFUNCTION("GOOGLETRANSLATE(A1284, ""zh"", ""en"")"),"Organizational structure and operations")</f>
        <v>Organizational structure and operations</v>
      </c>
      <c r="C1284" s="1" t="str">
        <f ca="1">IFERROR(__xludf.DUMMYFUNCTION("GOOGLETRANSLATE(E1284, ""zh"", ""en"")"),"Qualitative text")</f>
        <v>Qualitative text</v>
      </c>
    </row>
    <row r="1285" spans="1:3" ht="13" x14ac:dyDescent="0.15">
      <c r="A1285" s="1" t="str">
        <f ca="1">IFERROR(__xludf.DUMMYFUNCTION("GOOGLETRANSLATE(A1285, ""zh"", ""en"")"),"During the reporting period, there were no complaints due to customer privacy breaches, and no incidents of customer data being leaked, stolen, or lost.")</f>
        <v>During the reporting period, there were no complaints due to customer privacy breaches, and no incidents of customer data being leaked, stolen, or lost.</v>
      </c>
      <c r="B1285" s="1" t="str">
        <f ca="1">IFERROR(__xludf.DUMMYFUNCTION("GOOGLETRANSLATE(A1285, ""zh"", ""en"")"),"Customers and Consumers")</f>
        <v>Customers and Consumers</v>
      </c>
      <c r="C1285" s="1" t="str">
        <f ca="1">IFERROR(__xludf.DUMMYFUNCTION("GOOGLETRANSLATE(E1285, ""zh"", ""en"")"),"Quantitative Text")</f>
        <v>Quantitative Text</v>
      </c>
    </row>
    <row r="1286" spans="1:3" ht="13" x14ac:dyDescent="0.15">
      <c r="A1286" s="1" t="str">
        <f ca="1">IFERROR(__xludf.DUMMYFUNCTION("GOOGLETRANSLATE(A1286, ""zh"", ""en"")"),"After the survey, the company organized employees from various departments and management to analyze and discuss the survey results, formulate and implement improvement plans")</f>
        <v>After the survey, the company organized employees from various departments and management to analyze and discuss the survey results, formulate and implement improvement plans</v>
      </c>
      <c r="B1286" s="1" t="str">
        <f ca="1">IFERROR(__xludf.DUMMYFUNCTION("GOOGLETRANSLATE(A1286, ""zh"", ""en"")"),"staff")</f>
        <v>staff</v>
      </c>
      <c r="C1286" s="1" t="str">
        <f ca="1">IFERROR(__xludf.DUMMYFUNCTION("GOOGLETRANSLATE(E1286, ""zh"", ""en"")"),"Qualitative text")</f>
        <v>Qualitative text</v>
      </c>
    </row>
    <row r="1287" spans="1:3" ht="13" x14ac:dyDescent="0.15">
      <c r="A1287" s="1" t="str">
        <f ca="1">IFERROR(__xludf.DUMMYFUNCTION("GOOGLETRANSLATE(A1287, ""zh"", ""en"")"),"If a supplier registered on the Yipaike platform violates the relevant regulations on honest employment, the company will also publicly publish the results of the handling on the platform.")</f>
        <v>If a supplier registered on the Yipaike platform violates the relevant regulations on honest employment, the company will also publicly publish the results of the handling on the platform.</v>
      </c>
      <c r="B1287" s="1" t="str">
        <f ca="1">IFERROR(__xludf.DUMMYFUNCTION("GOOGLETRANSLATE(A1287, ""zh"", ""en"")"),"Anti-corruption and anti-money laundering")</f>
        <v>Anti-corruption and anti-money laundering</v>
      </c>
      <c r="C1287" s="1" t="str">
        <f ca="1">IFERROR(__xludf.DUMMYFUNCTION("GOOGLETRANSLATE(E1287, ""zh"", ""en"")"),"Qualitative text")</f>
        <v>Qualitative text</v>
      </c>
    </row>
    <row r="1288" spans="1:3" ht="13" x14ac:dyDescent="0.15">
      <c r="A1288" s="1" t="str">
        <f ca="1">IFERROR(__xludf.DUMMYFUNCTION("GOOGLETRANSLATE(A1288, ""zh"", ""en"")"),"Timely revise and improve investment and operation management systems, as well as management personnel's remuneration and business expenditure systems to prevent corruption risks")</f>
        <v>Timely revise and improve investment and operation management systems, as well as management personnel's remuneration and business expenditure systems to prevent corruption risks</v>
      </c>
      <c r="B1288" s="1" t="str">
        <f ca="1">IFERROR(__xludf.DUMMYFUNCTION("GOOGLETRANSLATE(A1288, ""zh"", ""en"")"),"Anti-corruption and anti-money laundering")</f>
        <v>Anti-corruption and anti-money laundering</v>
      </c>
      <c r="C1288" s="1" t="str">
        <f ca="1">IFERROR(__xludf.DUMMYFUNCTION("GOOGLETRANSLATE(E1288, ""zh"", ""en"")"),"Qualitative text")</f>
        <v>Qualitative text</v>
      </c>
    </row>
    <row r="1289" spans="1:3" ht="13" x14ac:dyDescent="0.15">
      <c r="A1289" s="1" t="str">
        <f ca="1">IFERROR(__xludf.DUMMYFUNCTION("GOOGLETRANSLATE(A1289, ""zh"", ""en"")"),"The responsible personnel shall put forward suggestions for handling the issues reflected in the reports and accusations, and submit them to the relevant person in charge of the supervisory agency for approval before handling.")</f>
        <v>The responsible personnel shall put forward suggestions for handling the issues reflected in the reports and accusations, and submit them to the relevant person in charge of the supervisory agency for approval before handling.</v>
      </c>
      <c r="B1289" s="1" t="str">
        <f ca="1">IFERROR(__xludf.DUMMYFUNCTION("GOOGLETRANSLATE(A1289, ""zh"", ""en"")"),"Reporting System")</f>
        <v>Reporting System</v>
      </c>
      <c r="C1289" s="1" t="str">
        <f ca="1">IFERROR(__xludf.DUMMYFUNCTION("GOOGLETRANSLATE(E1289, ""zh"", ""en"")"),"Qualitative text")</f>
        <v>Qualitative text</v>
      </c>
    </row>
    <row r="1290" spans="1:3" ht="13" x14ac:dyDescent="0.15">
      <c r="A1290" s="1" t="str">
        <f ca="1">IFERROR(__xludf.DUMMYFUNCTION("GOOGLETRANSLATE(A1290, ""zh"", ""en"")"),"Promote the construction of a compliance management system, identify compliance risks in areas such as production safety, ecological and environmental protection, finance, taxation, bidding, and labor employment.")</f>
        <v>Promote the construction of a compliance management system, identify compliance risks in areas such as production safety, ecological and environmental protection, finance, taxation, bidding, and labor employment.</v>
      </c>
      <c r="B1290" s="1" t="str">
        <f ca="1">IFERROR(__xludf.DUMMYFUNCTION("GOOGLETRANSLATE(A1290, ""zh"", ""en"")"),"irrelevant text")</f>
        <v>irrelevant text</v>
      </c>
      <c r="C1290" s="1" t="str">
        <f ca="1">IFERROR(__xludf.DUMMYFUNCTION("GOOGLETRANSLATE(E1290, ""zh"", ""en"")"),"irrelevant text")</f>
        <v>irrelevant text</v>
      </c>
    </row>
    <row r="1291" spans="1:3" ht="13" x14ac:dyDescent="0.15">
      <c r="A1291" s="1" t="str">
        <f ca="1">IFERROR(__xludf.DUMMYFUNCTION("GOOGLETRANSLATE(A1291, ""zh"", ""en"")"),"P49 Key Performance B1.1 Total number of employees by gender, employment type (e.g., full-time or part-time), age group, and region")</f>
        <v>P49 Key Performance B1.1 Total number of employees by gender, employment type (e.g., full-time or part-time), age group, and region</v>
      </c>
      <c r="B1291" s="1" t="str">
        <f ca="1">IFERROR(__xludf.DUMMYFUNCTION("GOOGLETRANSLATE(A1291, ""zh"", ""en"")"),"staff")</f>
        <v>staff</v>
      </c>
      <c r="C1291" s="1" t="str">
        <f ca="1">IFERROR(__xludf.DUMMYFUNCTION("GOOGLETRANSLATE(E1291, ""zh"", ""en"")"),"Qualitative text")</f>
        <v>Qualitative text</v>
      </c>
    </row>
    <row r="1292" spans="1:3" ht="13" x14ac:dyDescent="0.15">
      <c r="A1292" s="1" t="str">
        <f ca="1">IFERROR(__xludf.DUMMYFUNCTION("GOOGLETRANSLATE(A1292, ""zh"", ""en"")"),"By improving product performance, enhancing customer service, and increasing customer delivery value and customer satisfaction, we have gained high recognition from customers")</f>
        <v>By improving product performance, enhancing customer service, and increasing customer delivery value and customer satisfaction, we have gained high recognition from customers</v>
      </c>
      <c r="B1292" s="1" t="str">
        <f ca="1">IFERROR(__xludf.DUMMYFUNCTION("GOOGLETRANSLATE(A1292, ""zh"", ""en"")"),"Customers and Consumers")</f>
        <v>Customers and Consumers</v>
      </c>
      <c r="C1292" s="1" t="str">
        <f ca="1">IFERROR(__xludf.DUMMYFUNCTION("GOOGLETRANSLATE(E1292, ""zh"", ""en"")"),"Qualitative text")</f>
        <v>Qualitative text</v>
      </c>
    </row>
    <row r="1293" spans="1:3" ht="13" x14ac:dyDescent="0.15">
      <c r="A1293" s="1" t="str">
        <f ca="1">IFERROR(__xludf.DUMMYFUNCTION("GOOGLETRANSLATE(A1293, ""zh"", ""en"")"),"Continue to optimize enterprise cybersecurity assessment standards and link assessment results with the performance assessment of Sinopec's directly affiliated enterprises.")</f>
        <v>Continue to optimize enterprise cybersecurity assessment standards and link assessment results with the performance assessment of Sinopec's directly affiliated enterprises.</v>
      </c>
      <c r="B1293" s="1" t="str">
        <f ca="1">IFERROR(__xludf.DUMMYFUNCTION("GOOGLETRANSLATE(A1293, ""zh"", ""en"")"),"Data security")</f>
        <v>Data security</v>
      </c>
      <c r="C1293" s="1" t="str">
        <f ca="1">IFERROR(__xludf.DUMMYFUNCTION("GOOGLETRANSLATE(E1293, ""zh"", ""en"")"),"Qualitative text")</f>
        <v>Qualitative text</v>
      </c>
    </row>
    <row r="1294" spans="1:3" ht="13" x14ac:dyDescent="0.15">
      <c r="A1294" s="1" t="str">
        <f ca="1">IFERROR(__xludf.DUMMYFUNCTION("GOOGLETRANSLATE(A1294, ""zh"", ""en"")"),"The company has made new strides in the layout and construction of a modern industrial system and the promotion of high-end, intelligent and information-based development.")</f>
        <v>The company has made new strides in the layout and construction of a modern industrial system and the promotion of high-end, intelligent and information-based development.</v>
      </c>
      <c r="B1294" s="1" t="str">
        <f ca="1">IFERROR(__xludf.DUMMYFUNCTION("GOOGLETRANSLATE(A1294, ""zh"", ""en"")"),"Technological innovation")</f>
        <v>Technological innovation</v>
      </c>
      <c r="C1294" s="1" t="str">
        <f ca="1">IFERROR(__xludf.DUMMYFUNCTION("GOOGLETRANSLATE(E1294, ""zh"", ""en"")"),"Qualitative text")</f>
        <v>Qualitative text</v>
      </c>
    </row>
    <row r="1295" spans="1:3" ht="13" x14ac:dyDescent="0.15">
      <c r="A1295" s="1" t="str">
        <f ca="1">IFERROR(__xludf.DUMMYFUNCTION("GOOGLETRANSLATE(A1295, ""zh"", ""en"")"),"Improve the dynamic job adjustment mechanism, evaluation and selection mechanism, and salary incentive mechanism to provide employees with smooth and stable career development channels")</f>
        <v>Improve the dynamic job adjustment mechanism, evaluation and selection mechanism, and salary incentive mechanism to provide employees with smooth and stable career development channels</v>
      </c>
      <c r="B1295" s="1" t="str">
        <f ca="1">IFERROR(__xludf.DUMMYFUNCTION("GOOGLETRANSLATE(A1295, ""zh"", ""en"")"),"staff")</f>
        <v>staff</v>
      </c>
      <c r="C1295" s="1" t="str">
        <f ca="1">IFERROR(__xludf.DUMMYFUNCTION("GOOGLETRANSLATE(E1295, ""zh"", ""en"")"),"Qualitative text")</f>
        <v>Qualitative text</v>
      </c>
    </row>
    <row r="1296" spans="1:3" ht="13" x14ac:dyDescent="0.15">
      <c r="A1296" s="1" t="str">
        <f ca="1">IFERROR(__xludf.DUMMYFUNCTION("GOOGLETRANSLATE(A1296, ""zh"", ""en"")"),"Anti-fraud and anti-corruption management strictly abides by relevant laws and regulations, formulates anti-fraud management regulations and clarifies the company's three major anti-fraud principles")</f>
        <v>Anti-fraud and anti-corruption management strictly abides by relevant laws and regulations, formulates anti-fraud management regulations and clarifies the company's three major anti-fraud principles</v>
      </c>
      <c r="B1296" s="1" t="str">
        <f ca="1">IFERROR(__xludf.DUMMYFUNCTION("GOOGLETRANSLATE(A1296, ""zh"", ""en"")"),"Anti-corruption and anti-money laundering")</f>
        <v>Anti-corruption and anti-money laundering</v>
      </c>
      <c r="C1296" s="1" t="str">
        <f ca="1">IFERROR(__xludf.DUMMYFUNCTION("GOOGLETRANSLATE(E1296, ""zh"", ""en"")"),"Qualitative text")</f>
        <v>Qualitative text</v>
      </c>
    </row>
    <row r="1297" spans="1:3" ht="13" x14ac:dyDescent="0.15">
      <c r="A1297" s="1" t="str">
        <f ca="1">IFERROR(__xludf.DUMMYFUNCTION("GOOGLETRANSLATE(A1297, ""zh"", ""en"")"),"The activity mainly provides pre-employment training for 210 students who have signed employment agreements with 18 refining and chemical companies of China National Petroleum Corporation.")</f>
        <v>The activity mainly provides pre-employment training for 210 students who have signed employment agreements with 18 refining and chemical companies of China National Petroleum Corporation.</v>
      </c>
      <c r="B1297" s="1" t="str">
        <f ca="1">IFERROR(__xludf.DUMMYFUNCTION("GOOGLETRANSLATE(A1297, ""zh"", ""en"")"),"staff")</f>
        <v>staff</v>
      </c>
      <c r="C1297" s="1" t="str">
        <f ca="1">IFERROR(__xludf.DUMMYFUNCTION("GOOGLETRANSLATE(E1297, ""zh"", ""en"")"),"Quantitative Text")</f>
        <v>Quantitative Text</v>
      </c>
    </row>
    <row r="1298" spans="1:3" ht="13" x14ac:dyDescent="0.15">
      <c r="A1298" s="1" t="str">
        <f ca="1">IFERROR(__xludf.DUMMYFUNCTION("GOOGLETRANSLATE(A1298, ""zh"", ""en"")"),"Only by combining cloud and local construction and operations can we solve problems such as data security and cloud security in the digital security era.")</f>
        <v>Only by combining cloud and local construction and operations can we solve problems such as data security and cloud security in the digital security era.</v>
      </c>
      <c r="B1298" s="1" t="str">
        <f ca="1">IFERROR(__xludf.DUMMYFUNCTION("GOOGLETRANSLATE(A1298, ""zh"", ""en"")"),"Data security")</f>
        <v>Data security</v>
      </c>
      <c r="C1298" s="1" t="str">
        <f ca="1">IFERROR(__xludf.DUMMYFUNCTION("GOOGLETRANSLATE(E1298, ""zh"", ""en"")"),"Qualitative text")</f>
        <v>Qualitative text</v>
      </c>
    </row>
    <row r="1299" spans="1:3" ht="13" x14ac:dyDescent="0.15">
      <c r="A1299" s="1" t="str">
        <f ca="1">IFERROR(__xludf.DUMMYFUNCTION("GOOGLETRANSLATE(A1299, ""zh"", ""en"")"),"Application scenarios in the fields of digital economy, digital government, and digital society also bring more complex security challenges to digital security.")</f>
        <v>Application scenarios in the fields of digital economy, digital government, and digital society also bring more complex security challenges to digital security.</v>
      </c>
      <c r="B1299" s="1" t="str">
        <f ca="1">IFERROR(__xludf.DUMMYFUNCTION("GOOGLETRANSLATE(A1299, ""zh"", ""en"")"),"Data security")</f>
        <v>Data security</v>
      </c>
      <c r="C1299" s="1" t="str">
        <f ca="1">IFERROR(__xludf.DUMMYFUNCTION("GOOGLETRANSLATE(E1299, ""zh"", ""en"")"),"Qualitative text")</f>
        <v>Qualitative text</v>
      </c>
    </row>
    <row r="1300" spans="1:3" ht="13" x14ac:dyDescent="0.15">
      <c r="A1300" s="1" t="str">
        <f ca="1">IFERROR(__xludf.DUMMYFUNCTION("GOOGLETRANSLATE(A1300, ""zh"", ""en"")"),"The volunteers also played the legendary and inspiring story of Zhang Jun, the top student who passed the college entrance examination and became a security guard at Peking University, who became a volunteer in public welfare activities.")</f>
        <v>The volunteers also played the legendary and inspiring story of Zhang Jun, the top student who passed the college entrance examination and became a security guard at Peking University, who became a volunteer in public welfare activities.</v>
      </c>
      <c r="B1300" s="1" t="str">
        <f ca="1">IFERROR(__xludf.DUMMYFUNCTION("GOOGLETRANSLATE(A1300, ""zh"", ""en"")"),"Public welfare and volunteer service")</f>
        <v>Public welfare and volunteer service</v>
      </c>
      <c r="C1300" s="1" t="str">
        <f ca="1">IFERROR(__xludf.DUMMYFUNCTION("GOOGLETRANSLATE(E1300, ""zh"", ""en"")"),"Qualitative text")</f>
        <v>Qualitative text</v>
      </c>
    </row>
    <row r="1301" spans="1:3" ht="13" x14ac:dyDescent="0.15">
      <c r="A1301" s="1" t="str">
        <f ca="1">IFERROR(__xludf.DUMMYFUNCTION("GOOGLETRANSLATE(A1301, ""zh"", ""en"")"),"In order to improve the completeness of the report, some contents are appropriately extended forward and backward.")</f>
        <v>In order to improve the completeness of the report, some contents are appropriately extended forward and backward.</v>
      </c>
      <c r="B1301" s="1" t="str">
        <f ca="1">IFERROR(__xludf.DUMMYFUNCTION("GOOGLETRANSLATE(A1301, ""zh"", ""en"")"),"irrelevant text")</f>
        <v>irrelevant text</v>
      </c>
      <c r="C1301" s="1" t="str">
        <f ca="1">IFERROR(__xludf.DUMMYFUNCTION("GOOGLETRANSLATE(E1301, ""zh"", ""en"")"),"irrelevant text")</f>
        <v>irrelevant text</v>
      </c>
    </row>
    <row r="1302" spans="1:3" ht="13" x14ac:dyDescent="0.15">
      <c r="A1302" s="1" t="str">
        <f ca="1">IFERROR(__xludf.DUMMYFUNCTION("GOOGLETRANSLATE(A1302, ""zh"", ""en"")"),"But we are also aware that safety work has only a starting point but no end point. Safety production is like walking on thin ice and facing the abyss. There is a long way to go.")</f>
        <v>But we are also aware that safety work has only a starting point but no end point. Safety production is like walking on thin ice and facing the abyss. There is a long way to go.</v>
      </c>
      <c r="B1302" s="1" t="str">
        <f ca="1">IFERROR(__xludf.DUMMYFUNCTION("GOOGLETRANSLATE(A1302, ""zh"", ""en"")"),"staff")</f>
        <v>staff</v>
      </c>
      <c r="C1302" s="1" t="str">
        <f ca="1">IFERROR(__xludf.DUMMYFUNCTION("GOOGLETRANSLATE(E1302, ""zh"", ""en"")"),"Qualitative text")</f>
        <v>Qualitative text</v>
      </c>
    </row>
    <row r="1303" spans="1:3" ht="13" x14ac:dyDescent="0.15">
      <c r="A1303" s="1" t="str">
        <f ca="1">IFERROR(__xludf.DUMMYFUNCTION("GOOGLETRANSLATE(A1303, ""zh"", ""en"")"),"At the same time, regular monthly safety spot checks are conducted, and the results are linked to performance, further improving employees' safety awareness and skills.")</f>
        <v>At the same time, regular monthly safety spot checks are conducted, and the results are linked to performance, further improving employees' safety awareness and skills.</v>
      </c>
      <c r="B1303" s="1" t="str">
        <f ca="1">IFERROR(__xludf.DUMMYFUNCTION("GOOGLETRANSLATE(A1303, ""zh"", ""en"")"),"staff")</f>
        <v>staff</v>
      </c>
      <c r="C1303" s="1" t="str">
        <f ca="1">IFERROR(__xludf.DUMMYFUNCTION("GOOGLETRANSLATE(E1303, ""zh"", ""en"")"),"Qualitative text")</f>
        <v>Qualitative text</v>
      </c>
    </row>
    <row r="1304" spans="1:3" ht="13" x14ac:dyDescent="0.15">
      <c r="A1304" s="1" t="str">
        <f ca="1">IFERROR(__xludf.DUMMYFUNCTION("GOOGLETRANSLATE(A1304, ""zh"", ""en"")"),"Discharged to the urban sewage treatment plant after hiring each year. There is no nature reserve around the plant. No administrative penalties were imposed in 2021.")</f>
        <v>Discharged to the urban sewage treatment plant after hiring each year. There is no nature reserve around the plant. No administrative penalties were imposed in 2021.</v>
      </c>
      <c r="B1304" s="1" t="str">
        <f ca="1">IFERROR(__xludf.DUMMYFUNCTION("GOOGLETRANSLATE(A1304, ""zh"", ""en"")"),"Environmental penalties")</f>
        <v>Environmental penalties</v>
      </c>
      <c r="C1304" s="1" t="str">
        <f ca="1">IFERROR(__xludf.DUMMYFUNCTION("GOOGLETRANSLATE(E1304, ""zh"", ""en"")"),"Quantitative Text")</f>
        <v>Quantitative Text</v>
      </c>
    </row>
    <row r="1305" spans="1:3" ht="13" x14ac:dyDescent="0.15">
      <c r="A1305" s="1" t="str">
        <f ca="1">IFERROR(__xludf.DUMMYFUNCTION("GOOGLETRANSLATE(A1305, ""zh"", ""en"")"),"Through industry benchmarking and internal analysis, we have established a market-oriented performance-oriented compensation system and a performance-oriented incentive mechanism.")</f>
        <v>Through industry benchmarking and internal analysis, we have established a market-oriented performance-oriented compensation system and a performance-oriented incentive mechanism.</v>
      </c>
      <c r="B1305" s="1" t="str">
        <f ca="1">IFERROR(__xludf.DUMMYFUNCTION("GOOGLETRANSLATE(A1305, ""zh"", ""en"")"),"staff")</f>
        <v>staff</v>
      </c>
      <c r="C1305" s="1" t="str">
        <f ca="1">IFERROR(__xludf.DUMMYFUNCTION("GOOGLETRANSLATE(E1305, ""zh"", ""en"")"),"Qualitative text")</f>
        <v>Qualitative text</v>
      </c>
    </row>
    <row r="1306" spans="1:3" ht="13" x14ac:dyDescent="0.15">
      <c r="A1306" s="1" t="str">
        <f ca="1">IFERROR(__xludf.DUMMYFUNCTION("GOOGLETRANSLATE(A1306, ""zh"", ""en"")"),"Actively promote wage and performance appraisal reforms and strive to align with market standards, allowing employees to benefit from the company's development while also enjoying the fruits of its growth.")</f>
        <v>Actively promote wage and performance appraisal reforms and strive to align with market standards, allowing employees to benefit from the company's development while also enjoying the fruits of its growth.</v>
      </c>
      <c r="B1306" s="1" t="str">
        <f ca="1">IFERROR(__xludf.DUMMYFUNCTION("GOOGLETRANSLATE(A1306, ""zh"", ""en"")"),"staff")</f>
        <v>staff</v>
      </c>
      <c r="C1306" s="1" t="str">
        <f ca="1">IFERROR(__xludf.DUMMYFUNCTION("GOOGLETRANSLATE(E1306, ""zh"", ""en"")"),"Qualitative text")</f>
        <v>Qualitative text</v>
      </c>
    </row>
    <row r="1307" spans="1:3" ht="13" x14ac:dyDescent="0.15">
      <c r="A1307" s="1" t="str">
        <f ca="1">IFERROR(__xludf.DUMMYFUNCTION("GOOGLETRANSLATE(A1307, ""zh"", ""en"")"),"Mainly engaged in commodity futures brokerage, financial futures brokerage, futures investment consulting, asset management, wealth management, risk management and overseas business.")</f>
        <v>Mainly engaged in commodity futures brokerage, financial futures brokerage, futures investment consulting, asset management, wealth management, risk management and overseas business.</v>
      </c>
      <c r="B1307" s="1" t="str">
        <f ca="1">IFERROR(__xludf.DUMMYFUNCTION("GOOGLETRANSLATE(A1307, ""zh"", ""en"")"),"irrelevant text")</f>
        <v>irrelevant text</v>
      </c>
      <c r="C1307" s="1" t="str">
        <f ca="1">IFERROR(__xludf.DUMMYFUNCTION("GOOGLETRANSLATE(E1307, ""zh"", ""en"")"),"irrelevant text")</f>
        <v>irrelevant text</v>
      </c>
    </row>
    <row r="1308" spans="1:3" ht="13" x14ac:dyDescent="0.15">
      <c r="A1308" s="1" t="str">
        <f ca="1">IFERROR(__xludf.DUMMYFUNCTION("GOOGLETRANSLATE(A1308, ""zh"", ""en"")"),"The company's provincial forest park, Changle Forest Park, covers a total area of ​​nearly 10,000 mu, of which the core area covers more than 3,000 mu.")</f>
        <v>The company's provincial forest park, Changle Forest Park, covers a total area of ​​nearly 10,000 mu, of which the core area covers more than 3,000 mu.</v>
      </c>
      <c r="B1308" s="1" t="str">
        <f ca="1">IFERROR(__xludf.DUMMYFUNCTION("GOOGLETRANSLATE(A1308, ""zh"", ""en"")"),"Public welfare and volunteer service")</f>
        <v>Public welfare and volunteer service</v>
      </c>
      <c r="C1308" s="1" t="str">
        <f ca="1">IFERROR(__xludf.DUMMYFUNCTION("GOOGLETRANSLATE(E1308, ""zh"", ""en"")"),"Quantitative Text")</f>
        <v>Quantitative Text</v>
      </c>
    </row>
    <row r="1309" spans="1:3" ht="13" x14ac:dyDescent="0.15">
      <c r="A1309" s="1" t="str">
        <f ca="1">IFERROR(__xludf.DUMMYFUNCTION("GOOGLETRANSLATE(A1309, ""zh"", ""en"")"),"Huanneng Company was included in the first batch of key power coal supply guarantee trading enterprises by the National Development and Reform Commission and became the only selected unit in Zhejiang Province")</f>
        <v>Huanneng Company was included in the first batch of key power coal supply guarantee trading enterprises by the National Development and Reform Commission and became the only selected unit in Zhejiang Province</v>
      </c>
      <c r="B1309" s="1" t="str">
        <f ca="1">IFERROR(__xludf.DUMMYFUNCTION("GOOGLETRANSLATE(A1309, ""zh"", ""en"")"),"Energy and resource consumption")</f>
        <v>Energy and resource consumption</v>
      </c>
      <c r="C1309" s="1" t="str">
        <f ca="1">IFERROR(__xludf.DUMMYFUNCTION("GOOGLETRANSLATE(E1309, ""zh"", ""en"")"),"Qualitative text")</f>
        <v>Qualitative text</v>
      </c>
    </row>
    <row r="1310" spans="1:3" ht="13" x14ac:dyDescent="0.15">
      <c r="A1310" s="1" t="str">
        <f ca="1">IFERROR(__xludf.DUMMYFUNCTION("GOOGLETRANSLATE(A1310, ""zh"", ""en"")"),"7478 Level B3 Development and Training General Disclosure Policies on improving employees' knowledge and skills in performing their job duties")</f>
        <v>7478 Level B3 Development and Training General Disclosure Policies on improving employees' knowledge and skills in performing their job duties</v>
      </c>
      <c r="B1310" s="1" t="str">
        <f ca="1">IFERROR(__xludf.DUMMYFUNCTION("GOOGLETRANSLATE(A1310, ""zh"", ""en"")"),"staff")</f>
        <v>staff</v>
      </c>
      <c r="C1310" s="1" t="str">
        <f ca="1">IFERROR(__xludf.DUMMYFUNCTION("GOOGLETRANSLATE(E1310, ""zh"", ""en"")"),"Qualitative text")</f>
        <v>Qualitative text</v>
      </c>
    </row>
    <row r="1311" spans="1:3" ht="13" x14ac:dyDescent="0.15">
      <c r="A1311" s="1" t="str">
        <f ca="1">IFERROR(__xludf.DUMMYFUNCTION("GOOGLETRANSLATE(A1311, ""zh"", ""en"")"),"We are committed to education, caring for rural revitalization, creating social value, actively fulfilling our social responsibilities, and giving back to society with Haier's energy.")</f>
        <v>We are committed to education, caring for rural revitalization, creating social value, actively fulfilling our social responsibilities, and giving back to society with Haier's energy.</v>
      </c>
      <c r="B1311" s="1" t="str">
        <f ca="1">IFERROR(__xludf.DUMMYFUNCTION("GOOGLETRANSLATE(A1311, ""zh"", ""en"")"),"Public welfare and volunteer service")</f>
        <v>Public welfare and volunteer service</v>
      </c>
      <c r="C1311" s="1" t="str">
        <f ca="1">IFERROR(__xludf.DUMMYFUNCTION("GOOGLETRANSLATE(E1311, ""zh"", ""en"")"),"Qualitative text")</f>
        <v>Qualitative text</v>
      </c>
    </row>
    <row r="1312" spans="1:3" ht="13" x14ac:dyDescent="0.15">
      <c r="A1312" s="1" t="str">
        <f ca="1">IFERROR(__xludf.DUMMYFUNCTION("GOOGLETRANSLATE(A1312, ""zh"", ""en"")"),"Quality Control R&amp;D and Innovation Customer Service Focus on user experience and continuously improve product and service quality to lead product innovation")</f>
        <v>Quality Control R&amp;D and Innovation Customer Service Focus on user experience and continuously improve product and service quality to lead product innovation</v>
      </c>
      <c r="B1312" s="1" t="str">
        <f ca="1">IFERROR(__xludf.DUMMYFUNCTION("GOOGLETRANSLATE(A1312, ""zh"", ""en"")"),"Product quality")</f>
        <v>Product quality</v>
      </c>
      <c r="C1312" s="1" t="str">
        <f ca="1">IFERROR(__xludf.DUMMYFUNCTION("GOOGLETRANSLATE(E1312, ""zh"", ""en"")"),"Qualitative text")</f>
        <v>Qualitative text</v>
      </c>
    </row>
    <row r="1313" spans="1:3" ht="13" x14ac:dyDescent="0.15">
      <c r="A1313" s="1" t="str">
        <f ca="1">IFERROR(__xludf.DUMMYFUNCTION("GOOGLETRANSLATE(A1313, ""zh"", ""en"")"),"At the same time, we have taken the lead or participated in the drafting of a number of carbon reduction-related standards to contribute to the sustainable development of the home appliance industry.")</f>
        <v>At the same time, we have taken the lead or participated in the drafting of a number of carbon reduction-related standards to contribute to the sustainable development of the home appliance industry.</v>
      </c>
      <c r="B1313" s="1" t="str">
        <f ca="1">IFERROR(__xludf.DUMMYFUNCTION("GOOGLETRANSLATE(A1313, ""zh"", ""en"")"),"carbon emissions")</f>
        <v>carbon emissions</v>
      </c>
      <c r="C1313" s="1" t="str">
        <f ca="1">IFERROR(__xludf.DUMMYFUNCTION("GOOGLETRANSLATE(E1313, ""zh"", ""en"")"),"Qualitative text")</f>
        <v>Qualitative text</v>
      </c>
    </row>
    <row r="1314" spans="1:3" ht="13" x14ac:dyDescent="0.15">
      <c r="A1314" s="1" t="str">
        <f ca="1">IFERROR(__xludf.DUMMYFUNCTION("GOOGLETRANSLATE(A1314, ""zh"", ""en"")"),"For suppliers with poor performance evaluation, we will deduct points from their performance evaluation and track their rectification of various problems.")</f>
        <v>For suppliers with poor performance evaluation, we will deduct points from their performance evaluation and track their rectification of various problems.</v>
      </c>
      <c r="B1314" s="1" t="str">
        <f ca="1">IFERROR(__xludf.DUMMYFUNCTION("GOOGLETRANSLATE(A1314, ""zh"", ""en"")"),"supply chain management")</f>
        <v>supply chain management</v>
      </c>
      <c r="C1314" s="1" t="str">
        <f ca="1">IFERROR(__xludf.DUMMYFUNCTION("GOOGLETRANSLATE(E1314, ""zh"", ""en"")"),"Qualitative text")</f>
        <v>Qualitative text</v>
      </c>
    </row>
    <row r="1315" spans="1:3" ht="13" x14ac:dyDescent="0.15">
      <c r="A1315" s="1" t="str">
        <f ca="1">IFERROR(__xludf.DUMMYFUNCTION("GOOGLETRANSLATE(A1315, ""zh"", ""en"")"),"We require that we fully understand the user's demands within 1 hour after receiving the user's complaint and resolve the user's problem within 24 hours.")</f>
        <v>We require that we fully understand the user's demands within 1 hour after receiving the user's complaint and resolve the user's problem within 24 hours.</v>
      </c>
      <c r="B1315" s="1" t="str">
        <f ca="1">IFERROR(__xludf.DUMMYFUNCTION("GOOGLETRANSLATE(A1315, ""zh"", ""en"")"),"Customers and Consumers")</f>
        <v>Customers and Consumers</v>
      </c>
      <c r="C1315" s="1" t="str">
        <f ca="1">IFERROR(__xludf.DUMMYFUNCTION("GOOGLETRANSLATE(E1315, ""zh"", ""en"")"),"Qualitative text")</f>
        <v>Qualitative text</v>
      </c>
    </row>
    <row r="1316" spans="1:3" ht="13" x14ac:dyDescent="0.15">
      <c r="A1316" s="1" t="str">
        <f ca="1">IFERROR(__xludf.DUMMYFUNCTION("GOOGLETRANSLATE(A1316, ""zh"", ""en"")"),"P34A3 Environment and Natural Resources General Disclosure Policies on minimizing the issuer's significant impacts on the environment and natural resources")</f>
        <v>P34A3 Environment and Natural Resources General Disclosure Policies on minimizing the issuer's significant impacts on the environment and natural resources</v>
      </c>
      <c r="B1316" s="1" t="str">
        <f ca="1">IFERROR(__xludf.DUMMYFUNCTION("GOOGLETRANSLATE(A1316, ""zh"", ""en"")"),"Environmental Policy")</f>
        <v>Environmental Policy</v>
      </c>
      <c r="C1316" s="1" t="str">
        <f ca="1">IFERROR(__xludf.DUMMYFUNCTION("GOOGLETRANSLATE(E1316, ""zh"", ""en"")"),"Qualitative text")</f>
        <v>Qualitative text</v>
      </c>
    </row>
    <row r="1317" spans="1:3" ht="13" x14ac:dyDescent="0.15">
      <c r="A1317" s="1" t="str">
        <f ca="1">IFERROR(__xludf.DUMMYFUNCTION("GOOGLETRANSLATE(A1317, ""zh"", ""en"")"),"P5457B3.1 Percentage of employees trained by gender and employee category, such as senior management and middle management")</f>
        <v>P5457B3.1 Percentage of employees trained by gender and employee category, such as senior management and middle management</v>
      </c>
      <c r="B1317" s="1" t="str">
        <f ca="1">IFERROR(__xludf.DUMMYFUNCTION("GOOGLETRANSLATE(A1317, ""zh"", ""en"")"),"staff")</f>
        <v>staff</v>
      </c>
      <c r="C1317" s="1" t="str">
        <f ca="1">IFERROR(__xludf.DUMMYFUNCTION("GOOGLETRANSLATE(E1317, ""zh"", ""en"")"),"Quantitative Text")</f>
        <v>Quantitative Text</v>
      </c>
    </row>
    <row r="1318" spans="1:3" ht="13" x14ac:dyDescent="0.15">
      <c r="A1318" s="1" t="str">
        <f ca="1">IFERROR(__xludf.DUMMYFUNCTION("GOOGLETRANSLATE(A1318, ""zh"", ""en"")"),"4173 violations involving marketing. No major violations involving marketing occurred in the organization in 2022.")</f>
        <v>4173 violations involving marketing. No major violations involving marketing occurred in the organization in 2022.</v>
      </c>
      <c r="B1318" s="1" t="str">
        <f ca="1">IFERROR(__xludf.DUMMYFUNCTION("GOOGLETRANSLATE(A1318, ""zh"", ""en"")"),"Anti-unfair competition")</f>
        <v>Anti-unfair competition</v>
      </c>
      <c r="C1318" s="1" t="str">
        <f ca="1">IFERROR(__xludf.DUMMYFUNCTION("GOOGLETRANSLATE(E1318, ""zh"", ""en"")"),"Quantitative Text")</f>
        <v>Quantitative Text</v>
      </c>
    </row>
    <row r="1319" spans="1:3" ht="13" x14ac:dyDescent="0.15">
      <c r="A1319" s="1" t="str">
        <f ca="1">IFERROR(__xludf.DUMMYFUNCTION("GOOGLETRANSLATE(A1319, ""zh"", ""en"")"),"Deeply grasp the connotation of digital operations and promote digital transformation through three major upgrades in management model, service model and cultural construction.")</f>
        <v>Deeply grasp the connotation of digital operations and promote digital transformation through three major upgrades in management model, service model and cultural construction.</v>
      </c>
      <c r="B1319" s="1" t="str">
        <f ca="1">IFERROR(__xludf.DUMMYFUNCTION("GOOGLETRANSLATE(A1319, ""zh"", ""en"")"),"Technological innovation")</f>
        <v>Technological innovation</v>
      </c>
      <c r="C1319" s="1" t="str">
        <f ca="1">IFERROR(__xludf.DUMMYFUNCTION("GOOGLETRANSLATE(E1319, ""zh"", ""en"")"),"Qualitative text")</f>
        <v>Qualitative text</v>
      </c>
    </row>
    <row r="1320" spans="1:3" ht="13" x14ac:dyDescent="0.15">
      <c r="A1320" s="1" t="str">
        <f ca="1">IFERROR(__xludf.DUMMYFUNCTION("GOOGLETRANSLATE(A1320, ""zh"", ""en"")"),"The number of people who signed up for physical examination in 2022 was 191, and the actual number of people who took the examination was 182. The coverage rate of physical examination and health records was 95.")</f>
        <v>The number of people who signed up for physical examination in 2022 was 191, and the actual number of people who took the examination was 182. The coverage rate of physical examination and health records was 95.</v>
      </c>
      <c r="B1320" s="1" t="str">
        <f ca="1">IFERROR(__xludf.DUMMYFUNCTION("GOOGLETRANSLATE(A1320, ""zh"", ""en"")"),"staff")</f>
        <v>staff</v>
      </c>
      <c r="C1320" s="1" t="str">
        <f ca="1">IFERROR(__xludf.DUMMYFUNCTION("GOOGLETRANSLATE(E1320, ""zh"", ""en"")"),"Quantitative Text")</f>
        <v>Quantitative Text</v>
      </c>
    </row>
    <row r="1321" spans="1:3" ht="13" x14ac:dyDescent="0.15">
      <c r="A1321" s="1" t="str">
        <f ca="1">IFERROR(__xludf.DUMMYFUNCTION("GOOGLETRANSLATE(A1321, ""zh"", ""en"")"),"Before the construction of the new logistics base, the company implemented a strict environmental impact assessment and was recognized by the government and relevant environmental protection departments.")</f>
        <v>Before the construction of the new logistics base, the company implemented a strict environmental impact assessment and was recognized by the government and relevant environmental protection departments.</v>
      </c>
      <c r="B1321" s="1" t="str">
        <f ca="1">IFERROR(__xludf.DUMMYFUNCTION("GOOGLETRANSLATE(A1321, ""zh"", ""en"")"),"Green Building")</f>
        <v>Green Building</v>
      </c>
      <c r="C1321" s="1" t="str">
        <f ca="1">IFERROR(__xludf.DUMMYFUNCTION("GOOGLETRANSLATE(E1321, ""zh"", ""en"")"),"Qualitative text")</f>
        <v>Qualitative text</v>
      </c>
    </row>
    <row r="1322" spans="1:3" ht="13" x14ac:dyDescent="0.15">
      <c r="A1322" s="1" t="str">
        <f ca="1">IFERROR(__xludf.DUMMYFUNCTION("GOOGLETRANSLATE(A1322, ""zh"", ""en"")"),"Xinxiang Haibin has signed disposal agreements with six companies with hazardous waste disposal qualifications to ensure that hazardous waste is disposed of reasonably, safely and efficiently.")</f>
        <v>Xinxiang Haibin has signed disposal agreements with six companies with hazardous waste disposal qualifications to ensure that hazardous waste is disposed of reasonably, safely and efficiently.</v>
      </c>
      <c r="B1322" s="1" t="str">
        <f ca="1">IFERROR(__xludf.DUMMYFUNCTION("GOOGLETRANSLATE(A1322, ""zh"", ""en"")"),"Waste Management")</f>
        <v>Waste Management</v>
      </c>
      <c r="C1322" s="1" t="str">
        <f ca="1">IFERROR(__xludf.DUMMYFUNCTION("GOOGLETRANSLATE(E1322, ""zh"", ""en"")"),"Qualitative text")</f>
        <v>Qualitative text</v>
      </c>
    </row>
    <row r="1323" spans="1:3" ht="13" x14ac:dyDescent="0.15">
      <c r="A1323" s="1" t="str">
        <f ca="1">IFERROR(__xludf.DUMMYFUNCTION("GOOGLETRANSLATE(A1323, ""zh"", ""en"")"),"Each innovative business team will study and formulate a detailed plan for entrepreneurial partners based on this guideline in line with the actual business development.")</f>
        <v>Each innovative business team will study and formulate a detailed plan for entrepreneurial partners based on this guideline in line with the actual business development.</v>
      </c>
      <c r="B1323" s="1" t="str">
        <f ca="1">IFERROR(__xludf.DUMMYFUNCTION("GOOGLETRANSLATE(A1323, ""zh"", ""en"")"),"Technological innovation")</f>
        <v>Technological innovation</v>
      </c>
      <c r="C1323" s="1" t="str">
        <f ca="1">IFERROR(__xludf.DUMMYFUNCTION("GOOGLETRANSLATE(E1323, ""zh"", ""en"")"),"Qualitative text")</f>
        <v>Qualitative text</v>
      </c>
    </row>
    <row r="1324" spans="1:3" ht="13" x14ac:dyDescent="0.15">
      <c r="A1324" s="1" t="str">
        <f ca="1">IFERROR(__xludf.DUMMYFUNCTION("GOOGLETRANSLATE(A1324, ""zh"", ""en"")"),"Dima Industry actively practices corporate responsibility and fulfills its corporate citizenship obligations to provide employment opportunities for people with disabilities who are able to work.")</f>
        <v>Dima Industry actively practices corporate responsibility and fulfills its corporate citizenship obligations to provide employment opportunities for people with disabilities who are able to work.</v>
      </c>
      <c r="B1324" s="1" t="str">
        <f ca="1">IFERROR(__xludf.DUMMYFUNCTION("GOOGLETRANSLATE(A1324, ""zh"", ""en"")"),"Promoting employment")</f>
        <v>Promoting employment</v>
      </c>
      <c r="C1324" s="1" t="str">
        <f ca="1">IFERROR(__xludf.DUMMYFUNCTION("GOOGLETRANSLATE(E1324, ""zh"", ""en"")"),"Qualitative text")</f>
        <v>Qualitative text</v>
      </c>
    </row>
    <row r="1325" spans="1:3" ht="13" x14ac:dyDescent="0.15">
      <c r="A1325" s="1" t="str">
        <f ca="1">IFERROR(__xludf.DUMMYFUNCTION("GOOGLETRANSLATE(A1325, ""zh"", ""en"")"),"To evaluate the potential impact of a short-term deviation from the specified temperature on the product, we conducted a simulated transportation preventive test evaluation on the product.")</f>
        <v>To evaluate the potential impact of a short-term deviation from the specified temperature on the product, we conducted a simulated transportation preventive test evaluation on the product.</v>
      </c>
      <c r="B1325" s="1" t="str">
        <f ca="1">IFERROR(__xludf.DUMMYFUNCTION("GOOGLETRANSLATE(A1325, ""zh"", ""en"")"),"Product quality")</f>
        <v>Product quality</v>
      </c>
      <c r="C1325" s="1" t="str">
        <f ca="1">IFERROR(__xludf.DUMMYFUNCTION("GOOGLETRANSLATE(E1325, ""zh"", ""en"")"),"Qualitative text")</f>
        <v>Qualitative text</v>
      </c>
    </row>
    <row r="1326" spans="1:3" ht="13" x14ac:dyDescent="0.15">
      <c r="A1326" s="1" t="str">
        <f ca="1">IFERROR(__xludf.DUMMYFUNCTION("GOOGLETRANSLATE(A1326, ""zh"", ""en"")"),"In terms of COVID-19 treatment drugs, Livzon Biopharma's key product, Tocilizumab Injection, Avitai, was approved for marketing in January 2023.")</f>
        <v>In terms of COVID-19 treatment drugs, Livzon Biopharma's key product, Tocilizumab Injection, Avitai, was approved for marketing in January 2023.</v>
      </c>
      <c r="B1326" s="1" t="str">
        <f ca="1">IFERROR(__xludf.DUMMYFUNCTION("GOOGLETRANSLATE(A1326, ""zh"", ""en"")"),"Fighting the epidemic")</f>
        <v>Fighting the epidemic</v>
      </c>
      <c r="C1326" s="1" t="str">
        <f ca="1">IFERROR(__xludf.DUMMYFUNCTION("GOOGLETRANSLATE(E1326, ""zh"", ""en"")"),"Quantitative Text")</f>
        <v>Quantitative Text</v>
      </c>
    </row>
    <row r="1327" spans="1:3" ht="13" x14ac:dyDescent="0.15">
      <c r="A1327" s="1" t="str">
        <f ca="1">IFERROR(__xludf.DUMMYFUNCTION("GOOGLETRANSLATE(A1327, ""zh"", ""en"")"),"Changqingshe is positioned as a comprehensive operator of elderly care services to meet the elderly care service needs of different age groups and health conditions.")</f>
        <v>Changqingshe is positioned as a comprehensive operator of elderly care services to meet the elderly care service needs of different age groups and health conditions.</v>
      </c>
      <c r="B1327" s="1" t="str">
        <f ca="1">IFERROR(__xludf.DUMMYFUNCTION("GOOGLETRANSLATE(A1327, ""zh"", ""en"")"),"irrelevant text")</f>
        <v>irrelevant text</v>
      </c>
      <c r="C1327" s="1" t="str">
        <f ca="1">IFERROR(__xludf.DUMMYFUNCTION("GOOGLETRANSLATE(E1327, ""zh"", ""en"")"),"irrelevant text")</f>
        <v>irrelevant text</v>
      </c>
    </row>
    <row r="1328" spans="1:3" ht="13" x14ac:dyDescent="0.15">
      <c r="A1328" s="1" t="str">
        <f ca="1">IFERROR(__xludf.DUMMYFUNCTION("GOOGLETRANSLATE(A1328, ""zh"", ""en"")"),"In 2022, Dongyuan Group has consolidated the full life cycle product creation from product definition to product realization and then to product operation and maintenance.")</f>
        <v>In 2022, Dongyuan Group has consolidated the full life cycle product creation from product definition to product realization and then to product operation and maintenance.</v>
      </c>
      <c r="B1328" s="1" t="str">
        <f ca="1">IFERROR(__xludf.DUMMYFUNCTION("GOOGLETRANSLATE(A1328, ""zh"", ""en"")"),"Product quality")</f>
        <v>Product quality</v>
      </c>
      <c r="C1328" s="1" t="str">
        <f ca="1">IFERROR(__xludf.DUMMYFUNCTION("GOOGLETRANSLATE(E1328, ""zh"", ""en"")"),"Qualitative text")</f>
        <v>Qualitative text</v>
      </c>
    </row>
    <row r="1329" spans="1:3" ht="13" x14ac:dyDescent="0.15">
      <c r="A1329" s="1" t="str">
        <f ca="1">IFERROR(__xludf.DUMMYFUNCTION("GOOGLETRANSLATE(A1329, ""zh"", ""en"")"),"Research and development of fungal resistance In recent years, with the increase in the number of people with immune deficiency and cancer chemotherapy, invasive fungal infections have also gradually increased.")</f>
        <v>Research and development of fungal resistance In recent years, with the increase in the number of people with immune deficiency and cancer chemotherapy, invasive fungal infections have also gradually increased.</v>
      </c>
      <c r="B1329" s="1" t="str">
        <f ca="1">IFERROR(__xludf.DUMMYFUNCTION("GOOGLETRANSLATE(A1329, ""zh"", ""en"")"),"Fighting the epidemic")</f>
        <v>Fighting the epidemic</v>
      </c>
      <c r="C1329" s="1" t="str">
        <f ca="1">IFERROR(__xludf.DUMMYFUNCTION("GOOGLETRANSLATE(E1329, ""zh"", ""en"")"),"Qualitative text")</f>
        <v>Qualitative text</v>
      </c>
    </row>
    <row r="1330" spans="1:3" ht="13" x14ac:dyDescent="0.15">
      <c r="A1330" s="1" t="str">
        <f ca="1">IFERROR(__xludf.DUMMYFUNCTION("GOOGLETRANSLATE(A1330, ""zh"", ""en"")"),"After years of clinical use, antifungal drug resistance has become increasingly serious, making the number of clinically available drugs very limited.")</f>
        <v>After years of clinical use, antifungal drug resistance has become increasingly serious, making the number of clinically available drugs very limited.</v>
      </c>
      <c r="B1330" s="1" t="str">
        <f ca="1">IFERROR(__xludf.DUMMYFUNCTION("GOOGLETRANSLATE(A1330, ""zh"", ""en"")"),"Product quality")</f>
        <v>Product quality</v>
      </c>
      <c r="C1330" s="1" t="str">
        <f ca="1">IFERROR(__xludf.DUMMYFUNCTION("GOOGLETRANSLATE(E1330, ""zh"", ""en"")"),"Qualitative text")</f>
        <v>Qualitative text</v>
      </c>
    </row>
    <row r="1331" spans="1:3" ht="13" x14ac:dyDescent="0.15">
      <c r="A1331" s="1" t="str">
        <f ca="1">IFERROR(__xludf.DUMMYFUNCTION("GOOGLETRANSLATE(A1331, ""zh"", ""en"")"),"Dima Industry's professional responsibility is only for a safe and happy life. Quality management is the lifeline of the product through full control and special improvement.")</f>
        <v>Dima Industry's professional responsibility is only for a safe and happy life. Quality management is the lifeline of the product through full control and special improvement.</v>
      </c>
      <c r="B1331" s="1" t="str">
        <f ca="1">IFERROR(__xludf.DUMMYFUNCTION("GOOGLETRANSLATE(A1331, ""zh"", ""en"")"),"Product quality")</f>
        <v>Product quality</v>
      </c>
      <c r="C1331" s="1" t="str">
        <f ca="1">IFERROR(__xludf.DUMMYFUNCTION("GOOGLETRANSLATE(E1331, ""zh"", ""en"")"),"Qualitative text")</f>
        <v>Qualitative text</v>
      </c>
    </row>
    <row r="1332" spans="1:3" ht="13" x14ac:dyDescent="0.15">
      <c r="A1332" s="1" t="str">
        <f ca="1">IFERROR(__xludf.DUMMYFUNCTION("GOOGLETRANSLATE(A1332, ""zh"", ""en"")"),"As of now, the company's board of directors has 11 members, including 4 independent non-executive directors. The proportion of independent directors meets regulatory requirements.")</f>
        <v>As of now, the company's board of directors has 11 members, including 4 independent non-executive directors. The proportion of independent directors meets regulatory requirements.</v>
      </c>
      <c r="B1332" s="1" t="str">
        <f ca="1">IFERROR(__xludf.DUMMYFUNCTION("GOOGLETRANSLATE(A1332, ""zh"", ""en"")"),"Organizational structure and operations")</f>
        <v>Organizational structure and operations</v>
      </c>
      <c r="C1332" s="1" t="str">
        <f ca="1">IFERROR(__xludf.DUMMYFUNCTION("GOOGLETRANSLATE(E1332, ""zh"", ""en"")"),"Quantitative Text")</f>
        <v>Quantitative Text</v>
      </c>
    </row>
    <row r="1333" spans="1:3" ht="13" x14ac:dyDescent="0.15">
      <c r="A1333" s="1" t="str">
        <f ca="1">IFERROR(__xludf.DUMMYFUNCTION("GOOGLETRANSLATE(A1333, ""zh"", ""en"")"),"This report includes three versions: simplified Chinese, traditional Chinese and English. In case of any discrepancy, the simplified Chinese version shall prevail.")</f>
        <v>This report includes three versions: simplified Chinese, traditional Chinese and English. In case of any discrepancy, the simplified Chinese version shall prevail.</v>
      </c>
      <c r="B1333" s="1" t="str">
        <f ca="1">IFERROR(__xludf.DUMMYFUNCTION("GOOGLETRANSLATE(A1333, ""zh"", ""en"")"),"irrelevant text")</f>
        <v>irrelevant text</v>
      </c>
      <c r="C1333" s="1" t="str">
        <f ca="1">IFERROR(__xludf.DUMMYFUNCTION("GOOGLETRANSLATE(E1333, ""zh"", ""en"")"),"irrelevant text")</f>
        <v>irrelevant text</v>
      </c>
    </row>
    <row r="1334" spans="1:3" ht="13" x14ac:dyDescent="0.15">
      <c r="A1334" s="1" t="str">
        <f ca="1">IFERROR(__xludf.DUMMYFUNCTION("GOOGLETRANSLATE(A1334, ""zh"", ""en"")"),"Conduct compliance education for all employees, focusing on systems such as the employee compliance manual and employee violation handling procedures.")</f>
        <v>Conduct compliance education for all employees, focusing on systems such as the employee compliance manual and employee violation handling procedures.</v>
      </c>
      <c r="B1334" s="1" t="str">
        <f ca="1">IFERROR(__xludf.DUMMYFUNCTION("GOOGLETRANSLATE(A1334, ""zh"", ""en"")"),"staff")</f>
        <v>staff</v>
      </c>
      <c r="C1334" s="1" t="str">
        <f ca="1">IFERROR(__xludf.DUMMYFUNCTION("GOOGLETRANSLATE(E1334, ""zh"", ""en"")"),"Qualitative text")</f>
        <v>Qualitative text</v>
      </c>
    </row>
    <row r="1335" spans="1:3" ht="13" x14ac:dyDescent="0.15">
      <c r="A1335" s="1" t="str">
        <f ca="1">IFERROR(__xludf.DUMMYFUNCTION("GOOGLETRANSLATE(A1335, ""zh"", ""en"")"),"Yujian Future New Employee Integration Plan The Bank further iterated and extended the Yujian Future learning brand and launched a new employee integration plan")</f>
        <v>Yujian Future New Employee Integration Plan The Bank further iterated and extended the Yujian Future learning brand and launched a new employee integration plan</v>
      </c>
      <c r="B1335" s="1" t="str">
        <f ca="1">IFERROR(__xludf.DUMMYFUNCTION("GOOGLETRANSLATE(A1335, ""zh"", ""en"")"),"staff")</f>
        <v>staff</v>
      </c>
      <c r="C1335" s="1" t="str">
        <f ca="1">IFERROR(__xludf.DUMMYFUNCTION("GOOGLETRANSLATE(E1335, ""zh"", ""en"")"),"Qualitative text")</f>
        <v>Qualitative text</v>
      </c>
    </row>
    <row r="1336" spans="1:3" ht="13" x14ac:dyDescent="0.15">
      <c r="A1336" s="1" t="str">
        <f ca="1">IFERROR(__xludf.DUMMYFUNCTION("GOOGLETRANSLATE(A1336, ""zh"", ""en"")"),"During the fund accumulation period, we will open up the pension investment education, pension planning, pension asset allocation, pension product selection, long-term companionship and wealth management chain.")</f>
        <v>During the fund accumulation period, we will open up the pension investment education, pension planning, pension asset allocation, pension product selection, long-term companionship and wealth management chain.</v>
      </c>
      <c r="B1336" s="1" t="str">
        <f ca="1">IFERROR(__xludf.DUMMYFUNCTION("GOOGLETRANSLATE(A1336, ""zh"", ""en"")"),"irrelevant text")</f>
        <v>irrelevant text</v>
      </c>
      <c r="C1336" s="1" t="str">
        <f ca="1">IFERROR(__xludf.DUMMYFUNCTION("GOOGLETRANSLATE(E1336, ""zh"", ""en"")"),"irrelevant text")</f>
        <v>irrelevant text</v>
      </c>
    </row>
    <row r="1337" spans="1:3" ht="13" x14ac:dyDescent="0.15">
      <c r="A1337" s="1" t="str">
        <f ca="1">IFERROR(__xludf.DUMMYFUNCTION("GOOGLETRANSLATE(A1337, ""zh"", ""en"")"),"We attach great importance to the protection of female employees' rights and interests and take multiple measures to ensure fair employment and development rights for female employees and help them grow and develop.")</f>
        <v>We attach great importance to the protection of female employees' rights and interests and take multiple measures to ensure fair employment and development rights for female employees and help them grow and develop.</v>
      </c>
      <c r="B1337" s="1" t="str">
        <f ca="1">IFERROR(__xludf.DUMMYFUNCTION("GOOGLETRANSLATE(A1337, ""zh"", ""en"")"),"Promoting employment")</f>
        <v>Promoting employment</v>
      </c>
      <c r="C1337" s="1" t="str">
        <f ca="1">IFERROR(__xludf.DUMMYFUNCTION("GOOGLETRANSLATE(E1337, ""zh"", ""en"")"),"Qualitative text")</f>
        <v>Qualitative text</v>
      </c>
    </row>
    <row r="1338" spans="1:3" ht="13" x14ac:dyDescent="0.15">
      <c r="A1338" s="1" t="str">
        <f ca="1">IFERROR(__xludf.DUMMYFUNCTION("GOOGLETRANSLATE(A1338, ""zh"", ""en"")"),"Strengthen disaster response plan drills for natural disasters such as extreme weather changes to enhance employees' response and self-rescue and mutual rescue capabilities")</f>
        <v>Strengthen disaster response plan drills for natural disasters such as extreme weather changes to enhance employees' response and self-rescue and mutual rescue capabilities</v>
      </c>
      <c r="B1338" s="1" t="str">
        <f ca="1">IFERROR(__xludf.DUMMYFUNCTION("GOOGLETRANSLATE(A1338, ""zh"", ""en"")"),"Addressing climate change")</f>
        <v>Addressing climate change</v>
      </c>
      <c r="C1338" s="1" t="str">
        <f ca="1">IFERROR(__xludf.DUMMYFUNCTION("GOOGLETRANSLATE(E1338, ""zh"", ""en"")"),"Qualitative text")</f>
        <v>Qualitative text</v>
      </c>
    </row>
    <row r="1339" spans="1:3" ht="13" x14ac:dyDescent="0.15">
      <c r="A1339" s="1" t="str">
        <f ca="1">IFERROR(__xludf.DUMMYFUNCTION("GOOGLETRANSLATE(A1339, ""zh"", ""en"")"),"Optimizing and adjusting the overseas business system and mechanism has made significant progress in the internationalization of the headquarters, effectively promoting the high-quality development of overseas business.")</f>
        <v>Optimizing and adjusting the overseas business system and mechanism has made significant progress in the internationalization of the headquarters, effectively promoting the high-quality development of overseas business.</v>
      </c>
      <c r="B1339" s="1" t="str">
        <f ca="1">IFERROR(__xludf.DUMMYFUNCTION("GOOGLETRANSLATE(A1339, ""zh"", ""en"")"),"Organizational structure and operations")</f>
        <v>Organizational structure and operations</v>
      </c>
      <c r="C1339" s="1" t="str">
        <f ca="1">IFERROR(__xludf.DUMMYFUNCTION("GOOGLETRANSLATE(E1339, ""zh"", ""en"")"),"Qualitative text")</f>
        <v>Qualitative text</v>
      </c>
    </row>
    <row r="1340" spans="1:3" ht="13" x14ac:dyDescent="0.15">
      <c r="A1340" s="1" t="str">
        <f ca="1">IFERROR(__xludf.DUMMYFUNCTION("GOOGLETRANSLATE(A1340, ""zh"", ""en"")"),"This has lowered overall inventory levels, shortened lead times, and improved inventory turnover for Erye Pharmaceutical, a member company, through end-to-end supply chain flows.")</f>
        <v>This has lowered overall inventory levels, shortened lead times, and improved inventory turnover for Erye Pharmaceutical, a member company, through end-to-end supply chain flows.</v>
      </c>
      <c r="B1340" s="1" t="str">
        <f ca="1">IFERROR(__xludf.DUMMYFUNCTION("GOOGLETRANSLATE(A1340, ""zh"", ""en"")"),"supply chain management")</f>
        <v>supply chain management</v>
      </c>
      <c r="C1340" s="1" t="str">
        <f ca="1">IFERROR(__xludf.DUMMYFUNCTION("GOOGLETRANSLATE(E1340, ""zh"", ""en"")"),"Quantitative Text")</f>
        <v>Quantitative Text</v>
      </c>
    </row>
    <row r="1341" spans="1:3" ht="13" x14ac:dyDescent="0.15">
      <c r="A1341" s="1" t="str">
        <f ca="1">IFERROR(__xludf.DUMMYFUNCTION("GOOGLETRANSLATE(A1341, ""zh"", ""en"")"),"68 levels 85 are generally referred to as the supply chain management of suppliers and environmental and social risk policies of the supply chain")</f>
        <v>68 levels 85 are generally referred to as the supply chain management of suppliers and environmental and social risk policies of the supply chain</v>
      </c>
      <c r="B1341" s="1" t="str">
        <f ca="1">IFERROR(__xludf.DUMMYFUNCTION("GOOGLETRANSLATE(A1341, ""zh"", ""en"")"),"supply chain management")</f>
        <v>supply chain management</v>
      </c>
      <c r="C1341" s="1" t="str">
        <f ca="1">IFERROR(__xludf.DUMMYFUNCTION("GOOGLETRANSLATE(E1341, ""zh"", ""en"")"),"Qualitative text")</f>
        <v>Qualitative text</v>
      </c>
    </row>
    <row r="1342" spans="1:3" ht="13" x14ac:dyDescent="0.15">
      <c r="A1342" s="1" t="str">
        <f ca="1">IFERROR(__xludf.DUMMYFUNCTION("GOOGLETRANSLATE(A1342, ""zh"", ""en"")"),"At the same time, we have made a new review of the content of third-party inspections of materials, and made clear provisions in dimensions such as actual measurement, brand verification, and off-site inspection.")</f>
        <v>At the same time, we have made a new review of the content of third-party inspections of materials, and made clear provisions in dimensions such as actual measurement, brand verification, and off-site inspection.</v>
      </c>
      <c r="B1342" s="1" t="str">
        <f ca="1">IFERROR(__xludf.DUMMYFUNCTION("GOOGLETRANSLATE(A1342, ""zh"", ""en"")"),"Product quality")</f>
        <v>Product quality</v>
      </c>
      <c r="C1342" s="1" t="str">
        <f ca="1">IFERROR(__xludf.DUMMYFUNCTION("GOOGLETRANSLATE(E1342, ""zh"", ""en"")"),"Qualitative text")</f>
        <v>Qualitative text</v>
      </c>
    </row>
    <row r="1343" spans="1:3" ht="13" x14ac:dyDescent="0.15">
      <c r="A1343" s="1" t="str">
        <f ca="1">IFERROR(__xludf.DUMMYFUNCTION("GOOGLETRANSLATE(A1343, ""zh"", ""en"")"),"Cultivating Iraqi local suppliers and contractors: The West Qurna project will prioritize local procurement and incorporate it into project management and monitor its implementation.")</f>
        <v>Cultivating Iraqi local suppliers and contractors: The West Qurna project will prioritize local procurement and incorporate it into project management and monitor its implementation.</v>
      </c>
      <c r="B1343" s="1" t="str">
        <f ca="1">IFERROR(__xludf.DUMMYFUNCTION("GOOGLETRANSLATE(A1343, ""zh"", ""en"")"),"supply chain management")</f>
        <v>supply chain management</v>
      </c>
      <c r="C1343" s="1" t="str">
        <f ca="1">IFERROR(__xludf.DUMMYFUNCTION("GOOGLETRANSLATE(E1343, ""zh"", ""en"")"),"Qualitative text")</f>
        <v>Qualitative text</v>
      </c>
    </row>
    <row r="1344" spans="1:3" ht="13" x14ac:dyDescent="0.15">
      <c r="A1344" s="1" t="str">
        <f ca="1">IFERROR(__xludf.DUMMYFUNCTION("GOOGLETRANSLATE(A1344, ""zh"", ""en"")"),"Promote resource conservation, build a smart energy cloud platform, implement price forecasting, monitor and analyze energy consumption, and enhance energy management capabilities.")</f>
        <v>Promote resource conservation, build a smart energy cloud platform, implement price forecasting, monitor and analyze energy consumption, and enhance energy management capabilities.</v>
      </c>
      <c r="B1344" s="1" t="str">
        <f ca="1">IFERROR(__xludf.DUMMYFUNCTION("GOOGLETRANSLATE(A1344, ""zh"", ""en"")"),"Energy and resource consumption")</f>
        <v>Energy and resource consumption</v>
      </c>
      <c r="C1344" s="1" t="str">
        <f ca="1">IFERROR(__xludf.DUMMYFUNCTION("GOOGLETRANSLATE(E1344, ""zh"", ""en"")"),"Qualitative text")</f>
        <v>Qualitative text</v>
      </c>
    </row>
    <row r="1345" spans="1:3" ht="13" x14ac:dyDescent="0.15">
      <c r="A1345" s="1" t="str">
        <f ca="1">IFERROR(__xludf.DUMMYFUNCTION("GOOGLETRANSLATE(A1345, ""zh"", ""en"")"),"Affinity networks provide a safe space for employees to share interests, skills, and experiences and offer engagement opportunities that support key business initiatives.")</f>
        <v>Affinity networks provide a safe space for employees to share interests, skills, and experiences and offer engagement opportunities that support key business initiatives.</v>
      </c>
      <c r="B1345" s="1" t="str">
        <f ca="1">IFERROR(__xludf.DUMMYFUNCTION("GOOGLETRANSLATE(A1345, ""zh"", ""en"")"),"staff")</f>
        <v>staff</v>
      </c>
      <c r="C1345" s="1" t="str">
        <f ca="1">IFERROR(__xludf.DUMMYFUNCTION("GOOGLETRANSLATE(E1345, ""zh"", ""en"")"),"Qualitative text")</f>
        <v>Qualitative text</v>
      </c>
    </row>
    <row r="1346" spans="1:3" ht="13" x14ac:dyDescent="0.15">
      <c r="A1346" s="1" t="str">
        <f ca="1">IFERROR(__xludf.DUMMYFUNCTION("GOOGLETRANSLATE(A1346, ""zh"", ""en"")"),"For details on the expertise of Board members, please refer to the Corporate Governance Report (H shares) or Corporate Governance (A shares) sections in the 2022 Annual Report.")</f>
        <v>For details on the expertise of Board members, please refer to the Corporate Governance Report (H shares) or Corporate Governance (A shares) sections in the 2022 Annual Report.</v>
      </c>
      <c r="B1346" s="1" t="str">
        <f ca="1">IFERROR(__xludf.DUMMYFUNCTION("GOOGLETRANSLATE(A1346, ""zh"", ""en"")"),"Organizational structure and operations")</f>
        <v>Organizational structure and operations</v>
      </c>
      <c r="C1346" s="1" t="str">
        <f ca="1">IFERROR(__xludf.DUMMYFUNCTION("GOOGLETRANSLATE(E1346, ""zh"", ""en"")"),"Qualitative text")</f>
        <v>Qualitative text</v>
      </c>
    </row>
    <row r="1347" spans="1:3" ht="13" x14ac:dyDescent="0.15">
      <c r="A1347" s="1" t="str">
        <f ca="1">IFERROR(__xludf.DUMMYFUNCTION("GOOGLETRANSLATE(A1347, ""zh"", ""en"")"),"The Company promises that this report does not contain any false records or misleading statements and is responsible for the authenticity, accuracy and completeness of its contents.")</f>
        <v>The Company promises that this report does not contain any false records or misleading statements and is responsible for the authenticity, accuracy and completeness of its contents.</v>
      </c>
      <c r="B1347" s="1" t="str">
        <f ca="1">IFERROR(__xludf.DUMMYFUNCTION("GOOGLETRANSLATE(A1347, ""zh"", ""en"")"),"irrelevant text")</f>
        <v>irrelevant text</v>
      </c>
      <c r="C1347" s="1" t="str">
        <f ca="1">IFERROR(__xludf.DUMMYFUNCTION("GOOGLETRANSLATE(E1347, ""zh"", ""en"")"),"irrelevant text")</f>
        <v>irrelevant text</v>
      </c>
    </row>
    <row r="1348" spans="1:3" ht="13" x14ac:dyDescent="0.15">
      <c r="A1348" s="1" t="str">
        <f ca="1">IFERROR(__xludf.DUMMYFUNCTION("GOOGLETRANSLATE(A1348, ""zh"", ""en"")"),"The Environmental, Social and Governance Committee is a professional committee under the Board of Directors to assist the Board in carrying out ESG governance and information disclosure.")</f>
        <v>The Environmental, Social and Governance Committee is a professional committee under the Board of Directors to assist the Board in carrying out ESG governance and information disclosure.</v>
      </c>
      <c r="B1348" s="1" t="str">
        <f ca="1">IFERROR(__xludf.DUMMYFUNCTION("GOOGLETRANSLATE(A1348, ""zh"", ""en"")"),"Organizational structure and operations")</f>
        <v>Organizational structure and operations</v>
      </c>
      <c r="C1348" s="1" t="str">
        <f ca="1">IFERROR(__xludf.DUMMYFUNCTION("GOOGLETRANSLATE(E1348, ""zh"", ""en"")"),"Qualitative text")</f>
        <v>Qualitative text</v>
      </c>
    </row>
    <row r="1349" spans="1:3" ht="13" x14ac:dyDescent="0.15">
      <c r="A1349" s="1" t="str">
        <f ca="1">IFERROR(__xludf.DUMMYFUNCTION("GOOGLETRANSLATE(A1349, ""zh"", ""en"")"),"Conduct a thorough investigation of the staff of listed companies and improve their professional level through professional title evaluation, certification and business training.")</f>
        <v>Conduct a thorough investigation of the staff of listed companies and improve their professional level through professional title evaluation, certification and business training.</v>
      </c>
      <c r="B1349" s="1" t="str">
        <f ca="1">IFERROR(__xludf.DUMMYFUNCTION("GOOGLETRANSLATE(A1349, ""zh"", ""en"")"),"staff")</f>
        <v>staff</v>
      </c>
      <c r="C1349" s="1" t="str">
        <f ca="1">IFERROR(__xludf.DUMMYFUNCTION("GOOGLETRANSLATE(E1349, ""zh"", ""en"")"),"Qualitative text")</f>
        <v>Qualitative text</v>
      </c>
    </row>
    <row r="1350" spans="1:3" ht="13" x14ac:dyDescent="0.15">
      <c r="A1350" s="1" t="str">
        <f ca="1">IFERROR(__xludf.DUMMYFUNCTION("GOOGLETRANSLATE(A1350, ""zh"", ""en"")"),"Typical cases of promoting rapid business development with the golden brand of integrity and compliance were promoted in many media outlets, including the Anti-Corruption Guide and Zhejiang State-owned Assets.")</f>
        <v>Typical cases of promoting rapid business development with the golden brand of integrity and compliance were promoted in many media outlets, including the Anti-Corruption Guide and Zhejiang State-owned Assets.</v>
      </c>
      <c r="B1350" s="1" t="str">
        <f ca="1">IFERROR(__xludf.DUMMYFUNCTION("GOOGLETRANSLATE(A1350, ""zh"", ""en"")"),"Anti-corruption and anti-money laundering")</f>
        <v>Anti-corruption and anti-money laundering</v>
      </c>
      <c r="C1350" s="1" t="str">
        <f ca="1">IFERROR(__xludf.DUMMYFUNCTION("GOOGLETRANSLATE(E1350, ""zh"", ""en"")"),"Qualitative text")</f>
        <v>Qualitative text</v>
      </c>
    </row>
    <row r="1351" spans="1:3" ht="13" x14ac:dyDescent="0.15">
      <c r="A1351" s="1" t="str">
        <f ca="1">IFERROR(__xludf.DUMMYFUNCTION("GOOGLETRANSLATE(A1351, ""zh"", ""en"")"),"Tencent Charity, in conjunction with the Provincial Red Cross Society, jointly launched the Emergency Rescue Station Project and donated funds to help increase AED coverage in public places.")</f>
        <v>Tencent Charity, in conjunction with the Provincial Red Cross Society, jointly launched the Emergency Rescue Station Project and donated funds to help increase AED coverage in public places.</v>
      </c>
      <c r="B1351" s="1" t="str">
        <f ca="1">IFERROR(__xludf.DUMMYFUNCTION("GOOGLETRANSLATE(A1351, ""zh"", ""en"")"),"Public welfare and volunteer service")</f>
        <v>Public welfare and volunteer service</v>
      </c>
      <c r="C1351" s="1" t="str">
        <f ca="1">IFERROR(__xludf.DUMMYFUNCTION("GOOGLETRANSLATE(E1351, ""zh"", ""en"")"),"Qualitative text")</f>
        <v>Qualitative text</v>
      </c>
    </row>
    <row r="1352" spans="1:3" ht="13" x14ac:dyDescent="0.15">
      <c r="A1352" s="1" t="str">
        <f ca="1">IFERROR(__xludf.DUMMYFUNCTION("GOOGLETRANSLATE(A1352, ""zh"", ""en"")"),"72 Key Performance Indicator B1.1 Total number of employees by gender, employment type (e.g., full-time or part-time), age group, and region")</f>
        <v>72 Key Performance Indicator B1.1 Total number of employees by gender, employment type (e.g., full-time or part-time), age group, and region</v>
      </c>
      <c r="B1352" s="1" t="str">
        <f ca="1">IFERROR(__xludf.DUMMYFUNCTION("GOOGLETRANSLATE(A1352, ""zh"", ""en"")"),"staff")</f>
        <v>staff</v>
      </c>
      <c r="C1352" s="1" t="str">
        <f ca="1">IFERROR(__xludf.DUMMYFUNCTION("GOOGLETRANSLATE(E1352, ""zh"", ""en"")"),"Qualitative text")</f>
        <v>Qualitative text</v>
      </c>
    </row>
    <row r="1353" spans="1:3" ht="13" x14ac:dyDescent="0.15">
      <c r="A1353" s="1" t="str">
        <f ca="1">IFERROR(__xludf.DUMMYFUNCTION("GOOGLETRANSLATE(A1353, ""zh"", ""en"")"),"Today, this old oil field has started anew and embarked on the exploration of green development and clean transformation with the help of the development of clean energy.")</f>
        <v>Today, this old oil field has started anew and embarked on the exploration of green development and clean transformation with the help of the development of clean energy.</v>
      </c>
      <c r="B1353" s="1" t="str">
        <f ca="1">IFERROR(__xludf.DUMMYFUNCTION("GOOGLETRANSLATE(A1353, ""zh"", ""en"")"),"Clean Technology")</f>
        <v>Clean Technology</v>
      </c>
      <c r="C1353" s="1" t="str">
        <f ca="1">IFERROR(__xludf.DUMMYFUNCTION("GOOGLETRANSLATE(E1353, ""zh"", ""en"")"),"Qualitative text")</f>
        <v>Qualitative text</v>
      </c>
    </row>
    <row r="1354" spans="1:3" ht="13" x14ac:dyDescent="0.15">
      <c r="A1354" s="1" t="str">
        <f ca="1">IFERROR(__xludf.DUMMYFUNCTION("GOOGLETRANSLATE(A1354, ""zh"", ""en"")"),"This skills training was the first to be jointly held by multiple companies in the industry, enabling cross-enterprise talent exchange and resource sharing such as question banks.")</f>
        <v>This skills training was the first to be jointly held by multiple companies in the industry, enabling cross-enterprise talent exchange and resource sharing such as question banks.</v>
      </c>
      <c r="B1354" s="1" t="str">
        <f ca="1">IFERROR(__xludf.DUMMYFUNCTION("GOOGLETRANSLATE(A1354, ""zh"", ""en"")"),"Promoting employment")</f>
        <v>Promoting employment</v>
      </c>
      <c r="C1354" s="1" t="str">
        <f ca="1">IFERROR(__xludf.DUMMYFUNCTION("GOOGLETRANSLATE(E1354, ""zh"", ""en"")"),"Qualitative text")</f>
        <v>Qualitative text</v>
      </c>
    </row>
    <row r="1355" spans="1:3" ht="13" x14ac:dyDescent="0.15">
      <c r="A1355" s="1" t="str">
        <f ca="1">IFERROR(__xludf.DUMMYFUNCTION("GOOGLETRANSLATE(A1355, ""zh"", ""en"")"),"Shanghai Electric firmly opposes restricting employees' physical and mental freedom for any reason and forcing employees to complete work against their will.")</f>
        <v>Shanghai Electric firmly opposes restricting employees' physical and mental freedom for any reason and forcing employees to complete work against their will.</v>
      </c>
      <c r="B1355" s="1" t="str">
        <f ca="1">IFERROR(__xludf.DUMMYFUNCTION("GOOGLETRANSLATE(A1355, ""zh"", ""en"")"),"staff")</f>
        <v>staff</v>
      </c>
      <c r="C1355" s="1" t="str">
        <f ca="1">IFERROR(__xludf.DUMMYFUNCTION("GOOGLETRANSLATE(E1355, ""zh"", ""en"")"),"Qualitative text")</f>
        <v>Qualitative text</v>
      </c>
    </row>
    <row r="1356" spans="1:3" ht="13" x14ac:dyDescent="0.15">
      <c r="A1356" s="1" t="str">
        <f ca="1">IFERROR(__xludf.DUMMYFUNCTION("GOOGLETRANSLATE(A1356, ""zh"", ""en"")"),"In terms of operating mechanism, first, we strictly implement the first-question responsibility system, strengthen service guarantees at important moments, and continuously improve customer experience and satisfaction.")</f>
        <v>In terms of operating mechanism, first, we strictly implement the first-question responsibility system, strengthen service guarantees at important moments, and continuously improve customer experience and satisfaction.</v>
      </c>
      <c r="B1356" s="1" t="str">
        <f ca="1">IFERROR(__xludf.DUMMYFUNCTION("GOOGLETRANSLATE(A1356, ""zh"", ""en"")"),"Customers and Consumers")</f>
        <v>Customers and Consumers</v>
      </c>
      <c r="C1356" s="1" t="str">
        <f ca="1">IFERROR(__xludf.DUMMYFUNCTION("GOOGLETRANSLATE(E1356, ""zh"", ""en"")"),"Qualitative text")</f>
        <v>Qualitative text</v>
      </c>
    </row>
    <row r="1357" spans="1:3" ht="13" x14ac:dyDescent="0.15">
      <c r="A1357" s="1" t="str">
        <f ca="1">IFERROR(__xludf.DUMMYFUNCTION("GOOGLETRANSLATE(A1357, ""zh"", ""en"")"),"At the Cailiang Community Hope Primary School built with our aid, we use attendance and temperature measurement machines to count students' attendance and ensure that there are no dropouts during the compulsory education period.")</f>
        <v>At the Cailiang Community Hope Primary School built with our aid, we use attendance and temperature measurement machines to count students' attendance and ensure that there are no dropouts during the compulsory education period.</v>
      </c>
      <c r="B1357" s="1" t="str">
        <f ca="1">IFERROR(__xludf.DUMMYFUNCTION("GOOGLETRANSLATE(A1357, ""zh"", ""en"")"),"Public welfare and volunteer service")</f>
        <v>Public welfare and volunteer service</v>
      </c>
      <c r="C1357" s="1" t="str">
        <f ca="1">IFERROR(__xludf.DUMMYFUNCTION("GOOGLETRANSLATE(E1357, ""zh"", ""en"")"),"Qualitative text")</f>
        <v>Qualitative text</v>
      </c>
    </row>
    <row r="1358" spans="1:3" ht="13" x14ac:dyDescent="0.15">
      <c r="A1358" s="1" t="str">
        <f ca="1">IFERROR(__xludf.DUMMYFUNCTION("GOOGLETRANSLATE(A1358, ""zh"", ""en"")"),"Total non-hazardous waste consumption per employee throughout the year Non-hazardous waste Total number of employees at China Construction Bank Head Office and 37 branches")</f>
        <v>Total non-hazardous waste consumption per employee throughout the year Non-hazardous waste Total number of employees at China Construction Bank Head Office and 37 branches</v>
      </c>
      <c r="B1358" s="1" t="str">
        <f ca="1">IFERROR(__xludf.DUMMYFUNCTION("GOOGLETRANSLATE(A1358, ""zh"", ""en"")"),"Waste Management")</f>
        <v>Waste Management</v>
      </c>
      <c r="C1358" s="1" t="str">
        <f ca="1">IFERROR(__xludf.DUMMYFUNCTION("GOOGLETRANSLATE(E1358, ""zh"", ""en"")"),"Quantitative Text")</f>
        <v>Quantitative Text</v>
      </c>
    </row>
    <row r="1359" spans="1:3" ht="13" x14ac:dyDescent="0.15">
      <c r="A1359" s="1" t="str">
        <f ca="1">IFERROR(__xludf.DUMMYFUNCTION("GOOGLETRANSLATE(A1359, ""zh"", ""en"")"),"Cooperate closely with the All-China Federation of Trade Unions, China Workers Development Foundation and other departments to continuously promote the Workers' Station Harbor public welfare action")</f>
        <v>Cooperate closely with the All-China Federation of Trade Unions, China Workers Development Foundation and other departments to continuously promote the Workers' Station Harbor public welfare action</v>
      </c>
      <c r="B1359" s="1" t="str">
        <f ca="1">IFERROR(__xludf.DUMMYFUNCTION("GOOGLETRANSLATE(A1359, ""zh"", ""en"")"),"Public welfare and volunteer service")</f>
        <v>Public welfare and volunteer service</v>
      </c>
      <c r="C1359" s="1" t="str">
        <f ca="1">IFERROR(__xludf.DUMMYFUNCTION("GOOGLETRANSLATE(E1359, ""zh"", ""en"")"),"Qualitative text")</f>
        <v>Qualitative text</v>
      </c>
    </row>
    <row r="1360" spans="1:3" ht="13" x14ac:dyDescent="0.15">
      <c r="A1360" s="1" t="str">
        <f ca="1">IFERROR(__xludf.DUMMYFUNCTION("GOOGLETRANSLATE(A1360, ""zh"", ""en"")"),"Formulate measures to handle employee violations and severely punish those who prevent others from exposing, reporting, or providing evidence in accordance with regulations, discipline, and laws.")</f>
        <v>Formulate measures to handle employee violations and severely punish those who prevent others from exposing, reporting, or providing evidence in accordance with regulations, discipline, and laws.</v>
      </c>
      <c r="B1360" s="1" t="str">
        <f ca="1">IFERROR(__xludf.DUMMYFUNCTION("GOOGLETRANSLATE(A1360, ""zh"", ""en"")"),"Reporting System")</f>
        <v>Reporting System</v>
      </c>
      <c r="C1360" s="1" t="str">
        <f ca="1">IFERROR(__xludf.DUMMYFUNCTION("GOOGLETRANSLATE(E1360, ""zh"", ""en"")"),"Qualitative text")</f>
        <v>Qualitative text</v>
      </c>
    </row>
    <row r="1361" spans="1:3" ht="13" x14ac:dyDescent="0.15">
      <c r="A1361" s="1" t="str">
        <f ca="1">IFERROR(__xludf.DUMMYFUNCTION("GOOGLETRANSLATE(A1361, ""zh"", ""en"")"),"In addition, the Risk Committee reviewed the main risk assessment reports to understand the main risk internal audit status of IT risks.")</f>
        <v>In addition, the Risk Committee reviewed the main risk assessment reports to understand the main risk internal audit status of IT risks.</v>
      </c>
      <c r="B1361" s="1" t="str">
        <f ca="1">IFERROR(__xludf.DUMMYFUNCTION("GOOGLETRANSLATE(A1361, ""zh"", ""en"")"),"Audit work")</f>
        <v>Audit work</v>
      </c>
      <c r="C1361" s="1" t="str">
        <f ca="1">IFERROR(__xludf.DUMMYFUNCTION("GOOGLETRANSLATE(E1361, ""zh"", ""en"")"),"Qualitative text")</f>
        <v>Qualitative text</v>
      </c>
    </row>
    <row r="1362" spans="1:3" ht="13" x14ac:dyDescent="0.15">
      <c r="A1362" s="1" t="str">
        <f ca="1">IFERROR(__xludf.DUMMYFUNCTION("GOOGLETRANSLATE(A1362, ""zh"", ""en"")"),"In terms of digital development, the functions of CCB's learning platform are constantly being improved, and learning resources are continuously being enriched, with the digital learning service capabilities being continuously enhanced.")</f>
        <v>In terms of digital development, the functions of CCB's learning platform are constantly being improved, and learning resources are continuously being enriched, with the digital learning service capabilities being continuously enhanced.</v>
      </c>
      <c r="B1362" s="1" t="str">
        <f ca="1">IFERROR(__xludf.DUMMYFUNCTION("GOOGLETRANSLATE(A1362, ""zh"", ""en"")"),"staff")</f>
        <v>staff</v>
      </c>
      <c r="C1362" s="1" t="str">
        <f ca="1">IFERROR(__xludf.DUMMYFUNCTION("GOOGLETRANSLATE(E1362, ""zh"", ""en"")"),"Qualitative text")</f>
        <v>Qualitative text</v>
      </c>
    </row>
    <row r="1363" spans="1:3" ht="13" x14ac:dyDescent="0.15">
      <c r="A1363" s="1" t="str">
        <f ca="1">IFERROR(__xludf.DUMMYFUNCTION("GOOGLETRANSLATE(A1363, ""zh"", ""en"")"),"Report Introduction: The report takes China Storage Corporation as the main body of the report and covers all levels of its wholly-owned companies, holding companies, shareholding companies and branches.")</f>
        <v>Report Introduction: The report takes China Storage Corporation as the main body of the report and covers all levels of its wholly-owned companies, holding companies, shareholding companies and branches.</v>
      </c>
      <c r="B1363" s="1" t="str">
        <f ca="1">IFERROR(__xludf.DUMMYFUNCTION("GOOGLETRANSLATE(A1363, ""zh"", ""en"")"),"Organizational structure and operations")</f>
        <v>Organizational structure and operations</v>
      </c>
      <c r="C1363" s="1" t="str">
        <f ca="1">IFERROR(__xludf.DUMMYFUNCTION("GOOGLETRANSLATE(E1363, ""zh"", ""en"")"),"Qualitative text")</f>
        <v>Qualitative text</v>
      </c>
    </row>
    <row r="1364" spans="1:3" ht="13" x14ac:dyDescent="0.15">
      <c r="A1364" s="1" t="str">
        <f ca="1">IFERROR(__xludf.DUMMYFUNCTION("GOOGLETRANSLATE(A1364, ""zh"", ""en"")"),"We have established strategic partnerships with leading companies in the upstream and downstream of the industry chain to jointly develop smart transportation and smart park solutions")</f>
        <v>We have established strategic partnerships with leading companies in the upstream and downstream of the industry chain to jointly develop smart transportation and smart park solutions</v>
      </c>
      <c r="B1364" s="1" t="str">
        <f ca="1">IFERROR(__xludf.DUMMYFUNCTION("GOOGLETRANSLATE(A1364, ""zh"", ""en"")"),"Technological innovation")</f>
        <v>Technological innovation</v>
      </c>
      <c r="C1364" s="1" t="str">
        <f ca="1">IFERROR(__xludf.DUMMYFUNCTION("GOOGLETRANSLATE(E1364, ""zh"", ""en"")"),"Qualitative text")</f>
        <v>Qualitative text</v>
      </c>
    </row>
    <row r="1365" spans="1:3" ht="13" x14ac:dyDescent="0.15">
      <c r="A1365" s="1" t="str">
        <f ca="1">IFERROR(__xludf.DUMMYFUNCTION("GOOGLETRANSLATE(A1365, ""zh"", ""en"")"),"Compared with the current clinical method of surgical lithotripsy, traditional Chinese medicine treatment can reduce the harm to the body.")</f>
        <v>Compared with the current clinical method of surgical lithotripsy, traditional Chinese medicine treatment can reduce the harm to the body.</v>
      </c>
      <c r="B1365" s="1" t="str">
        <f ca="1">IFERROR(__xludf.DUMMYFUNCTION("GOOGLETRANSLATE(A1365, ""zh"", ""en"")"),"Product quality")</f>
        <v>Product quality</v>
      </c>
      <c r="C1365" s="1" t="str">
        <f ca="1">IFERROR(__xludf.DUMMYFUNCTION("GOOGLETRANSLATE(E1365, ""zh"", ""en"")"),"Qualitative text")</f>
        <v>Qualitative text</v>
      </c>
    </row>
    <row r="1366" spans="1:3" ht="13" x14ac:dyDescent="0.15">
      <c r="A1366" s="1" t="str">
        <f ca="1">IFERROR(__xludf.DUMMYFUNCTION("GOOGLETRANSLATE(A1366, ""zh"", ""en"")"),"In its overseas expansion, Renfu Pharmaceuticals earnestly fulfills its community responsibilities and supports local community development through local procurement and employment.")</f>
        <v>In its overseas expansion, Renfu Pharmaceuticals earnestly fulfills its community responsibilities and supports local community development through local procurement and employment.</v>
      </c>
      <c r="B1366" s="1" t="str">
        <f ca="1">IFERROR(__xludf.DUMMYFUNCTION("GOOGLETRANSLATE(A1366, ""zh"", ""en"")"),"Promoting employment")</f>
        <v>Promoting employment</v>
      </c>
      <c r="C1366" s="1" t="str">
        <f ca="1">IFERROR(__xludf.DUMMYFUNCTION("GOOGLETRANSLATE(E1366, ""zh"", ""en"")"),"Qualitative text")</f>
        <v>Qualitative text</v>
      </c>
    </row>
    <row r="1367" spans="1:3" ht="13" x14ac:dyDescent="0.15">
      <c r="A1367" s="1" t="str">
        <f ca="1">IFERROR(__xludf.DUMMYFUNCTION("GOOGLETRANSLATE(A1367, ""zh"", ""en"")"),"We attach great importance to the opinions of stakeholders. You are welcome to contact us through the following ways to work together for win-win cooperation based on social responsibility.")</f>
        <v>We attach great importance to the opinions of stakeholders. You are welcome to contact us through the following ways to work together for win-win cooperation based on social responsibility.</v>
      </c>
      <c r="B1367" s="1" t="str">
        <f ca="1">IFERROR(__xludf.DUMMYFUNCTION("GOOGLETRANSLATE(A1367, ""zh"", ""en"")"),"irrelevant text")</f>
        <v>irrelevant text</v>
      </c>
      <c r="C1367" s="1" t="str">
        <f ca="1">IFERROR(__xludf.DUMMYFUNCTION("GOOGLETRANSLATE(E1367, ""zh"", ""en"")"),"irrelevant text")</f>
        <v>irrelevant text</v>
      </c>
    </row>
    <row r="1368" spans="1:3" ht="13" x14ac:dyDescent="0.15">
      <c r="A1368" s="1" t="str">
        <f ca="1">IFERROR(__xludf.DUMMYFUNCTION("GOOGLETRANSLATE(A1368, ""zh"", ""en"")"),"Labor rights, employee rights, environmental management, factory safety, etc. Require suppliers to sign supplier social responsibility audits and social responsibility agreements.")</f>
        <v>Labor rights, employee rights, environmental management, factory safety, etc. Require suppliers to sign supplier social responsibility audits and social responsibility agreements.</v>
      </c>
      <c r="B1368" s="1" t="str">
        <f ca="1">IFERROR(__xludf.DUMMYFUNCTION("GOOGLETRANSLATE(A1368, ""zh"", ""en"")"),"staff")</f>
        <v>staff</v>
      </c>
      <c r="C1368" s="1" t="str">
        <f ca="1">IFERROR(__xludf.DUMMYFUNCTION("GOOGLETRANSLATE(E1368, ""zh"", ""en"")"),"Qualitative text")</f>
        <v>Qualitative text</v>
      </c>
    </row>
    <row r="1369" spans="1:3" ht="13" x14ac:dyDescent="0.15">
      <c r="A1369" s="1" t="str">
        <f ca="1">IFERROR(__xludf.DUMMYFUNCTION("GOOGLETRANSLATE(A1369, ""zh"", ""en"")"),"SDIC Capital attaches great importance to promoting the integration of party building and business, innovating party building methods to ensure the company's steady and long-term development on the right path.")</f>
        <v>SDIC Capital attaches great importance to promoting the integration of party building and business, innovating party building methods to ensure the company's steady and long-term development on the right path.</v>
      </c>
      <c r="B1369" s="1" t="str">
        <f ca="1">IFERROR(__xludf.DUMMYFUNCTION("GOOGLETRANSLATE(A1369, ""zh"", ""en"")"),"Organizational structure and operations")</f>
        <v>Organizational structure and operations</v>
      </c>
      <c r="C1369" s="1" t="str">
        <f ca="1">IFERROR(__xludf.DUMMYFUNCTION("GOOGLETRANSLATE(E1369, ""zh"", ""en"")"),"Qualitative text")</f>
        <v>Qualitative text</v>
      </c>
    </row>
    <row r="1370" spans="1:3" ht="13" x14ac:dyDescent="0.15">
      <c r="A1370" s="1" t="str">
        <f ca="1">IFERROR(__xludf.DUMMYFUNCTION("GOOGLETRANSLATE(A1370, ""zh"", ""en"")"),"SDIC Anxin Futures provides clients with commodity futures brokerage, financial futures brokerage, futures investment consulting and asset management services.")</f>
        <v>SDIC Anxin Futures provides clients with commodity futures brokerage, financial futures brokerage, futures investment consulting and asset management services.</v>
      </c>
      <c r="B1370" s="1" t="str">
        <f ca="1">IFERROR(__xludf.DUMMYFUNCTION("GOOGLETRANSLATE(A1370, ""zh"", ""en"")"),"irrelevant text")</f>
        <v>irrelevant text</v>
      </c>
      <c r="C1370" s="1" t="str">
        <f ca="1">IFERROR(__xludf.DUMMYFUNCTION("GOOGLETRANSLATE(E1370, ""zh"", ""en"")"),"irrelevant text")</f>
        <v>irrelevant text</v>
      </c>
    </row>
    <row r="1371" spans="1:3" ht="13" x14ac:dyDescent="0.15">
      <c r="A1371" s="1" t="str">
        <f ca="1">IFERROR(__xludf.DUMMYFUNCTION("GOOGLETRANSLATE(A1371, ""zh"", ""en"")"),"Shanghai Electric adheres to the concept of sustainable development, always pays attention to green public welfare, and makes unremitting efforts to actively build a green ecological system.")</f>
        <v>Shanghai Electric adheres to the concept of sustainable development, always pays attention to green public welfare, and makes unremitting efforts to actively build a green ecological system.</v>
      </c>
      <c r="B1371" s="1" t="str">
        <f ca="1">IFERROR(__xludf.DUMMYFUNCTION("GOOGLETRANSLATE(A1371, ""zh"", ""en"")"),"Public welfare and volunteer service")</f>
        <v>Public welfare and volunteer service</v>
      </c>
      <c r="C1371" s="1" t="str">
        <f ca="1">IFERROR(__xludf.DUMMYFUNCTION("GOOGLETRANSLATE(E1371, ""zh"", ""en"")"),"Qualitative text")</f>
        <v>Qualitative text</v>
      </c>
    </row>
    <row r="1372" spans="1:3" ht="13" x14ac:dyDescent="0.15">
      <c r="A1372" s="1" t="str">
        <f ca="1">IFERROR(__xludf.DUMMYFUNCTION("GOOGLETRANSLATE(A1372, ""zh"", ""en"")"),"Establish a supplier management system, set up dedicated quality management departments at the headquarters, provincial and municipal companies, and establish a complete laboratory network.")</f>
        <v>Establish a supplier management system, set up dedicated quality management departments at the headquarters, provincial and municipal companies, and establish a complete laboratory network.</v>
      </c>
      <c r="B1372" s="1" t="str">
        <f ca="1">IFERROR(__xludf.DUMMYFUNCTION("GOOGLETRANSLATE(A1372, ""zh"", ""en"")"),"supply chain management")</f>
        <v>supply chain management</v>
      </c>
      <c r="C1372" s="1" t="str">
        <f ca="1">IFERROR(__xludf.DUMMYFUNCTION("GOOGLETRANSLATE(E1372, ""zh"", ""en"")"),"Qualitative text")</f>
        <v>Qualitative text</v>
      </c>
    </row>
    <row r="1373" spans="1:3" ht="13" x14ac:dyDescent="0.15">
      <c r="A1373" s="1" t="str">
        <f ca="1">IFERROR(__xludf.DUMMYFUNCTION("GOOGLETRANSLATE(A1373, ""zh"", ""en"")"),"Based on the scores, 67 workers were forced to leave the site and 134 workers were suspended from working.")</f>
        <v>Based on the scores, 67 workers were forced to leave the site and 134 workers were suspended from working.</v>
      </c>
      <c r="B1373" s="1" t="str">
        <f ca="1">IFERROR(__xludf.DUMMYFUNCTION("GOOGLETRANSLATE(A1373, ""zh"", ""en"")"),"staff")</f>
        <v>staff</v>
      </c>
      <c r="C1373" s="1" t="str">
        <f ca="1">IFERROR(__xludf.DUMMYFUNCTION("GOOGLETRANSLATE(E1373, ""zh"", ""en"")"),"Quantitative Text")</f>
        <v>Quantitative Text</v>
      </c>
    </row>
    <row r="1374" spans="1:3" ht="13" x14ac:dyDescent="0.15">
      <c r="A1374" s="1" t="str">
        <f ca="1">IFERROR(__xludf.DUMMYFUNCTION("GOOGLETRANSLATE(A1374, ""zh"", ""en"")"),"In addition, the company has also formulated a supporting employee labor management system to ensure that labor contracts are strictly implemented and employee rights and interests are protected.")</f>
        <v>In addition, the company has also formulated a supporting employee labor management system to ensure that labor contracts are strictly implemented and employee rights and interests are protected.</v>
      </c>
      <c r="B1374" s="1" t="str">
        <f ca="1">IFERROR(__xludf.DUMMYFUNCTION("GOOGLETRANSLATE(A1374, ""zh"", ""en"")"),"staff")</f>
        <v>staff</v>
      </c>
      <c r="C1374" s="1" t="str">
        <f ca="1">IFERROR(__xludf.DUMMYFUNCTION("GOOGLETRANSLATE(E1374, ""zh"", ""en"")"),"Qualitative text")</f>
        <v>Qualitative text</v>
      </c>
    </row>
    <row r="1375" spans="1:3" ht="13" x14ac:dyDescent="0.15">
      <c r="A1375" s="1" t="str">
        <f ca="1">IFERROR(__xludf.DUMMYFUNCTION("GOOGLETRANSLATE(A1375, ""zh"", ""en"")"),"At the same time, the company actively implements maternity and breastfeeding leave regulations and regular health check-up system to pay attention to the physical and mental health of female employees")</f>
        <v>At the same time, the company actively implements maternity and breastfeeding leave regulations and regular health check-up system to pay attention to the physical and mental health of female employees</v>
      </c>
      <c r="B1375" s="1" t="str">
        <f ca="1">IFERROR(__xludf.DUMMYFUNCTION("GOOGLETRANSLATE(A1375, ""zh"", ""en"")"),"staff")</f>
        <v>staff</v>
      </c>
      <c r="C1375" s="1" t="str">
        <f ca="1">IFERROR(__xludf.DUMMYFUNCTION("GOOGLETRANSLATE(E1375, ""zh"", ""en"")"),"Qualitative text")</f>
        <v>Qualitative text</v>
      </c>
    </row>
    <row r="1376" spans="1:3" ht="13" x14ac:dyDescent="0.15">
      <c r="A1376" s="1" t="str">
        <f ca="1">IFERROR(__xludf.DUMMYFUNCTION("GOOGLETRANSLATE(A1376, ""zh"", ""en"")"),"Create CCUS oil casing pressure real-time monitoring and early warning module to achieve real-time monitoring and analysis of injection and production pressure, abnormal warning and disposal")</f>
        <v>Create CCUS oil casing pressure real-time monitoring and early warning module to achieve real-time monitoring and analysis of injection and production pressure, abnormal warning and disposal</v>
      </c>
      <c r="B1376" s="1" t="str">
        <f ca="1">IFERROR(__xludf.DUMMYFUNCTION("GOOGLETRANSLATE(A1376, ""zh"", ""en"")"),"carbon emissions")</f>
        <v>carbon emissions</v>
      </c>
      <c r="C1376" s="1" t="str">
        <f ca="1">IFERROR(__xludf.DUMMYFUNCTION("GOOGLETRANSLATE(E1376, ""zh"", ""en"")"),"Qualitative text")</f>
        <v>Qualitative text</v>
      </c>
    </row>
    <row r="1377" spans="1:3" ht="13" x14ac:dyDescent="0.15">
      <c r="A1377" s="1" t="str">
        <f ca="1">IFERROR(__xludf.DUMMYFUNCTION("GOOGLETRANSLATE(A1377, ""zh"", ""en"")"),"The Audit Committee reviews the company's annual comprehensive risk management report and promptly receives reports on major internal control and risk issues.")</f>
        <v>The Audit Committee reviews the company's annual comprehensive risk management report and promptly receives reports on major internal control and risk issues.</v>
      </c>
      <c r="B1377" s="1" t="str">
        <f ca="1">IFERROR(__xludf.DUMMYFUNCTION("GOOGLETRANSLATE(A1377, ""zh"", ""en"")"),"Audit work")</f>
        <v>Audit work</v>
      </c>
      <c r="C1377" s="1" t="str">
        <f ca="1">IFERROR(__xludf.DUMMYFUNCTION("GOOGLETRANSLATE(E1377, ""zh"", ""en"")"),"Qualitative text")</f>
        <v>Qualitative text</v>
      </c>
    </row>
    <row r="1378" spans="1:3" ht="13" x14ac:dyDescent="0.15">
      <c r="A1378" s="1" t="str">
        <f ca="1">IFERROR(__xludf.DUMMYFUNCTION("GOOGLETRANSLATE(A1378, ""zh"", ""en"")"),"Carry out methane emission reduction actions, continue to promote methane leak detection and repair work, increase the recycling and utilization of vented air and the transformation of closed processes")</f>
        <v>Carry out methane emission reduction actions, continue to promote methane leak detection and repair work, increase the recycling and utilization of vented air and the transformation of closed processes</v>
      </c>
      <c r="B1378" s="1" t="str">
        <f ca="1">IFERROR(__xludf.DUMMYFUNCTION("GOOGLETRANSLATE(A1378, ""zh"", ""en"")"),"carbon emissions")</f>
        <v>carbon emissions</v>
      </c>
      <c r="C1378" s="1" t="str">
        <f ca="1">IFERROR(__xludf.DUMMYFUNCTION("GOOGLETRANSLATE(E1378, ""zh"", ""en"")"),"Qualitative text")</f>
        <v>Qualitative text</v>
      </c>
    </row>
    <row r="1379" spans="1:3" ht="13" x14ac:dyDescent="0.15">
      <c r="A1379" s="1" t="str">
        <f ca="1">IFERROR(__xludf.DUMMYFUNCTION("GOOGLETRANSLATE(A1379, ""zh"", ""en"")"),"The company conducts grassroots employee surveys through forums and other forms to understand the needs of grassroots employees and collect employees' opinions and suggestions on the company.")</f>
        <v>The company conducts grassroots employee surveys through forums and other forms to understand the needs of grassroots employees and collect employees' opinions and suggestions on the company.</v>
      </c>
      <c r="B1379" s="1" t="str">
        <f ca="1">IFERROR(__xludf.DUMMYFUNCTION("GOOGLETRANSLATE(A1379, ""zh"", ""en"")"),"staff")</f>
        <v>staff</v>
      </c>
      <c r="C1379" s="1" t="str">
        <f ca="1">IFERROR(__xludf.DUMMYFUNCTION("GOOGLETRANSLATE(E1379, ""zh"", ""en"")"),"Qualitative text")</f>
        <v>Qualitative text</v>
      </c>
    </row>
    <row r="1380" spans="1:3" ht="13" x14ac:dyDescent="0.15">
      <c r="A1380" s="1" t="str">
        <f ca="1">IFERROR(__xludf.DUMMYFUNCTION("GOOGLETRANSLATE(A1380, ""zh"", ""en"")"),"The company continues to carry out walking activities to help employees develop a healthy lifestyle and relieve work pressure through exercise to refresh their body and mind.")</f>
        <v>The company continues to carry out walking activities to help employees develop a healthy lifestyle and relieve work pressure through exercise to refresh their body and mind.</v>
      </c>
      <c r="B1380" s="1" t="str">
        <f ca="1">IFERROR(__xludf.DUMMYFUNCTION("GOOGLETRANSLATE(A1380, ""zh"", ""en"")"),"staff")</f>
        <v>staff</v>
      </c>
      <c r="C1380" s="1" t="str">
        <f ca="1">IFERROR(__xludf.DUMMYFUNCTION("GOOGLETRANSLATE(E1380, ""zh"", ""en"")"),"Qualitative text")</f>
        <v>Qualitative text</v>
      </c>
    </row>
    <row r="1381" spans="1:3" ht="13" x14ac:dyDescent="0.15">
      <c r="A1381" s="1" t="str">
        <f ca="1">IFERROR(__xludf.DUMMYFUNCTION("GOOGLETRANSLATE(A1381, ""zh"", ""en"")"),"In accordance with laws and regulations, we have formulated internal rules and regulations such as labor contract management methods to standardize the protection of employee rights and interests.")</f>
        <v>In accordance with laws and regulations, we have formulated internal rules and regulations such as labor contract management methods to standardize the protection of employee rights and interests.</v>
      </c>
      <c r="B1381" s="1" t="str">
        <f ca="1">IFERROR(__xludf.DUMMYFUNCTION("GOOGLETRANSLATE(A1381, ""zh"", ""en"")"),"staff")</f>
        <v>staff</v>
      </c>
      <c r="C1381" s="1" t="str">
        <f ca="1">IFERROR(__xludf.DUMMYFUNCTION("GOOGLETRANSLATE(E1381, ""zh"", ""en"")"),"Qualitative text")</f>
        <v>Qualitative text</v>
      </c>
    </row>
    <row r="1382" spans="1:3" ht="13" x14ac:dyDescent="0.15">
      <c r="A1382" s="1" t="str">
        <f ca="1">IFERROR(__xludf.DUMMYFUNCTION("GOOGLETRANSLATE(A1382, ""zh"", ""en"")"),"The company's clients and investment targets may face breach of contract penalties, lawsuits, and other events and suffer losses due to failure to meet policy and regulatory requirements.")</f>
        <v>The company's clients and investment targets may face breach of contract penalties, lawsuits, and other events and suffer losses due to failure to meet policy and regulatory requirements.</v>
      </c>
      <c r="B1382" s="1" t="str">
        <f ca="1">IFERROR(__xludf.DUMMYFUNCTION("GOOGLETRANSLATE(A1382, ""zh"", ""en"")"),"Legal proceedings and external sanctions")</f>
        <v>Legal proceedings and external sanctions</v>
      </c>
      <c r="C1382" s="1" t="str">
        <f ca="1">IFERROR(__xludf.DUMMYFUNCTION("GOOGLETRANSLATE(E1382, ""zh"", ""en"")"),"Qualitative text")</f>
        <v>Qualitative text</v>
      </c>
    </row>
    <row r="1383" spans="1:3" ht="13" x14ac:dyDescent="0.15">
      <c r="A1383" s="1" t="str">
        <f ca="1">IFERROR(__xludf.DUMMYFUNCTION("GOOGLETRANSLATE(A1383, ""zh"", ""en"")"),"This year, the company publicly released the CITIC Securities Co., Ltd. Anti-commercial Bribery and Integrity Practice Policy and actively accepted supervision from all parties.")</f>
        <v>This year, the company publicly released the CITIC Securities Co., Ltd. Anti-commercial Bribery and Integrity Practice Policy and actively accepted supervision from all parties.</v>
      </c>
      <c r="B1383" s="1" t="str">
        <f ca="1">IFERROR(__xludf.DUMMYFUNCTION("GOOGLETRANSLATE(A1383, ""zh"", ""en"")"),"Anti-corruption and anti-money laundering")</f>
        <v>Anti-corruption and anti-money laundering</v>
      </c>
      <c r="C1383" s="1" t="str">
        <f ca="1">IFERROR(__xludf.DUMMYFUNCTION("GOOGLETRANSLATE(E1383, ""zh"", ""en"")"),"Qualitative text")</f>
        <v>Qualitative text</v>
      </c>
    </row>
    <row r="1384" spans="1:3" ht="13" x14ac:dyDescent="0.15">
      <c r="A1384" s="1" t="str">
        <f ca="1">IFERROR(__xludf.DUMMYFUNCTION("GOOGLETRANSLATE(A1384, ""zh"", ""en"")"),"05 Helping Employees Grow - A Diverse and Inclusive Workplace Appendix 1 Key Performance Indicator Table B2.2 Number of Workdays Lost Due to Work-Related Injuries")</f>
        <v>05 Helping Employees Grow - A Diverse and Inclusive Workplace Appendix 1 Key Performance Indicator Table B2.2 Number of Workdays Lost Due to Work-Related Injuries</v>
      </c>
      <c r="B1384" s="1" t="str">
        <f ca="1">IFERROR(__xludf.DUMMYFUNCTION("GOOGLETRANSLATE(A1384, ""zh"", ""en"")"),"staff")</f>
        <v>staff</v>
      </c>
      <c r="C1384" s="1" t="str">
        <f ca="1">IFERROR(__xludf.DUMMYFUNCTION("GOOGLETRANSLATE(E1384, ""zh"", ""en"")"),"Quantitative Text")</f>
        <v>Quantitative Text</v>
      </c>
    </row>
    <row r="1385" spans="1:3" ht="13" x14ac:dyDescent="0.15">
      <c r="A1385" s="1" t="str">
        <f ca="1">IFERROR(__xludf.DUMMYFUNCTION("GOOGLETRANSLATE(A1385, ""zh"", ""en"")"),"1 The statistical scope of data is customer contact center platform, intelligent online management platform, including brokerage business, custody business, asset management business, etc.")</f>
        <v>1 The statistical scope of data is customer contact center platform, intelligent online management platform, including brokerage business, custody business, asset management business, etc.</v>
      </c>
      <c r="B1385" s="1" t="str">
        <f ca="1">IFERROR(__xludf.DUMMYFUNCTION("GOOGLETRANSLATE(A1385, ""zh"", ""en"")"),"Customers and Consumers")</f>
        <v>Customers and Consumers</v>
      </c>
      <c r="C1385" s="1" t="str">
        <f ca="1">IFERROR(__xludf.DUMMYFUNCTION("GOOGLETRANSLATE(E1385, ""zh"", ""en"")"),"Qualitative text")</f>
        <v>Qualitative text</v>
      </c>
    </row>
    <row r="1386" spans="1:3" ht="13" x14ac:dyDescent="0.15">
      <c r="A1386" s="1" t="str">
        <f ca="1">IFERROR(__xludf.DUMMYFUNCTION("GOOGLETRANSLATE(A1386, ""zh"", ""en"")"),"We focus on developing low-threshold, low-risk inclusive products to fully meet the financial needs of different customers with different risk-return preferences.")</f>
        <v>We focus on developing low-threshold, low-risk inclusive products to fully meet the financial needs of different customers with different risk-return preferences.</v>
      </c>
      <c r="B1386" s="1" t="str">
        <f ca="1">IFERROR(__xludf.DUMMYFUNCTION("GOOGLETRANSLATE(A1386, ""zh"", ""en"")"),"Customers and Consumers")</f>
        <v>Customers and Consumers</v>
      </c>
      <c r="C1386" s="1" t="str">
        <f ca="1">IFERROR(__xludf.DUMMYFUNCTION("GOOGLETRANSLATE(E1386, ""zh"", ""en"")"),"Qualitative text")</f>
        <v>Qualitative text</v>
      </c>
    </row>
    <row r="1387" spans="1:3" ht="13" x14ac:dyDescent="0.15">
      <c r="A1387" s="1" t="str">
        <f ca="1">IFERROR(__xludf.DUMMYFUNCTION("GOOGLETRANSLATE(A1387, ""zh"", ""en"")"),"2. Ensure service compliance and appropriateness management 2. Improve customer experience The company is committed to providing customers with high-quality, comprehensive and professional services")</f>
        <v>2. Ensure service compliance and appropriateness management 2. Improve customer experience The company is committed to providing customers with high-quality, comprehensive and professional services</v>
      </c>
      <c r="B1387" s="1" t="str">
        <f ca="1">IFERROR(__xludf.DUMMYFUNCTION("GOOGLETRANSLATE(A1387, ""zh"", ""en"")"),"Customers and Consumers")</f>
        <v>Customers and Consumers</v>
      </c>
      <c r="C1387" s="1" t="str">
        <f ca="1">IFERROR(__xludf.DUMMYFUNCTION("GOOGLETRANSLATE(E1387, ""zh"", ""en"")"),"Qualitative text")</f>
        <v>Qualitative text</v>
      </c>
    </row>
    <row r="1388" spans="1:3" ht="13" x14ac:dyDescent="0.15">
      <c r="A1388" s="1" t="str">
        <f ca="1">IFERROR(__xludf.DUMMYFUNCTION("GOOGLETRANSLATE(A1388, ""zh"", ""en"")"),"Continuously identify the short-, medium- and long-term impacts of climate change on the company's operations and business, and fully consider response strategies in the company's development strategy.")</f>
        <v>Continuously identify the short-, medium- and long-term impacts of climate change on the company's operations and business, and fully consider response strategies in the company's development strategy.</v>
      </c>
      <c r="B1388" s="1" t="str">
        <f ca="1">IFERROR(__xludf.DUMMYFUNCTION("GOOGLETRANSLATE(A1388, ""zh"", ""en"")"),"Addressing climate change")</f>
        <v>Addressing climate change</v>
      </c>
      <c r="C1388" s="1" t="str">
        <f ca="1">IFERROR(__xludf.DUMMYFUNCTION("GOOGLETRANSLATE(E1388, ""zh"", ""en"")"),"Qualitative text")</f>
        <v>Qualitative text</v>
      </c>
    </row>
    <row r="1389" spans="1:3" ht="13" x14ac:dyDescent="0.15">
      <c r="A1389" s="1" t="str">
        <f ca="1">IFERROR(__xludf.DUMMYFUNCTION("GOOGLETRANSLATE(A1389, ""zh"", ""en"")"),"The board of directors strengthened strategic planning and reviewed and approved the company's medium- and long-term development plan. Independent directors fulfilled their duties and provided suggestions for reform and development.")</f>
        <v>The board of directors strengthened strategic planning and reviewed and approved the company's medium- and long-term development plan. Independent directors fulfilled their duties and provided suggestions for reform and development.</v>
      </c>
      <c r="B1389" s="1" t="str">
        <f ca="1">IFERROR(__xludf.DUMMYFUNCTION("GOOGLETRANSLATE(A1389, ""zh"", ""en"")"),"Organizational structure and operations")</f>
        <v>Organizational structure and operations</v>
      </c>
      <c r="C1389" s="1" t="str">
        <f ca="1">IFERROR(__xludf.DUMMYFUNCTION("GOOGLETRANSLATE(E1389, ""zh"", ""en"")"),"Qualitative text")</f>
        <v>Qualitative text</v>
      </c>
    </row>
    <row r="1390" spans="1:3" ht="13" x14ac:dyDescent="0.15">
      <c r="A1390" s="1" t="str">
        <f ca="1">IFERROR(__xludf.DUMMYFUNCTION("GOOGLETRANSLATE(A1390, ""zh"", ""en"")"),"Accelerate the cultivation of innovative enterprises and continuously strengthen the through-line innovation from basic research to industrial application to achieve a number of major innovative achievements.")</f>
        <v>Accelerate the cultivation of innovative enterprises and continuously strengthen the through-line innovation from basic research to industrial application to achieve a number of major innovative achievements.</v>
      </c>
      <c r="B1390" s="1" t="str">
        <f ca="1">IFERROR(__xludf.DUMMYFUNCTION("GOOGLETRANSLATE(A1390, ""zh"", ""en"")"),"Technological innovation")</f>
        <v>Technological innovation</v>
      </c>
      <c r="C1390" s="1" t="str">
        <f ca="1">IFERROR(__xludf.DUMMYFUNCTION("GOOGLETRANSLATE(E1390, ""zh"", ""en"")"),"Qualitative text")</f>
        <v>Qualitative text</v>
      </c>
    </row>
    <row r="1391" spans="1:3" ht="13" x14ac:dyDescent="0.15">
      <c r="A1391" s="1" t="str">
        <f ca="1">IFERROR(__xludf.DUMMYFUNCTION("GOOGLETRANSLATE(A1391, ""zh"", ""en"")"),"At the same time, the company has set up an innovative business center to continuously conduct market development research and achieve external expansion through investment and mergers and acquisitions.")</f>
        <v>At the same time, the company has set up an innovative business center to continuously conduct market development research and achieve external expansion through investment and mergers and acquisitions.</v>
      </c>
      <c r="B1391" s="1" t="str">
        <f ca="1">IFERROR(__xludf.DUMMYFUNCTION("GOOGLETRANSLATE(A1391, ""zh"", ""en"")"),"Technological innovation")</f>
        <v>Technological innovation</v>
      </c>
      <c r="C1391" s="1" t="str">
        <f ca="1">IFERROR(__xludf.DUMMYFUNCTION("GOOGLETRANSLATE(E1391, ""zh"", ""en"")"),"Qualitative text")</f>
        <v>Qualitative text</v>
      </c>
    </row>
    <row r="1392" spans="1:3" ht="13" x14ac:dyDescent="0.15">
      <c r="A1392" s="1" t="str">
        <f ca="1">IFERROR(__xludf.DUMMYFUNCTION("GOOGLETRANSLATE(A1392, ""zh"", ""en"")"),"At the beginning of 2023, the approval of Avita for Tocilizumab Injection effectively alleviated the shortage of drugs for severe COVID-19 patients.")</f>
        <v>At the beginning of 2023, the approval of Avita for Tocilizumab Injection effectively alleviated the shortage of drugs for severe COVID-19 patients.</v>
      </c>
      <c r="B1392" s="1" t="str">
        <f ca="1">IFERROR(__xludf.DUMMYFUNCTION("GOOGLETRANSLATE(A1392, ""zh"", ""en"")"),"Fighting the epidemic")</f>
        <v>Fighting the epidemic</v>
      </c>
      <c r="C1392" s="1" t="str">
        <f ca="1">IFERROR(__xludf.DUMMYFUNCTION("GOOGLETRANSLATE(E1392, ""zh"", ""en"")"),"Qualitative text")</f>
        <v>Qualitative text</v>
      </c>
    </row>
    <row r="1393" spans="1:3" ht="13" x14ac:dyDescent="0.15">
      <c r="A1393" s="1" t="str">
        <f ca="1">IFERROR(__xludf.DUMMYFUNCTION("GOOGLETRANSLATE(A1393, ""zh"", ""en"")"),"During the supplier management and evaluation phase, we divide existing suppliers into three levels: HML and ML according to supply risks for hierarchical management.")</f>
        <v>During the supplier management and evaluation phase, we divide existing suppliers into three levels: HML and ML according to supply risks for hierarchical management.</v>
      </c>
      <c r="B1393" s="1" t="str">
        <f ca="1">IFERROR(__xludf.DUMMYFUNCTION("GOOGLETRANSLATE(A1393, ""zh"", ""en"")"),"supply chain management")</f>
        <v>supply chain management</v>
      </c>
      <c r="C1393" s="1" t="str">
        <f ca="1">IFERROR(__xludf.DUMMYFUNCTION("GOOGLETRANSLATE(E1393, ""zh"", ""en"")"),"Qualitative text")</f>
        <v>Qualitative text</v>
      </c>
    </row>
    <row r="1394" spans="1:3" ht="13" x14ac:dyDescent="0.15">
      <c r="A1394" s="1" t="str">
        <f ca="1">IFERROR(__xludf.DUMMYFUNCTION("GOOGLETRANSLATE(A1394, ""zh"", ""en"")"),"The Group promises that this report does not contain any false records or misleading statements and is responsible for the authenticity, accuracy and completeness of its contents.")</f>
        <v>The Group promises that this report does not contain any false records or misleading statements and is responsible for the authenticity, accuracy and completeness of its contents.</v>
      </c>
      <c r="B1394" s="1" t="str">
        <f ca="1">IFERROR(__xludf.DUMMYFUNCTION("GOOGLETRANSLATE(A1394, ""zh"", ""en"")"),"irrelevant text")</f>
        <v>irrelevant text</v>
      </c>
      <c r="C1394" s="1" t="str">
        <f ca="1">IFERROR(__xludf.DUMMYFUNCTION("GOOGLETRANSLATE(E1394, ""zh"", ""en"")"),"irrelevant text")</f>
        <v>irrelevant text</v>
      </c>
    </row>
    <row r="1395" spans="1:3" ht="13" x14ac:dyDescent="0.15">
      <c r="A1395" s="1" t="str">
        <f ca="1">IFERROR(__xludf.DUMMYFUNCTION("GOOGLETRANSLATE(A1395, ""zh"", ""en"")"),"Report Organization Scope This report covers the headquarters of Joincare Pharmaceutical Group Co., Ltd. and its wholly-owned subsidiaries and holding subsidiaries.")</f>
        <v>Report Organization Scope This report covers the headquarters of Joincare Pharmaceutical Group Co., Ltd. and its wholly-owned subsidiaries and holding subsidiaries.</v>
      </c>
      <c r="B1395" s="1" t="str">
        <f ca="1">IFERROR(__xludf.DUMMYFUNCTION("GOOGLETRANSLATE(A1395, ""zh"", ""en"")"),"Organizational structure and operations")</f>
        <v>Organizational structure and operations</v>
      </c>
      <c r="C1395" s="1" t="str">
        <f ca="1">IFERROR(__xludf.DUMMYFUNCTION("GOOGLETRANSLATE(E1395, ""zh"", ""en"")"),"Qualitative text")</f>
        <v>Qualitative text</v>
      </c>
    </row>
    <row r="1396" spans="1:3" ht="13" x14ac:dyDescent="0.15">
      <c r="A1396" s="1" t="str">
        <f ca="1">IFERROR(__xludf.DUMMYFUNCTION("GOOGLETRANSLATE(A1396, ""zh"", ""en"")"),"592022 Social Responsibility Report Benefits System To enhance employee well-being, Jiankangyuan continues to optimize its benefits system.")</f>
        <v>592022 Social Responsibility Report Benefits System To enhance employee well-being, Jiankangyuan continues to optimize its benefits system.</v>
      </c>
      <c r="B1396" s="1" t="str">
        <f ca="1">IFERROR(__xludf.DUMMYFUNCTION("GOOGLETRANSLATE(A1396, ""zh"", ""en"")"),"staff")</f>
        <v>staff</v>
      </c>
      <c r="C1396" s="1" t="str">
        <f ca="1">IFERROR(__xludf.DUMMYFUNCTION("GOOGLETRANSLATE(E1396, ""zh"", ""en"")"),"Qualitative text")</f>
        <v>Qualitative text</v>
      </c>
    </row>
    <row r="1397" spans="1:3" ht="13" x14ac:dyDescent="0.15">
      <c r="A1397" s="1" t="str">
        <f ca="1">IFERROR(__xludf.DUMMYFUNCTION("GOOGLETRANSLATE(A1397, ""zh"", ""en"")"),"New employees complete employee handbook training on the first day of employment to ensure that each new employee fully understands their rights and interests and has a sense of rights protection.")</f>
        <v>New employees complete employee handbook training on the first day of employment to ensure that each new employee fully understands their rights and interests and has a sense of rights protection.</v>
      </c>
      <c r="B1397" s="1" t="str">
        <f ca="1">IFERROR(__xludf.DUMMYFUNCTION("GOOGLETRANSLATE(A1397, ""zh"", ""en"")"),"staff")</f>
        <v>staff</v>
      </c>
      <c r="C1397" s="1" t="str">
        <f ca="1">IFERROR(__xludf.DUMMYFUNCTION("GOOGLETRANSLATE(E1397, ""zh"", ""en"")"),"Qualitative text")</f>
        <v>Qualitative text</v>
      </c>
    </row>
    <row r="1398" spans="1:3" ht="13" x14ac:dyDescent="0.15">
      <c r="A1398" s="1" t="str">
        <f ca="1">IFERROR(__xludf.DUMMYFUNCTION("GOOGLETRANSLATE(A1398, ""zh"", ""en"")"),"We design more severe simulation experimental conditions and longer storage time based on actual transportation conditions and product quality attributes.")</f>
        <v>We design more severe simulation experimental conditions and longer storage time based on actual transportation conditions and product quality attributes.</v>
      </c>
      <c r="B1398" s="1" t="str">
        <f ca="1">IFERROR(__xludf.DUMMYFUNCTION("GOOGLETRANSLATE(A1398, ""zh"", ""en"")"),"Product quality")</f>
        <v>Product quality</v>
      </c>
      <c r="C1398" s="1" t="str">
        <f ca="1">IFERROR(__xludf.DUMMYFUNCTION("GOOGLETRANSLATE(E1398, ""zh"", ""en"")"),"Qualitative text")</f>
        <v>Qualitative text</v>
      </c>
    </row>
    <row r="1399" spans="1:3" ht="13" x14ac:dyDescent="0.15">
      <c r="A1399" s="1" t="str">
        <f ca="1">IFERROR(__xludf.DUMMYFUNCTION("GOOGLETRANSLATE(A1399, ""zh"", ""en"")"),"We strengthen cooperation with ecological partners and strengthen cooperation with external institutions in terms of technical level, advanced equipment and project management.")</f>
        <v>We strengthen cooperation with ecological partners and strengthen cooperation with external institutions in terms of technical level, advanced equipment and project management.</v>
      </c>
      <c r="B1399" s="1" t="str">
        <f ca="1">IFERROR(__xludf.DUMMYFUNCTION("GOOGLETRANSLATE(A1399, ""zh"", ""en"")"),"Technological innovation")</f>
        <v>Technological innovation</v>
      </c>
      <c r="C1399" s="1" t="str">
        <f ca="1">IFERROR(__xludf.DUMMYFUNCTION("GOOGLETRANSLATE(E1399, ""zh"", ""en"")"),"Qualitative text")</f>
        <v>Qualitative text</v>
      </c>
    </row>
    <row r="1400" spans="1:3" ht="13" x14ac:dyDescent="0.15">
      <c r="A1400" s="1" t="str">
        <f ca="1">IFERROR(__xludf.DUMMYFUNCTION("GOOGLETRANSLATE(A1400, ""zh"", ""en"")"),"The company selects efficient, energy-saving and environmentally friendly process equipment to improve the overall recovery rate of lithium salt lakes and accelerate production cycles and production efficiency.")</f>
        <v>The company selects efficient, energy-saving and environmentally friendly process equipment to improve the overall recovery rate of lithium salt lakes and accelerate production cycles and production efficiency.</v>
      </c>
      <c r="B1400" s="1" t="str">
        <f ca="1">IFERROR(__xludf.DUMMYFUNCTION("GOOGLETRANSLATE(A1400, ""zh"", ""en"")"),"raw materials")</f>
        <v>raw materials</v>
      </c>
      <c r="C1400" s="1" t="str">
        <f ca="1">IFERROR(__xludf.DUMMYFUNCTION("GOOGLETRANSLATE(E1400, ""zh"", ""en"")"),"Qualitative text")</f>
        <v>Qualitative text</v>
      </c>
    </row>
    <row r="1401" spans="1:3" ht="13" x14ac:dyDescent="0.15">
      <c r="A1401" s="1" t="str">
        <f ca="1">IFERROR(__xludf.DUMMYFUNCTION("GOOGLETRANSLATE(A1401, ""zh"", ""en"")"),"Based on the company's development strategy and job business needs, we continue to develop and upgrade training courses to improve the relevance and practicality of training.")</f>
        <v>Based on the company's development strategy and job business needs, we continue to develop and upgrade training courses to improve the relevance and practicality of training.</v>
      </c>
      <c r="B1401" s="1" t="str">
        <f ca="1">IFERROR(__xludf.DUMMYFUNCTION("GOOGLETRANSLATE(A1401, ""zh"", ""en"")"),"staff")</f>
        <v>staff</v>
      </c>
      <c r="C1401" s="1" t="str">
        <f ca="1">IFERROR(__xludf.DUMMYFUNCTION("GOOGLETRANSLATE(E1401, ""zh"", ""en"")"),"Qualitative text")</f>
        <v>Qualitative text</v>
      </c>
    </row>
    <row r="1402" spans="1:3" ht="13" x14ac:dyDescent="0.15">
      <c r="A1402" s="1" t="str">
        <f ca="1">IFERROR(__xludf.DUMMYFUNCTION("GOOGLETRANSLATE(A1402, ""zh"", ""en"")"),"Users can register as organ donors, volunteer for education, and donate to other one-stop public welfare services in the service hall, allowing the relay of life to continue in the sunshine.")</f>
        <v>Users can register as organ donors, volunteer for education, and donate to other one-stop public welfare services in the service hall, allowing the relay of life to continue in the sunshine.</v>
      </c>
      <c r="B1402" s="1" t="str">
        <f ca="1">IFERROR(__xludf.DUMMYFUNCTION("GOOGLETRANSLATE(A1402, ""zh"", ""en"")"),"Public welfare and volunteer service")</f>
        <v>Public welfare and volunteer service</v>
      </c>
      <c r="C1402" s="1" t="str">
        <f ca="1">IFERROR(__xludf.DUMMYFUNCTION("GOOGLETRANSLATE(E1402, ""zh"", ""en"")"),"Qualitative text")</f>
        <v>Qualitative text</v>
      </c>
    </row>
    <row r="1403" spans="1:3" ht="13" x14ac:dyDescent="0.15">
      <c r="A1403" s="1" t="str">
        <f ca="1">IFERROR(__xludf.DUMMYFUNCTION("GOOGLETRANSLATE(A1403, ""zh"", ""en"")"),"The Group regularly conducts comprehensive audits on all subsidiaries, issues annual internal control evaluation reports, and formulates special audit plans.")</f>
        <v>The Group regularly conducts comprehensive audits on all subsidiaries, issues annual internal control evaluation reports, and formulates special audit plans.</v>
      </c>
      <c r="B1403" s="1" t="str">
        <f ca="1">IFERROR(__xludf.DUMMYFUNCTION("GOOGLETRANSLATE(A1403, ""zh"", ""en"")"),"Audit work")</f>
        <v>Audit work</v>
      </c>
      <c r="C1403" s="1" t="str">
        <f ca="1">IFERROR(__xludf.DUMMYFUNCTION("GOOGLETRANSLATE(E1403, ""zh"", ""en"")"),"Qualitative text")</f>
        <v>Qualitative text</v>
      </c>
    </row>
    <row r="1404" spans="1:3" ht="13" x14ac:dyDescent="0.15">
      <c r="A1404" s="1" t="str">
        <f ca="1">IFERROR(__xludf.DUMMYFUNCTION("GOOGLETRANSLATE(A1404, ""zh"", ""en"")"),"Metal Company, Environmental Energy Company, Logistics Company, Jinshi Company were selected into the list of Zhejiang Province's 2022 Import High-Quality Development Project Plan")</f>
        <v>Metal Company, Environmental Energy Company, Logistics Company, Jinshi Company were selected into the list of Zhejiang Province's 2022 Import High-Quality Development Project Plan</v>
      </c>
      <c r="B1404" s="1" t="str">
        <f ca="1">IFERROR(__xludf.DUMMYFUNCTION("GOOGLETRANSLATE(A1404, ""zh"", ""en"")"),"Technological innovation")</f>
        <v>Technological innovation</v>
      </c>
      <c r="C1404" s="1" t="str">
        <f ca="1">IFERROR(__xludf.DUMMYFUNCTION("GOOGLETRANSLATE(E1404, ""zh"", ""en"")"),"Qualitative text")</f>
        <v>Qualitative text</v>
      </c>
    </row>
    <row r="1405" spans="1:3" ht="13" x14ac:dyDescent="0.15">
      <c r="A1405" s="1" t="str">
        <f ca="1">IFERROR(__xludf.DUMMYFUNCTION("GOOGLETRANSLATE(A1405, ""zh"", ""en"")"),"COSL's business areas include geophysical exploration services, drilling services, oilfield technical services, and ship services. Therefore, this indicator is not applicable to this company.")</f>
        <v>COSL's business areas include geophysical exploration services, drilling services, oilfield technical services, and ship services. Therefore, this indicator is not applicable to this company.</v>
      </c>
      <c r="B1405" s="1" t="str">
        <f ca="1">IFERROR(__xludf.DUMMYFUNCTION("GOOGLETRANSLATE(A1405, ""zh"", ""en"")"),"irrelevant text")</f>
        <v>irrelevant text</v>
      </c>
      <c r="C1405" s="1" t="str">
        <f ca="1">IFERROR(__xludf.DUMMYFUNCTION("GOOGLETRANSLATE(E1405, ""zh"", ""en"")"),"irrelevant text")</f>
        <v>irrelevant text</v>
      </c>
    </row>
    <row r="1406" spans="1:3" ht="13" x14ac:dyDescent="0.15">
      <c r="A1406" s="1" t="str">
        <f ca="1">IFERROR(__xludf.DUMMYFUNCTION("GOOGLETRANSLATE(A1406, ""zh"", ""en"")"),"Create a one-stop wealth management platform to promote the comprehensive integration of digital operations and wealth management and build inclusive digital wealth management services")</f>
        <v>Create a one-stop wealth management platform to promote the comprehensive integration of digital operations and wealth management and build inclusive digital wealth management services</v>
      </c>
      <c r="B1406" s="1" t="str">
        <f ca="1">IFERROR(__xludf.DUMMYFUNCTION("GOOGLETRANSLATE(A1406, ""zh"", ""en"")"),"irrelevant text")</f>
        <v>irrelevant text</v>
      </c>
      <c r="C1406" s="1" t="str">
        <f ca="1">IFERROR(__xludf.DUMMYFUNCTION("GOOGLETRANSLATE(E1406, ""zh"", ""en"")"),"irrelevant text")</f>
        <v>irrelevant text</v>
      </c>
    </row>
    <row r="1407" spans="1:3" ht="13" x14ac:dyDescent="0.15">
      <c r="A1407" s="1" t="str">
        <f ca="1">IFERROR(__xludf.DUMMYFUNCTION("GOOGLETRANSLATE(A1407, ""zh"", ""en"")"),"Fulfilling social responsibilities and building a sustainable supply chain is one of the important tasks for enterprises to fulfill their social responsibilities and achieve long-term interests.")</f>
        <v>Fulfilling social responsibilities and building a sustainable supply chain is one of the important tasks for enterprises to fulfill their social responsibilities and achieve long-term interests.</v>
      </c>
      <c r="B1407" s="1" t="str">
        <f ca="1">IFERROR(__xludf.DUMMYFUNCTION("GOOGLETRANSLATE(A1407, ""zh"", ""en"")"),"supply chain management")</f>
        <v>supply chain management</v>
      </c>
      <c r="C1407" s="1" t="str">
        <f ca="1">IFERROR(__xludf.DUMMYFUNCTION("GOOGLETRANSLATE(E1407, ""zh"", ""en"")"),"Qualitative text")</f>
        <v>Qualitative text</v>
      </c>
    </row>
    <row r="1408" spans="1:3" ht="13" x14ac:dyDescent="0.15">
      <c r="A1408" s="1" t="str">
        <f ca="1">IFERROR(__xludf.DUMMYFUNCTION("GOOGLETRANSLATE(A1408, ""zh"", ""en"")"),"We will ensure compliance by improving systems and standardizing business processes, and eliminate all forms of false or exaggerated propaganda.")</f>
        <v>We will ensure compliance by improving systems and standardizing business processes, and eliminate all forms of false or exaggerated propaganda.</v>
      </c>
      <c r="B1408" s="1" t="str">
        <f ca="1">IFERROR(__xludf.DUMMYFUNCTION("GOOGLETRANSLATE(A1408, ""zh"", ""en"")"),"irrelevant text")</f>
        <v>irrelevant text</v>
      </c>
      <c r="C1408" s="1" t="str">
        <f ca="1">IFERROR(__xludf.DUMMYFUNCTION("GOOGLETRANSLATE(E1408, ""zh"", ""en"")"),"irrelevant text")</f>
        <v>irrelevant text</v>
      </c>
    </row>
    <row r="1409" spans="1:3" ht="13" x14ac:dyDescent="0.15">
      <c r="A1409" s="1" t="str">
        <f ca="1">IFERROR(__xludf.DUMMYFUNCTION("GOOGLETRANSLATE(A1409, ""zh"", ""en"")"),"More than 70 people including secretaries of branches directly under the general branch of Shenma Co., Ltd. and heads of relevant departments of the sales company of the materials company attended the training.")</f>
        <v>More than 70 people including secretaries of branches directly under the general branch of Shenma Co., Ltd. and heads of relevant departments of the sales company of the materials company attended the training.</v>
      </c>
      <c r="B1409" s="1" t="str">
        <f ca="1">IFERROR(__xludf.DUMMYFUNCTION("GOOGLETRANSLATE(A1409, ""zh"", ""en"")"),"staff")</f>
        <v>staff</v>
      </c>
      <c r="C1409" s="1" t="str">
        <f ca="1">IFERROR(__xludf.DUMMYFUNCTION("GOOGLETRANSLATE(E1409, ""zh"", ""en"")"),"Quantitative Text")</f>
        <v>Quantitative Text</v>
      </c>
    </row>
    <row r="1410" spans="1:3" ht="13" x14ac:dyDescent="0.15">
      <c r="A1410" s="1" t="str">
        <f ca="1">IFERROR(__xludf.DUMMYFUNCTION("GOOGLETRANSLATE(A1410, ""zh"", ""en"")"),"As the national security guardian, we took root in security and pioneered the era of free antivirus, becoming a model changer and leader in the cybersecurity industry.")</f>
        <v>As the national security guardian, we took root in security and pioneered the era of free antivirus, becoming a model changer and leader in the cybersecurity industry.</v>
      </c>
      <c r="B1410" s="1" t="str">
        <f ca="1">IFERROR(__xludf.DUMMYFUNCTION("GOOGLETRANSLATE(A1410, ""zh"", ""en"")"),"Data security")</f>
        <v>Data security</v>
      </c>
      <c r="C1410" s="1" t="str">
        <f ca="1">IFERROR(__xludf.DUMMYFUNCTION("GOOGLETRANSLATE(E1410, ""zh"", ""en"")"),"Qualitative text")</f>
        <v>Qualitative text</v>
      </c>
    </row>
    <row r="1411" spans="1:3" ht="13" x14ac:dyDescent="0.15">
      <c r="A1411" s="1" t="str">
        <f ca="1">IFERROR(__xludf.DUMMYFUNCTION("GOOGLETRANSLATE(A1411, ""zh"", ""en"")"),"Vigorously promote the deep integration of digital design and intelligent manufacturing, and strive towards the established strategic goal of being the first at sea and the top three on land.")</f>
        <v>Vigorously promote the deep integration of digital design and intelligent manufacturing, and strive towards the established strategic goal of being the first at sea and the top three on land.</v>
      </c>
      <c r="B1411" s="1" t="str">
        <f ca="1">IFERROR(__xludf.DUMMYFUNCTION("GOOGLETRANSLATE(A1411, ""zh"", ""en"")"),"Technological innovation")</f>
        <v>Technological innovation</v>
      </c>
      <c r="C1411" s="1" t="str">
        <f ca="1">IFERROR(__xludf.DUMMYFUNCTION("GOOGLETRANSLATE(E1411, ""zh"", ""en"")"),"Qualitative text")</f>
        <v>Qualitative text</v>
      </c>
    </row>
    <row r="1412" spans="1:3" ht="13" x14ac:dyDescent="0.15">
      <c r="A1412" s="1" t="str">
        <f ca="1">IFERROR(__xludf.DUMMYFUNCTION("GOOGLETRANSLATE(A1412, ""zh"", ""en"")"),"In 2022, the company actively cooperated with surrounding villages and towns to build nearly 30 kilometers of rural ""four-good"" roads, which greatly improved rural road conditions.")</f>
        <v>In 2022, the company actively cooperated with surrounding villages and towns to build nearly 30 kilometers of rural "four-good" roads, which greatly improved rural road conditions.</v>
      </c>
      <c r="B1412" s="1" t="str">
        <f ca="1">IFERROR(__xludf.DUMMYFUNCTION("GOOGLETRANSLATE(A1412, ""zh"", ""en"")"),"Rural assistance")</f>
        <v>Rural assistance</v>
      </c>
      <c r="C1412" s="1" t="str">
        <f ca="1">IFERROR(__xludf.DUMMYFUNCTION("GOOGLETRANSLATE(E1412, ""zh"", ""en"")"),"Quantitative Text")</f>
        <v>Quantitative Text</v>
      </c>
    </row>
    <row r="1413" spans="1:3" ht="13" x14ac:dyDescent="0.15">
      <c r="A1413" s="1" t="str">
        <f ca="1">IFERROR(__xludf.DUMMYFUNCTION("GOOGLETRANSLATE(A1413, ""zh"", ""en"")"),"Implementing caring measures for employees in need, we provided care to more than 460 employees in need through warmth-giving activities throughout the year, distributing more than RMB 700,000 in consolation funds")</f>
        <v>Implementing caring measures for employees in need, we provided care to more than 460 employees in need through warmth-giving activities throughout the year, distributing more than RMB 700,000 in consolation funds</v>
      </c>
      <c r="B1413" s="1" t="str">
        <f ca="1">IFERROR(__xludf.DUMMYFUNCTION("GOOGLETRANSLATE(A1413, ""zh"", ""en"")"),"staff")</f>
        <v>staff</v>
      </c>
      <c r="C1413" s="1" t="str">
        <f ca="1">IFERROR(__xludf.DUMMYFUNCTION("GOOGLETRANSLATE(E1413, ""zh"", ""en"")"),"Quantitative Text")</f>
        <v>Quantitative Text</v>
      </c>
    </row>
    <row r="1414" spans="1:3" ht="13" x14ac:dyDescent="0.15">
      <c r="A1414" s="1" t="str">
        <f ca="1">IFERROR(__xludf.DUMMYFUNCTION("GOOGLETRANSLATE(A1414, ""zh"", ""en"")"),"Behavioral or policy rules linked to marital status, physical condition, region, ethnicity or religion ensure that everyone's basic human rights are respected")</f>
        <v>Behavioral or policy rules linked to marital status, physical condition, region, ethnicity or religion ensure that everyone's basic human rights are respected</v>
      </c>
      <c r="B1414" s="1" t="str">
        <f ca="1">IFERROR(__xludf.DUMMYFUNCTION("GOOGLETRANSLATE(A1414, ""zh"", ""en"")"),"staff")</f>
        <v>staff</v>
      </c>
      <c r="C1414" s="1" t="str">
        <f ca="1">IFERROR(__xludf.DUMMYFUNCTION("GOOGLETRANSLATE(E1414, ""zh"", ""en"")"),"Qualitative text")</f>
        <v>Qualitative text</v>
      </c>
    </row>
    <row r="1415" spans="1:3" ht="13" x14ac:dyDescent="0.15">
      <c r="A1415" s="1" t="str">
        <f ca="1">IFERROR(__xludf.DUMMYFUNCTION("GOOGLETRANSLATE(A1415, ""zh"", ""en"")"),"Focus on top-level design and systematic planning to strengthen the construction of senior management teams at all levels of institutions and accelerate the discovery, training and selection of outstanding young talents")</f>
        <v>Focus on top-level design and systematic planning to strengthen the construction of senior management teams at all levels of institutions and accelerate the discovery, training and selection of outstanding young talents</v>
      </c>
      <c r="B1415" s="1" t="str">
        <f ca="1">IFERROR(__xludf.DUMMYFUNCTION("GOOGLETRANSLATE(A1415, ""zh"", ""en"")"),"Organizational structure and operations")</f>
        <v>Organizational structure and operations</v>
      </c>
      <c r="C1415" s="1" t="str">
        <f ca="1">IFERROR(__xludf.DUMMYFUNCTION("GOOGLETRANSLATE(E1415, ""zh"", ""en"")"),"Qualitative text")</f>
        <v>Qualitative text</v>
      </c>
    </row>
    <row r="1416" spans="1:3" ht="13" x14ac:dyDescent="0.15">
      <c r="A1416" s="1" t="str">
        <f ca="1">IFERROR(__xludf.DUMMYFUNCTION("GOOGLETRANSLATE(A1416, ""zh"", ""en"")"),"Improve talent evaluation and incentive mechanisms, continuously promote the optimization of professional and technical position management, and establish a comprehensive assessment and evaluation system.")</f>
        <v>Improve talent evaluation and incentive mechanisms, continuously promote the optimization of professional and technical position management, and establish a comprehensive assessment and evaluation system.</v>
      </c>
      <c r="B1416" s="1" t="str">
        <f ca="1">IFERROR(__xludf.DUMMYFUNCTION("GOOGLETRANSLATE(A1416, ""zh"", ""en"")"),"staff")</f>
        <v>staff</v>
      </c>
      <c r="C1416" s="1" t="str">
        <f ca="1">IFERROR(__xludf.DUMMYFUNCTION("GOOGLETRANSLATE(E1416, ""zh"", ""en"")"),"Qualitative text")</f>
        <v>Qualitative text</v>
      </c>
    </row>
    <row r="1417" spans="1:3" ht="13" x14ac:dyDescent="0.15">
      <c r="A1417" s="1" t="str">
        <f ca="1">IFERROR(__xludf.DUMMYFUNCTION("GOOGLETRANSLATE(A1417, ""zh"", ""en"")"),"We adopt a scientific, comprehensive and systematic approach to standardize each aspect of safety management in order to continuously improve the quality and management level of safety.")</f>
        <v>We adopt a scientific, comprehensive and systematic approach to standardize each aspect of safety management in order to continuously improve the quality and management level of safety.</v>
      </c>
      <c r="B1417" s="1" t="str">
        <f ca="1">IFERROR(__xludf.DUMMYFUNCTION("GOOGLETRANSLATE(A1417, ""zh"", ""en"")"),"Data security")</f>
        <v>Data security</v>
      </c>
      <c r="C1417" s="1" t="str">
        <f ca="1">IFERROR(__xludf.DUMMYFUNCTION("GOOGLETRANSLATE(E1417, ""zh"", ""en"")"),"Qualitative text")</f>
        <v>Qualitative text</v>
      </c>
    </row>
    <row r="1418" spans="1:3" ht="13" x14ac:dyDescent="0.15">
      <c r="A1418" s="1" t="str">
        <f ca="1">IFERROR(__xludf.DUMMYFUNCTION("GOOGLETRANSLATE(A1418, ""zh"", ""en"")"),"But I also foresee that this will be an exciting journey. We are ready to shine, and the bright future is worth our unremitting efforts.")</f>
        <v>But I also foresee that this will be an exciting journey. We are ready to shine, and the bright future is worth our unremitting efforts.</v>
      </c>
      <c r="B1418" s="1" t="str">
        <f ca="1">IFERROR(__xludf.DUMMYFUNCTION("GOOGLETRANSLATE(A1418, ""zh"", ""en"")"),"irrelevant text")</f>
        <v>irrelevant text</v>
      </c>
      <c r="C1418" s="1" t="str">
        <f ca="1">IFERROR(__xludf.DUMMYFUNCTION("GOOGLETRANSLATE(E1418, ""zh"", ""en"")"),"irrelevant text")</f>
        <v>irrelevant text</v>
      </c>
    </row>
    <row r="1419" spans="1:3" ht="13" x14ac:dyDescent="0.15">
      <c r="A1419" s="1" t="str">
        <f ca="1">IFERROR(__xludf.DUMMYFUNCTION("GOOGLETRANSLATE(A1419, ""zh"", ""en"")"),"The ESG strategy system's action direction supports the country's dual carbon strategy, explores innovations in the entire life cycle of green products, and strengthens energy management.")</f>
        <v>The ESG strategy system's action direction supports the country's dual carbon strategy, explores innovations in the entire life cycle of green products, and strengthens energy management.</v>
      </c>
      <c r="B1419" s="1" t="str">
        <f ca="1">IFERROR(__xludf.DUMMYFUNCTION("GOOGLETRANSLATE(A1419, ""zh"", ""en"")"),"carbon emissions")</f>
        <v>carbon emissions</v>
      </c>
      <c r="C1419" s="1" t="str">
        <f ca="1">IFERROR(__xludf.DUMMYFUNCTION("GOOGLETRANSLATE(E1419, ""zh"", ""en"")"),"Qualitative text")</f>
        <v>Qualitative text</v>
      </c>
    </row>
    <row r="1420" spans="1:3" ht="13" x14ac:dyDescent="0.15">
      <c r="A1420" s="1" t="str">
        <f ca="1">IFERROR(__xludf.DUMMYFUNCTION("GOOGLETRANSLATE(A1420, ""zh"", ""en"")"),"Balance This report objectively discloses both positive and negative information to ensure an unbiased presentation of the company's ESG performance during the reporting period.")</f>
        <v>Balance This report objectively discloses both positive and negative information to ensure an unbiased presentation of the company's ESG performance during the reporting period.</v>
      </c>
      <c r="B1420" s="1" t="str">
        <f ca="1">IFERROR(__xludf.DUMMYFUNCTION("GOOGLETRANSLATE(A1420, ""zh"", ""en"")"),"irrelevant text")</f>
        <v>irrelevant text</v>
      </c>
      <c r="C1420" s="1" t="str">
        <f ca="1">IFERROR(__xludf.DUMMYFUNCTION("GOOGLETRANSLATE(E1420, ""zh"", ""en"")"),"irrelevant text")</f>
        <v>irrelevant text</v>
      </c>
    </row>
    <row r="1421" spans="1:3" ht="13" x14ac:dyDescent="0.15">
      <c r="A1421" s="1" t="str">
        <f ca="1">IFERROR(__xludf.DUMMYFUNCTION("GOOGLETRANSLATE(A1421, ""zh"", ""en"")"),"Zhou Hongyi, founder of Digital China Construction Group, has taken helping small and micro businesses from all over the world as his mission and has benefited from and adapted to the times.")</f>
        <v>Zhou Hongyi, founder of Digital China Construction Group, has taken helping small and micro businesses from all over the world as his mission and has benefited from and adapted to the times.</v>
      </c>
      <c r="B1421" s="1" t="str">
        <f ca="1">IFERROR(__xludf.DUMMYFUNCTION("GOOGLETRANSLATE(A1421, ""zh"", ""en"")"),"irrelevant text")</f>
        <v>irrelevant text</v>
      </c>
      <c r="C1421" s="1" t="str">
        <f ca="1">IFERROR(__xludf.DUMMYFUNCTION("GOOGLETRANSLATE(E1421, ""zh"", ""en"")"),"irrelevant text")</f>
        <v>irrelevant text</v>
      </c>
    </row>
    <row r="1422" spans="1:3" ht="13" x14ac:dyDescent="0.15">
      <c r="A1422" s="1" t="str">
        <f ca="1">IFERROR(__xludf.DUMMYFUNCTION("GOOGLETRANSLATE(A1422, ""zh"", ""en"")"),"The Safety and Environmental Protection Department assists relevant departments in managing suppliers and contractors and is responsible for the risks their activities bring to the company.")</f>
        <v>The Safety and Environmental Protection Department assists relevant departments in managing suppliers and contractors and is responsible for the risks their activities bring to the company.</v>
      </c>
      <c r="B1422" s="1" t="str">
        <f ca="1">IFERROR(__xludf.DUMMYFUNCTION("GOOGLETRANSLATE(A1422, ""zh"", ""en"")"),"supply chain management")</f>
        <v>supply chain management</v>
      </c>
      <c r="C1422" s="1" t="str">
        <f ca="1">IFERROR(__xludf.DUMMYFUNCTION("GOOGLETRANSLATE(E1422, ""zh"", ""en"")"),"Qualitative text")</f>
        <v>Qualitative text</v>
      </c>
    </row>
    <row r="1423" spans="1:3" ht="13" x14ac:dyDescent="0.15">
      <c r="A1423" s="1" t="str">
        <f ca="1">IFERROR(__xludf.DUMMYFUNCTION("GOOGLETRANSLATE(A1423, ""zh"", ""en"")"),"The number of independent directors in the Audit Committee, Remuneration and Appraisal Committee, Nomination Committee and Strategy Committee accounts for more than half.")</f>
        <v>The number of independent directors in the Audit Committee, Remuneration and Appraisal Committee, Nomination Committee and Strategy Committee accounts for more than half.</v>
      </c>
      <c r="B1423" s="1" t="str">
        <f ca="1">IFERROR(__xludf.DUMMYFUNCTION("GOOGLETRANSLATE(A1423, ""zh"", ""en"")"),"Organizational structure and operations")</f>
        <v>Organizational structure and operations</v>
      </c>
      <c r="C1423" s="1" t="str">
        <f ca="1">IFERROR(__xludf.DUMMYFUNCTION("GOOGLETRANSLATE(E1423, ""zh"", ""en"")"),"Quantitative Text")</f>
        <v>Quantitative Text</v>
      </c>
    </row>
    <row r="1424" spans="1:3" ht="13" x14ac:dyDescent="0.15">
      <c r="A1424" s="1" t="str">
        <f ca="1">IFERROR(__xludf.DUMMYFUNCTION("GOOGLETRANSLATE(A1424, ""zh"", ""en"")"),"During the investigation, Li Jianzhong fully affirmed the contribution of Wuhe Power Plant to the local carbon peak and carbon neutrality work and rural revitalization strategy.")</f>
        <v>During the investigation, Li Jianzhong fully affirmed the contribution of Wuhe Power Plant to the local carbon peak and carbon neutrality work and rural revitalization strategy.</v>
      </c>
      <c r="B1424" s="1" t="str">
        <f ca="1">IFERROR(__xludf.DUMMYFUNCTION("GOOGLETRANSLATE(A1424, ""zh"", ""en"")"),"carbon emissions")</f>
        <v>carbon emissions</v>
      </c>
      <c r="C1424" s="1" t="str">
        <f ca="1">IFERROR(__xludf.DUMMYFUNCTION("GOOGLETRANSLATE(E1424, ""zh"", ""en"")"),"Qualitative text")</f>
        <v>Qualitative text</v>
      </c>
    </row>
    <row r="1425" spans="1:3" ht="13" x14ac:dyDescent="0.15">
      <c r="A1425" s="1" t="str">
        <f ca="1">IFERROR(__xludf.DUMMYFUNCTION("GOOGLETRANSLATE(A1425, ""zh"", ""en"")"),"In 2022, a total of 94,951 consumer protection reviews were completed to safeguard business development and effectively prevent risks of infringement of consumer rights.")</f>
        <v>In 2022, a total of 94,951 consumer protection reviews were completed to safeguard business development and effectively prevent risks of infringement of consumer rights.</v>
      </c>
      <c r="B1425" s="1" t="str">
        <f ca="1">IFERROR(__xludf.DUMMYFUNCTION("GOOGLETRANSLATE(A1425, ""zh"", ""en"")"),"Customers and Consumers")</f>
        <v>Customers and Consumers</v>
      </c>
      <c r="C1425" s="1" t="str">
        <f ca="1">IFERROR(__xludf.DUMMYFUNCTION("GOOGLETRANSLATE(E1425, ""zh"", ""en"")"),"Quantitative Text")</f>
        <v>Quantitative Text</v>
      </c>
    </row>
    <row r="1426" spans="1:3" ht="13" x14ac:dyDescent="0.15">
      <c r="A1426" s="1" t="str">
        <f ca="1">IFERROR(__xludf.DUMMYFUNCTION("GOOGLETRANSLATE(A1426, ""zh"", ""en"")"),"Training and publicity: 845 safety open classes, group discussions, team meetings and other learning activities were held, with 34,667 people participating in safety and environmental protection publicity.")</f>
        <v>Training and publicity: 845 safety open classes, group discussions, team meetings and other learning activities were held, with 34,667 people participating in safety and environmental protection publicity.</v>
      </c>
      <c r="B1426" s="1" t="str">
        <f ca="1">IFERROR(__xludf.DUMMYFUNCTION("GOOGLETRANSLATE(A1426, ""zh"", ""en"")"),"Environmental Policy")</f>
        <v>Environmental Policy</v>
      </c>
      <c r="C1426" s="1" t="str">
        <f ca="1">IFERROR(__xludf.DUMMYFUNCTION("GOOGLETRANSLATE(E1426, ""zh"", ""en"")"),"Quantitative Text")</f>
        <v>Quantitative Text</v>
      </c>
    </row>
    <row r="1427" spans="1:3" ht="13" x14ac:dyDescent="0.15">
      <c r="A1427" s="1" t="str">
        <f ca="1">IFERROR(__xludf.DUMMYFUNCTION("GOOGLETRANSLATE(A1427, ""zh"", ""en"")"),"We hold employee talks offline to communicate with employees face to face and achieve efficient communication in mediating labor disputes and handling employee complaints.")</f>
        <v>We hold employee talks offline to communicate with employees face to face and achieve efficient communication in mediating labor disputes and handling employee complaints.</v>
      </c>
      <c r="B1427" s="1" t="str">
        <f ca="1">IFERROR(__xludf.DUMMYFUNCTION("GOOGLETRANSLATE(A1427, ""zh"", ""en"")"),"staff")</f>
        <v>staff</v>
      </c>
      <c r="C1427" s="1" t="str">
        <f ca="1">IFERROR(__xludf.DUMMYFUNCTION("GOOGLETRANSLATE(E1427, ""zh"", ""en"")"),"Qualitative text")</f>
        <v>Qualitative text</v>
      </c>
    </row>
    <row r="1428" spans="1:3" ht="13" x14ac:dyDescent="0.15">
      <c r="A1428" s="1" t="str">
        <f ca="1">IFERROR(__xludf.DUMMYFUNCTION("GOOGLETRANSLATE(A1428, ""zh"", ""en"")"),"Among them, the English community, reading community, and baking community are very popular among employees, creating a warm, broad, and sticky self-evolving community ecosystem.")</f>
        <v>Among them, the English community, reading community, and baking community are very popular among employees, creating a warm, broad, and sticky self-evolving community ecosystem.</v>
      </c>
      <c r="B1428" s="1" t="str">
        <f ca="1">IFERROR(__xludf.DUMMYFUNCTION("GOOGLETRANSLATE(A1428, ""zh"", ""en"")"),"staff")</f>
        <v>staff</v>
      </c>
      <c r="C1428" s="1" t="str">
        <f ca="1">IFERROR(__xludf.DUMMYFUNCTION("GOOGLETRANSLATE(E1428, ""zh"", ""en"")"),"Qualitative text")</f>
        <v>Qualitative text</v>
      </c>
    </row>
    <row r="1429" spans="1:3" ht="13" x14ac:dyDescent="0.15">
      <c r="A1429" s="1" t="str">
        <f ca="1">IFERROR(__xludf.DUMMYFUNCTION("GOOGLETRANSLATE(A1429, ""zh"", ""en"")"),"Learn more about the progress of environmental and climate risk stress testing and ESG-related customer rating warnings and monitoring management")</f>
        <v>Learn more about the progress of environmental and climate risk stress testing and ESG-related customer rating warnings and monitoring management</v>
      </c>
      <c r="B1429" s="1" t="str">
        <f ca="1">IFERROR(__xludf.DUMMYFUNCTION("GOOGLETRANSLATE(A1429, ""zh"", ""en"")"),"Addressing climate change")</f>
        <v>Addressing climate change</v>
      </c>
      <c r="C1429" s="1" t="str">
        <f ca="1">IFERROR(__xludf.DUMMYFUNCTION("GOOGLETRANSLATE(E1429, ""zh"", ""en"")"),"Qualitative text")</f>
        <v>Qualitative text</v>
      </c>
    </row>
    <row r="1430" spans="1:3" ht="13" x14ac:dyDescent="0.15">
      <c r="A1430" s="1" t="str">
        <f ca="1">IFERROR(__xludf.DUMMYFUNCTION("GOOGLETRANSLATE(A1430, ""zh"", ""en"")"),"For more information on governance, please refer to the Environmental, Social and Governance section of the 2022 Annual Report of China Construction Bank Corporation.")</f>
        <v>For more information on governance, please refer to the Environmental, Social and Governance section of the 2022 Annual Report of China Construction Bank Corporation.</v>
      </c>
      <c r="B1430" s="1" t="str">
        <f ca="1">IFERROR(__xludf.DUMMYFUNCTION("GOOGLETRANSLATE(A1430, ""zh"", ""en"")"),"irrelevant text")</f>
        <v>irrelevant text</v>
      </c>
      <c r="C1430" s="1" t="str">
        <f ca="1">IFERROR(__xludf.DUMMYFUNCTION("GOOGLETRANSLATE(E1430, ""zh"", ""en"")"),"irrelevant text")</f>
        <v>irrelevant text</v>
      </c>
    </row>
    <row r="1431" spans="1:3" ht="13" x14ac:dyDescent="0.15">
      <c r="A1431" s="1" t="str">
        <f ca="1">IFERROR(__xludf.DUMMYFUNCTION("GOOGLETRANSLATE(A1431, ""zh"", ""en"")"),"As the national dual-carbon strategy gradually takes off, the low-carbon economy and the wave of green smart home appliances are coming. The low-carbon transformation of the home appliance industry is imperative.")</f>
        <v>As the national dual-carbon strategy gradually takes off, the low-carbon economy and the wave of green smart home appliances are coming. The low-carbon transformation of the home appliance industry is imperative.</v>
      </c>
      <c r="B1431" s="1" t="str">
        <f ca="1">IFERROR(__xludf.DUMMYFUNCTION("GOOGLETRANSLATE(A1431, ""zh"", ""en"")"),"carbon emissions")</f>
        <v>carbon emissions</v>
      </c>
      <c r="C1431" s="1" t="str">
        <f ca="1">IFERROR(__xludf.DUMMYFUNCTION("GOOGLETRANSLATE(E1431, ""zh"", ""en"")"),"Qualitative text")</f>
        <v>Qualitative text</v>
      </c>
    </row>
    <row r="1432" spans="1:3" ht="13" x14ac:dyDescent="0.15">
      <c r="A1432" s="1" t="str">
        <f ca="1">IFERROR(__xludf.DUMMYFUNCTION("GOOGLETRANSLATE(A1432, ""zh"", ""en"")"),"P36A1.4 Total amount of non-hazardous waste generated in tons and, if applicable, density per unit of production per facility")</f>
        <v>P36A1.4 Total amount of non-hazardous waste generated in tons and, if applicable, density per unit of production per facility</v>
      </c>
      <c r="B1432" s="1" t="str">
        <f ca="1">IFERROR(__xludf.DUMMYFUNCTION("GOOGLETRANSLATE(A1432, ""zh"", ""en"")"),"Waste Management")</f>
        <v>Waste Management</v>
      </c>
      <c r="C1432" s="1" t="str">
        <f ca="1">IFERROR(__xludf.DUMMYFUNCTION("GOOGLETRANSLATE(E1432, ""zh"", ""en"")"),"Qualitative text")</f>
        <v>Qualitative text</v>
      </c>
    </row>
    <row r="1433" spans="1:3" ht="13" x14ac:dyDescent="0.15">
      <c r="A1433" s="1" t="str">
        <f ca="1">IFERROR(__xludf.DUMMYFUNCTION("GOOGLETRANSLATE(A1433, ""zh"", ""en"")"),"P36A1.3 Total amount of hazardous waste generated in tons and, if applicable, density per unit of production per facility")</f>
        <v>P36A1.3 Total amount of hazardous waste generated in tons and, if applicable, density per unit of production per facility</v>
      </c>
      <c r="B1433" s="1" t="str">
        <f ca="1">IFERROR(__xludf.DUMMYFUNCTION("GOOGLETRANSLATE(A1433, ""zh"", ""en"")"),"Waste Management")</f>
        <v>Waste Management</v>
      </c>
      <c r="C1433" s="1" t="str">
        <f ca="1">IFERROR(__xludf.DUMMYFUNCTION("GOOGLETRANSLATE(E1433, ""zh"", ""en"")"),"Qualitative text")</f>
        <v>Qualitative text</v>
      </c>
    </row>
    <row r="1434" spans="1:3" ht="13" x14ac:dyDescent="0.15">
      <c r="A1434" s="1" t="str">
        <f ca="1">IFERROR(__xludf.DUMMYFUNCTION("GOOGLETRANSLATE(A1434, ""zh"", ""en"")"),"In 2022, to support rural revitalization, the domestic operating area invested 10.223 million yuan and GEA invested 948,000 yuan.")</f>
        <v>In 2022, to support rural revitalization, the domestic operating area invested 10.223 million yuan and GEA invested 948,000 yuan.</v>
      </c>
      <c r="B1434" s="1" t="str">
        <f ca="1">IFERROR(__xludf.DUMMYFUNCTION("GOOGLETRANSLATE(A1434, ""zh"", ""en"")"),"Rural assistance")</f>
        <v>Rural assistance</v>
      </c>
      <c r="C1434" s="1" t="str">
        <f ca="1">IFERROR(__xludf.DUMMYFUNCTION("GOOGLETRANSLATE(E1434, ""zh"", ""en"")"),"Quantitative Text")</f>
        <v>Quantitative Text</v>
      </c>
    </row>
    <row r="1435" spans="1:3" ht="13" x14ac:dyDescent="0.15">
      <c r="A1435" s="1" t="str">
        <f ca="1">IFERROR(__xludf.DUMMYFUNCTION("GOOGLETRANSLATE(A1435, ""zh"", ""en"")"),"In 2022, we increased the amount of the Patent Achievement Award to further stimulate the innovation enthusiasm and initiative of R&amp;D personnel.")</f>
        <v>In 2022, we increased the amount of the Patent Achievement Award to further stimulate the innovation enthusiasm and initiative of R&amp;D personnel.</v>
      </c>
      <c r="B1435" s="1" t="str">
        <f ca="1">IFERROR(__xludf.DUMMYFUNCTION("GOOGLETRANSLATE(A1435, ""zh"", ""en"")"),"Intellectual Property Protection")</f>
        <v>Intellectual Property Protection</v>
      </c>
      <c r="C1435" s="1" t="str">
        <f ca="1">IFERROR(__xludf.DUMMYFUNCTION("GOOGLETRANSLATE(E1435, ""zh"", ""en"")"),"Qualitative text")</f>
        <v>Qualitative text</v>
      </c>
    </row>
    <row r="1436" spans="1:3" ht="13" x14ac:dyDescent="0.15">
      <c r="A1436" s="1" t="str">
        <f ca="1">IFERROR(__xludf.DUMMYFUNCTION("GOOGLETRANSLATE(A1436, ""zh"", ""en"")"),"In 2022, the head office was rated as a 4-star unit in Beijing's green creation activities and became one of the first green creation units in Beijing.")</f>
        <v>In 2022, the head office was rated as a 4-star unit in Beijing's green creation activities and became one of the first green creation units in Beijing.</v>
      </c>
      <c r="B1436" s="1" t="str">
        <f ca="1">IFERROR(__xludf.DUMMYFUNCTION("GOOGLETRANSLATE(A1436, ""zh"", ""en"")"),"Green Building")</f>
        <v>Green Building</v>
      </c>
      <c r="C1436" s="1" t="str">
        <f ca="1">IFERROR(__xludf.DUMMYFUNCTION("GOOGLETRANSLATE(E1436, ""zh"", ""en"")"),"Quantitative Text")</f>
        <v>Quantitative Text</v>
      </c>
    </row>
    <row r="1437" spans="1:3" ht="13" x14ac:dyDescent="0.15">
      <c r="A1437" s="1" t="str">
        <f ca="1">IFERROR(__xludf.DUMMYFUNCTION("GOOGLETRANSLATE(A1437, ""zh"", ""en"")"),"82022 waste gas emissions increased compared to previous years due to the commissioning of the renovation and expansion project of Shanghai Electric Nuclear Power Equipment Co., Ltd.")</f>
        <v>82022 waste gas emissions increased compared to previous years due to the commissioning of the renovation and expansion project of Shanghai Electric Nuclear Power Equipment Co., Ltd.</v>
      </c>
      <c r="B1437" s="1" t="str">
        <f ca="1">IFERROR(__xludf.DUMMYFUNCTION("GOOGLETRANSLATE(A1437, ""zh"", ""en"")"),"Waste Management")</f>
        <v>Waste Management</v>
      </c>
      <c r="C1437" s="1" t="str">
        <f ca="1">IFERROR(__xludf.DUMMYFUNCTION("GOOGLETRANSLATE(E1437, ""zh"", ""en"")"),"Quantitative Text")</f>
        <v>Quantitative Text</v>
      </c>
    </row>
    <row r="1438" spans="1:3" ht="13" x14ac:dyDescent="0.15">
      <c r="A1438" s="1" t="str">
        <f ca="1">IFERROR(__xludf.DUMMYFUNCTION("GOOGLETRANSLATE(A1438, ""zh"", ""en"")"),"During the reporting period, we took this opportunity to vigorously promote the promotion of quality culture and ensure that quality awareness is implemented at all levels of the company.")</f>
        <v>During the reporting period, we took this opportunity to vigorously promote the promotion of quality culture and ensure that quality awareness is implemented at all levels of the company.</v>
      </c>
      <c r="B1438" s="1" t="str">
        <f ca="1">IFERROR(__xludf.DUMMYFUNCTION("GOOGLETRANSLATE(A1438, ""zh"", ""en"")"),"Product quality")</f>
        <v>Product quality</v>
      </c>
      <c r="C1438" s="1" t="str">
        <f ca="1">IFERROR(__xludf.DUMMYFUNCTION("GOOGLETRANSLATE(E1438, ""zh"", ""en"")"),"Qualitative text")</f>
        <v>Qualitative text</v>
      </c>
    </row>
    <row r="1439" spans="1:3" ht="13" x14ac:dyDescent="0.15">
      <c r="A1439" s="1" t="str">
        <f ca="1">IFERROR(__xludf.DUMMYFUNCTION("GOOGLETRANSLATE(A1439, ""zh"", ""en"")"),"Total customer satisfaction for warehousing business: 99.99 Total customer satisfaction for transportation business: 99.96 Complaint handling satisfaction: 100")</f>
        <v>Total customer satisfaction for warehousing business: 99.99 Total customer satisfaction for transportation business: 99.96 Complaint handling satisfaction: 100</v>
      </c>
      <c r="B1439" s="1" t="str">
        <f ca="1">IFERROR(__xludf.DUMMYFUNCTION("GOOGLETRANSLATE(A1439, ""zh"", ""en"")"),"Customers and Consumers")</f>
        <v>Customers and Consumers</v>
      </c>
      <c r="C1439" s="1" t="str">
        <f ca="1">IFERROR(__xludf.DUMMYFUNCTION("GOOGLETRANSLATE(E1439, ""zh"", ""en"")"),"Quantitative Text")</f>
        <v>Quantitative Text</v>
      </c>
    </row>
    <row r="1440" spans="1:3" ht="13" x14ac:dyDescent="0.15">
      <c r="A1440" s="1" t="str">
        <f ca="1">IFERROR(__xludf.DUMMYFUNCTION("GOOGLETRANSLATE(A1440, ""zh"", ""en"")"),"We look forward to hearing your opinions and suggestions on our social responsibility report and social responsibility work so that we can better improve it.")</f>
        <v>We look forward to hearing your opinions and suggestions on our social responsibility report and social responsibility work so that we can better improve it.</v>
      </c>
      <c r="B1440" s="1" t="str">
        <f ca="1">IFERROR(__xludf.DUMMYFUNCTION("GOOGLETRANSLATE(A1440, ""zh"", ""en"")"),"irrelevant text")</f>
        <v>irrelevant text</v>
      </c>
      <c r="C1440" s="1" t="str">
        <f ca="1">IFERROR(__xludf.DUMMYFUNCTION("GOOGLETRANSLATE(E1440, ""zh"", ""en"")"),"irrelevant text")</f>
        <v>irrelevant text</v>
      </c>
    </row>
    <row r="1441" spans="1:3" ht="13" x14ac:dyDescent="0.15">
      <c r="A1441" s="1" t="str">
        <f ca="1">IFERROR(__xludf.DUMMYFUNCTION("GOOGLETRANSLATE(A1441, ""zh"", ""en"")"),"In order to facilitate the description and reading of the report, Humanwell Pharmaceutical Group Co., Ltd. is also referred to as Humanwell Pharmaceutical Co., Ltd.")</f>
        <v>In order to facilitate the description and reading of the report, Humanwell Pharmaceutical Group Co., Ltd. is also referred to as Humanwell Pharmaceutical Co., Ltd.</v>
      </c>
      <c r="B1441" s="1" t="str">
        <f ca="1">IFERROR(__xludf.DUMMYFUNCTION("GOOGLETRANSLATE(A1441, ""zh"", ""en"")"),"irrelevant text")</f>
        <v>irrelevant text</v>
      </c>
      <c r="C1441" s="1" t="str">
        <f ca="1">IFERROR(__xludf.DUMMYFUNCTION("GOOGLETRANSLATE(E1441, ""zh"", ""en"")"),"irrelevant text")</f>
        <v>irrelevant text</v>
      </c>
    </row>
    <row r="1442" spans="1:3" ht="13" x14ac:dyDescent="0.15">
      <c r="A1442" s="1" t="str">
        <f ca="1">IFERROR(__xludf.DUMMYFUNCTION("GOOGLETRANSLATE(A1442, ""zh"", ""en"")"),"In 2022, it was rated as a five-star enterprise for user satisfaction and became the only enterprise in the display industry to be rated as a five-star enterprise for user satisfaction.")</f>
        <v>In 2022, it was rated as a five-star enterprise for user satisfaction and became the only enterprise in the display industry to be rated as a five-star enterprise for user satisfaction.</v>
      </c>
      <c r="B1442" s="1" t="str">
        <f ca="1">IFERROR(__xludf.DUMMYFUNCTION("GOOGLETRANSLATE(A1442, ""zh"", ""en"")"),"Customers and Consumers")</f>
        <v>Customers and Consumers</v>
      </c>
      <c r="C1442" s="1" t="str">
        <f ca="1">IFERROR(__xludf.DUMMYFUNCTION("GOOGLETRANSLATE(E1442, ""zh"", ""en"")"),"Quantitative Text")</f>
        <v>Quantitative Text</v>
      </c>
    </row>
    <row r="1443" spans="1:3" ht="13" x14ac:dyDescent="0.15">
      <c r="A1443" s="1" t="str">
        <f ca="1">IFERROR(__xludf.DUMMYFUNCTION("GOOGLETRANSLATE(A1443, ""zh"", ""en"")"),"The project covers 52 cooperative farmers, covering an area of ​​630 mu (apple yields 500 tons) and a donation of 130,000 yuan.")</f>
        <v>The project covers 52 cooperative farmers, covering an area of ​​630 mu (apple yields 500 tons) and a donation of 130,000 yuan.</v>
      </c>
      <c r="B1443" s="1" t="str">
        <f ca="1">IFERROR(__xludf.DUMMYFUNCTION("GOOGLETRANSLATE(A1443, ""zh"", ""en"")"),"Public welfare and volunteer service")</f>
        <v>Public welfare and volunteer service</v>
      </c>
      <c r="C1443" s="1" t="str">
        <f ca="1">IFERROR(__xludf.DUMMYFUNCTION("GOOGLETRANSLATE(E1443, ""zh"", ""en"")"),"Quantitative Text")</f>
        <v>Quantitative Text</v>
      </c>
    </row>
    <row r="1444" spans="1:3" ht="13" x14ac:dyDescent="0.15">
      <c r="A1444" s="1" t="str">
        <f ca="1">IFERROR(__xludf.DUMMYFUNCTION("GOOGLETRANSLATE(A1444, ""zh"", ""en"")"),"The company's labor union provides personalized sports equipment to female employees through yoga, badminton and other cultural and sports activities to support employees to be healthier through exercise.")</f>
        <v>The company's labor union provides personalized sports equipment to female employees through yoga, badminton and other cultural and sports activities to support employees to be healthier through exercise.</v>
      </c>
      <c r="B1444" s="1" t="str">
        <f ca="1">IFERROR(__xludf.DUMMYFUNCTION("GOOGLETRANSLATE(A1444, ""zh"", ""en"")"),"staff")</f>
        <v>staff</v>
      </c>
      <c r="C1444" s="1" t="str">
        <f ca="1">IFERROR(__xludf.DUMMYFUNCTION("GOOGLETRANSLATE(E1444, ""zh"", ""en"")"),"Qualitative text")</f>
        <v>Qualitative text</v>
      </c>
    </row>
    <row r="1445" spans="1:3" ht="13" x14ac:dyDescent="0.15">
      <c r="A1445" s="1" t="str">
        <f ca="1">IFERROR(__xludf.DUMMYFUNCTION("GOOGLETRANSLATE(A1445, ""zh"", ""en"")"),"Revise and improve a series of systems such as internal audit management, audit rectification management, improve business norms and work standards, and optimize the audit work mechanism.")</f>
        <v>Revise and improve a series of systems such as internal audit management, audit rectification management, improve business norms and work standards, and optimize the audit work mechanism.</v>
      </c>
      <c r="B1445" s="1" t="str">
        <f ca="1">IFERROR(__xludf.DUMMYFUNCTION("GOOGLETRANSLATE(A1445, ""zh"", ""en"")"),"Audit work")</f>
        <v>Audit work</v>
      </c>
      <c r="C1445" s="1" t="str">
        <f ca="1">IFERROR(__xludf.DUMMYFUNCTION("GOOGLETRANSLATE(E1445, ""zh"", ""en"")"),"Qualitative text")</f>
        <v>Qualitative text</v>
      </c>
    </row>
    <row r="1446" spans="1:3" ht="13" x14ac:dyDescent="0.15">
      <c r="A1446" s="1" t="str">
        <f ca="1">IFERROR(__xludf.DUMMYFUNCTION("GOOGLETRANSLATE(A1446, ""zh"", ""en"")"),"The company has established an Ethics Committee as the only dedicated department authorized to conduct fraud investigations to ensure the continued healthy development of the company's business.")</f>
        <v>The company has established an Ethics Committee as the only dedicated department authorized to conduct fraud investigations to ensure the continued healthy development of the company's business.</v>
      </c>
      <c r="B1446" s="1" t="str">
        <f ca="1">IFERROR(__xludf.DUMMYFUNCTION("GOOGLETRANSLATE(A1446, ""zh"", ""en"")"),"Anti-corruption and anti-money laundering")</f>
        <v>Anti-corruption and anti-money laundering</v>
      </c>
      <c r="C1446" s="1" t="str">
        <f ca="1">IFERROR(__xludf.DUMMYFUNCTION("GOOGLETRANSLATE(E1446, ""zh"", ""en"")"),"Qualitative text")</f>
        <v>Qualitative text</v>
      </c>
    </row>
    <row r="1447" spans="1:3" ht="13" x14ac:dyDescent="0.15">
      <c r="A1447" s="1" t="str">
        <f ca="1">IFERROR(__xludf.DUMMYFUNCTION("GOOGLETRANSLATE(A1447, ""zh"", ""en"")"),"Shanghai Electric Group Co., Ltd. 43 Shanghai Electric provides the necessary working conditions and support for the independent directors to perform their duties.")</f>
        <v>Shanghai Electric Group Co., Ltd. 43 Shanghai Electric provides the necessary working conditions and support for the independent directors to perform their duties.</v>
      </c>
      <c r="B1447" s="1" t="str">
        <f ca="1">IFERROR(__xludf.DUMMYFUNCTION("GOOGLETRANSLATE(A1447, ""zh"", ""en"")"),"Organizational structure and operations")</f>
        <v>Organizational structure and operations</v>
      </c>
      <c r="C1447" s="1" t="str">
        <f ca="1">IFERROR(__xludf.DUMMYFUNCTION("GOOGLETRANSLATE(E1447, ""zh"", ""en"")"),"Qualitative text")</f>
        <v>Qualitative text</v>
      </c>
    </row>
    <row r="1448" spans="1:3" ht="13" x14ac:dyDescent="0.15">
      <c r="A1448" s="1" t="str">
        <f ca="1">IFERROR(__xludf.DUMMYFUNCTION("GOOGLETRANSLATE(A1448, ""zh"", ""en"")"),"The apartment's public areas are also equipped with supporting facilities such as a pantry and laundry room to basically meet the needs of employees to move in with their luggage.")</f>
        <v>The apartment's public areas are also equipped with supporting facilities such as a pantry and laundry room to basically meet the needs of employees to move in with their luggage.</v>
      </c>
      <c r="B1448" s="1" t="str">
        <f ca="1">IFERROR(__xludf.DUMMYFUNCTION("GOOGLETRANSLATE(A1448, ""zh"", ""en"")"),"staff")</f>
        <v>staff</v>
      </c>
      <c r="C1448" s="1" t="str">
        <f ca="1">IFERROR(__xludf.DUMMYFUNCTION("GOOGLETRANSLATE(E1448, ""zh"", ""en"")"),"Qualitative text")</f>
        <v>Qualitative text</v>
      </c>
    </row>
    <row r="1449" spans="1:3" ht="13" x14ac:dyDescent="0.15">
      <c r="A1449" s="1" t="str">
        <f ca="1">IFERROR(__xludf.DUMMYFUNCTION("GOOGLETRANSLATE(A1449, ""zh"", ""en"")"),"By the end of 2022, 3,586 Driver Homes and 5,415 Love Stations have been built and put into operation, with a nationwide service network.")</f>
        <v>By the end of 2022, 3,586 Driver Homes and 5,415 Love Stations have been built and put into operation, with a nationwide service network.</v>
      </c>
      <c r="B1449" s="1" t="str">
        <f ca="1">IFERROR(__xludf.DUMMYFUNCTION("GOOGLETRANSLATE(A1449, ""zh"", ""en"")"),"Public welfare and volunteer service")</f>
        <v>Public welfare and volunteer service</v>
      </c>
      <c r="C1449" s="1" t="str">
        <f ca="1">IFERROR(__xludf.DUMMYFUNCTION("GOOGLETRANSLATE(E1449, ""zh"", ""en"")"),"Quantitative Text")</f>
        <v>Quantitative Text</v>
      </c>
    </row>
    <row r="1450" spans="1:3" ht="13" x14ac:dyDescent="0.15">
      <c r="A1450" s="1" t="str">
        <f ca="1">IFERROR(__xludf.DUMMYFUNCTION("GOOGLETRANSLATE(A1450, ""zh"", ""en"")"),"Compensation and Welfare Guarantee The company implements a distribution policy that combines compensation incentives with non-compensation incentives and carries out targeted hierarchical management")</f>
        <v>Compensation and Welfare Guarantee The company implements a distribution policy that combines compensation incentives with non-compensation incentives and carries out targeted hierarchical management</v>
      </c>
      <c r="B1450" s="1" t="str">
        <f ca="1">IFERROR(__xludf.DUMMYFUNCTION("GOOGLETRANSLATE(A1450, ""zh"", ""en"")"),"staff")</f>
        <v>staff</v>
      </c>
      <c r="C1450" s="1" t="str">
        <f ca="1">IFERROR(__xludf.DUMMYFUNCTION("GOOGLETRANSLATE(E1450, ""zh"", ""en"")"),"Qualitative text")</f>
        <v>Qualitative text</v>
      </c>
    </row>
    <row r="1451" spans="1:3" ht="13" x14ac:dyDescent="0.15">
      <c r="A1451" s="1" t="str">
        <f ca="1">IFERROR(__xludf.DUMMYFUNCTION("GOOGLETRANSLATE(A1451, ""zh"", ""en"")"),"67697173 Key Performance Indicator B2.1 Number and ratio of work-related deaths in each of the past three years, including the reporting year")</f>
        <v>67697173 Key Performance Indicator B2.1 Number and ratio of work-related deaths in each of the past three years, including the reporting year</v>
      </c>
      <c r="B1451" s="1" t="str">
        <f ca="1">IFERROR(__xludf.DUMMYFUNCTION("GOOGLETRANSLATE(A1451, ""zh"", ""en"")"),"staff")</f>
        <v>staff</v>
      </c>
      <c r="C1451" s="1" t="str">
        <f ca="1">IFERROR(__xludf.DUMMYFUNCTION("GOOGLETRANSLATE(E1451, ""zh"", ""en"")"),"Quantitative Text")</f>
        <v>Quantitative Text</v>
      </c>
    </row>
    <row r="1452" spans="1:3" ht="13" x14ac:dyDescent="0.15">
      <c r="A1452" s="1" t="str">
        <f ca="1">IFERROR(__xludf.DUMMYFUNCTION("GOOGLETRANSLATE(A1452, ""zh"", ""en"")"),"According to the basic requirements of information security technology network security level protection, we invite national assessment institutions to carry out three-level system level assessment every year")</f>
        <v>According to the basic requirements of information security technology network security level protection, we invite national assessment institutions to carry out three-level system level assessment every year</v>
      </c>
      <c r="B1452" s="1" t="str">
        <f ca="1">IFERROR(__xludf.DUMMYFUNCTION("GOOGLETRANSLATE(A1452, ""zh"", ""en"")"),"Data security")</f>
        <v>Data security</v>
      </c>
      <c r="C1452" s="1" t="str">
        <f ca="1">IFERROR(__xludf.DUMMYFUNCTION("GOOGLETRANSLATE(E1452, ""zh"", ""en"")"),"Quantitative Text")</f>
        <v>Quantitative Text</v>
      </c>
    </row>
    <row r="1453" spans="1:3" ht="13" x14ac:dyDescent="0.15">
      <c r="A1453" s="1" t="str">
        <f ca="1">IFERROR(__xludf.DUMMYFUNCTION("GOOGLETRANSLATE(A1453, ""zh"", ""en"")"),"The reporting period is from January 1, 2022 to December 31, 2022. Some content data exceeds the above range.")</f>
        <v>The reporting period is from January 1, 2022 to December 31, 2022. Some content data exceeds the above range.</v>
      </c>
      <c r="B1453" s="1" t="str">
        <f ca="1">IFERROR(__xludf.DUMMYFUNCTION("GOOGLETRANSLATE(A1453, ""zh"", ""en"")"),"irrelevant text")</f>
        <v>irrelevant text</v>
      </c>
      <c r="C1453" s="1" t="str">
        <f ca="1">IFERROR(__xludf.DUMMYFUNCTION("GOOGLETRANSLATE(E1453, ""zh"", ""en"")"),"irrelevant text")</f>
        <v>irrelevant text</v>
      </c>
    </row>
    <row r="1454" spans="1:3" ht="13" x14ac:dyDescent="0.15">
      <c r="A1454" s="1" t="str">
        <f ca="1">IFERROR(__xludf.DUMMYFUNCTION("GOOGLETRANSLATE(A1454, ""zh"", ""en"")"),"2. Employee Performance and Promotion The company has established a fair and reasonable employee performance appraisal, promotion and appeal system to continuously motivate outstanding talents")</f>
        <v>2. Employee Performance and Promotion The company has established a fair and reasonable employee performance appraisal, promotion and appeal system to continuously motivate outstanding talents</v>
      </c>
      <c r="B1454" s="1" t="str">
        <f ca="1">IFERROR(__xludf.DUMMYFUNCTION("GOOGLETRANSLATE(A1454, ""zh"", ""en"")"),"staff")</f>
        <v>staff</v>
      </c>
      <c r="C1454" s="1" t="str">
        <f ca="1">IFERROR(__xludf.DUMMYFUNCTION("GOOGLETRANSLATE(E1454, ""zh"", ""en"")"),"Qualitative text")</f>
        <v>Qualitative text</v>
      </c>
    </row>
    <row r="1455" spans="1:3" ht="13" x14ac:dyDescent="0.15">
      <c r="A1455" s="1" t="str">
        <f ca="1">IFERROR(__xludf.DUMMYFUNCTION("GOOGLETRANSLATE(A1455, ""zh"", ""en"")"),"In 2022, Wanbang Biopharma held more than 50 patient science conferences to reduce the financial burden on patients and improve drug accessibility and compliance.")</f>
        <v>In 2022, Wanbang Biopharma held more than 50 patient science conferences to reduce the financial burden on patients and improve drug accessibility and compliance.</v>
      </c>
      <c r="B1455" s="1" t="str">
        <f ca="1">IFERROR(__xludf.DUMMYFUNCTION("GOOGLETRANSLATE(A1455, ""zh"", ""en"")"),"Customers and Consumers")</f>
        <v>Customers and Consumers</v>
      </c>
      <c r="C1455" s="1" t="str">
        <f ca="1">IFERROR(__xludf.DUMMYFUNCTION("GOOGLETRANSLATE(E1455, ""zh"", ""en"")"),"Qualitative text")</f>
        <v>Qualitative text</v>
      </c>
    </row>
    <row r="1456" spans="1:3" ht="13" x14ac:dyDescent="0.15">
      <c r="A1456" s="1" t="str">
        <f ca="1">IFERROR(__xludf.DUMMYFUNCTION("GOOGLETRANSLATE(A1456, ""zh"", ""en"")"),"This year, the company added an energy consumption management chapter to the computer room management system 2022 to standardize energy consumption management and conduct energy consumption analysis regularly.")</f>
        <v>This year, the company added an energy consumption management chapter to the computer room management system 2022 to standardize energy consumption management and conduct energy consumption analysis regularly.</v>
      </c>
      <c r="B1456" s="1" t="str">
        <f ca="1">IFERROR(__xludf.DUMMYFUNCTION("GOOGLETRANSLATE(A1456, ""zh"", ""en"")"),"Energy and resource consumption")</f>
        <v>Energy and resource consumption</v>
      </c>
      <c r="C1456" s="1" t="str">
        <f ca="1">IFERROR(__xludf.DUMMYFUNCTION("GOOGLETRANSLATE(E1456, ""zh"", ""en"")"),"Qualitative text")</f>
        <v>Qualitative text</v>
      </c>
    </row>
    <row r="1457" spans="1:3" ht="13" x14ac:dyDescent="0.15">
      <c r="A1457" s="1" t="str">
        <f ca="1">IFERROR(__xludf.DUMMYFUNCTION("GOOGLETRANSLATE(A1457, ""zh"", ""en"")"),"We deeply explore the potential of energy conservation and emission reduction from the perspective of daily office work, and use our own practices to cooperate with the national and industry green development strategies.")</f>
        <v>We deeply explore the potential of energy conservation and emission reduction from the perspective of daily office work, and use our own practices to cooperate with the national and industry green development strategies.</v>
      </c>
      <c r="B1457" s="1" t="str">
        <f ca="1">IFERROR(__xludf.DUMMYFUNCTION("GOOGLETRANSLATE(A1457, ""zh"", ""en"")"),"Energy and resource consumption")</f>
        <v>Energy and resource consumption</v>
      </c>
      <c r="C1457" s="1" t="str">
        <f ca="1">IFERROR(__xludf.DUMMYFUNCTION("GOOGLETRANSLATE(E1457, ""zh"", ""en"")"),"Qualitative text")</f>
        <v>Qualitative text</v>
      </c>
    </row>
    <row r="1458" spans="1:3" ht="13" x14ac:dyDescent="0.15">
      <c r="A1458" s="1" t="str">
        <f ca="1">IFERROR(__xludf.DUMMYFUNCTION("GOOGLETRANSLATE(A1458, ""zh"", ""en"")"),"The company integrates supplier ESG risks into its daily management processes and conducts systematic management in aspects such as supplier access and supplier evaluation.")</f>
        <v>The company integrates supplier ESG risks into its daily management processes and conducts systematic management in aspects such as supplier access and supplier evaluation.</v>
      </c>
      <c r="B1458" s="1" t="str">
        <f ca="1">IFERROR(__xludf.DUMMYFUNCTION("GOOGLETRANSLATE(A1458, ""zh"", ""en"")"),"supply chain management")</f>
        <v>supply chain management</v>
      </c>
      <c r="C1458" s="1" t="str">
        <f ca="1">IFERROR(__xludf.DUMMYFUNCTION("GOOGLETRANSLATE(E1458, ""zh"", ""en"")"),"Qualitative text")</f>
        <v>Qualitative text</v>
      </c>
    </row>
    <row r="1459" spans="1:3" ht="13" x14ac:dyDescent="0.15">
      <c r="A1459" s="1" t="str">
        <f ca="1">IFERROR(__xludf.DUMMYFUNCTION("GOOGLETRANSLATE(A1459, ""zh"", ""en"")"),"At the same time, we also participated in the underwriting of multiple ESG-related policy bank theme financial bonds, including public utilities and other themes")</f>
        <v>At the same time, we also participated in the underwriting of multiple ESG-related policy bank theme financial bonds, including public utilities and other themes</v>
      </c>
      <c r="B1459" s="1" t="str">
        <f ca="1">IFERROR(__xludf.DUMMYFUNCTION("GOOGLETRANSLATE(A1459, ""zh"", ""en"")"),"Green Finance")</f>
        <v>Green Finance</v>
      </c>
      <c r="C1459" s="1" t="str">
        <f ca="1">IFERROR(__xludf.DUMMYFUNCTION("GOOGLETRANSLATE(E1459, ""zh"", ""en"")"),"Qualitative text")</f>
        <v>Qualitative text</v>
      </c>
    </row>
    <row r="1460" spans="1:3" ht="13" x14ac:dyDescent="0.15">
      <c r="A1460" s="1" t="str">
        <f ca="1">IFERROR(__xludf.DUMMYFUNCTION("GOOGLETRANSLATE(A1460, ""zh"", ""en"")"),"2. Help enterprises improve the process of energy intelligent theft control plug cover, regularly diagnose and analyze the energy usage of important energy-consuming facilities and processes, and")</f>
        <v>2. Help enterprises improve the process of energy intelligent theft control plug cover, regularly diagnose and analyze the energy usage of important energy-consuming facilities and processes, and</v>
      </c>
      <c r="B1460" s="1" t="str">
        <f ca="1">IFERROR(__xludf.DUMMYFUNCTION("GOOGLETRANSLATE(A1460, ""zh"", ""en"")"),"Energy and resource consumption")</f>
        <v>Energy and resource consumption</v>
      </c>
      <c r="C1460" s="1" t="str">
        <f ca="1">IFERROR(__xludf.DUMMYFUNCTION("GOOGLETRANSLATE(E1460, ""zh"", ""en"")"),"Qualitative text")</f>
        <v>Qualitative text</v>
      </c>
    </row>
    <row r="1461" spans="1:3" ht="13" x14ac:dyDescent="0.15">
      <c r="A1461" s="1" t="str">
        <f ca="1">IFERROR(__xludf.DUMMYFUNCTION("GOOGLETRANSLATE(A1461, ""zh"", ""en"")"),"In 1985, the H-type rare earth energy-saving fluorescent lamp passed the provincial appraisal and went into mass production, creating a precedent for green lighting in China.")</f>
        <v>In 1985, the H-type rare earth energy-saving fluorescent lamp passed the provincial appraisal and went into mass production, creating a precedent for green lighting in China.</v>
      </c>
      <c r="B1461" s="1" t="str">
        <f ca="1">IFERROR(__xludf.DUMMYFUNCTION("GOOGLETRANSLATE(A1461, ""zh"", ""en"")"),"Clean Technology")</f>
        <v>Clean Technology</v>
      </c>
      <c r="C1461" s="1" t="str">
        <f ca="1">IFERROR(__xludf.DUMMYFUNCTION("GOOGLETRANSLATE(E1461, ""zh"", ""en"")"),"Qualitative text")</f>
        <v>Qualitative text</v>
      </c>
    </row>
    <row r="1462" spans="1:3" ht="13" x14ac:dyDescent="0.15">
      <c r="A1462" s="1" t="str">
        <f ca="1">IFERROR(__xludf.DUMMYFUNCTION("GOOGLETRANSLATE(A1462, ""zh"", ""en"")"),"4011b only counts the total employee turnover rate during the reporting period. GRI401 Star Commission 2016 rate. Other detailed data are not quantified.")</f>
        <v>4011b only counts the total employee turnover rate during the reporting period. GRI401 Star Commission 2016 rate. Other detailed data are not quantified.</v>
      </c>
      <c r="B1462" s="1" t="str">
        <f ca="1">IFERROR(__xludf.DUMMYFUNCTION("GOOGLETRANSLATE(A1462, ""zh"", ""en"")"),"staff")</f>
        <v>staff</v>
      </c>
      <c r="C1462" s="1" t="str">
        <f ca="1">IFERROR(__xludf.DUMMYFUNCTION("GOOGLETRANSLATE(E1462, ""zh"", ""en"")"),"Quantitative Text")</f>
        <v>Quantitative Text</v>
      </c>
    </row>
    <row r="1463" spans="1:3" ht="13" x14ac:dyDescent="0.15">
      <c r="A1463" s="1" t="str">
        <f ca="1">IFERROR(__xludf.DUMMYFUNCTION("GOOGLETRANSLATE(A1463, ""zh"", ""en"")"),"Consider the organized collection of air to reduce VOCs and control the generation of air pollution from the source.")</f>
        <v>Consider the organized collection of air to reduce VOCs and control the generation of air pollution from the source.</v>
      </c>
      <c r="B1463" s="1" t="str">
        <f ca="1">IFERROR(__xludf.DUMMYFUNCTION("GOOGLETRANSLATE(A1463, ""zh"", ""en"")"),"Waste Management")</f>
        <v>Waste Management</v>
      </c>
      <c r="C1463" s="1" t="str">
        <f ca="1">IFERROR(__xludf.DUMMYFUNCTION("GOOGLETRANSLATE(E1463, ""zh"", ""en"")"),"Qualitative text")</f>
        <v>Qualitative text</v>
      </c>
    </row>
    <row r="1464" spans="1:3" ht="13" x14ac:dyDescent="0.15">
      <c r="A1464" s="1" t="str">
        <f ca="1">IFERROR(__xludf.DUMMYFUNCTION("GOOGLETRANSLATE(A1464, ""zh"", ""en"")"),"The reporting mechanism can help companies identify and resolve issues, safeguard the rights of complainants, standardize complaint handling, and improve company operations and management.")</f>
        <v>The reporting mechanism can help companies identify and resolve issues, safeguard the rights of complainants, standardize complaint handling, and improve company operations and management.</v>
      </c>
      <c r="B1464" s="1" t="str">
        <f ca="1">IFERROR(__xludf.DUMMYFUNCTION("GOOGLETRANSLATE(A1464, ""zh"", ""en"")"),"Reporting System")</f>
        <v>Reporting System</v>
      </c>
      <c r="C1464" s="1" t="str">
        <f ca="1">IFERROR(__xludf.DUMMYFUNCTION("GOOGLETRANSLATE(E1464, ""zh"", ""en"")"),"Qualitative text")</f>
        <v>Qualitative text</v>
      </c>
    </row>
    <row r="1465" spans="1:3" ht="13" x14ac:dyDescent="0.15">
      <c r="A1465" s="1" t="str">
        <f ca="1">IFERROR(__xludf.DUMMYFUNCTION("GOOGLETRANSLATE(A1465, ""zh"", ""en"")"),"A total of 318 training sessions were held throughout the year, with participants covering all levels of the company and a total of 12,936 people participating.")</f>
        <v>A total of 318 training sessions were held throughout the year, with participants covering all levels of the company and a total of 12,936 people participating.</v>
      </c>
      <c r="B1465" s="1" t="str">
        <f ca="1">IFERROR(__xludf.DUMMYFUNCTION("GOOGLETRANSLATE(A1465, ""zh"", ""en"")"),"staff")</f>
        <v>staff</v>
      </c>
      <c r="C1465" s="1" t="str">
        <f ca="1">IFERROR(__xludf.DUMMYFUNCTION("GOOGLETRANSLATE(E1465, ""zh"", ""en"")"),"Quantitative Text")</f>
        <v>Quantitative Text</v>
      </c>
    </row>
    <row r="1466" spans="1:3" ht="13" x14ac:dyDescent="0.15">
      <c r="A1466" s="1" t="str">
        <f ca="1">IFERROR(__xludf.DUMMYFUNCTION("GOOGLETRANSLATE(A1466, ""zh"", ""en"")"),"P34A1.3 Total amount of hazardous waste generated in tons and, if applicable, density per unit of production per facility")</f>
        <v>P34A1.3 Total amount of hazardous waste generated in tons and, if applicable, density per unit of production per facility</v>
      </c>
      <c r="B1466" s="1" t="str">
        <f ca="1">IFERROR(__xludf.DUMMYFUNCTION("GOOGLETRANSLATE(A1466, ""zh"", ""en"")"),"Waste Management")</f>
        <v>Waste Management</v>
      </c>
      <c r="C1466" s="1" t="str">
        <f ca="1">IFERROR(__xludf.DUMMYFUNCTION("GOOGLETRANSLATE(E1466, ""zh"", ""en"")"),"Qualitative text")</f>
        <v>Qualitative text</v>
      </c>
    </row>
    <row r="1467" spans="1:3" ht="13" x14ac:dyDescent="0.15">
      <c r="A1467" s="1" t="str">
        <f ca="1">IFERROR(__xludf.DUMMYFUNCTION("GOOGLETRANSLATE(A1467, ""zh"", ""en"")"),"At the same time, we actively promote and participate in sustainable financial innovation to guide the transformation of industrial structure and energy structure towards green and low-carbon through capital allocation.")</f>
        <v>At the same time, we actively promote and participate in sustainable financial innovation to guide the transformation of industrial structure and energy structure towards green and low-carbon through capital allocation.</v>
      </c>
      <c r="B1467" s="1" t="str">
        <f ca="1">IFERROR(__xludf.DUMMYFUNCTION("GOOGLETRANSLATE(A1467, ""zh"", ""en"")"),"Green Finance")</f>
        <v>Green Finance</v>
      </c>
      <c r="C1467" s="1" t="str">
        <f ca="1">IFERROR(__xludf.DUMMYFUNCTION("GOOGLETRANSLATE(E1467, ""zh"", ""en"")"),"Qualitative text")</f>
        <v>Qualitative text</v>
      </c>
    </row>
    <row r="1468" spans="1:3" ht="13" x14ac:dyDescent="0.15">
      <c r="A1468" s="1" t="str">
        <f ca="1">IFERROR(__xludf.DUMMYFUNCTION("GOOGLETRANSLATE(A1468, ""zh"", ""en"")"),"P37A1.4 Total amount of non-hazardous waste generated in tons and, if applicable, density per unit of production per facility")</f>
        <v>P37A1.4 Total amount of non-hazardous waste generated in tons and, if applicable, density per unit of production per facility</v>
      </c>
      <c r="B1468" s="1" t="str">
        <f ca="1">IFERROR(__xludf.DUMMYFUNCTION("GOOGLETRANSLATE(A1468, ""zh"", ""en"")"),"Waste Management")</f>
        <v>Waste Management</v>
      </c>
      <c r="C1468" s="1" t="str">
        <f ca="1">IFERROR(__xludf.DUMMYFUNCTION("GOOGLETRANSLATE(E1468, ""zh"", ""en"")"),"Qualitative text")</f>
        <v>Qualitative text</v>
      </c>
    </row>
    <row r="1469" spans="1:3" ht="13" x14ac:dyDescent="0.15">
      <c r="A1469" s="1" t="str">
        <f ca="1">IFERROR(__xludf.DUMMYFUNCTION("GOOGLETRANSLATE(A1469, ""zh"", ""en"")"),"This year, Livzon Group has set a quantitative diversity goal based on actual conditions: the proportion of female employees should be no less than 49% by 2032.")</f>
        <v>This year, Livzon Group has set a quantitative diversity goal based on actual conditions: the proportion of female employees should be no less than 49% by 2032.</v>
      </c>
      <c r="B1469" s="1" t="str">
        <f ca="1">IFERROR(__xludf.DUMMYFUNCTION("GOOGLETRANSLATE(A1469, ""zh"", ""en"")"),"staff")</f>
        <v>staff</v>
      </c>
      <c r="C1469" s="1" t="str">
        <f ca="1">IFERROR(__xludf.DUMMYFUNCTION("GOOGLETRANSLATE(E1469, ""zh"", ""en"")"),"Quantitative Text")</f>
        <v>Quantitative Text</v>
      </c>
    </row>
    <row r="1470" spans="1:3" ht="13" x14ac:dyDescent="0.15">
      <c r="A1470" s="1" t="str">
        <f ca="1">IFERROR(__xludf.DUMMYFUNCTION("GOOGLETRANSLATE(A1470, ""zh"", ""en"")"),"Currently, Dongyuan Zhixin operates 8 commercial projects with a total area of ​​418,000 square meters, covering shopping malls, office buildings, community businesses, etc.")</f>
        <v>Currently, Dongyuan Zhixin operates 8 commercial projects with a total area of ​​418,000 square meters, covering shopping malls, office buildings, community businesses, etc.</v>
      </c>
      <c r="B1470" s="1" t="str">
        <f ca="1">IFERROR(__xludf.DUMMYFUNCTION("GOOGLETRANSLATE(A1470, ""zh"", ""en"")"),"Green Building")</f>
        <v>Green Building</v>
      </c>
      <c r="C1470" s="1" t="str">
        <f ca="1">IFERROR(__xludf.DUMMYFUNCTION("GOOGLETRANSLATE(E1470, ""zh"", ""en"")"),"Quantitative Text")</f>
        <v>Quantitative Text</v>
      </c>
    </row>
    <row r="1471" spans="1:3" ht="13" x14ac:dyDescent="0.15">
      <c r="A1471" s="1" t="str">
        <f ca="1">IFERROR(__xludf.DUMMYFUNCTION("GOOGLETRANSLATE(A1471, ""zh"", ""en"")"),"In January 2022, Dongyuan Commercial officially changed its name to Dongyuan Zhixin and officially entered the field of urban renewal, marking the beginning of Zhixin's first year.")</f>
        <v>In January 2022, Dongyuan Commercial officially changed its name to Dongyuan Zhixin and officially entered the field of urban renewal, marking the beginning of Zhixin's first year.</v>
      </c>
      <c r="B1471" s="1" t="str">
        <f ca="1">IFERROR(__xludf.DUMMYFUNCTION("GOOGLETRANSLATE(A1471, ""zh"", ""en"")"),"irrelevant text")</f>
        <v>irrelevant text</v>
      </c>
      <c r="C1471" s="1" t="str">
        <f ca="1">IFERROR(__xludf.DUMMYFUNCTION("GOOGLETRANSLATE(E1471, ""zh"", ""en"")"),"irrelevant text")</f>
        <v>irrelevant text</v>
      </c>
    </row>
    <row r="1472" spans="1:3" ht="13" x14ac:dyDescent="0.15">
      <c r="A1472" s="1" t="str">
        <f ca="1">IFERROR(__xludf.DUMMYFUNCTION("GOOGLETRANSLATE(A1472, ""zh"", ""en"")"),"According to the 2022 survey conducted by the authoritative Beijing Saiwei Consulting, Dongyuan Renzhi's customer service satisfaction score was 91 points, maintaining its industry leading position.")</f>
        <v>According to the 2022 survey conducted by the authoritative Beijing Saiwei Consulting, Dongyuan Renzhi's customer service satisfaction score was 91 points, maintaining its industry leading position.</v>
      </c>
      <c r="B1472" s="1" t="str">
        <f ca="1">IFERROR(__xludf.DUMMYFUNCTION("GOOGLETRANSLATE(A1472, ""zh"", ""en"")"),"Customers and Consumers")</f>
        <v>Customers and Consumers</v>
      </c>
      <c r="C1472" s="1" t="str">
        <f ca="1">IFERROR(__xludf.DUMMYFUNCTION("GOOGLETRANSLATE(E1472, ""zh"", ""en"")"),"Quantitative Text")</f>
        <v>Quantitative Text</v>
      </c>
    </row>
    <row r="1473" spans="1:3" ht="13" x14ac:dyDescent="0.15">
      <c r="A1473" s="1" t="str">
        <f ca="1">IFERROR(__xludf.DUMMYFUNCTION("GOOGLETRANSLATE(A1473, ""zh"", ""en"")"),"To ensure the security and stability of information-based operations, we attach great importance to information security management and always pay attention to information security and customer privacy protection.")</f>
        <v>To ensure the security and stability of information-based operations, we attach great importance to information security management and always pay attention to information security and customer privacy protection.</v>
      </c>
      <c r="B1473" s="1" t="str">
        <f ca="1">IFERROR(__xludf.DUMMYFUNCTION("GOOGLETRANSLATE(A1473, ""zh"", ""en"")"),"Data security")</f>
        <v>Data security</v>
      </c>
      <c r="C1473" s="1" t="str">
        <f ca="1">IFERROR(__xludf.DUMMYFUNCTION("GOOGLETRANSLATE(E1473, ""zh"", ""en"")"),"Qualitative text")</f>
        <v>Qualitative text</v>
      </c>
    </row>
    <row r="1474" spans="1:3" ht="13" x14ac:dyDescent="0.15">
      <c r="A1474" s="1" t="str">
        <f ca="1">IFERROR(__xludf.DUMMYFUNCTION("GOOGLETRANSLATE(A1474, ""zh"", ""en"")"),"Currently, there is still a lack of effective targeted therapeutic drugs for thymic carcinoma. Evidence-based medicine is limited, and its efficacy prediction markers and prognosis are still unclear.")</f>
        <v>Currently, there is still a lack of effective targeted therapeutic drugs for thymic carcinoma. Evidence-based medicine is limited, and its efficacy prediction markers and prognosis are still unclear.</v>
      </c>
      <c r="B1474" s="1" t="str">
        <f ca="1">IFERROR(__xludf.DUMMYFUNCTION("GOOGLETRANSLATE(A1474, ""zh"", ""en"")"),"Product quality")</f>
        <v>Product quality</v>
      </c>
      <c r="C1474" s="1" t="str">
        <f ca="1">IFERROR(__xludf.DUMMYFUNCTION("GOOGLETRANSLATE(E1474, ""zh"", ""en"")"),"Qualitative text")</f>
        <v>Qualitative text</v>
      </c>
    </row>
    <row r="1475" spans="1:3" ht="13" x14ac:dyDescent="0.15">
      <c r="A1475" s="1" t="str">
        <f ca="1">IFERROR(__xludf.DUMMYFUNCTION("GOOGLETRANSLATE(A1475, ""zh"", ""en"")"),"We have always insisted on developing our employer brand, continuously optimizing the quality and level of human resources management, and have gained high recognition from the outside world.")</f>
        <v>We have always insisted on developing our employer brand, continuously optimizing the quality and level of human resources management, and have gained high recognition from the outside world.</v>
      </c>
      <c r="B1475" s="1" t="str">
        <f ca="1">IFERROR(__xludf.DUMMYFUNCTION("GOOGLETRANSLATE(A1475, ""zh"", ""en"")"),"staff")</f>
        <v>staff</v>
      </c>
      <c r="C1475" s="1" t="str">
        <f ca="1">IFERROR(__xludf.DUMMYFUNCTION("GOOGLETRANSLATE(E1475, ""zh"", ""en"")"),"Qualitative text")</f>
        <v>Qualitative text</v>
      </c>
    </row>
    <row r="1476" spans="1:3" ht="13" x14ac:dyDescent="0.15">
      <c r="A1476" s="1" t="str">
        <f ca="1">IFERROR(__xludf.DUMMYFUNCTION("GOOGLETRANSLATE(A1476, ""zh"", ""en"")"),"In 2022, Xinxinzhai, Dongyuanzhixin and other businesses have completed their own detailed plan designs based on the guidelines and the plans are gradually being implemented.")</f>
        <v>In 2022, Xinxinzhai, Dongyuanzhixin and other businesses have completed their own detailed plan designs based on the guidelines and the plans are gradually being implemented.</v>
      </c>
      <c r="B1476" s="1" t="str">
        <f ca="1">IFERROR(__xludf.DUMMYFUNCTION("GOOGLETRANSLATE(A1476, ""zh"", ""en"")"),"Technological innovation")</f>
        <v>Technological innovation</v>
      </c>
      <c r="C1476" s="1" t="str">
        <f ca="1">IFERROR(__xludf.DUMMYFUNCTION("GOOGLETRANSLATE(E1476, ""zh"", ""en"")"),"Qualitative text")</f>
        <v>Qualitative text</v>
      </c>
    </row>
    <row r="1477" spans="1:3" ht="13" x14ac:dyDescent="0.15">
      <c r="A1477" s="1" t="str">
        <f ca="1">IFERROR(__xludf.DUMMYFUNCTION("GOOGLETRANSLATE(A1477, ""zh"", ""en"")"),"The Indonesian HCML directional drilling service project successfully introduced the company's self-developed high-end rotary steerable equipment to the overseas market for the first time.")</f>
        <v>The Indonesian HCML directional drilling service project successfully introduced the company's self-developed high-end rotary steerable equipment to the overseas market for the first time.</v>
      </c>
      <c r="B1477" s="1" t="str">
        <f ca="1">IFERROR(__xludf.DUMMYFUNCTION("GOOGLETRANSLATE(A1477, ""zh"", ""en"")"),"Technological innovation")</f>
        <v>Technological innovation</v>
      </c>
      <c r="C1477" s="1" t="str">
        <f ca="1">IFERROR(__xludf.DUMMYFUNCTION("GOOGLETRANSLATE(E1477, ""zh"", ""en"")"),"Qualitative text")</f>
        <v>Qualitative text</v>
      </c>
    </row>
    <row r="1478" spans="1:3" ht="13" x14ac:dyDescent="0.15">
      <c r="A1478" s="1" t="str">
        <f ca="1">IFERROR(__xludf.DUMMYFUNCTION("GOOGLETRANSLATE(A1478, ""zh"", ""en"")"),"The company strictly abides by the above principles and regulations on anti-corruption, anti-commercial bribery, anti-fraud and anti-money laundering when conducting domestic and overseas business and investments.")</f>
        <v>The company strictly abides by the above principles and regulations on anti-corruption, anti-commercial bribery, anti-fraud and anti-money laundering when conducting domestic and overseas business and investments.</v>
      </c>
      <c r="B1478" s="1" t="str">
        <f ca="1">IFERROR(__xludf.DUMMYFUNCTION("GOOGLETRANSLATE(A1478, ""zh"", ""en"")"),"Anti-corruption and anti-money laundering")</f>
        <v>Anti-corruption and anti-money laundering</v>
      </c>
      <c r="C1478" s="1" t="str">
        <f ca="1">IFERROR(__xludf.DUMMYFUNCTION("GOOGLETRANSLATE(E1478, ""zh"", ""en"")"),"Qualitative text")</f>
        <v>Qualitative text</v>
      </c>
    </row>
    <row r="1479" spans="1:3" ht="13" x14ac:dyDescent="0.15">
      <c r="A1479" s="1" t="str">
        <f ca="1">IFERROR(__xludf.DUMMYFUNCTION("GOOGLETRANSLATE(A1479, ""zh"", ""en"")"),"Comprehensively strengthen anti-corruption education and continuously strengthen internal control, risk control, compliance management system and institutional construction around the restriction and supervision of power operation.")</f>
        <v>Comprehensively strengthen anti-corruption education and continuously strengthen internal control, risk control, compliance management system and institutional construction around the restriction and supervision of power operation.</v>
      </c>
      <c r="B1479" s="1" t="str">
        <f ca="1">IFERROR(__xludf.DUMMYFUNCTION("GOOGLETRANSLATE(A1479, ""zh"", ""en"")"),"Anti-corruption and anti-money laundering")</f>
        <v>Anti-corruption and anti-money laundering</v>
      </c>
      <c r="C1479" s="1" t="str">
        <f ca="1">IFERROR(__xludf.DUMMYFUNCTION("GOOGLETRANSLATE(E1479, ""zh"", ""en"")"),"Qualitative text")</f>
        <v>Qualitative text</v>
      </c>
    </row>
    <row r="1480" spans="1:3" ht="13" x14ac:dyDescent="0.15">
      <c r="A1480" s="1" t="str">
        <f ca="1">IFERROR(__xludf.DUMMYFUNCTION("GOOGLETRANSLATE(A1480, ""zh"", ""en"")"),"Strategy Committee Audit Committee The company's articles of association and related system documents are detailed in the Supervisory Board Construction. The company's Supervisory Board is responsible to the shareholders' meeting.")</f>
        <v>Strategy Committee Audit Committee The company's articles of association and related system documents are detailed in the Supervisory Board Construction. The company's Supervisory Board is responsible to the shareholders' meeting.</v>
      </c>
      <c r="B1480" s="1" t="str">
        <f ca="1">IFERROR(__xludf.DUMMYFUNCTION("GOOGLETRANSLATE(A1480, ""zh"", ""en"")"),"Audit work")</f>
        <v>Audit work</v>
      </c>
      <c r="C1480" s="1" t="str">
        <f ca="1">IFERROR(__xludf.DUMMYFUNCTION("GOOGLETRANSLATE(E1480, ""zh"", ""en"")"),"Qualitative text")</f>
        <v>Qualitative text</v>
      </c>
    </row>
    <row r="1481" spans="1:3" ht="13" x14ac:dyDescent="0.15">
      <c r="A1481" s="1" t="str">
        <f ca="1">IFERROR(__xludf.DUMMYFUNCTION("GOOGLETRANSLATE(A1481, ""zh"", ""en"")"),"In addition, we have improved the product packaging design and product specifications and recycled consumables such as corner strips and strapping used for packaging finished products.")</f>
        <v>In addition, we have improved the product packaging design and product specifications and recycled consumables such as corner strips and strapping used for packaging finished products.</v>
      </c>
      <c r="B1481" s="1" t="str">
        <f ca="1">IFERROR(__xludf.DUMMYFUNCTION("GOOGLETRANSLATE(A1481, ""zh"", ""en"")"),"Waste Management")</f>
        <v>Waste Management</v>
      </c>
      <c r="C1481" s="1" t="str">
        <f ca="1">IFERROR(__xludf.DUMMYFUNCTION("GOOGLETRANSLATE(E1481, ""zh"", ""en"")"),"Qualitative text")</f>
        <v>Qualitative text</v>
      </c>
    </row>
    <row r="1482" spans="1:3" ht="13" x14ac:dyDescent="0.15">
      <c r="A1482" s="1" t="str">
        <f ca="1">IFERROR(__xludf.DUMMYFUNCTION("GOOGLETRANSLATE(A1482, ""zh"", ""en"")"),"The Group's production subsidiaries are also actively carrying out technical transformation and upgrading of wastewater-generating processes and equipment to reduce wastewater discharge.")</f>
        <v>The Group's production subsidiaries are also actively carrying out technical transformation and upgrading of wastewater-generating processes and equipment to reduce wastewater discharge.</v>
      </c>
      <c r="B1482" s="1" t="str">
        <f ca="1">IFERROR(__xludf.DUMMYFUNCTION("GOOGLETRANSLATE(A1482, ""zh"", ""en"")"),"Waste Management")</f>
        <v>Waste Management</v>
      </c>
      <c r="C1482" s="1" t="str">
        <f ca="1">IFERROR(__xludf.DUMMYFUNCTION("GOOGLETRANSLATE(E1482, ""zh"", ""en"")"),"Qualitative text")</f>
        <v>Qualitative text</v>
      </c>
    </row>
    <row r="1483" spans="1:3" ht="13" x14ac:dyDescent="0.15">
      <c r="A1483" s="1" t="str">
        <f ca="1">IFERROR(__xludf.DUMMYFUNCTION("GOOGLETRANSLATE(A1483, ""zh"", ""en"")"),"Tibet Qomolangma will continue to conduct business in Tajikistan and make more contributions to promoting local economic development and promoting friendly relations between China and Tajikistan.")</f>
        <v>Tibet Qomolangma will continue to conduct business in Tajikistan and make more contributions to promoting local economic development and promoting friendly relations between China and Tajikistan.</v>
      </c>
      <c r="B1483" s="1" t="str">
        <f ca="1">IFERROR(__xludf.DUMMYFUNCTION("GOOGLETRANSLATE(A1483, ""zh"", ""en"")"),"Promoting employment")</f>
        <v>Promoting employment</v>
      </c>
      <c r="C1483" s="1" t="str">
        <f ca="1">IFERROR(__xludf.DUMMYFUNCTION("GOOGLETRANSLATE(E1483, ""zh"", ""en"")"),"Qualitative text")</f>
        <v>Qualitative text</v>
      </c>
    </row>
    <row r="1484" spans="1:3" ht="13" x14ac:dyDescent="0.15">
      <c r="A1484" s="1" t="str">
        <f ca="1">IFERROR(__xludf.DUMMYFUNCTION("GOOGLETRANSLATE(A1484, ""zh"", ""en"")"),"Shanghai Electric Group Co., Ltd. has forged ahead through a magnificent journey. We are committed to continuous renewal and upgrading.")</f>
        <v>Shanghai Electric Group Co., Ltd. has forged ahead through a magnificent journey. We are committed to continuous renewal and upgrading.</v>
      </c>
      <c r="B1484" s="1" t="str">
        <f ca="1">IFERROR(__xludf.DUMMYFUNCTION("GOOGLETRANSLATE(A1484, ""zh"", ""en"")"),"irrelevant text")</f>
        <v>irrelevant text</v>
      </c>
      <c r="C1484" s="1" t="str">
        <f ca="1">IFERROR(__xludf.DUMMYFUNCTION("GOOGLETRANSLATE(E1484, ""zh"", ""en"")"),"irrelevant text")</f>
        <v>irrelevant text</v>
      </c>
    </row>
    <row r="1485" spans="1:3" ht="13" x14ac:dyDescent="0.15">
      <c r="A1485" s="1" t="str">
        <f ca="1">IFERROR(__xludf.DUMMYFUNCTION("GOOGLETRANSLATE(A1485, ""zh"", ""en"")"),"The company was founded in 1998 and listed on the Shanghai Stock Exchange in 2000 with the stock code 600338.")</f>
        <v>The company was founded in 1998 and listed on the Shanghai Stock Exchange in 2000 with the stock code 600338.</v>
      </c>
      <c r="B1485" s="1" t="str">
        <f ca="1">IFERROR(__xludf.DUMMYFUNCTION("GOOGLETRANSLATE(A1485, ""zh"", ""en"")"),"irrelevant text")</f>
        <v>irrelevant text</v>
      </c>
      <c r="C1485" s="1" t="str">
        <f ca="1">IFERROR(__xludf.DUMMYFUNCTION("GOOGLETRANSLATE(E1485, ""zh"", ""en"")"),"irrelevant text")</f>
        <v>irrelevant text</v>
      </c>
    </row>
    <row r="1486" spans="1:3" ht="13" x14ac:dyDescent="0.15">
      <c r="A1486" s="1" t="str">
        <f ca="1">IFERROR(__xludf.DUMMYFUNCTION("GOOGLETRANSLATE(A1486, ""zh"", ""en"")"),"With the first roar of the Dalong Machinery Factory in 1902, Shanghai Electric opened an immortal chapter in the history of China's industrial development.")</f>
        <v>With the first roar of the Dalong Machinery Factory in 1902, Shanghai Electric opened an immortal chapter in the history of China's industrial development.</v>
      </c>
      <c r="B1486" s="1" t="str">
        <f ca="1">IFERROR(__xludf.DUMMYFUNCTION("GOOGLETRANSLATE(A1486, ""zh"", ""en"")"),"irrelevant text")</f>
        <v>irrelevant text</v>
      </c>
      <c r="C1486" s="1" t="str">
        <f ca="1">IFERROR(__xludf.DUMMYFUNCTION("GOOGLETRANSLATE(E1486, ""zh"", ""en"")"),"irrelevant text")</f>
        <v>irrelevant text</v>
      </c>
    </row>
    <row r="1487" spans="1:3" ht="13" x14ac:dyDescent="0.15">
      <c r="A1487" s="1" t="str">
        <f ca="1">IFERROR(__xludf.DUMMYFUNCTION("GOOGLETRANSLATE(A1487, ""zh"", ""en"")"),"06 Robust Operations III Customer Service B6.5 Describe the consumer data protection and privacy policy and related implementation and monitoring methods")</f>
        <v>06 Robust Operations III Customer Service B6.5 Describe the consumer data protection and privacy policy and related implementation and monitoring methods</v>
      </c>
      <c r="B1487" s="1" t="str">
        <f ca="1">IFERROR(__xludf.DUMMYFUNCTION("GOOGLETRANSLATE(A1487, ""zh"", ""en"")"),"Customers and Consumers")</f>
        <v>Customers and Consumers</v>
      </c>
      <c r="C1487" s="1" t="str">
        <f ca="1">IFERROR(__xludf.DUMMYFUNCTION("GOOGLETRANSLATE(E1487, ""zh"", ""en"")"),"Qualitative text")</f>
        <v>Qualitative text</v>
      </c>
    </row>
    <row r="1488" spans="1:3" ht="13" x14ac:dyDescent="0.15">
      <c r="A1488" s="1" t="str">
        <f ca="1">IFERROR(__xludf.DUMMYFUNCTION("GOOGLETRANSLATE(A1488, ""zh"", ""en"")"),"In 2022, the company's annual fresh water consumption was 746.88 million cubic meters, a decrease of 0.42, and water savings of 8.71 million cubic meters.")</f>
        <v>In 2022, the company's annual fresh water consumption was 746.88 million cubic meters, a decrease of 0.42, and water savings of 8.71 million cubic meters.</v>
      </c>
      <c r="B1488" s="1" t="str">
        <f ca="1">IFERROR(__xludf.DUMMYFUNCTION("GOOGLETRANSLATE(A1488, ""zh"", ""en"")"),"Water resources")</f>
        <v>Water resources</v>
      </c>
      <c r="C1488" s="1" t="str">
        <f ca="1">IFERROR(__xludf.DUMMYFUNCTION("GOOGLETRANSLATE(E1488, ""zh"", ""en"")"),"Quantitative Text")</f>
        <v>Quantitative Text</v>
      </c>
    </row>
    <row r="1489" spans="1:3" ht="13" x14ac:dyDescent="0.15">
      <c r="A1489" s="1" t="str">
        <f ca="1">IFERROR(__xludf.DUMMYFUNCTION("GOOGLETRANSLATE(A1489, ""zh"", ""en"")"),"The company actively improves its legal and compliant decision-making mechanism, strengthens decision-making evaluation and demonstration, and establishes and implements a system of tracing decision-making responsibilities and lifelong accountability.")</f>
        <v>The company actively improves its legal and compliant decision-making mechanism, strengthens decision-making evaluation and demonstration, and establishes and implements a system of tracing decision-making responsibilities and lifelong accountability.</v>
      </c>
      <c r="B1489" s="1" t="str">
        <f ca="1">IFERROR(__xludf.DUMMYFUNCTION("GOOGLETRANSLATE(A1489, ""zh"", ""en"")"),"Legal proceedings and external sanctions")</f>
        <v>Legal proceedings and external sanctions</v>
      </c>
      <c r="C1489" s="1" t="str">
        <f ca="1">IFERROR(__xludf.DUMMYFUNCTION("GOOGLETRANSLATE(E1489, ""zh"", ""en"")"),"Qualitative text")</f>
        <v>Qualitative text</v>
      </c>
    </row>
    <row r="1490" spans="1:3" ht="13" x14ac:dyDescent="0.15">
      <c r="A1490" s="1" t="str">
        <f ca="1">IFERROR(__xludf.DUMMYFUNCTION("GOOGLETRANSLATE(A1490, ""zh"", ""en"")"),"5.1 People-oriented, inclusive and shared Key Performance Indicator B1.2 Employee turnover rate by gender, age group and region")</f>
        <v>5.1 People-oriented, inclusive and shared Key Performance Indicator B1.2 Employee turnover rate by gender, age group and region</v>
      </c>
      <c r="B1490" s="1" t="str">
        <f ca="1">IFERROR(__xludf.DUMMYFUNCTION("GOOGLETRANSLATE(A1490, ""zh"", ""en"")"),"staff")</f>
        <v>staff</v>
      </c>
      <c r="C1490" s="1" t="str">
        <f ca="1">IFERROR(__xludf.DUMMYFUNCTION("GOOGLETRANSLATE(E1490, ""zh"", ""en"")"),"Qualitative text")</f>
        <v>Qualitative text</v>
      </c>
    </row>
    <row r="1491" spans="1:3" ht="13" x14ac:dyDescent="0.15">
      <c r="A1491" s="1" t="str">
        <f ca="1">IFERROR(__xludf.DUMMYFUNCTION("GOOGLETRANSLATE(A1491, ""zh"", ""en"")"),"2023 is the starting year for the full implementation of the spirit of the 20th National Congress of the Communist Party of China and a key year for the implementation of the 14th Five-Year Plan.")</f>
        <v>2023 is the starting year for the full implementation of the spirit of the 20th National Congress of the Communist Party of China and a key year for the implementation of the 14th Five-Year Plan.</v>
      </c>
      <c r="B1491" s="1" t="str">
        <f ca="1">IFERROR(__xludf.DUMMYFUNCTION("GOOGLETRANSLATE(A1491, ""zh"", ""en"")"),"irrelevant text")</f>
        <v>irrelevant text</v>
      </c>
      <c r="C1491" s="1" t="str">
        <f ca="1">IFERROR(__xludf.DUMMYFUNCTION("GOOGLETRANSLATE(E1491, ""zh"", ""en"")"),"irrelevant text")</f>
        <v>irrelevant text</v>
      </c>
    </row>
    <row r="1492" spans="1:3" ht="13" x14ac:dyDescent="0.15">
      <c r="A1492" s="1" t="str">
        <f ca="1">IFERROR(__xludf.DUMMYFUNCTION("GOOGLETRANSLATE(A1492, ""zh"", ""en"")"),"Currently, there are 1,832 rules and regulations in 57 units across the system, including 262 rules and regulations in 13 departments of the company headquarters.")</f>
        <v>Currently, there are 1,832 rules and regulations in 57 units across the system, including 262 rules and regulations in 13 departments of the company headquarters.</v>
      </c>
      <c r="B1492" s="1" t="str">
        <f ca="1">IFERROR(__xludf.DUMMYFUNCTION("GOOGLETRANSLATE(A1492, ""zh"", ""en"")"),"Organizational structure and operations")</f>
        <v>Organizational structure and operations</v>
      </c>
      <c r="C1492" s="1" t="str">
        <f ca="1">IFERROR(__xludf.DUMMYFUNCTION("GOOGLETRANSLATE(E1492, ""zh"", ""en"")"),"Quantitative Text")</f>
        <v>Quantitative Text</v>
      </c>
    </row>
    <row r="1493" spans="1:3" ht="13" x14ac:dyDescent="0.15">
      <c r="A1493" s="1" t="str">
        <f ca="1">IFERROR(__xludf.DUMMYFUNCTION("GOOGLETRANSLATE(A1493, ""zh"", ""en"")"),"The company encourages and supports outstanding employees to rotate positions to promote horizontal development of employees, break the household registration system and the stagnation of the talent team, and activate talent resources.")</f>
        <v>The company encourages and supports outstanding employees to rotate positions to promote horizontal development of employees, break the household registration system and the stagnation of the talent team, and activate talent resources.</v>
      </c>
      <c r="B1493" s="1" t="str">
        <f ca="1">IFERROR(__xludf.DUMMYFUNCTION("GOOGLETRANSLATE(A1493, ""zh"", ""en"")"),"staff")</f>
        <v>staff</v>
      </c>
      <c r="C1493" s="1" t="str">
        <f ca="1">IFERROR(__xludf.DUMMYFUNCTION("GOOGLETRANSLATE(E1493, ""zh"", ""en"")"),"Qualitative text")</f>
        <v>Qualitative text</v>
      </c>
    </row>
    <row r="1494" spans="1:3" ht="13" x14ac:dyDescent="0.15">
      <c r="A1494" s="1" t="str">
        <f ca="1">IFERROR(__xludf.DUMMYFUNCTION("GOOGLETRANSLATE(A1494, ""zh"", ""en"")"),"This report is an annual report and is published once a year. The data used in this report are all from the company and officially released documents and reports.")</f>
        <v>This report is an annual report and is published once a year. The data used in this report are all from the company and officially released documents and reports.</v>
      </c>
      <c r="B1494" s="1" t="str">
        <f ca="1">IFERROR(__xludf.DUMMYFUNCTION("GOOGLETRANSLATE(A1494, ""zh"", ""en"")"),"irrelevant text")</f>
        <v>irrelevant text</v>
      </c>
      <c r="C1494" s="1" t="str">
        <f ca="1">IFERROR(__xludf.DUMMYFUNCTION("GOOGLETRANSLATE(E1494, ""zh"", ""en"")"),"irrelevant text")</f>
        <v>irrelevant text</v>
      </c>
    </row>
    <row r="1495" spans="1:3" ht="13" x14ac:dyDescent="0.15">
      <c r="A1495" s="1" t="str">
        <f ca="1">IFERROR(__xludf.DUMMYFUNCTION("GOOGLETRANSLATE(A1495, ""zh"", ""en"")"),"Provide compliance concept video training to new employees of the system to guide them to firmly establish compliance awareness and risk awareness at the beginning of their work")</f>
        <v>Provide compliance concept video training to new employees of the system to guide them to firmly establish compliance awareness and risk awareness at the beginning of their work</v>
      </c>
      <c r="B1495" s="1" t="str">
        <f ca="1">IFERROR(__xludf.DUMMYFUNCTION("GOOGLETRANSLATE(A1495, ""zh"", ""en"")"),"staff")</f>
        <v>staff</v>
      </c>
      <c r="C1495" s="1" t="str">
        <f ca="1">IFERROR(__xludf.DUMMYFUNCTION("GOOGLETRANSLATE(E1495, ""zh"", ""en"")"),"Qualitative text")</f>
        <v>Qualitative text</v>
      </c>
    </row>
    <row r="1496" spans="1:3" ht="13" x14ac:dyDescent="0.15">
      <c r="A1496" s="1" t="str">
        <f ca="1">IFERROR(__xludf.DUMMYFUNCTION("GOOGLETRANSLATE(A1496, ""zh"", ""en"")"),"At the same time, the company also provides employee care funds and team building and other benefits to actively create a warm working environment and improve employee satisfaction.")</f>
        <v>At the same time, the company also provides employee care funds and team building and other benefits to actively create a warm working environment and improve employee satisfaction.</v>
      </c>
      <c r="B1496" s="1" t="str">
        <f ca="1">IFERROR(__xludf.DUMMYFUNCTION("GOOGLETRANSLATE(A1496, ""zh"", ""en"")"),"staff")</f>
        <v>staff</v>
      </c>
      <c r="C1496" s="1" t="str">
        <f ca="1">IFERROR(__xludf.DUMMYFUNCTION("GOOGLETRANSLATE(E1496, ""zh"", ""en"")"),"Qualitative text")</f>
        <v>Qualitative text</v>
      </c>
    </row>
    <row r="1497" spans="1:3" ht="13" x14ac:dyDescent="0.15">
      <c r="A1497" s="1" t="str">
        <f ca="1">IFERROR(__xludf.DUMMYFUNCTION("GOOGLETRANSLATE(A1497, ""zh"", ""en"")"),"Its responsibilities include formulating climate response strategies, monitoring the progress of energy conservation and environmental protection projects, and regularly evaluating policy energy performance levels.")</f>
        <v>Its responsibilities include formulating climate response strategies, monitoring the progress of energy conservation and environmental protection projects, and regularly evaluating policy energy performance levels.</v>
      </c>
      <c r="B1497" s="1" t="str">
        <f ca="1">IFERROR(__xludf.DUMMYFUNCTION("GOOGLETRANSLATE(A1497, ""zh"", ""en"")"),"Addressing climate change")</f>
        <v>Addressing climate change</v>
      </c>
      <c r="C1497" s="1" t="str">
        <f ca="1">IFERROR(__xludf.DUMMYFUNCTION("GOOGLETRANSLATE(E1497, ""zh"", ""en"")"),"Qualitative text")</f>
        <v>Qualitative text</v>
      </c>
    </row>
    <row r="1498" spans="1:3" ht="13" x14ac:dyDescent="0.15">
      <c r="A1498" s="1" t="str">
        <f ca="1">IFERROR(__xludf.DUMMYFUNCTION("GOOGLETRANSLATE(A1498, ""zh"", ""en"")"),"In December 2022, the national standard for cold chain logistics operation specifications for medical test biological samples, drafted by Beijing Renfu, was released and implemented")</f>
        <v>In December 2022, the national standard for cold chain logistics operation specifications for medical test biological samples, drafted by Beijing Renfu, was released and implemented</v>
      </c>
      <c r="B1498" s="1" t="str">
        <f ca="1">IFERROR(__xludf.DUMMYFUNCTION("GOOGLETRANSLATE(A1498, ""zh"", ""en"")"),"Product quality")</f>
        <v>Product quality</v>
      </c>
      <c r="C1498" s="1" t="str">
        <f ca="1">IFERROR(__xludf.DUMMYFUNCTION("GOOGLETRANSLATE(E1498, ""zh"", ""en"")"),"Qualitative text")</f>
        <v>Qualitative text</v>
      </c>
    </row>
    <row r="1499" spans="1:3" ht="13" x14ac:dyDescent="0.15">
      <c r="A1499" s="1" t="str">
        <f ca="1">IFERROR(__xludf.DUMMYFUNCTION("GOOGLETRANSLATE(A1499, ""zh"", ""en"")"),"In December 2022, Yichang Renfu donated a total of 12 million ibuprofen tablets to Enshi and Yichang to ensure medication for key groups.")</f>
        <v>In December 2022, Yichang Renfu donated a total of 12 million ibuprofen tablets to Enshi and Yichang to ensure medication for key groups.</v>
      </c>
      <c r="B1499" s="1" t="str">
        <f ca="1">IFERROR(__xludf.DUMMYFUNCTION("GOOGLETRANSLATE(A1499, ""zh"", ""en"")"),"Public welfare and volunteer service")</f>
        <v>Public welfare and volunteer service</v>
      </c>
      <c r="C1499" s="1" t="str">
        <f ca="1">IFERROR(__xludf.DUMMYFUNCTION("GOOGLETRANSLATE(E1499, ""zh"", ""en"")"),"Quantitative Text")</f>
        <v>Quantitative Text</v>
      </c>
    </row>
    <row r="1500" spans="1:3" ht="13" x14ac:dyDescent="0.15">
      <c r="A1500" s="1" t="str">
        <f ca="1">IFERROR(__xludf.DUMMYFUNCTION("GOOGLETRANSLATE(A1500, ""zh"", ""en"")"),"The company is upgrading its mining asset portfolio to prepare for the incremental demand from the low-carbon market and make greater contributions to global sustainable development.")</f>
        <v>The company is upgrading its mining asset portfolio to prepare for the incremental demand from the low-carbon market and make greater contributions to global sustainable development.</v>
      </c>
      <c r="B1500" s="1" t="str">
        <f ca="1">IFERROR(__xludf.DUMMYFUNCTION("GOOGLETRANSLATE(A1500, ""zh"", ""en"")"),"carbon emissions")</f>
        <v>carbon emissions</v>
      </c>
      <c r="C1500" s="1" t="str">
        <f ca="1">IFERROR(__xludf.DUMMYFUNCTION("GOOGLETRANSLATE(E1500, ""zh"", ""en"")"),"Qualitative text")</f>
        <v>Qualitative text</v>
      </c>
    </row>
    <row r="1501" spans="1:3" ht="13" x14ac:dyDescent="0.15">
      <c r="A1501" s="1" t="str">
        <f ca="1">IFERROR(__xludf.DUMMYFUNCTION("GOOGLETRANSLATE(A1501, ""zh"", ""en"")"),"In August, Gedian Pharmaceutical successfully developed RFA01 adjuvant, which is comparable to ISA201 adjuvant, and achieved a breakthrough in the field of animal vaccines.")</f>
        <v>In August, Gedian Pharmaceutical successfully developed RFA01 adjuvant, which is comparable to ISA201 adjuvant, and achieved a breakthrough in the field of animal vaccines.</v>
      </c>
      <c r="B1501" s="1" t="str">
        <f ca="1">IFERROR(__xludf.DUMMYFUNCTION("GOOGLETRANSLATE(A1501, ""zh"", ""en"")"),"Technological innovation")</f>
        <v>Technological innovation</v>
      </c>
      <c r="C1501" s="1" t="str">
        <f ca="1">IFERROR(__xludf.DUMMYFUNCTION("GOOGLETRANSLATE(E1501, ""zh"", ""en"")"),"Qualitative text")</f>
        <v>Qualitative text</v>
      </c>
    </row>
    <row r="1502" spans="1:3" ht="13" x14ac:dyDescent="0.15">
      <c r="A1502" s="1" t="str">
        <f ca="1">IFERROR(__xludf.DUMMYFUNCTION("GOOGLETRANSLATE(A1502, ""zh"", ""en"")"),"In addition, we have set up projects such as team work communication skills courses and Christmas baking workshops to benefit the local community and community middle school students.")</f>
        <v>In addition, we have set up projects such as team work communication skills courses and Christmas baking workshops to benefit the local community and community middle school students.</v>
      </c>
      <c r="B1502" s="1" t="str">
        <f ca="1">IFERROR(__xludf.DUMMYFUNCTION("GOOGLETRANSLATE(A1502, ""zh"", ""en"")"),"Public welfare and volunteer service")</f>
        <v>Public welfare and volunteer service</v>
      </c>
      <c r="C1502" s="1" t="str">
        <f ca="1">IFERROR(__xludf.DUMMYFUNCTION("GOOGLETRANSLATE(E1502, ""zh"", ""en"")"),"Qualitative text")</f>
        <v>Qualitative text</v>
      </c>
    </row>
    <row r="1503" spans="1:3" ht="13" x14ac:dyDescent="0.15">
      <c r="A1503" s="1" t="str">
        <f ca="1">IFERROR(__xludf.DUMMYFUNCTION("GOOGLETRANSLATE(A1503, ""zh"", ""en"")"),"In the 2022 user satisfaction rating evaluation released by the China Quality Association, Hisense Video's complaint rate of 4.9 is at the industry average level.")</f>
        <v>In the 2022 user satisfaction rating evaluation released by the China Quality Association, Hisense Video's complaint rate of 4.9 is at the industry average level.</v>
      </c>
      <c r="B1503" s="1" t="str">
        <f ca="1">IFERROR(__xludf.DUMMYFUNCTION("GOOGLETRANSLATE(A1503, ""zh"", ""en"")"),"Product quality")</f>
        <v>Product quality</v>
      </c>
      <c r="C1503" s="1" t="str">
        <f ca="1">IFERROR(__xludf.DUMMYFUNCTION("GOOGLETRANSLATE(E1503, ""zh"", ""en"")"),"Quantitative Text")</f>
        <v>Quantitative Text</v>
      </c>
    </row>
    <row r="1504" spans="1:3" ht="13" x14ac:dyDescent="0.15">
      <c r="A1504" s="1" t="str">
        <f ca="1">IFERROR(__xludf.DUMMYFUNCTION("GOOGLETRANSLATE(A1504, ""zh"", ""en"")"),"The company attaches great importance to investor relations management and has smooth communication channels with small and medium shareholders through telephone, Internet, e-mail, etc.")</f>
        <v>The company attaches great importance to investor relations management and has smooth communication channels with small and medium shareholders through telephone, Internet, e-mail, etc.</v>
      </c>
      <c r="B1504" s="1" t="str">
        <f ca="1">IFERROR(__xludf.DUMMYFUNCTION("GOOGLETRANSLATE(A1504, ""zh"", ""en"")"),"Shareholder and creditor rights")</f>
        <v>Shareholder and creditor rights</v>
      </c>
      <c r="C1504" s="1" t="str">
        <f ca="1">IFERROR(__xludf.DUMMYFUNCTION("GOOGLETRANSLATE(E1504, ""zh"", ""en"")"),"Qualitative text")</f>
        <v>Qualitative text</v>
      </c>
    </row>
    <row r="1505" spans="1:3" ht="13" x14ac:dyDescent="0.15">
      <c r="A1505" s="1" t="str">
        <f ca="1">IFERROR(__xludf.DUMMYFUNCTION("GOOGLETRANSLATE(A1505, ""zh"", ""en"")"),"2.2 Quality First, Striving for Excellence Key Performance Indicator B6.2 Number of complaints received regarding products and services and how they were addressed")</f>
        <v>2.2 Quality First, Striving for Excellence Key Performance Indicator B6.2 Number of complaints received regarding products and services and how they were addressed</v>
      </c>
      <c r="B1505" s="1" t="str">
        <f ca="1">IFERROR(__xludf.DUMMYFUNCTION("GOOGLETRANSLATE(A1505, ""zh"", ""en"")"),"Product quality")</f>
        <v>Product quality</v>
      </c>
      <c r="C1505" s="1" t="str">
        <f ca="1">IFERROR(__xludf.DUMMYFUNCTION("GOOGLETRANSLATE(E1505, ""zh"", ""en"")"),"Qualitative text")</f>
        <v>Qualitative text</v>
      </c>
    </row>
    <row r="1506" spans="1:3" ht="13" x14ac:dyDescent="0.15">
      <c r="A1506" s="1" t="str">
        <f ca="1">IFERROR(__xludf.DUMMYFUNCTION("GOOGLETRANSLATE(A1506, ""zh"", ""en"")"),"We continuously improve our talent training system, optimize employee performance and promotion systems, and strive to provide employees with space for learning, development, and growth.")</f>
        <v>We continuously improve our talent training system, optimize employee performance and promotion systems, and strive to provide employees with space for learning, development, and growth.</v>
      </c>
      <c r="B1506" s="1" t="str">
        <f ca="1">IFERROR(__xludf.DUMMYFUNCTION("GOOGLETRANSLATE(A1506, ""zh"", ""en"")"),"staff")</f>
        <v>staff</v>
      </c>
      <c r="C1506" s="1" t="str">
        <f ca="1">IFERROR(__xludf.DUMMYFUNCTION("GOOGLETRANSLATE(E1506, ""zh"", ""en"")"),"Qualitative text")</f>
        <v>Qualitative text</v>
      </c>
    </row>
    <row r="1507" spans="1:3" ht="13" x14ac:dyDescent="0.15">
      <c r="A1507" s="1" t="str">
        <f ca="1">IFERROR(__xludf.DUMMYFUNCTION("GOOGLETRANSLATE(A1507, ""zh"", ""en"")"),"The Human Resources Department will verify the content of the complaint and make suggestions based on the investigation results and feedback the complaint results to the complainant.")</f>
        <v>The Human Resources Department will verify the content of the complaint and make suggestions based on the investigation results and feedback the complaint results to the complainant.</v>
      </c>
      <c r="B1507" s="1" t="str">
        <f ca="1">IFERROR(__xludf.DUMMYFUNCTION("GOOGLETRANSLATE(A1507, ""zh"", ""en"")"),"Reporting System")</f>
        <v>Reporting System</v>
      </c>
      <c r="C1507" s="1" t="str">
        <f ca="1">IFERROR(__xludf.DUMMYFUNCTION("GOOGLETRANSLATE(E1507, ""zh"", ""en"")"),"Qualitative text")</f>
        <v>Qualitative text</v>
      </c>
    </row>
    <row r="1508" spans="1:3" ht="13" x14ac:dyDescent="0.15">
      <c r="A1508" s="1" t="str">
        <f ca="1">IFERROR(__xludf.DUMMYFUNCTION("GOOGLETRANSLATE(A1508, ""zh"", ""en"")"),"The company adheres to the board diversity policy and continuously improves the level of board diversity to provide diverse views and perspectives for board decision-making.")</f>
        <v>The company adheres to the board diversity policy and continuously improves the level of board diversity to provide diverse views and perspectives for board decision-making.</v>
      </c>
      <c r="B1508" s="1" t="str">
        <f ca="1">IFERROR(__xludf.DUMMYFUNCTION("GOOGLETRANSLATE(A1508, ""zh"", ""en"")"),"Organizational structure and operations")</f>
        <v>Organizational structure and operations</v>
      </c>
      <c r="C1508" s="1" t="str">
        <f ca="1">IFERROR(__xludf.DUMMYFUNCTION("GOOGLETRANSLATE(E1508, ""zh"", ""en"")"),"Qualitative text")</f>
        <v>Qualitative text</v>
      </c>
    </row>
    <row r="1509" spans="1:3" ht="13" x14ac:dyDescent="0.15">
      <c r="A1509" s="1" t="str">
        <f ca="1">IFERROR(__xludf.DUMMYFUNCTION("GOOGLETRANSLATE(A1509, ""zh"", ""en"")"),"In order to further improve the quality of social responsibility management and reporting, we sincerely invite you to provide valuable comments and suggestions on this report.")</f>
        <v>In order to further improve the quality of social responsibility management and reporting, we sincerely invite you to provide valuable comments and suggestions on this report.</v>
      </c>
      <c r="B1509" s="1" t="str">
        <f ca="1">IFERROR(__xludf.DUMMYFUNCTION("GOOGLETRANSLATE(A1509, ""zh"", ""en"")"),"irrelevant text")</f>
        <v>irrelevant text</v>
      </c>
      <c r="C1509" s="1" t="str">
        <f ca="1">IFERROR(__xludf.DUMMYFUNCTION("GOOGLETRANSLATE(E1509, ""zh"", ""en"")"),"irrelevant text")</f>
        <v>irrelevant text</v>
      </c>
    </row>
    <row r="1510" spans="1:3" ht="13" x14ac:dyDescent="0.15">
      <c r="A1510" s="1" t="str">
        <f ca="1">IFERROR(__xludf.DUMMYFUNCTION("GOOGLETRANSLATE(A1510, ""zh"", ""en"")"),"05 Helping Employees Grow - A Diverse and Inclusive Workplace B4.1 Describe measures to review recruitment practices to avoid child labor and forced labor")</f>
        <v>05 Helping Employees Grow - A Diverse and Inclusive Workplace B4.1 Describe measures to review recruitment practices to avoid child labor and forced labor</v>
      </c>
      <c r="B1510" s="1" t="str">
        <f ca="1">IFERROR(__xludf.DUMMYFUNCTION("GOOGLETRANSLATE(A1510, ""zh"", ""en"")"),"staff")</f>
        <v>staff</v>
      </c>
      <c r="C1510" s="1" t="str">
        <f ca="1">IFERROR(__xludf.DUMMYFUNCTION("GOOGLETRANSLATE(E1510, ""zh"", ""en"")"),"Qualitative text")</f>
        <v>Qualitative text</v>
      </c>
    </row>
    <row r="1511" spans="1:3" ht="13" x14ac:dyDescent="0.15">
      <c r="A1511" s="1" t="str">
        <f ca="1">IFERROR(__xludf.DUMMYFUNCTION("GOOGLETRANSLATE(A1511, ""zh"", ""en"")"),"To ensure that there is no child labor in the workforce, the company conducts employee background checks in accordance with relevant policy requirements to eliminate false job application information.")</f>
        <v>To ensure that there is no child labor in the workforce, the company conducts employee background checks in accordance with relevant policy requirements to eliminate false job application information.</v>
      </c>
      <c r="B1511" s="1" t="str">
        <f ca="1">IFERROR(__xludf.DUMMYFUNCTION("GOOGLETRANSLATE(A1511, ""zh"", ""en"")"),"staff")</f>
        <v>staff</v>
      </c>
      <c r="C1511" s="1" t="str">
        <f ca="1">IFERROR(__xludf.DUMMYFUNCTION("GOOGLETRANSLATE(E1511, ""zh"", ""en"")"),"Qualitative text")</f>
        <v>Qualitative text</v>
      </c>
    </row>
    <row r="1512" spans="1:3" ht="13" x14ac:dyDescent="0.15">
      <c r="A1512" s="1" t="str">
        <f ca="1">IFERROR(__xludf.DUMMYFUNCTION("GOOGLETRANSLATE(A1512, ""zh"", ""en"")"),"A52021 Social Responsibility Report Shenma Industrial Co., Ltd. builds a better home and rural revitalization, solidly carries out consumer assistance")</f>
        <v>A52021 Social Responsibility Report Shenma Industrial Co., Ltd. builds a better home and rural revitalization, solidly carries out consumer assistance</v>
      </c>
      <c r="B1512" s="1" t="str">
        <f ca="1">IFERROR(__xludf.DUMMYFUNCTION("GOOGLETRANSLATE(A1512, ""zh"", ""en"")"),"Rural assistance")</f>
        <v>Rural assistance</v>
      </c>
      <c r="C1512" s="1" t="str">
        <f ca="1">IFERROR(__xludf.DUMMYFUNCTION("GOOGLETRANSLATE(E1512, ""zh"", ""en"")"),"Qualitative text")</f>
        <v>Qualitative text</v>
      </c>
    </row>
    <row r="1513" spans="1:3" ht="13" x14ac:dyDescent="0.15">
      <c r="A1513" s="1" t="str">
        <f ca="1">IFERROR(__xludf.DUMMYFUNCTION("GOOGLETRANSLATE(A1513, ""zh"", ""en"")"),"At the same time, the company organized a party day activity with the theme of studying the 20th National Congress and forging ahead on a new journey. The company’s party committee members went deep into the grassroots contact points to carry out study an"&amp;"d propaganda.")</f>
        <v>At the same time, the company organized a party day activity with the theme of studying the 20th National Congress and forging ahead on a new journey. The company’s party committee members went deep into the grassroots contact points to carry out study and propaganda.</v>
      </c>
      <c r="B1513" s="1" t="str">
        <f ca="1">IFERROR(__xludf.DUMMYFUNCTION("GOOGLETRANSLATE(A1513, ""zh"", ""en"")"),"Organizational structure and operations")</f>
        <v>Organizational structure and operations</v>
      </c>
      <c r="C1513" s="1" t="str">
        <f ca="1">IFERROR(__xludf.DUMMYFUNCTION("GOOGLETRANSLATE(E1513, ""zh"", ""en"")"),"Qualitative text")</f>
        <v>Qualitative text</v>
      </c>
    </row>
    <row r="1514" spans="1:3" ht="13" x14ac:dyDescent="0.15">
      <c r="A1514" s="1" t="str">
        <f ca="1">IFERROR(__xludf.DUMMYFUNCTION("GOOGLETRANSLATE(A1514, ""zh"", ""en"")"),"The independently developed megawatt-class proton exchange membrane (PEM) water electrolysis hydrogen production unit was successfully put into operation at Yanshan Petrochemical and produced qualified high-purity hydrogen.")</f>
        <v>The independently developed megawatt-class proton exchange membrane (PEM) water electrolysis hydrogen production unit was successfully put into operation at Yanshan Petrochemical and produced qualified high-purity hydrogen.</v>
      </c>
      <c r="B1514" s="1" t="str">
        <f ca="1">IFERROR(__xludf.DUMMYFUNCTION("GOOGLETRANSLATE(A1514, ""zh"", ""en"")"),"Technological innovation")</f>
        <v>Technological innovation</v>
      </c>
      <c r="C1514" s="1" t="str">
        <f ca="1">IFERROR(__xludf.DUMMYFUNCTION("GOOGLETRANSLATE(E1514, ""zh"", ""en"")"),"Qualitative text")</f>
        <v>Qualitative text</v>
      </c>
    </row>
    <row r="1515" spans="1:3" ht="13" x14ac:dyDescent="0.15">
      <c r="A1515" s="1" t="str">
        <f ca="1">IFERROR(__xludf.DUMMYFUNCTION("GOOGLETRANSLATE(A1515, ""zh"", ""en"")"),"In 2022, the Group's high-temperature condolences covered a total of 85 companies and more than 40,000 employees, with a total expenditure of more than 2 million yuan.")</f>
        <v>In 2022, the Group's high-temperature condolences covered a total of 85 companies and more than 40,000 employees, with a total expenditure of more than 2 million yuan.</v>
      </c>
      <c r="B1515" s="1" t="str">
        <f ca="1">IFERROR(__xludf.DUMMYFUNCTION("GOOGLETRANSLATE(A1515, ""zh"", ""en"")"),"Public welfare and volunteer service")</f>
        <v>Public welfare and volunteer service</v>
      </c>
      <c r="C1515" s="1" t="str">
        <f ca="1">IFERROR(__xludf.DUMMYFUNCTION("GOOGLETRANSLATE(E1515, ""zh"", ""en"")"),"Quantitative Text")</f>
        <v>Quantitative Text</v>
      </c>
    </row>
    <row r="1516" spans="1:3" ht="13" x14ac:dyDescent="0.15">
      <c r="A1516" s="1" t="str">
        <f ca="1">IFERROR(__xludf.DUMMYFUNCTION("GOOGLETRANSLATE(A1516, ""zh"", ""en"")"),"In March 2023, the Sustainability Committee of the Board of Directors will review the company's anti-corruption work and performance in 2022.")</f>
        <v>In March 2023, the Sustainability Committee of the Board of Directors will review the company's anti-corruption work and performance in 2022.</v>
      </c>
      <c r="B1516" s="1" t="str">
        <f ca="1">IFERROR(__xludf.DUMMYFUNCTION("GOOGLETRANSLATE(A1516, ""zh"", ""en"")"),"Anti-corruption and anti-money laundering")</f>
        <v>Anti-corruption and anti-money laundering</v>
      </c>
      <c r="C1516" s="1" t="str">
        <f ca="1">IFERROR(__xludf.DUMMYFUNCTION("GOOGLETRANSLATE(E1516, ""zh"", ""en"")"),"Qualitative text")</f>
        <v>Qualitative text</v>
      </c>
    </row>
    <row r="1517" spans="1:3" ht="13" x14ac:dyDescent="0.15">
      <c r="A1517" s="1" t="str">
        <f ca="1">IFERROR(__xludf.DUMMYFUNCTION("GOOGLETRANSLATE(A1517, ""zh"", ""en"")"),"Our union has helped build 21 overseas project sites to provide our employees with a sense of home.")</f>
        <v>Our union has helped build 21 overseas project sites to provide our employees with a sense of home.</v>
      </c>
      <c r="B1517" s="1" t="str">
        <f ca="1">IFERROR(__xludf.DUMMYFUNCTION("GOOGLETRANSLATE(A1517, ""zh"", ""en"")"),"staff")</f>
        <v>staff</v>
      </c>
      <c r="C1517" s="1" t="str">
        <f ca="1">IFERROR(__xludf.DUMMYFUNCTION("GOOGLETRANSLATE(E1517, ""zh"", ""en"")"),"Quantitative Text")</f>
        <v>Quantitative Text</v>
      </c>
    </row>
    <row r="1518" spans="1:3" ht="13" x14ac:dyDescent="0.15">
      <c r="A1518" s="1" t="str">
        <f ca="1">IFERROR(__xludf.DUMMYFUNCTION("GOOGLETRANSLATE(A1518, ""zh"", ""en"")"),"At the same time, the assessment results will be fed back to the employees in a timely manner to ensure that the assessment management plays a positive role in promoting the career development of employees.")</f>
        <v>At the same time, the assessment results will be fed back to the employees in a timely manner to ensure that the assessment management plays a positive role in promoting the career development of employees.</v>
      </c>
      <c r="B1518" s="1" t="str">
        <f ca="1">IFERROR(__xludf.DUMMYFUNCTION("GOOGLETRANSLATE(A1518, ""zh"", ""en"")"),"staff")</f>
        <v>staff</v>
      </c>
      <c r="C1518" s="1" t="str">
        <f ca="1">IFERROR(__xludf.DUMMYFUNCTION("GOOGLETRANSLATE(E1518, ""zh"", ""en"")"),"Qualitative text")</f>
        <v>Qualitative text</v>
      </c>
    </row>
    <row r="1519" spans="1:3" ht="13" x14ac:dyDescent="0.15">
      <c r="A1519" s="1" t="str">
        <f ca="1">IFERROR(__xludf.DUMMYFUNCTION("GOOGLETRANSLATE(A1519, ""zh"", ""en"")"),"89929597 Key Performance Indicator B8.1 Focus on contribution areas such as education, environment, labor needs, health, culture and sports")</f>
        <v>89929597 Key Performance Indicator B8.1 Focus on contribution areas such as education, environment, labor needs, health, culture and sports</v>
      </c>
      <c r="B1519" s="1" t="str">
        <f ca="1">IFERROR(__xludf.DUMMYFUNCTION("GOOGLETRANSLATE(A1519, ""zh"", ""en"")"),"staff")</f>
        <v>staff</v>
      </c>
      <c r="C1519" s="1" t="str">
        <f ca="1">IFERROR(__xludf.DUMMYFUNCTION("GOOGLETRANSLATE(E1519, ""zh"", ""en"")"),"Qualitative text")</f>
        <v>Qualitative text</v>
      </c>
    </row>
    <row r="1520" spans="1:3" ht="13" x14ac:dyDescent="0.15">
      <c r="A1520" s="1" t="str">
        <f ca="1">IFERROR(__xludf.DUMMYFUNCTION("GOOGLETRANSLATE(A1520, ""zh"", ""en"")"),"By opening up talent growth channels, improving professional personnel training mechanisms, strengthening business capability training, and building a professional management and inspection team")</f>
        <v>By opening up talent growth channels, improving professional personnel training mechanisms, strengthening business capability training, and building a professional management and inspection team</v>
      </c>
      <c r="B1520" s="1" t="str">
        <f ca="1">IFERROR(__xludf.DUMMYFUNCTION("GOOGLETRANSLATE(A1520, ""zh"", ""en"")"),"staff")</f>
        <v>staff</v>
      </c>
      <c r="C1520" s="1" t="str">
        <f ca="1">IFERROR(__xludf.DUMMYFUNCTION("GOOGLETRANSLATE(E1520, ""zh"", ""en"")"),"Qualitative text")</f>
        <v>Qualitative text</v>
      </c>
    </row>
    <row r="1521" spans="1:3" ht="13" x14ac:dyDescent="0.15">
      <c r="A1521" s="1" t="str">
        <f ca="1">IFERROR(__xludf.DUMMYFUNCTION("GOOGLETRANSLATE(A1521, ""zh"", ""en"")"),"Shanghai Electric is well aware that high-quality talents are an important factor in building a high-quality team and promoting corporate progress, and are also the core competitiveness of the company.")</f>
        <v>Shanghai Electric is well aware that high-quality talents are an important factor in building a high-quality team and promoting corporate progress, and are also the core competitiveness of the company.</v>
      </c>
      <c r="B1521" s="1" t="str">
        <f ca="1">IFERROR(__xludf.DUMMYFUNCTION("GOOGLETRANSLATE(A1521, ""zh"", ""en"")"),"staff")</f>
        <v>staff</v>
      </c>
      <c r="C1521" s="1" t="str">
        <f ca="1">IFERROR(__xludf.DUMMYFUNCTION("GOOGLETRANSLATE(E1521, ""zh"", ""en"")"),"Qualitative text")</f>
        <v>Qualitative text</v>
      </c>
    </row>
    <row r="1522" spans="1:3" ht="13" x14ac:dyDescent="0.15">
      <c r="A1522" s="1" t="str">
        <f ca="1">IFERROR(__xludf.DUMMYFUNCTION("GOOGLETRANSLATE(A1522, ""zh"", ""en"")"),"In 2022, the company will continue to improve its ecological monitoring and assessment system and ecological monitoring network and continue to pilot ecological monitoring in its subsidiaries.")</f>
        <v>In 2022, the company will continue to improve its ecological monitoring and assessment system and ecological monitoring network and continue to pilot ecological monitoring in its subsidiaries.</v>
      </c>
      <c r="B1522" s="1" t="str">
        <f ca="1">IFERROR(__xludf.DUMMYFUNCTION("GOOGLETRANSLATE(A1522, ""zh"", ""en"")"),"biodiversity")</f>
        <v>biodiversity</v>
      </c>
      <c r="C1522" s="1" t="str">
        <f ca="1">IFERROR(__xludf.DUMMYFUNCTION("GOOGLETRANSLATE(E1522, ""zh"", ""en"")"),"Qualitative text")</f>
        <v>Qualitative text</v>
      </c>
    </row>
    <row r="1523" spans="1:3" ht="13" x14ac:dyDescent="0.15">
      <c r="A1523" s="1" t="str">
        <f ca="1">IFERROR(__xludf.DUMMYFUNCTION("GOOGLETRANSLATE(A1523, ""zh"", ""en"")"),"Supervise enterprises to establish records of water intake points and water intake permits, formulate corrective measures for identified problems, and follow up on their implementation to ensure that water is taken strictly in accordance with the permits.")</f>
        <v>Supervise enterprises to establish records of water intake points and water intake permits, formulate corrective measures for identified problems, and follow up on their implementation to ensure that water is taken strictly in accordance with the permits.</v>
      </c>
      <c r="B1523" s="1" t="str">
        <f ca="1">IFERROR(__xludf.DUMMYFUNCTION("GOOGLETRANSLATE(A1523, ""zh"", ""en"")"),"Water resources")</f>
        <v>Water resources</v>
      </c>
      <c r="C1523" s="1" t="str">
        <f ca="1">IFERROR(__xludf.DUMMYFUNCTION("GOOGLETRANSLATE(E1523, ""zh"", ""en"")"),"Qualitative text")</f>
        <v>Qualitative text</v>
      </c>
    </row>
    <row r="1524" spans="1:3" ht="13" x14ac:dyDescent="0.15">
      <c r="A1524" s="1" t="str">
        <f ca="1">IFERROR(__xludf.DUMMYFUNCTION("GOOGLETRANSLATE(A1524, ""zh"", ""en"")"),"Strengthen information and network security training. 45,521 people learned about the company's network security system through Sinopec Online Academy.")</f>
        <v>Strengthen information and network security training. 45,521 people learned about the company's network security system through Sinopec Online Academy.</v>
      </c>
      <c r="B1524" s="1" t="str">
        <f ca="1">IFERROR(__xludf.DUMMYFUNCTION("GOOGLETRANSLATE(A1524, ""zh"", ""en"")"),"Data security")</f>
        <v>Data security</v>
      </c>
      <c r="C1524" s="1" t="str">
        <f ca="1">IFERROR(__xludf.DUMMYFUNCTION("GOOGLETRANSLATE(E1524, ""zh"", ""en"")"),"Quantitative Text")</f>
        <v>Quantitative Text</v>
      </c>
    </row>
    <row r="1525" spans="1:3" ht="13" x14ac:dyDescent="0.15">
      <c r="A1525" s="1" t="str">
        <f ca="1">IFERROR(__xludf.DUMMYFUNCTION("GOOGLETRANSLATE(A1525, ""zh"", ""en"")"),"P50 Key Performance B3.1 Percentage of trained employees by gender and employee category, such as senior managers and middle managers")</f>
        <v>P50 Key Performance B3.1 Percentage of trained employees by gender and employee category, such as senior managers and middle managers</v>
      </c>
      <c r="B1525" s="1" t="str">
        <f ca="1">IFERROR(__xludf.DUMMYFUNCTION("GOOGLETRANSLATE(A1525, ""zh"", ""en"")"),"staff")</f>
        <v>staff</v>
      </c>
      <c r="C1525" s="1" t="str">
        <f ca="1">IFERROR(__xludf.DUMMYFUNCTION("GOOGLETRANSLATE(E1525, ""zh"", ""en"")"),"Quantitative Text")</f>
        <v>Quantitative Text</v>
      </c>
    </row>
    <row r="1526" spans="1:3" ht="13" x14ac:dyDescent="0.15">
      <c r="A1526" s="1" t="str">
        <f ca="1">IFERROR(__xludf.DUMMYFUNCTION("GOOGLETRANSLATE(A1526, ""zh"", ""en"")"),"Key tasks for occupational health in 2022 The company's health and safety management covers all employees, including supply chain companies")</f>
        <v>Key tasks for occupational health in 2022 The company's health and safety management covers all employees, including supply chain companies</v>
      </c>
      <c r="B1526" s="1" t="str">
        <f ca="1">IFERROR(__xludf.DUMMYFUNCTION("GOOGLETRANSLATE(A1526, ""zh"", ""en"")"),"staff")</f>
        <v>staff</v>
      </c>
      <c r="C1526" s="1" t="str">
        <f ca="1">IFERROR(__xludf.DUMMYFUNCTION("GOOGLETRANSLATE(E1526, ""zh"", ""en"")"),"Qualitative text")</f>
        <v>Qualitative text</v>
      </c>
    </row>
    <row r="1527" spans="1:3" ht="13" x14ac:dyDescent="0.15">
      <c r="A1527" s="1" t="str">
        <f ca="1">IFERROR(__xludf.DUMMYFUNCTION("GOOGLETRANSLATE(A1527, ""zh"", ""en"")"),"As a member of the China National Petroleum Corporation, Eskar has transformed the emergency knowledge he learned into a vivid practice of bravely contributing to society.")</f>
        <v>As a member of the China National Petroleum Corporation, Eskar has transformed the emergency knowledge he learned into a vivid practice of bravely contributing to society.</v>
      </c>
      <c r="B1527" s="1" t="str">
        <f ca="1">IFERROR(__xludf.DUMMYFUNCTION("GOOGLETRANSLATE(A1527, ""zh"", ""en"")"),"Public welfare and volunteer service")</f>
        <v>Public welfare and volunteer service</v>
      </c>
      <c r="C1527" s="1" t="str">
        <f ca="1">IFERROR(__xludf.DUMMYFUNCTION("GOOGLETRANSLATE(E1527, ""zh"", ""en"")"),"Qualitative text")</f>
        <v>Qualitative text</v>
      </c>
    </row>
    <row r="1528" spans="1:3" ht="13" x14ac:dyDescent="0.15">
      <c r="A1528" s="1" t="str">
        <f ca="1">IFERROR(__xludf.DUMMYFUNCTION("GOOGLETRANSLATE(A1528, ""zh"", ""en"")"),"How to obtain the report: The printed report is available at the Public Relations and Corporate Culture Department of the Bank. The electronic report can be downloaded from the Bank's website.")</f>
        <v>How to obtain the report: The printed report is available at the Public Relations and Corporate Culture Department of the Bank. The electronic report can be downloaded from the Bank's website.</v>
      </c>
      <c r="B1528" s="1" t="str">
        <f ca="1">IFERROR(__xludf.DUMMYFUNCTION("GOOGLETRANSLATE(A1528, ""zh"", ""en"")"),"Information Disclosure and Investor Communication")</f>
        <v>Information Disclosure and Investor Communication</v>
      </c>
      <c r="C1528" s="1" t="str">
        <f ca="1">IFERROR(__xludf.DUMMYFUNCTION("GOOGLETRANSLATE(E1528, ""zh"", ""en"")"),"Qualitative text")</f>
        <v>Qualitative text</v>
      </c>
    </row>
    <row r="1529" spans="1:3" ht="13" x14ac:dyDescent="0.15">
      <c r="A1529" s="1" t="str">
        <f ca="1">IFERROR(__xludf.DUMMYFUNCTION("GOOGLETRANSLATE(A1529, ""zh"", ""en"")"),"Strengthen safety management. The company implemented a three-year special rectification action plan for production safety in 2022. The action plan will be fully completed in 2020 and 2022.")</f>
        <v>Strengthen safety management. The company implemented a three-year special rectification action plan for production safety in 2022. The action plan will be fully completed in 2020 and 2022.</v>
      </c>
      <c r="B1529" s="1" t="str">
        <f ca="1">IFERROR(__xludf.DUMMYFUNCTION("GOOGLETRANSLATE(A1529, ""zh"", ""en"")"),"staff")</f>
        <v>staff</v>
      </c>
      <c r="C1529" s="1" t="str">
        <f ca="1">IFERROR(__xludf.DUMMYFUNCTION("GOOGLETRANSLATE(E1529, ""zh"", ""en"")"),"Qualitative text")</f>
        <v>Qualitative text</v>
      </c>
    </row>
    <row r="1530" spans="1:3" ht="13" x14ac:dyDescent="0.15">
      <c r="A1530" s="1" t="str">
        <f ca="1">IFERROR(__xludf.DUMMYFUNCTION("GOOGLETRANSLATE(A1530, ""zh"", ""en"")"),"The amount of ongoing related-party transactions incurred over the years is within the limits approved by the company's shareholders' meeting and board of directors and is disclosed in the annual report each year.")</f>
        <v>The amount of ongoing related-party transactions incurred over the years is within the limits approved by the company's shareholders' meeting and board of directors and is disclosed in the annual report each year.</v>
      </c>
      <c r="B1530" s="1" t="str">
        <f ca="1">IFERROR(__xludf.DUMMYFUNCTION("GOOGLETRANSLATE(A1530, ""zh"", ""en"")"),"Legal proceedings and external sanctions")</f>
        <v>Legal proceedings and external sanctions</v>
      </c>
      <c r="C1530" s="1" t="str">
        <f ca="1">IFERROR(__xludf.DUMMYFUNCTION("GOOGLETRANSLATE(E1530, ""zh"", ""en"")"),"Qualitative text")</f>
        <v>Qualitative text</v>
      </c>
    </row>
    <row r="1531" spans="1:3" ht="13" x14ac:dyDescent="0.15">
      <c r="A1531" s="1" t="str">
        <f ca="1">IFERROR(__xludf.DUMMYFUNCTION("GOOGLETRANSLATE(A1531, ""zh"", ""en"")"),"Domestic natural gas sales reached 207.096 billion cubic meters in 2018, adding confidence to optimizing my country's energy structure and building a beautiful China.")</f>
        <v>Domestic natural gas sales reached 207.096 billion cubic meters in 2018, adding confidence to optimizing my country's energy structure and building a beautiful China.</v>
      </c>
      <c r="B1531" s="1" t="str">
        <f ca="1">IFERROR(__xludf.DUMMYFUNCTION("GOOGLETRANSLATE(A1531, ""zh"", ""en"")"),"Energy and resource consumption")</f>
        <v>Energy and resource consumption</v>
      </c>
      <c r="C1531" s="1" t="str">
        <f ca="1">IFERROR(__xludf.DUMMYFUNCTION("GOOGLETRANSLATE(E1531, ""zh"", ""en"")"),"Quantitative Text")</f>
        <v>Quantitative Text</v>
      </c>
    </row>
    <row r="1532" spans="1:3" ht="13" x14ac:dyDescent="0.15">
      <c r="A1532" s="1" t="str">
        <f ca="1">IFERROR(__xludf.DUMMYFUNCTION("GOOGLETRANSLATE(A1532, ""zh"", ""en"")"),"Governance Structure Board of Directors The company's independent directors are all senior professionals with professional knowledge in accounting, finance and business management.")</f>
        <v>Governance Structure Board of Directors The company's independent directors are all senior professionals with professional knowledge in accounting, finance and business management.</v>
      </c>
      <c r="B1532" s="1" t="str">
        <f ca="1">IFERROR(__xludf.DUMMYFUNCTION("GOOGLETRANSLATE(A1532, ""zh"", ""en"")"),"Organizational structure and operations")</f>
        <v>Organizational structure and operations</v>
      </c>
      <c r="C1532" s="1" t="str">
        <f ca="1">IFERROR(__xludf.DUMMYFUNCTION("GOOGLETRANSLATE(E1532, ""zh"", ""en"")"),"Qualitative text")</f>
        <v>Qualitative text</v>
      </c>
    </row>
    <row r="1533" spans="1:3" ht="13" x14ac:dyDescent="0.15">
      <c r="A1533" s="1" t="str">
        <f ca="1">IFERROR(__xludf.DUMMYFUNCTION("GOOGLETRANSLATE(A1533, ""zh"", ""en"")"),"In 2022, we conducted internal due diligence reviews of our China operations and standardized the terminology used in various documents to avoid potential monopoly risks.")</f>
        <v>In 2022, we conducted internal due diligence reviews of our China operations and standardized the terminology used in various documents to avoid potential monopoly risks.</v>
      </c>
      <c r="B1533" s="1" t="str">
        <f ca="1">IFERROR(__xludf.DUMMYFUNCTION("GOOGLETRANSLATE(A1533, ""zh"", ""en"")"),"Anti-unfair competition")</f>
        <v>Anti-unfair competition</v>
      </c>
      <c r="C1533" s="1" t="str">
        <f ca="1">IFERROR(__xludf.DUMMYFUNCTION("GOOGLETRANSLATE(E1533, ""zh"", ""en"")"),"Qualitative text")</f>
        <v>Qualitative text</v>
      </c>
    </row>
    <row r="1534" spans="1:3" ht="13" x14ac:dyDescent="0.15">
      <c r="A1534" s="1" t="str">
        <f ca="1">IFERROR(__xludf.DUMMYFUNCTION("GOOGLETRANSLATE(A1534, ""zh"", ""en"")"),"The company strictly abides by the laws and regulations of the place where it operates, pays taxes to the local government in a transparent and legal manner, and makes due contributions to local economic development.")</f>
        <v>The company strictly abides by the laws and regulations of the place where it operates, pays taxes to the local government in a transparent and legal manner, and makes due contributions to local economic development.</v>
      </c>
      <c r="B1534" s="1" t="str">
        <f ca="1">IFERROR(__xludf.DUMMYFUNCTION("GOOGLETRANSLATE(A1534, ""zh"", ""en"")"),"Tax transparency")</f>
        <v>Tax transparency</v>
      </c>
      <c r="C1534" s="1" t="str">
        <f ca="1">IFERROR(__xludf.DUMMYFUNCTION("GOOGLETRANSLATE(E1534, ""zh"", ""en"")"),"Qualitative text")</f>
        <v>Qualitative text</v>
      </c>
    </row>
    <row r="1535" spans="1:3" ht="13" x14ac:dyDescent="0.15">
      <c r="A1535" s="1" t="str">
        <f ca="1">IFERROR(__xludf.DUMMYFUNCTION("GOOGLETRANSLATE(A1535, ""zh"", ""en"")"),"Haier Smart Home was listed on the Shanghai Stock Exchange in 1993 with the stock code 600690.SH and is one of the earliest listed companies in China.")</f>
        <v>Haier Smart Home was listed on the Shanghai Stock Exchange in 1993 with the stock code 600690.SH and is one of the earliest listed companies in China.</v>
      </c>
      <c r="B1535" s="1" t="str">
        <f ca="1">IFERROR(__xludf.DUMMYFUNCTION("GOOGLETRANSLATE(A1535, ""zh"", ""en"")"),"irrelevant text")</f>
        <v>irrelevant text</v>
      </c>
      <c r="C1535" s="1" t="str">
        <f ca="1">IFERROR(__xludf.DUMMYFUNCTION("GOOGLETRANSLATE(E1535, ""zh"", ""en"")"),"irrelevant text")</f>
        <v>irrelevant text</v>
      </c>
    </row>
    <row r="1536" spans="1:3" ht="13" x14ac:dyDescent="0.15">
      <c r="A1536" s="1" t="str">
        <f ca="1">IFERROR(__xludf.DUMMYFUNCTION("GOOGLETRANSLATE(A1536, ""zh"", ""en"")"),"In the coming years, Shanghai Electric will continue to optimize information disclosure, constantly improve the level of standardized operations, and actively promote the in-depth and practical implementation of compliance.")</f>
        <v>In the coming years, Shanghai Electric will continue to optimize information disclosure, constantly improve the level of standardized operations, and actively promote the in-depth and practical implementation of compliance.</v>
      </c>
      <c r="B1536" s="1" t="str">
        <f ca="1">IFERROR(__xludf.DUMMYFUNCTION("GOOGLETRANSLATE(A1536, ""zh"", ""en"")"),"Information Disclosure and Investor Communication")</f>
        <v>Information Disclosure and Investor Communication</v>
      </c>
      <c r="C1536" s="1" t="str">
        <f ca="1">IFERROR(__xludf.DUMMYFUNCTION("GOOGLETRANSLATE(E1536, ""zh"", ""en"")"),"Qualitative text")</f>
        <v>Qualitative text</v>
      </c>
    </row>
    <row r="1537" spans="1:3" ht="13" x14ac:dyDescent="0.15">
      <c r="A1537" s="1" t="str">
        <f ca="1">IFERROR(__xludf.DUMMYFUNCTION("GOOGLETRANSLATE(A1537, ""zh"", ""en"")"),"Every year, we regularly organize safety management personnel at all levels and all factory employees to sign safety responsibility system documents to clarify safety responsibilities.")</f>
        <v>Every year, we regularly organize safety management personnel at all levels and all factory employees to sign safety responsibility system documents to clarify safety responsibilities.</v>
      </c>
      <c r="B1537" s="1" t="str">
        <f ca="1">IFERROR(__xludf.DUMMYFUNCTION("GOOGLETRANSLATE(A1537, ""zh"", ""en"")"),"staff")</f>
        <v>staff</v>
      </c>
      <c r="C1537" s="1" t="str">
        <f ca="1">IFERROR(__xludf.DUMMYFUNCTION("GOOGLETRANSLATE(E1537, ""zh"", ""en"")"),"Qualitative text")</f>
        <v>Qualitative text</v>
      </c>
    </row>
    <row r="1538" spans="1:3" ht="13" x14ac:dyDescent="0.15">
      <c r="A1538" s="1" t="str">
        <f ca="1">IFERROR(__xludf.DUMMYFUNCTION("GOOGLETRANSLATE(A1538, ""zh"", ""en"")"),"In 2022, labor unions at all levels of the company organized more than a thousand activities of various types, including games and fun competitions, to enrich employees' spare time.")</f>
        <v>In 2022, labor unions at all levels of the company organized more than a thousand activities of various types, including games and fun competitions, to enrich employees' spare time.</v>
      </c>
      <c r="B1538" s="1" t="str">
        <f ca="1">IFERROR(__xludf.DUMMYFUNCTION("GOOGLETRANSLATE(A1538, ""zh"", ""en"")"),"staff")</f>
        <v>staff</v>
      </c>
      <c r="C1538" s="1" t="str">
        <f ca="1">IFERROR(__xludf.DUMMYFUNCTION("GOOGLETRANSLATE(E1538, ""zh"", ""en"")"),"Quantitative Text")</f>
        <v>Quantitative Text</v>
      </c>
    </row>
    <row r="1539" spans="1:3" ht="13" x14ac:dyDescent="0.15">
      <c r="A1539" s="1" t="str">
        <f ca="1">IFERROR(__xludf.DUMMYFUNCTION("GOOGLETRANSLATE(A1539, ""zh"", ""en"")"),"We focus on and encourage employee innovation and encourage employees to innovate in their own work areas around process improvement and technological transformation.")</f>
        <v>We focus on and encourage employee innovation and encourage employees to innovate in their own work areas around process improvement and technological transformation.</v>
      </c>
      <c r="B1539" s="1" t="str">
        <f ca="1">IFERROR(__xludf.DUMMYFUNCTION("GOOGLETRANSLATE(A1539, ""zh"", ""en"")"),"staff")</f>
        <v>staff</v>
      </c>
      <c r="C1539" s="1" t="str">
        <f ca="1">IFERROR(__xludf.DUMMYFUNCTION("GOOGLETRANSLATE(E1539, ""zh"", ""en"")"),"Qualitative text")</f>
        <v>Qualitative text</v>
      </c>
    </row>
    <row r="1540" spans="1:3" ht="13" x14ac:dyDescent="0.15">
      <c r="A1540" s="1" t="str">
        <f ca="1">IFERROR(__xludf.DUMMYFUNCTION("GOOGLETRANSLATE(A1540, ""zh"", ""en"")"),"At the same time, we use strict data access control, multiple identity authentication, data anonymization, encryption and other technologies to protect personal information.")</f>
        <v>At the same time, we use strict data access control, multiple identity authentication, data anonymization, encryption and other technologies to protect personal information.</v>
      </c>
      <c r="B1540" s="1" t="str">
        <f ca="1">IFERROR(__xludf.DUMMYFUNCTION("GOOGLETRANSLATE(A1540, ""zh"", ""en"")"),"Data security")</f>
        <v>Data security</v>
      </c>
      <c r="C1540" s="1" t="str">
        <f ca="1">IFERROR(__xludf.DUMMYFUNCTION("GOOGLETRANSLATE(E1540, ""zh"", ""en"")"),"Qualitative text")</f>
        <v>Qualitative text</v>
      </c>
    </row>
    <row r="1541" spans="1:3" ht="13" x14ac:dyDescent="0.15">
      <c r="A1541" s="1" t="str">
        <f ca="1">IFERROR(__xludf.DUMMYFUNCTION("GOOGLETRANSLATE(A1541, ""zh"", ""en"")"),"3. Governance 29 Governance Structure and Composition P16210 Nomination and Selection of the Highest Governance Body Please refer to the 2022 Annual Report")</f>
        <v>3. Governance 29 Governance Structure and Composition P16210 Nomination and Selection of the Highest Governance Body Please refer to the 2022 Annual Report</v>
      </c>
      <c r="B1541" s="1" t="str">
        <f ca="1">IFERROR(__xludf.DUMMYFUNCTION("GOOGLETRANSLATE(A1541, ""zh"", ""en"")"),"Organizational structure and operations")</f>
        <v>Organizational structure and operations</v>
      </c>
      <c r="C1541" s="1" t="str">
        <f ca="1">IFERROR(__xludf.DUMMYFUNCTION("GOOGLETRANSLATE(E1541, ""zh"", ""en"")"),"Qualitative text")</f>
        <v>Qualitative text</v>
      </c>
    </row>
    <row r="1542" spans="1:3" ht="13" x14ac:dyDescent="0.15">
      <c r="A1542" s="1" t="str">
        <f ca="1">IFERROR(__xludf.DUMMYFUNCTION("GOOGLETRANSLATE(A1542, ""zh"", ""en"")"),"Promote overseas local employment companies to actively recruit and train local employees and select outstanding local talents to provide local employment opportunities.")</f>
        <v>Promote overseas local employment companies to actively recruit and train local employees and select outstanding local talents to provide local employment opportunities.</v>
      </c>
      <c r="B1542" s="1" t="str">
        <f ca="1">IFERROR(__xludf.DUMMYFUNCTION("GOOGLETRANSLATE(A1542, ""zh"", ""en"")"),"Promoting employment")</f>
        <v>Promoting employment</v>
      </c>
      <c r="C1542" s="1" t="str">
        <f ca="1">IFERROR(__xludf.DUMMYFUNCTION("GOOGLETRANSLATE(E1542, ""zh"", ""en"")"),"Qualitative text")</f>
        <v>Qualitative text</v>
      </c>
    </row>
    <row r="1543" spans="1:3" ht="13" x14ac:dyDescent="0.15">
      <c r="A1543" s="1" t="str">
        <f ca="1">IFERROR(__xludf.DUMMYFUNCTION("GOOGLETRANSLATE(A1543, ""zh"", ""en"")"),"Strengthen talent reserves, implement action plans for training and selecting outstanding young cadres, and improve the full-chain mechanism for selecting, training, managing, and utilizing young cadres.")</f>
        <v>Strengthen talent reserves, implement action plans for training and selecting outstanding young cadres, and improve the full-chain mechanism for selecting, training, managing, and utilizing young cadres.</v>
      </c>
      <c r="B1543" s="1" t="str">
        <f ca="1">IFERROR(__xludf.DUMMYFUNCTION("GOOGLETRANSLATE(A1543, ""zh"", ""en"")"),"staff")</f>
        <v>staff</v>
      </c>
      <c r="C1543" s="1" t="str">
        <f ca="1">IFERROR(__xludf.DUMMYFUNCTION("GOOGLETRANSLATE(E1543, ""zh"", ""en"")"),"Qualitative text")</f>
        <v>Qualitative text</v>
      </c>
    </row>
    <row r="1544" spans="1:3" ht="13" x14ac:dyDescent="0.15">
      <c r="A1544" s="1" t="str">
        <f ca="1">IFERROR(__xludf.DUMMYFUNCTION("GOOGLETRANSLATE(A1544, ""zh"", ""en"")"),"We focus on exchanges and cooperation with industry associations and societies, focusing on cutting-edge industry technologies and trends to promote the development of the domestic inhalation preparation industry.")</f>
        <v>We focus on exchanges and cooperation with industry associations and societies, focusing on cutting-edge industry technologies and trends to promote the development of the domestic inhalation preparation industry.</v>
      </c>
      <c r="B1544" s="1" t="str">
        <f ca="1">IFERROR(__xludf.DUMMYFUNCTION("GOOGLETRANSLATE(A1544, ""zh"", ""en"")"),"Technological innovation")</f>
        <v>Technological innovation</v>
      </c>
      <c r="C1544" s="1" t="str">
        <f ca="1">IFERROR(__xludf.DUMMYFUNCTION("GOOGLETRANSLATE(E1544, ""zh"", ""en"")"),"Qualitative text")</f>
        <v>Qualitative text</v>
      </c>
    </row>
    <row r="1545" spans="1:3" ht="13" x14ac:dyDescent="0.15">
      <c r="A1545" s="1" t="str">
        <f ca="1">IFERROR(__xludf.DUMMYFUNCTION("GOOGLETRANSLATE(A1545, ""zh"", ""en"")"),"As a high-end preparation, inhalation preparations have significant differences in R&amp;D, production, and quality control compared to conventional oral or injectable preparations.")</f>
        <v>As a high-end preparation, inhalation preparations have significant differences in R&amp;D, production, and quality control compared to conventional oral or injectable preparations.</v>
      </c>
      <c r="B1545" s="1" t="str">
        <f ca="1">IFERROR(__xludf.DUMMYFUNCTION("GOOGLETRANSLATE(A1545, ""zh"", ""en"")"),"Product quality")</f>
        <v>Product quality</v>
      </c>
      <c r="C1545" s="1" t="str">
        <f ca="1">IFERROR(__xludf.DUMMYFUNCTION("GOOGLETRANSLATE(E1545, ""zh"", ""en"")"),"Qualitative text")</f>
        <v>Qualitative text</v>
      </c>
    </row>
    <row r="1546" spans="1:3" ht="13" x14ac:dyDescent="0.15">
      <c r="A1546" s="1" t="str">
        <f ca="1">IFERROR(__xludf.DUMMYFUNCTION("GOOGLETRANSLATE(A1546, ""zh"", ""en"")"),"The Nomination Committee of the Company will be responsible for reviewing the implementation of this policy and providing recommendations to the Board of Directors at appropriate times.")</f>
        <v>The Nomination Committee of the Company will be responsible for reviewing the implementation of this policy and providing recommendations to the Board of Directors at appropriate times.</v>
      </c>
      <c r="B1546" s="1" t="str">
        <f ca="1">IFERROR(__xludf.DUMMYFUNCTION("GOOGLETRANSLATE(A1546, ""zh"", ""en"")"),"Organizational structure and operations")</f>
        <v>Organizational structure and operations</v>
      </c>
      <c r="C1546" s="1" t="str">
        <f ca="1">IFERROR(__xludf.DUMMYFUNCTION("GOOGLETRANSLATE(E1546, ""zh"", ""en"")"),"Qualitative text")</f>
        <v>Qualitative text</v>
      </c>
    </row>
    <row r="1547" spans="1:3" ht="13" x14ac:dyDescent="0.15">
      <c r="A1547" s="1" t="str">
        <f ca="1">IFERROR(__xludf.DUMMYFUNCTION("GOOGLETRANSLATE(A1547, ""zh"", ""en"")"),"In 2021, Fuzhou Fuxing carried out industry-university-research cooperation with South China University of Technology to implement the research and development project of mushroom residue reduction and resource utilization technology.")</f>
        <v>In 2021, Fuzhou Fuxing carried out industry-university-research cooperation with South China University of Technology to implement the research and development project of mushroom residue reduction and resource utilization technology.</v>
      </c>
      <c r="B1547" s="1" t="str">
        <f ca="1">IFERROR(__xludf.DUMMYFUNCTION("GOOGLETRANSLATE(A1547, ""zh"", ""en"")"),"Technological innovation")</f>
        <v>Technological innovation</v>
      </c>
      <c r="C1547" s="1" t="str">
        <f ca="1">IFERROR(__xludf.DUMMYFUNCTION("GOOGLETRANSLATE(E1547, ""zh"", ""en"")"),"Qualitative text")</f>
        <v>Qualitative text</v>
      </c>
    </row>
    <row r="1548" spans="1:3" ht="13" x14ac:dyDescent="0.15">
      <c r="A1548" s="1" t="str">
        <f ca="1">IFERROR(__xludf.DUMMYFUNCTION("GOOGLETRANSLATE(A1548, ""zh"", ""en"")"),"We strictly control water consumption and improve water use efficiency by improving water treatment technology and strengthening the maintenance of equipment and facilities.")</f>
        <v>We strictly control water consumption and improve water use efficiency by improving water treatment technology and strengthening the maintenance of equipment and facilities.</v>
      </c>
      <c r="B1548" s="1" t="str">
        <f ca="1">IFERROR(__xludf.DUMMYFUNCTION("GOOGLETRANSLATE(A1548, ""zh"", ""en"")"),"Water resources")</f>
        <v>Water resources</v>
      </c>
      <c r="C1548" s="1" t="str">
        <f ca="1">IFERROR(__xludf.DUMMYFUNCTION("GOOGLETRANSLATE(E1548, ""zh"", ""en"")"),"Qualitative text")</f>
        <v>Qualitative text</v>
      </c>
    </row>
    <row r="1549" spans="1:3" ht="13" x14ac:dyDescent="0.15">
      <c r="A1549" s="1" t="str">
        <f ca="1">IFERROR(__xludf.DUMMYFUNCTION("GOOGLETRANSLATE(A1549, ""zh"", ""en"")"),"In 2022, the company carried out 11 educational assistance donation activities, involving a total of RMB 1.1994 million, all of which have been implemented.")</f>
        <v>In 2022, the company carried out 11 educational assistance donation activities, involving a total of RMB 1.1994 million, all of which have been implemented.</v>
      </c>
      <c r="B1549" s="1" t="str">
        <f ca="1">IFERROR(__xludf.DUMMYFUNCTION("GOOGLETRANSLATE(A1549, ""zh"", ""en"")"),"Rural assistance")</f>
        <v>Rural assistance</v>
      </c>
      <c r="C1549" s="1" t="str">
        <f ca="1">IFERROR(__xludf.DUMMYFUNCTION("GOOGLETRANSLATE(E1549, ""zh"", ""en"")"),"Quantitative Text")</f>
        <v>Quantitative Text</v>
      </c>
    </row>
    <row r="1550" spans="1:3" ht="13" x14ac:dyDescent="0.15">
      <c r="A1550" s="1" t="str">
        <f ca="1">IFERROR(__xludf.DUMMYFUNCTION("GOOGLETRANSLATE(A1550, ""zh"", ""en"")"),"At the same time, the company improves employees' working conditions in accordance with relevant laws, regulations and standards to provide employees with a safer and more comfortable working environment")</f>
        <v>At the same time, the company improves employees' working conditions in accordance with relevant laws, regulations and standards to provide employees with a safer and more comfortable working environment</v>
      </c>
      <c r="B1550" s="1" t="str">
        <f ca="1">IFERROR(__xludf.DUMMYFUNCTION("GOOGLETRANSLATE(A1550, ""zh"", ""en"")"),"staff")</f>
        <v>staff</v>
      </c>
      <c r="C1550" s="1" t="str">
        <f ca="1">IFERROR(__xludf.DUMMYFUNCTION("GOOGLETRANSLATE(E1550, ""zh"", ""en"")"),"Qualitative text")</f>
        <v>Qualitative text</v>
      </c>
    </row>
    <row r="1551" spans="1:3" ht="13" x14ac:dyDescent="0.15">
      <c r="A1551" s="1" t="str">
        <f ca="1">IFERROR(__xludf.DUMMYFUNCTION("GOOGLETRANSLATE(A1551, ""zh"", ""en"")"),"At the same time, we set up alternative suppliers for raw materials, auxiliary materials, key consumables and other materials to alleviate the supply risks caused by supplier material shortages as much as possible.")</f>
        <v>At the same time, we set up alternative suppliers for raw materials, auxiliary materials, key consumables and other materials to alleviate the supply risks caused by supplier material shortages as much as possible.</v>
      </c>
      <c r="B1551" s="1" t="str">
        <f ca="1">IFERROR(__xludf.DUMMYFUNCTION("GOOGLETRANSLATE(A1551, ""zh"", ""en"")"),"raw materials")</f>
        <v>raw materials</v>
      </c>
      <c r="C1551" s="1" t="str">
        <f ca="1">IFERROR(__xludf.DUMMYFUNCTION("GOOGLETRANSLATE(E1551, ""zh"", ""en"")"),"Qualitative text")</f>
        <v>Qualitative text</v>
      </c>
    </row>
    <row r="1552" spans="1:3" ht="13" x14ac:dyDescent="0.15">
      <c r="A1552" s="1" t="str">
        <f ca="1">IFERROR(__xludf.DUMMYFUNCTION("GOOGLETRANSLATE(A1552, ""zh"", ""en"")"),"An employee of Dongyuan Renzhi Service Group's Southwest Region suffered a stroke and needed to stay home for long-term recuperation. This cut off their income and increased the burden on their family.")</f>
        <v>An employee of Dongyuan Renzhi Service Group's Southwest Region suffered a stroke and needed to stay home for long-term recuperation. This cut off their income and increased the burden on their family.</v>
      </c>
      <c r="B1552" s="1" t="str">
        <f ca="1">IFERROR(__xludf.DUMMYFUNCTION("GOOGLETRANSLATE(A1552, ""zh"", ""en"")"),"staff")</f>
        <v>staff</v>
      </c>
      <c r="C1552" s="1" t="str">
        <f ca="1">IFERROR(__xludf.DUMMYFUNCTION("GOOGLETRANSLATE(E1552, ""zh"", ""en"")"),"Qualitative text")</f>
        <v>Qualitative text</v>
      </c>
    </row>
    <row r="1553" spans="1:3" ht="13" x14ac:dyDescent="0.15">
      <c r="A1553" s="1" t="str">
        <f ca="1">IFERROR(__xludf.DUMMYFUNCTION("GOOGLETRANSLATE(A1553, ""zh"", ""en"")"),"A total of more than 140 training sessions were conducted throughout the year, with 4,963 participants and 366 hours of training. The average training satisfaction rate was 94.7")</f>
        <v>A total of more than 140 training sessions were conducted throughout the year, with 4,963 participants and 366 hours of training. The average training satisfaction rate was 94.7</v>
      </c>
      <c r="B1553" s="1" t="str">
        <f ca="1">IFERROR(__xludf.DUMMYFUNCTION("GOOGLETRANSLATE(A1553, ""zh"", ""en"")"),"staff")</f>
        <v>staff</v>
      </c>
      <c r="C1553" s="1" t="str">
        <f ca="1">IFERROR(__xludf.DUMMYFUNCTION("GOOGLETRANSLATE(E1553, ""zh"", ""en"")"),"Quantitative Text")</f>
        <v>Quantitative Text</v>
      </c>
    </row>
    <row r="1554" spans="1:3" ht="13" x14ac:dyDescent="0.15">
      <c r="A1554" s="1" t="str">
        <f ca="1">IFERROR(__xludf.DUMMYFUNCTION("GOOGLETRANSLATE(A1554, ""zh"", ""en"")"),"However, according to feedback from many customers, they have difficulty in purchasing qualified impurity standards on the market, which has seriously affected the R&amp;D and preparation approval process.")</f>
        <v>However, according to feedback from many customers, they have difficulty in purchasing qualified impurity standards on the market, which has seriously affected the R&amp;D and preparation approval process.</v>
      </c>
      <c r="B1554" s="1" t="str">
        <f ca="1">IFERROR(__xludf.DUMMYFUNCTION("GOOGLETRANSLATE(A1554, ""zh"", ""en"")"),"Product quality")</f>
        <v>Product quality</v>
      </c>
      <c r="C1554" s="1" t="str">
        <f ca="1">IFERROR(__xludf.DUMMYFUNCTION("GOOGLETRANSLATE(E1554, ""zh"", ""en"")"),"Qualitative text")</f>
        <v>Qualitative text</v>
      </c>
    </row>
    <row r="1555" spans="1:3" ht="13" x14ac:dyDescent="0.15">
      <c r="A1555" s="1" t="str">
        <f ca="1">IFERROR(__xludf.DUMMYFUNCTION("GOOGLETRANSLATE(A1555, ""zh"", ""en"")"),"The Group Supervision and Audit Department emphasizes compliance with laws and regulations, integrity and self-discipline to employees through corporate culture promotion and employee training to improve employees' business ethics.")</f>
        <v>The Group Supervision and Audit Department emphasizes compliance with laws and regulations, integrity and self-discipline to employees through corporate culture promotion and employee training to improve employees' business ethics.</v>
      </c>
      <c r="B1555" s="1" t="str">
        <f ca="1">IFERROR(__xludf.DUMMYFUNCTION("GOOGLETRANSLATE(A1555, ""zh"", ""en"")"),"Anti-corruption and anti-money laundering")</f>
        <v>Anti-corruption and anti-money laundering</v>
      </c>
      <c r="C1555" s="1" t="str">
        <f ca="1">IFERROR(__xludf.DUMMYFUNCTION("GOOGLETRANSLATE(E1555, ""zh"", ""en"")"),"Qualitative text")</f>
        <v>Qualitative text</v>
      </c>
    </row>
    <row r="1556" spans="1:3" ht="13" x14ac:dyDescent="0.15">
      <c r="A1556" s="1" t="str">
        <f ca="1">IFERROR(__xludf.DUMMYFUNCTION("GOOGLETRANSLATE(A1556, ""zh"", ""en"")"),"In 2022, the party organizations at all levels of Dima Group will strictly and practically promote the basic work of party building and lay a solid foundation for the high-quality development of the enterprise.")</f>
        <v>In 2022, the party organizations at all levels of Dima Group will strictly and practically promote the basic work of party building and lay a solid foundation for the high-quality development of the enterprise.</v>
      </c>
      <c r="B1556" s="1" t="str">
        <f ca="1">IFERROR(__xludf.DUMMYFUNCTION("GOOGLETRANSLATE(A1556, ""zh"", ""en"")"),"Organizational structure and operations")</f>
        <v>Organizational structure and operations</v>
      </c>
      <c r="C1556" s="1" t="str">
        <f ca="1">IFERROR(__xludf.DUMMYFUNCTION("GOOGLETRANSLATE(E1556, ""zh"", ""en"")"),"Qualitative text")</f>
        <v>Qualitative text</v>
      </c>
    </row>
    <row r="1557" spans="1:3" ht="13" x14ac:dyDescent="0.15">
      <c r="A1557" s="1" t="str">
        <f ca="1">IFERROR(__xludf.DUMMYFUNCTION("GOOGLETRANSLATE(A1557, ""zh"", ""en"")"),"We implement a promotion method that combines step-by-step promotion and exceptional promotion to promote employees with outstanding contributions or special talents.")</f>
        <v>We implement a promotion method that combines step-by-step promotion and exceptional promotion to promote employees with outstanding contributions or special talents.</v>
      </c>
      <c r="B1557" s="1" t="str">
        <f ca="1">IFERROR(__xludf.DUMMYFUNCTION("GOOGLETRANSLATE(A1557, ""zh"", ""en"")"),"staff")</f>
        <v>staff</v>
      </c>
      <c r="C1557" s="1" t="str">
        <f ca="1">IFERROR(__xludf.DUMMYFUNCTION("GOOGLETRANSLATE(E1557, ""zh"", ""en"")"),"Qualitative text")</f>
        <v>Qualitative text</v>
      </c>
    </row>
    <row r="1558" spans="1:3" ht="13" x14ac:dyDescent="0.15">
      <c r="A1558" s="1" t="str">
        <f ca="1">IFERROR(__xludf.DUMMYFUNCTION("GOOGLETRANSLATE(A1558, ""zh"", ""en"")"),"The company continues to carry out internal control system design and implementation effectiveness evaluation in accordance with the regulatory rules for listed companies and the management requirements of the board of directors.")</f>
        <v>The company continues to carry out internal control system design and implementation effectiveness evaluation in accordance with the regulatory rules for listed companies and the management requirements of the board of directors.</v>
      </c>
      <c r="B1558" s="1" t="str">
        <f ca="1">IFERROR(__xludf.DUMMYFUNCTION("GOOGLETRANSLATE(A1558, ""zh"", ""en"")"),"Organizational structure and operations")</f>
        <v>Organizational structure and operations</v>
      </c>
      <c r="C1558" s="1" t="str">
        <f ca="1">IFERROR(__xludf.DUMMYFUNCTION("GOOGLETRANSLATE(E1558, ""zh"", ""en"")"),"Qualitative text")</f>
        <v>Qualitative text</v>
      </c>
    </row>
    <row r="1559" spans="1:3" ht="13" x14ac:dyDescent="0.15">
      <c r="A1559" s="1" t="str">
        <f ca="1">IFERROR(__xludf.DUMMYFUNCTION("GOOGLETRANSLATE(A1559, ""zh"", ""en"")"),"This group released 289,044 tons of energy and received warm air gas emissions. The carbon emission intensity in 2022 was 0.216 tons. The revenue was RMB 10,000.")</f>
        <v>This group released 289,044 tons of energy and received warm air gas emissions. The carbon emission intensity in 2022 was 0.216 tons. The revenue was RMB 10,000.</v>
      </c>
      <c r="B1559" s="1" t="str">
        <f ca="1">IFERROR(__xludf.DUMMYFUNCTION("GOOGLETRANSLATE(A1559, ""zh"", ""en"")"),"carbon emissions")</f>
        <v>carbon emissions</v>
      </c>
      <c r="C1559" s="1" t="str">
        <f ca="1">IFERROR(__xludf.DUMMYFUNCTION("GOOGLETRANSLATE(E1559, ""zh"", ""en"")"),"Quantitative Text")</f>
        <v>Quantitative Text</v>
      </c>
    </row>
    <row r="1560" spans="1:3" ht="13" x14ac:dyDescent="0.15">
      <c r="A1560" s="1" t="str">
        <f ca="1">IFERROR(__xludf.DUMMYFUNCTION("GOOGLETRANSLATE(A1560, ""zh"", ""en"")"),"The company should stick to its original intention and strive to fulfill its social responsibility while doing a good job in production and operation, and return customers with high-quality products and services.")</f>
        <v>The company should stick to its original intention and strive to fulfill its social responsibility while doing a good job in production and operation, and return customers with high-quality products and services.</v>
      </c>
      <c r="B1560" s="1" t="str">
        <f ca="1">IFERROR(__xludf.DUMMYFUNCTION("GOOGLETRANSLATE(A1560, ""zh"", ""en"")"),"Customers and Consumers")</f>
        <v>Customers and Consumers</v>
      </c>
      <c r="C1560" s="1" t="str">
        <f ca="1">IFERROR(__xludf.DUMMYFUNCTION("GOOGLETRANSLATE(E1560, ""zh"", ""en"")"),"Qualitative text")</f>
        <v>Qualitative text</v>
      </c>
    </row>
    <row r="1561" spans="1:3" ht="13" x14ac:dyDescent="0.15">
      <c r="A1561" s="1" t="str">
        <f ca="1">IFERROR(__xludf.DUMMYFUNCTION("GOOGLETRANSLATE(A1561, ""zh"", ""en"")"),"In 2019, we set energy conservation and emission reduction targets for member companies and promoted them to actively implement various energy conservation and emission reduction projects.")</f>
        <v>In 2019, we set energy conservation and emission reduction targets for member companies and promoted them to actively implement various energy conservation and emission reduction projects.</v>
      </c>
      <c r="B1561" s="1" t="str">
        <f ca="1">IFERROR(__xludf.DUMMYFUNCTION("GOOGLETRANSLATE(A1561, ""zh"", ""en"")"),"Energy and resource consumption")</f>
        <v>Energy and resource consumption</v>
      </c>
      <c r="C1561" s="1" t="str">
        <f ca="1">IFERROR(__xludf.DUMMYFUNCTION("GOOGLETRANSLATE(E1561, ""zh"", ""en"")"),"Qualitative text")</f>
        <v>Qualitative text</v>
      </c>
    </row>
    <row r="1562" spans="1:3" ht="13" x14ac:dyDescent="0.15">
      <c r="A1562" s="1" t="str">
        <f ca="1">IFERROR(__xludf.DUMMYFUNCTION("GOOGLETRANSLATE(A1562, ""zh"", ""en"")"),"51 Policy and related implementation and monitoring details Consumer data protection and privacy key effectiveness data standard B6.55961 method")</f>
        <v>51 Policy and related implementation and monitoring details Consumer data protection and privacy key effectiveness data standard B6.55961 method</v>
      </c>
      <c r="B1562" s="1" t="str">
        <f ca="1">IFERROR(__xludf.DUMMYFUNCTION("GOOGLETRANSLATE(A1562, ""zh"", ""en"")"),"Data security")</f>
        <v>Data security</v>
      </c>
      <c r="C1562" s="1" t="str">
        <f ca="1">IFERROR(__xludf.DUMMYFUNCTION("GOOGLETRANSLATE(E1562, ""zh"", ""en"")"),"Qualitative text")</f>
        <v>Qualitative text</v>
      </c>
    </row>
    <row r="1563" spans="1:3" ht="13" x14ac:dyDescent="0.15">
      <c r="A1563" s="1" t="str">
        <f ca="1">IFERROR(__xludf.DUMMYFUNCTION("GOOGLETRANSLATE(A1563, ""zh"", ""en"")"),"Pay attention to external public opinion of the company and attach importance to public opinion management. Pay attention to strengthening communication with various news media to ensure smooth information communication channels.")</f>
        <v>Pay attention to external public opinion of the company and attach importance to public opinion management. Pay attention to strengthening communication with various news media to ensure smooth information communication channels.</v>
      </c>
      <c r="B1563" s="1" t="str">
        <f ca="1">IFERROR(__xludf.DUMMYFUNCTION("GOOGLETRANSLATE(A1563, ""zh"", ""en"")"),"Information Disclosure and Investor Communication")</f>
        <v>Information Disclosure and Investor Communication</v>
      </c>
      <c r="C1563" s="1" t="str">
        <f ca="1">IFERROR(__xludf.DUMMYFUNCTION("GOOGLETRANSLATE(E1563, ""zh"", ""en"")"),"Qualitative text")</f>
        <v>Qualitative text</v>
      </c>
    </row>
    <row r="1564" spans="1:3" ht="13" x14ac:dyDescent="0.15">
      <c r="A1564" s="1" t="str">
        <f ca="1">IFERROR(__xludf.DUMMYFUNCTION("GOOGLETRANSLATE(A1564, ""zh"", ""en"")"),"In 2022, Shanghai Electric will actively optimize and improve legal management, classify and categorize rights and responsibilities, and vigorously improve work standards and processes.")</f>
        <v>In 2022, Shanghai Electric will actively optimize and improve legal management, classify and categorize rights and responsibilities, and vigorously improve work standards and processes.</v>
      </c>
      <c r="B1564" s="1" t="str">
        <f ca="1">IFERROR(__xludf.DUMMYFUNCTION("GOOGLETRANSLATE(A1564, ""zh"", ""en"")"),"Legal proceedings and external sanctions")</f>
        <v>Legal proceedings and external sanctions</v>
      </c>
      <c r="C1564" s="1" t="str">
        <f ca="1">IFERROR(__xludf.DUMMYFUNCTION("GOOGLETRANSLATE(E1564, ""zh"", ""en"")"),"Qualitative text")</f>
        <v>Qualitative text</v>
      </c>
    </row>
    <row r="1565" spans="1:3" ht="13" x14ac:dyDescent="0.15">
      <c r="A1565" s="1" t="str">
        <f ca="1">IFERROR(__xludf.DUMMYFUNCTION("GOOGLETRANSLATE(A1565, ""zh"", ""en"")"),"In February 2022, the China Nuclear Power Technology Brand Guohe No. 1 Industrial Chain Alliance, representing the world's advanced level of third-generation nuclear power, was established in Shanghai.")</f>
        <v>In February 2022, the China Nuclear Power Technology Brand Guohe No. 1 Industrial Chain Alliance, representing the world's advanced level of third-generation nuclear power, was established in Shanghai.</v>
      </c>
      <c r="B1565" s="1" t="str">
        <f ca="1">IFERROR(__xludf.DUMMYFUNCTION("GOOGLETRANSLATE(A1565, ""zh"", ""en"")"),"Technological innovation")</f>
        <v>Technological innovation</v>
      </c>
      <c r="C1565" s="1" t="str">
        <f ca="1">IFERROR(__xludf.DUMMYFUNCTION("GOOGLETRANSLATE(E1565, ""zh"", ""en"")"),"Qualitative text")</f>
        <v>Qualitative text</v>
      </c>
    </row>
    <row r="1566" spans="1:3" ht="13" x14ac:dyDescent="0.15">
      <c r="A1566" s="1" t="str">
        <f ca="1">IFERROR(__xludf.DUMMYFUNCTION("GOOGLETRANSLATE(A1566, ""zh"", ""en"")"),"The third is to launch a bonded commodity registration system to serve the construction of a commodity credit system in the free trade zone and better serve the construction of a unified national market.")</f>
        <v>The third is to launch a bonded commodity registration system to serve the construction of a commodity credit system in the free trade zone and better serve the construction of a unified national market.</v>
      </c>
      <c r="B1566" s="1" t="str">
        <f ca="1">IFERROR(__xludf.DUMMYFUNCTION("GOOGLETRANSLATE(A1566, ""zh"", ""en"")"),"irrelevant text")</f>
        <v>irrelevant text</v>
      </c>
      <c r="C1566" s="1" t="str">
        <f ca="1">IFERROR(__xludf.DUMMYFUNCTION("GOOGLETRANSLATE(E1566, ""zh"", ""en"")"),"irrelevant text")</f>
        <v>irrelevant text</v>
      </c>
    </row>
    <row r="1567" spans="1:3" ht="13" x14ac:dyDescent="0.15">
      <c r="A1567" s="1" t="str">
        <f ca="1">IFERROR(__xludf.DUMMYFUNCTION("GOOGLETRANSLATE(A1567, ""zh"", ""en"")"),"Build an integrated investment and research system around the upstream and downstream industries, further optimize and refine the research and trading system with chemical characteristics, and empower industrial clients")</f>
        <v>Build an integrated investment and research system around the upstream and downstream industries, further optimize and refine the research and trading system with chemical characteristics, and empower industrial clients</v>
      </c>
      <c r="B1567" s="1" t="str">
        <f ca="1">IFERROR(__xludf.DUMMYFUNCTION("GOOGLETRANSLATE(A1567, ""zh"", ""en"")"),"Customers and Consumers")</f>
        <v>Customers and Consumers</v>
      </c>
      <c r="C1567" s="1" t="str">
        <f ca="1">IFERROR(__xludf.DUMMYFUNCTION("GOOGLETRANSLATE(E1567, ""zh"", ""en"")"),"Qualitative text")</f>
        <v>Qualitative text</v>
      </c>
    </row>
    <row r="1568" spans="1:3" ht="13" x14ac:dyDescent="0.15">
      <c r="A1568" s="1" t="str">
        <f ca="1">IFERROR(__xludf.DUMMYFUNCTION("GOOGLETRANSLATE(A1568, ""zh"", ""en"")"),"The company promises to fully consider the interests of shareholders and implement a reasonable dividend distribution policy every year based on the company's operating conditions and market environment.")</f>
        <v>The company promises to fully consider the interests of shareholders and implement a reasonable dividend distribution policy every year based on the company's operating conditions and market environment.</v>
      </c>
      <c r="B1568" s="1" t="str">
        <f ca="1">IFERROR(__xludf.DUMMYFUNCTION("GOOGLETRANSLATE(A1568, ""zh"", ""en"")"),"Shareholder and creditor rights")</f>
        <v>Shareholder and creditor rights</v>
      </c>
      <c r="C1568" s="1" t="str">
        <f ca="1">IFERROR(__xludf.DUMMYFUNCTION("GOOGLETRANSLATE(E1568, ""zh"", ""en"")"),"Qualitative text")</f>
        <v>Qualitative text</v>
      </c>
    </row>
    <row r="1569" spans="1:3" ht="13" x14ac:dyDescent="0.15">
      <c r="A1569" s="1" t="str">
        <f ca="1">IFERROR(__xludf.DUMMYFUNCTION("GOOGLETRANSLATE(A1569, ""zh"", ""en"")"),"Continue to deepen risk investigation and assessment, establish a group risk prevention and control leadership group and working group to strengthen risk control organization leadership and overall coordination")</f>
        <v>Continue to deepen risk investigation and assessment, establish a group risk prevention and control leadership group and working group to strengthen risk control organization leadership and overall coordination</v>
      </c>
      <c r="B1569" s="1" t="str">
        <f ca="1">IFERROR(__xludf.DUMMYFUNCTION("GOOGLETRANSLATE(A1569, ""zh"", ""en"")"),"Organizational structure and operations")</f>
        <v>Organizational structure and operations</v>
      </c>
      <c r="C1569" s="1" t="str">
        <f ca="1">IFERROR(__xludf.DUMMYFUNCTION("GOOGLETRANSLATE(E1569, ""zh"", ""en"")"),"Qualitative text")</f>
        <v>Qualitative text</v>
      </c>
    </row>
    <row r="1570" spans="1:3" ht="13" x14ac:dyDescent="0.15">
      <c r="A1570" s="1" t="str">
        <f ca="1">IFERROR(__xludf.DUMMYFUNCTION("GOOGLETRANSLATE(A1570, ""zh"", ""en"")"),"In January 2022, with the completion of the construction of the backbone forest road project in the forest park, the infrastructure of the forest park has been effectively improved.")</f>
        <v>In January 2022, with the completion of the construction of the backbone forest road project in the forest park, the infrastructure of the forest park has been effectively improved.</v>
      </c>
      <c r="B1570" s="1" t="str">
        <f ca="1">IFERROR(__xludf.DUMMYFUNCTION("GOOGLETRANSLATE(A1570, ""zh"", ""en"")"),"Public welfare and volunteer service")</f>
        <v>Public welfare and volunteer service</v>
      </c>
      <c r="C1570" s="1" t="str">
        <f ca="1">IFERROR(__xludf.DUMMYFUNCTION("GOOGLETRANSLATE(E1570, ""zh"", ""en"")"),"Qualitative text")</f>
        <v>Qualitative text</v>
      </c>
    </row>
    <row r="1571" spans="1:3" ht="13" x14ac:dyDescent="0.15">
      <c r="A1571" s="1" t="str">
        <f ca="1">IFERROR(__xludf.DUMMYFUNCTION("GOOGLETRANSLATE(A1571, ""zh"", ""en"")"),"In 2022, a total of 3 people were awarded the title of Hangzhou E-type talents, 2 people were awarded the title of senior economist, and 1 person was awarded the title of senior economist.")</f>
        <v>In 2022, a total of 3 people were awarded the title of Hangzhou E-type talents, 2 people were awarded the title of senior economist, and 1 person was awarded the title of senior economist.</v>
      </c>
      <c r="B1571" s="1" t="str">
        <f ca="1">IFERROR(__xludf.DUMMYFUNCTION("GOOGLETRANSLATE(A1571, ""zh"", ""en"")"),"staff")</f>
        <v>staff</v>
      </c>
      <c r="C1571" s="1" t="str">
        <f ca="1">IFERROR(__xludf.DUMMYFUNCTION("GOOGLETRANSLATE(E1571, ""zh"", ""en"")"),"Quantitative Text")</f>
        <v>Quantitative Text</v>
      </c>
    </row>
    <row r="1572" spans="1:3" ht="13" x14ac:dyDescent="0.15">
      <c r="A1572" s="1" t="str">
        <f ca="1">IFERROR(__xludf.DUMMYFUNCTION("GOOGLETRANSLATE(A1572, ""zh"", ""en"")"),"Actively observe market changes, strive to enhance the core competitiveness of products, and strive to meet the ever-changing needs of customers to achieve sustainable development of customers.")</f>
        <v>Actively observe market changes, strive to enhance the core competitiveness of products, and strive to meet the ever-changing needs of customers to achieve sustainable development of customers.</v>
      </c>
      <c r="B1572" s="1" t="str">
        <f ca="1">IFERROR(__xludf.DUMMYFUNCTION("GOOGLETRANSLATE(A1572, ""zh"", ""en"")"),"Customers and Consumers")</f>
        <v>Customers and Consumers</v>
      </c>
      <c r="C1572" s="1" t="str">
        <f ca="1">IFERROR(__xludf.DUMMYFUNCTION("GOOGLETRANSLATE(E1572, ""zh"", ""en"")"),"Qualitative text")</f>
        <v>Qualitative text</v>
      </c>
    </row>
    <row r="1573" spans="1:3" ht="13" x14ac:dyDescent="0.15">
      <c r="A1573" s="1" t="str">
        <f ca="1">IFERROR(__xludf.DUMMYFUNCTION("GOOGLETRANSLATE(A1573, ""zh"", ""en"")"),"By donating public welfare publicity and technology empowerment to help small and micro enterprises achieve common prosperity and other different practices, we practice social responsibility and demonstrate corporate responsibility.")</f>
        <v>By donating public welfare publicity and technology empowerment to help small and micro enterprises achieve common prosperity and other different practices, we practice social responsibility and demonstrate corporate responsibility.</v>
      </c>
      <c r="B1573" s="1" t="str">
        <f ca="1">IFERROR(__xludf.DUMMYFUNCTION("GOOGLETRANSLATE(A1573, ""zh"", ""en"")"),"Public welfare and volunteer service")</f>
        <v>Public welfare and volunteer service</v>
      </c>
      <c r="C1573" s="1" t="str">
        <f ca="1">IFERROR(__xludf.DUMMYFUNCTION("GOOGLETRANSLATE(E1573, ""zh"", ""en"")"),"Qualitative text")</f>
        <v>Qualitative text</v>
      </c>
    </row>
    <row r="1574" spans="1:3" ht="13" x14ac:dyDescent="0.15">
      <c r="A1574" s="1" t="str">
        <f ca="1">IFERROR(__xludf.DUMMYFUNCTION("GOOGLETRANSLATE(A1574, ""zh"", ""en"")"),"Studies have shown that Pseudomonas aeruginosa is generally resistant to existing antibiotics. Tobramycin resistance is relatively low, but systemic administration has greater side effects.")</f>
        <v>Studies have shown that Pseudomonas aeruginosa is generally resistant to existing antibiotics. Tobramycin resistance is relatively low, but systemic administration has greater side effects.</v>
      </c>
      <c r="B1574" s="1" t="str">
        <f ca="1">IFERROR(__xludf.DUMMYFUNCTION("GOOGLETRANSLATE(A1574, ""zh"", ""en"")"),"Product quality")</f>
        <v>Product quality</v>
      </c>
      <c r="C1574" s="1" t="str">
        <f ca="1">IFERROR(__xludf.DUMMYFUNCTION("GOOGLETRANSLATE(E1574, ""zh"", ""en"")"),"Qualitative text")</f>
        <v>Qualitative text</v>
      </c>
    </row>
    <row r="1575" spans="1:3" ht="13" x14ac:dyDescent="0.15">
      <c r="A1575" s="1" t="str">
        <f ca="1">IFERROR(__xludf.DUMMYFUNCTION("GOOGLETRANSLATE(A1575, ""zh"", ""en"")"),"This year, we added a new economic responsibility audit management system to refine the requirements for management exit audits and necessary on-the-job audits.")</f>
        <v>This year, we added a new economic responsibility audit management system to refine the requirements for management exit audits and necessary on-the-job audits.</v>
      </c>
      <c r="B1575" s="1" t="str">
        <f ca="1">IFERROR(__xludf.DUMMYFUNCTION("GOOGLETRANSLATE(A1575, ""zh"", ""en"")"),"Audit work")</f>
        <v>Audit work</v>
      </c>
      <c r="C1575" s="1" t="str">
        <f ca="1">IFERROR(__xludf.DUMMYFUNCTION("GOOGLETRANSLATE(E1575, ""zh"", ""en"")"),"Qualitative text")</f>
        <v>Qualitative text</v>
      </c>
    </row>
    <row r="1576" spans="1:3" ht="13" x14ac:dyDescent="0.15">
      <c r="A1576" s="1" t="str">
        <f ca="1">IFERROR(__xludf.DUMMYFUNCTION("GOOGLETRANSLATE(A1576, ""zh"", ""en"")"),"In 2022, Kangyuan will optimize and update its drug traceability management system to further clarify the responsibilities of each department in product traceability.")</f>
        <v>In 2022, Kangyuan will optimize and update its drug traceability management system to further clarify the responsibilities of each department in product traceability.</v>
      </c>
      <c r="B1576" s="1" t="str">
        <f ca="1">IFERROR(__xludf.DUMMYFUNCTION("GOOGLETRANSLATE(A1576, ""zh"", ""en"")"),"Product quality")</f>
        <v>Product quality</v>
      </c>
      <c r="C1576" s="1" t="str">
        <f ca="1">IFERROR(__xludf.DUMMYFUNCTION("GOOGLETRANSLATE(E1576, ""zh"", ""en"")"),"Qualitative text")</f>
        <v>Qualitative text</v>
      </c>
    </row>
    <row r="1577" spans="1:3" ht="13" x14ac:dyDescent="0.15">
      <c r="A1577" s="1" t="str">
        <f ca="1">IFERROR(__xludf.DUMMYFUNCTION("GOOGLETRANSLATE(A1577, ""zh"", ""en"")"),"Through this event, we have a better understanding of the mental disorder patients and expressed our support and concern by purchasing the patients' paintings.")</f>
        <v>Through this event, we have a better understanding of the mental disorder patients and expressed our support and concern by purchasing the patients' paintings.</v>
      </c>
      <c r="B1577" s="1" t="str">
        <f ca="1">IFERROR(__xludf.DUMMYFUNCTION("GOOGLETRANSLATE(A1577, ""zh"", ""en"")"),"Public welfare and volunteer service")</f>
        <v>Public welfare and volunteer service</v>
      </c>
      <c r="C1577" s="1" t="str">
        <f ca="1">IFERROR(__xludf.DUMMYFUNCTION("GOOGLETRANSLATE(E1577, ""zh"", ""en"")"),"Qualitative text")</f>
        <v>Qualitative text</v>
      </c>
    </row>
    <row r="1578" spans="1:3" ht="13" x14ac:dyDescent="0.15">
      <c r="A1578" s="1" t="str">
        <f ca="1">IFERROR(__xludf.DUMMYFUNCTION("GOOGLETRANSLATE(A1578, ""zh"", ""en"")"),"70 Joincare Pharmaceutical Group Co., Ltd. 8.2 Addressing Climate Change Climate change is one of the major challenges facing the world today.")</f>
        <v>70 Joincare Pharmaceutical Group Co., Ltd. 8.2 Addressing Climate Change Climate change is one of the major challenges facing the world today.</v>
      </c>
      <c r="B1578" s="1" t="str">
        <f ca="1">IFERROR(__xludf.DUMMYFUNCTION("GOOGLETRANSLATE(A1578, ""zh"", ""en"")"),"Addressing climate change")</f>
        <v>Addressing climate change</v>
      </c>
      <c r="C1578" s="1" t="str">
        <f ca="1">IFERROR(__xludf.DUMMYFUNCTION("GOOGLETRANSLATE(E1578, ""zh"", ""en"")"),"Qualitative text")</f>
        <v>Qualitative text</v>
      </c>
    </row>
    <row r="1579" spans="1:3" ht="13" x14ac:dyDescent="0.15">
      <c r="A1579" s="1" t="str">
        <f ca="1">IFERROR(__xludf.DUMMYFUNCTION("GOOGLETRANSLATE(A1579, ""zh"", ""en"")"),"Working together with the Ankang Municipal Government and Ankang University to establish the Ankang University Rural Revitalization College to create a practical base for talent development and industrial development")</f>
        <v>Working together with the Ankang Municipal Government and Ankang University to establish the Ankang University Rural Revitalization College to create a practical base for talent development and industrial development</v>
      </c>
      <c r="B1579" s="1" t="str">
        <f ca="1">IFERROR(__xludf.DUMMYFUNCTION("GOOGLETRANSLATE(A1579, ""zh"", ""en"")"),"Rural assistance")</f>
        <v>Rural assistance</v>
      </c>
      <c r="C1579" s="1" t="str">
        <f ca="1">IFERROR(__xludf.DUMMYFUNCTION("GOOGLETRANSLATE(E1579, ""zh"", ""en"")"),"Qualitative text")</f>
        <v>Qualitative text</v>
      </c>
    </row>
    <row r="1580" spans="1:3" ht="13" x14ac:dyDescent="0.15">
      <c r="A1580" s="1" t="str">
        <f ca="1">IFERROR(__xludf.DUMMYFUNCTION("GOOGLETRANSLATE(A1580, ""zh"", ""en"")"),"Nearly 20,000 inclusive financial specialists and over 70,000 employees have been deployed to provide clients with inclusive financial services. The account manager team has thrived in practice.")</f>
        <v>Nearly 20,000 inclusive financial specialists and over 70,000 employees have been deployed to provide clients with inclusive financial services. The account manager team has thrived in practice.</v>
      </c>
      <c r="B1580" s="1" t="str">
        <f ca="1">IFERROR(__xludf.DUMMYFUNCTION("GOOGLETRANSLATE(A1580, ""zh"", ""en"")"),"Customers and Consumers")</f>
        <v>Customers and Consumers</v>
      </c>
      <c r="C1580" s="1" t="str">
        <f ca="1">IFERROR(__xludf.DUMMYFUNCTION("GOOGLETRANSLATE(E1580, ""zh"", ""en"")"),"Quantitative Text")</f>
        <v>Quantitative Text</v>
      </c>
    </row>
    <row r="1581" spans="1:3" ht="13" x14ac:dyDescent="0.15">
      <c r="A1581" s="1" t="str">
        <f ca="1">IFERROR(__xludf.DUMMYFUNCTION("GOOGLETRANSLATE(A1581, ""zh"", ""en"")"),"During the smelting stage, we also conduct research on the comprehensive recovery of valuable metals from smelting slag and reuse it as a raw material for cement production.")</f>
        <v>During the smelting stage, we also conduct research on the comprehensive recovery of valuable metals from smelting slag and reuse it as a raw material for cement production.</v>
      </c>
      <c r="B1581" s="1" t="str">
        <f ca="1">IFERROR(__xludf.DUMMYFUNCTION("GOOGLETRANSLATE(A1581, ""zh"", ""en"")"),"Waste Management")</f>
        <v>Waste Management</v>
      </c>
      <c r="C1581" s="1" t="str">
        <f ca="1">IFERROR(__xludf.DUMMYFUNCTION("GOOGLETRANSLATE(E1581, ""zh"", ""en"")"),"Qualitative text")</f>
        <v>Qualitative text</v>
      </c>
    </row>
    <row r="1582" spans="1:3" ht="13" x14ac:dyDescent="0.15">
      <c r="A1582" s="1" t="str">
        <f ca="1">IFERROR(__xludf.DUMMYFUNCTION("GOOGLETRANSLATE(A1582, ""zh"", ""en"")"),"In terms of social benefits, the company has helped 137,400 local people find jobs and funded 1,011 rural teachers and 9,142 students.")</f>
        <v>In terms of social benefits, the company has helped 137,400 local people find jobs and funded 1,011 rural teachers and 9,142 students.</v>
      </c>
      <c r="B1582" s="1" t="str">
        <f ca="1">IFERROR(__xludf.DUMMYFUNCTION("GOOGLETRANSLATE(A1582, ""zh"", ""en"")"),"Public welfare and volunteer service")</f>
        <v>Public welfare and volunteer service</v>
      </c>
      <c r="C1582" s="1" t="str">
        <f ca="1">IFERROR(__xludf.DUMMYFUNCTION("GOOGLETRANSLATE(E1582, ""zh"", ""en"")"),"Quantitative Text")</f>
        <v>Quantitative Text</v>
      </c>
    </row>
    <row r="1583" spans="1:3" ht="13" x14ac:dyDescent="0.15">
      <c r="A1583" s="1" t="str">
        <f ca="1">IFERROR(__xludf.DUMMYFUNCTION("GOOGLETRANSLATE(A1583, ""zh"", ""en"")"),"We are committed to providing global customers with intelligent equipment and system solutions for energy efficiency improvement, low-carbon energy substitution and resource recycling.")</f>
        <v>We are committed to providing global customers with intelligent equipment and system solutions for energy efficiency improvement, low-carbon energy substitution and resource recycling.</v>
      </c>
      <c r="B1583" s="1" t="str">
        <f ca="1">IFERROR(__xludf.DUMMYFUNCTION("GOOGLETRANSLATE(A1583, ""zh"", ""en"")"),"Energy and resource consumption")</f>
        <v>Energy and resource consumption</v>
      </c>
      <c r="C1583" s="1" t="str">
        <f ca="1">IFERROR(__xludf.DUMMYFUNCTION("GOOGLETRANSLATE(E1583, ""zh"", ""en"")"),"Qualitative text")</f>
        <v>Qualitative text</v>
      </c>
    </row>
    <row r="1584" spans="1:3" ht="13" x14ac:dyDescent="0.15">
      <c r="A1584" s="1" t="str">
        <f ca="1">IFERROR(__xludf.DUMMYFUNCTION("GOOGLETRANSLATE(A1584, ""zh"", ""en"")"),"In the future, Tajikistan-China Mining will develop in a bigger, stronger and better direction, while actively giving back to society and contributing to the sustainable economic and social development of Tajikistan.")</f>
        <v>In the future, Tajikistan-China Mining will develop in a bigger, stronger and better direction, while actively giving back to society and contributing to the sustainable economic and social development of Tajikistan.</v>
      </c>
      <c r="B1584" s="1" t="str">
        <f ca="1">IFERROR(__xludf.DUMMYFUNCTION("GOOGLETRANSLATE(A1584, ""zh"", ""en"")"),"irrelevant text")</f>
        <v>irrelevant text</v>
      </c>
      <c r="C1584" s="1" t="str">
        <f ca="1">IFERROR(__xludf.DUMMYFUNCTION("GOOGLETRANSLATE(E1584, ""zh"", ""en"")"),"irrelevant text")</f>
        <v>irrelevant text</v>
      </c>
    </row>
    <row r="1585" spans="1:3" ht="13" x14ac:dyDescent="0.15">
      <c r="A1585" s="1" t="str">
        <f ca="1">IFERROR(__xludf.DUMMYFUNCTION("GOOGLETRANSLATE(A1585, ""zh"", ""en"")"),"In the rings of history, all electrical people use the timeline as the warp and the struggle as the weft to weave a dazzling colorful picture.")</f>
        <v>In the rings of history, all electrical people use the timeline as the warp and the struggle as the weft to weave a dazzling colorful picture.</v>
      </c>
      <c r="B1585" s="1" t="str">
        <f ca="1">IFERROR(__xludf.DUMMYFUNCTION("GOOGLETRANSLATE(A1585, ""zh"", ""en"")"),"irrelevant text")</f>
        <v>irrelevant text</v>
      </c>
      <c r="C1585" s="1" t="str">
        <f ca="1">IFERROR(__xludf.DUMMYFUNCTION("GOOGLETRANSLATE(E1585, ""zh"", ""en"")"),"irrelevant text")</f>
        <v>irrelevant text</v>
      </c>
    </row>
    <row r="1586" spans="1:3" ht="13" x14ac:dyDescent="0.15">
      <c r="A1586" s="1" t="str">
        <f ca="1">IFERROR(__xludf.DUMMYFUNCTION("GOOGLETRANSLATE(A1586, ""zh"", ""en"")"),"For low-concentration wastewater, we use clarification and mineral processing agent degradation processes before discharge to ensure that the wastewater meets the discharge standards of the operating area.")</f>
        <v>For low-concentration wastewater, we use clarification and mineral processing agent degradation processes before discharge to ensure that the wastewater meets the discharge standards of the operating area.</v>
      </c>
      <c r="B1586" s="1" t="str">
        <f ca="1">IFERROR(__xludf.DUMMYFUNCTION("GOOGLETRANSLATE(A1586, ""zh"", ""en"")"),"Waste Management")</f>
        <v>Waste Management</v>
      </c>
      <c r="C1586" s="1" t="str">
        <f ca="1">IFERROR(__xludf.DUMMYFUNCTION("GOOGLETRANSLATE(E1586, ""zh"", ""en"")"),"Qualitative text")</f>
        <v>Qualitative text</v>
      </c>
    </row>
    <row r="1587" spans="1:3" ht="13" x14ac:dyDescent="0.15">
      <c r="A1587" s="1" t="str">
        <f ca="1">IFERROR(__xludf.DUMMYFUNCTION("GOOGLETRANSLATE(A1587, ""zh"", ""en"")"),"Over the past year, we have continued to polish the ecological foundation of new finance. The balance of green loans has exceeded 2.7 trillion yuan, 2.8 times that of the end of 2018.")</f>
        <v>Over the past year, we have continued to polish the ecological foundation of new finance. The balance of green loans has exceeded 2.7 trillion yuan, 2.8 times that of the end of 2018.</v>
      </c>
      <c r="B1587" s="1" t="str">
        <f ca="1">IFERROR(__xludf.DUMMYFUNCTION("GOOGLETRANSLATE(A1587, ""zh"", ""en"")"),"Green Finance")</f>
        <v>Green Finance</v>
      </c>
      <c r="C1587" s="1" t="str">
        <f ca="1">IFERROR(__xludf.DUMMYFUNCTION("GOOGLETRANSLATE(E1587, ""zh"", ""en"")"),"Quantitative Text")</f>
        <v>Quantitative Text</v>
      </c>
    </row>
    <row r="1588" spans="1:3" ht="13" x14ac:dyDescent="0.15">
      <c r="A1588" s="1" t="str">
        <f ca="1">IFERROR(__xludf.DUMMYFUNCTION("GOOGLETRANSLATE(A1588, ""zh"", ""en"")"),"In 2021, Electric Wind Power officially launched the digital series product WINDSIGHT Xunming Wind Farm Digital Design Platform")</f>
        <v>In 2021, Electric Wind Power officially launched the digital series product WINDSIGHT Xunming Wind Farm Digital Design Platform</v>
      </c>
      <c r="B1588" s="1" t="str">
        <f ca="1">IFERROR(__xludf.DUMMYFUNCTION("GOOGLETRANSLATE(A1588, ""zh"", ""en"")"),"Technological innovation")</f>
        <v>Technological innovation</v>
      </c>
      <c r="C1588" s="1" t="str">
        <f ca="1">IFERROR(__xludf.DUMMYFUNCTION("GOOGLETRANSLATE(E1588, ""zh"", ""en"")"),"Qualitative text")</f>
        <v>Qualitative text</v>
      </c>
    </row>
    <row r="1589" spans="1:3" ht="13" x14ac:dyDescent="0.15">
      <c r="A1589" s="1" t="str">
        <f ca="1">IFERROR(__xludf.DUMMYFUNCTION("GOOGLETRANSLATE(A1589, ""zh"", ""en"")"),"In 2022, we conducted a dynamic audit of operational risk at our domestic first-tier branches, focusing on the effectiveness of employee behavior management.")</f>
        <v>In 2022, we conducted a dynamic audit of operational risk at our domestic first-tier branches, focusing on the effectiveness of employee behavior management.</v>
      </c>
      <c r="B1589" s="1" t="str">
        <f ca="1">IFERROR(__xludf.DUMMYFUNCTION("GOOGLETRANSLATE(A1589, ""zh"", ""en"")"),"Audit work")</f>
        <v>Audit work</v>
      </c>
      <c r="C1589" s="1" t="str">
        <f ca="1">IFERROR(__xludf.DUMMYFUNCTION("GOOGLETRANSLATE(E1589, ""zh"", ""en"")"),"Qualitative text")</f>
        <v>Qualitative text</v>
      </c>
    </row>
    <row r="1590" spans="1:3" ht="13" x14ac:dyDescent="0.15">
      <c r="A1590" s="1" t="str">
        <f ca="1">IFERROR(__xludf.DUMMYFUNCTION("GOOGLETRANSLATE(A1590, ""zh"", ""en"")"),"The company conducts a comprehensive assessment of the safety production responsibility system in June every year, identifies problems and makes timely corrections, and imposes penalties on non-compliant behaviors.")</f>
        <v>The company conducts a comprehensive assessment of the safety production responsibility system in June every year, identifies problems and makes timely corrections, and imposes penalties on non-compliant behaviors.</v>
      </c>
      <c r="B1590" s="1" t="str">
        <f ca="1">IFERROR(__xludf.DUMMYFUNCTION("GOOGLETRANSLATE(A1590, ""zh"", ""en"")"),"Legal proceedings and external sanctions")</f>
        <v>Legal proceedings and external sanctions</v>
      </c>
      <c r="C1590" s="1" t="str">
        <f ca="1">IFERROR(__xludf.DUMMYFUNCTION("GOOGLETRANSLATE(E1590, ""zh"", ""en"")"),"Qualitative text")</f>
        <v>Qualitative text</v>
      </c>
    </row>
    <row r="1591" spans="1:3" ht="13" x14ac:dyDescent="0.15">
      <c r="A1591" s="1" t="str">
        <f ca="1">IFERROR(__xludf.DUMMYFUNCTION("GOOGLETRANSLATE(A1591, ""zh"", ""en"")"),"In 2022, a total of 41 training sessions were organized in 12 branches including Qingdao, Inner Mongolia, training 1,787 people and promoting rural talent revitalization.")</f>
        <v>In 2022, a total of 41 training sessions were organized in 12 branches including Qingdao, Inner Mongolia, training 1,787 people and promoting rural talent revitalization.</v>
      </c>
      <c r="B1591" s="1" t="str">
        <f ca="1">IFERROR(__xludf.DUMMYFUNCTION("GOOGLETRANSLATE(A1591, ""zh"", ""en"")"),"Promoting employment")</f>
        <v>Promoting employment</v>
      </c>
      <c r="C1591" s="1" t="str">
        <f ca="1">IFERROR(__xludf.DUMMYFUNCTION("GOOGLETRANSLATE(E1591, ""zh"", ""en"")"),"Quantitative Text")</f>
        <v>Quantitative Text</v>
      </c>
    </row>
    <row r="1592" spans="1:3" ht="13" x14ac:dyDescent="0.15">
      <c r="A1592" s="1" t="str">
        <f ca="1">IFERROR(__xludf.DUMMYFUNCTION("GOOGLETRANSLATE(A1592, ""zh"", ""en"")"),"The Bank launched a special training program for young financial talents to support rural development.")</f>
        <v>The Bank launched a special training program for young financial talents to support rural development.</v>
      </c>
      <c r="B1592" s="1" t="str">
        <f ca="1">IFERROR(__xludf.DUMMYFUNCTION("GOOGLETRANSLATE(A1592, ""zh"", ""en"")"),"Rural assistance")</f>
        <v>Rural assistance</v>
      </c>
      <c r="C1592" s="1" t="str">
        <f ca="1">IFERROR(__xludf.DUMMYFUNCTION("GOOGLETRANSLATE(E1592, ""zh"", ""en"")"),"Quantitative Text")</f>
        <v>Quantitative Text</v>
      </c>
    </row>
    <row r="1593" spans="1:3" ht="13" x14ac:dyDescent="0.15">
      <c r="A1593" s="1" t="str">
        <f ca="1">IFERROR(__xludf.DUMMYFUNCTION("GOOGLETRANSLATE(A1593, ""zh"", ""en"")"),"618 training courses of various types were held throughout the year, with a staff training rate of 95.5% and a certification rate of 100% for personnel in the three majors and front-line employees.")</f>
        <v>618 training courses of various types were held throughout the year, with a staff training rate of 95.5% and a certification rate of 100% for personnel in the three majors and front-line employees.</v>
      </c>
      <c r="B1593" s="1" t="str">
        <f ca="1">IFERROR(__xludf.DUMMYFUNCTION("GOOGLETRANSLATE(A1593, ""zh"", ""en"")"),"staff")</f>
        <v>staff</v>
      </c>
      <c r="C1593" s="1" t="str">
        <f ca="1">IFERROR(__xludf.DUMMYFUNCTION("GOOGLETRANSLATE(E1593, ""zh"", ""en"")"),"Quantitative Text")</f>
        <v>Quantitative Text</v>
      </c>
    </row>
    <row r="1594" spans="1:3" ht="13" x14ac:dyDescent="0.15">
      <c r="A1594" s="1" t="str">
        <f ca="1">IFERROR(__xludf.DUMMYFUNCTION("GOOGLETRANSLATE(A1594, ""zh"", ""en"")"),"Further clarify the functional positioning of each governance entity, properly handle the relationship between the Party organization and other governance entities, clarify the boundaries of rights and responsibilities, and achieve seamless connection")</f>
        <v>Further clarify the functional positioning of each governance entity, properly handle the relationship between the Party organization and other governance entities, clarify the boundaries of rights and responsibilities, and achieve seamless connection</v>
      </c>
      <c r="B1594" s="1" t="str">
        <f ca="1">IFERROR(__xludf.DUMMYFUNCTION("GOOGLETRANSLATE(A1594, ""zh"", ""en"")"),"Organizational structure and operations")</f>
        <v>Organizational structure and operations</v>
      </c>
      <c r="C1594" s="1" t="str">
        <f ca="1">IFERROR(__xludf.DUMMYFUNCTION("GOOGLETRANSLATE(E1594, ""zh"", ""en"")"),"Qualitative text")</f>
        <v>Qualitative text</v>
      </c>
    </row>
    <row r="1595" spans="1:3" ht="13" x14ac:dyDescent="0.15">
      <c r="A1595" s="1" t="str">
        <f ca="1">IFERROR(__xludf.DUMMYFUNCTION("GOOGLETRANSLATE(A1595, ""zh"", ""en"")"),"Do not use unlicensed or authorized software patents, trademarks and other copyrighted products to bring users a faster, closer and smarter service experience")</f>
        <v>Do not use unlicensed or authorized software patents, trademarks and other copyrighted products to bring users a faster, closer and smarter service experience</v>
      </c>
      <c r="B1595" s="1" t="str">
        <f ca="1">IFERROR(__xludf.DUMMYFUNCTION("GOOGLETRANSLATE(A1595, ""zh"", ""en"")"),"Intellectual Property Protection")</f>
        <v>Intellectual Property Protection</v>
      </c>
      <c r="C1595" s="1" t="str">
        <f ca="1">IFERROR(__xludf.DUMMYFUNCTION("GOOGLETRANSLATE(E1595, ""zh"", ""en"")"),"Qualitative text")</f>
        <v>Qualitative text</v>
      </c>
    </row>
    <row r="1596" spans="1:3" ht="13" x14ac:dyDescent="0.15">
      <c r="A1596" s="1" t="str">
        <f ca="1">IFERROR(__xludf.DUMMYFUNCTION("GOOGLETRANSLATE(A1596, ""zh"", ""en"")"),"The electronic system management, including creative generation, proposal management, patent application authorization, maintenance and agency management, has greatly improved the level of patent management.")</f>
        <v>The electronic system management, including creative generation, proposal management, patent application authorization, maintenance and agency management, has greatly improved the level of patent management.</v>
      </c>
      <c r="B1596" s="1" t="str">
        <f ca="1">IFERROR(__xludf.DUMMYFUNCTION("GOOGLETRANSLATE(A1596, ""zh"", ""en"")"),"Intellectual Property Protection")</f>
        <v>Intellectual Property Protection</v>
      </c>
      <c r="C1596" s="1" t="str">
        <f ca="1">IFERROR(__xludf.DUMMYFUNCTION("GOOGLETRANSLATE(E1596, ""zh"", ""en"")"),"Qualitative text")</f>
        <v>Qualitative text</v>
      </c>
    </row>
    <row r="1597" spans="1:3" ht="13" x14ac:dyDescent="0.15">
      <c r="A1597" s="1" t="str">
        <f ca="1">IFERROR(__xludf.DUMMYFUNCTION("GOOGLETRANSLATE(A1597, ""zh"", ""en"")"),"At the same time, Huanlong New Materials directly signed purchase and sales contracts with farmers to carry out targeted purchases, benefiting 170,000 local farmers and driving the development of the local bamboo industry.")</f>
        <v>At the same time, Huanlong New Materials directly signed purchase and sales contracts with farmers to carry out targeted purchases, benefiting 170,000 local farmers and driving the development of the local bamboo industry.</v>
      </c>
      <c r="B1597" s="1" t="str">
        <f ca="1">IFERROR(__xludf.DUMMYFUNCTION("GOOGLETRANSLATE(A1597, ""zh"", ""en"")"),"Rural assistance")</f>
        <v>Rural assistance</v>
      </c>
      <c r="C1597" s="1" t="str">
        <f ca="1">IFERROR(__xludf.DUMMYFUNCTION("GOOGLETRANSLATE(E1597, ""zh"", ""en"")"),"Quantitative Text")</f>
        <v>Quantitative Text</v>
      </c>
    </row>
    <row r="1598" spans="1:3" ht="13" x14ac:dyDescent="0.15">
      <c r="A1598" s="1" t="str">
        <f ca="1">IFERROR(__xludf.DUMMYFUNCTION("GOOGLETRANSLATE(A1598, ""zh"", ""en"")"),"SDIC Capital encourages its invested enterprises to strengthen product and service innovation based on their own business characteristics, injecting new vitality into the development of companies and industries.")</f>
        <v>SDIC Capital encourages its invested enterprises to strengthen product and service innovation based on their own business characteristics, injecting new vitality into the development of companies and industries.</v>
      </c>
      <c r="B1598" s="1" t="str">
        <f ca="1">IFERROR(__xludf.DUMMYFUNCTION("GOOGLETRANSLATE(A1598, ""zh"", ""en"")"),"Technological innovation")</f>
        <v>Technological innovation</v>
      </c>
      <c r="C1598" s="1" t="str">
        <f ca="1">IFERROR(__xludf.DUMMYFUNCTION("GOOGLETRANSLATE(E1598, ""zh"", ""en"")"),"Qualitative text")</f>
        <v>Qualitative text</v>
      </c>
    </row>
    <row r="1599" spans="1:3" ht="13" x14ac:dyDescent="0.15">
      <c r="A1599" s="1" t="str">
        <f ca="1">IFERROR(__xludf.DUMMYFUNCTION("GOOGLETRANSLATE(A1599, ""zh"", ""en"")"),"8KA perception image quality processor HV8107 In the new display field, the company launched a new generation of ULEDX display technology platform")</f>
        <v>8KA perception image quality processor HV8107 In the new display field, the company launched a new generation of ULEDX display technology platform</v>
      </c>
      <c r="B1599" s="1" t="str">
        <f ca="1">IFERROR(__xludf.DUMMYFUNCTION("GOOGLETRANSLATE(A1599, ""zh"", ""en"")"),"Technological innovation")</f>
        <v>Technological innovation</v>
      </c>
      <c r="C1599" s="1" t="str">
        <f ca="1">IFERROR(__xludf.DUMMYFUNCTION("GOOGLETRANSLATE(E1599, ""zh"", ""en"")"),"Qualitative text")</f>
        <v>Qualitative text</v>
      </c>
    </row>
    <row r="1600" spans="1:3" ht="13" x14ac:dyDescent="0.15">
      <c r="A1600" s="1" t="str">
        <f ca="1">IFERROR(__xludf.DUMMYFUNCTION("GOOGLETRANSLATE(A1600, ""zh"", ""en"")"),"The Supervisory Board currently consists of three supervisors, all of whom are female supervisors, including one employee supervisor elected by the company's employee representative assembly.")</f>
        <v>The Supervisory Board currently consists of three supervisors, all of whom are female supervisors, including one employee supervisor elected by the company's employee representative assembly.</v>
      </c>
      <c r="B1600" s="1" t="str">
        <f ca="1">IFERROR(__xludf.DUMMYFUNCTION("GOOGLETRANSLATE(A1600, ""zh"", ""en"")"),"Organizational structure and operations")</f>
        <v>Organizational structure and operations</v>
      </c>
      <c r="C1600" s="1" t="str">
        <f ca="1">IFERROR(__xludf.DUMMYFUNCTION("GOOGLETRANSLATE(E1600, ""zh"", ""en"")"),"Quantitative Text")</f>
        <v>Quantitative Text</v>
      </c>
    </row>
    <row r="1601" spans="1:3" ht="13" x14ac:dyDescent="0.15">
      <c r="A1601" s="1" t="str">
        <f ca="1">IFERROR(__xludf.DUMMYFUNCTION("GOOGLETRANSLATE(A1601, ""zh"", ""en"")"),"On the basis of a reasonable and competitive salary system, the company has established various project awards and proposal awards to encourage employees to participate in management and unleash their creativity.")</f>
        <v>On the basis of a reasonable and competitive salary system, the company has established various project awards and proposal awards to encourage employees to participate in management and unleash their creativity.</v>
      </c>
      <c r="B1601" s="1" t="str">
        <f ca="1">IFERROR(__xludf.DUMMYFUNCTION("GOOGLETRANSLATE(A1601, ""zh"", ""en"")"),"staff")</f>
        <v>staff</v>
      </c>
      <c r="C1601" s="1" t="str">
        <f ca="1">IFERROR(__xludf.DUMMYFUNCTION("GOOGLETRANSLATE(E1601, ""zh"", ""en"")"),"Qualitative text")</f>
        <v>Qualitative text</v>
      </c>
    </row>
    <row r="1602" spans="1:3" ht="13" x14ac:dyDescent="0.15">
      <c r="A1602" s="1" t="str">
        <f ca="1">IFERROR(__xludf.DUMMYFUNCTION("GOOGLETRANSLATE(A1602, ""zh"", ""en"")"),"4. Help employees in need. The company has always adhered to the people-oriented principle, cared about the well-being of employees, and actively carried out condolences and warmth activities.")</f>
        <v>4. Help employees in need. The company has always adhered to the people-oriented principle, cared about the well-being of employees, and actively carried out condolences and warmth activities.</v>
      </c>
      <c r="B1602" s="1" t="str">
        <f ca="1">IFERROR(__xludf.DUMMYFUNCTION("GOOGLETRANSLATE(A1602, ""zh"", ""en"")"),"staff")</f>
        <v>staff</v>
      </c>
      <c r="C1602" s="1" t="str">
        <f ca="1">IFERROR(__xludf.DUMMYFUNCTION("GOOGLETRANSLATE(E1602, ""zh"", ""en"")"),"Qualitative text")</f>
        <v>Qualitative text</v>
      </c>
    </row>
    <row r="1603" spans="1:3" ht="13" x14ac:dyDescent="0.15">
      <c r="A1603" s="1" t="str">
        <f ca="1">IFERROR(__xludf.DUMMYFUNCTION("GOOGLETRANSLATE(A1603, ""zh"", ""en"")"),"The information and reporting in Fosun Pharma's 2022 Corporate Social Responsibility Report are the responsibility of its Chairman Governance Body and management.")</f>
        <v>The information and reporting in Fosun Pharma's 2022 Corporate Social Responsibility Report are the responsibility of its Chairman Governance Body and management.</v>
      </c>
      <c r="B1603" s="1" t="str">
        <f ca="1">IFERROR(__xludf.DUMMYFUNCTION("GOOGLETRANSLATE(A1603, ""zh"", ""en"")"),"Organizational structure and operations")</f>
        <v>Organizational structure and operations</v>
      </c>
      <c r="C1603" s="1" t="str">
        <f ca="1">IFERROR(__xludf.DUMMYFUNCTION("GOOGLETRANSLATE(E1603, ""zh"", ""en"")"),"Qualitative text")</f>
        <v>Qualitative text</v>
      </c>
    </row>
    <row r="1604" spans="1:3" ht="13" x14ac:dyDescent="0.15">
      <c r="A1604" s="1" t="str">
        <f ca="1">IFERROR(__xludf.DUMMYFUNCTION("GOOGLETRANSLATE(A1604, ""zh"", ""en"")"),"Compliance e-publications We share anti-corruption topics in overseas operating regions through the circulation of compliance e-publications at the Global Legal Summit.")</f>
        <v>Compliance e-publications We share anti-corruption topics in overseas operating regions through the circulation of compliance e-publications at the Global Legal Summit.</v>
      </c>
      <c r="B1604" s="1" t="str">
        <f ca="1">IFERROR(__xludf.DUMMYFUNCTION("GOOGLETRANSLATE(A1604, ""zh"", ""en"")"),"Anti-corruption and anti-money laundering")</f>
        <v>Anti-corruption and anti-money laundering</v>
      </c>
      <c r="C1604" s="1" t="str">
        <f ca="1">IFERROR(__xludf.DUMMYFUNCTION("GOOGLETRANSLATE(E1604, ""zh"", ""en"")"),"Qualitative text")</f>
        <v>Qualitative text</v>
      </c>
    </row>
    <row r="1605" spans="1:3" ht="13" x14ac:dyDescent="0.15">
      <c r="A1605" s="1" t="str">
        <f ca="1">IFERROR(__xludf.DUMMYFUNCTION("GOOGLETRANSLATE(A1605, ""zh"", ""en"")"),"This report has disclosed in detail the above environmental, social and governance related matters and was reviewed and approved by the Board of Directors on March 30, 2023.")</f>
        <v>This report has disclosed in detail the above environmental, social and governance related matters and was reviewed and approved by the Board of Directors on March 30, 2023.</v>
      </c>
      <c r="B1605" s="1" t="str">
        <f ca="1">IFERROR(__xludf.DUMMYFUNCTION("GOOGLETRANSLATE(A1605, ""zh"", ""en"")"),"Information Disclosure and Investor Communication")</f>
        <v>Information Disclosure and Investor Communication</v>
      </c>
      <c r="C1605" s="1" t="str">
        <f ca="1">IFERROR(__xludf.DUMMYFUNCTION("GOOGLETRANSLATE(E1605, ""zh"", ""en"")"),"Qualitative text")</f>
        <v>Qualitative text</v>
      </c>
    </row>
    <row r="1606" spans="1:3" ht="13" x14ac:dyDescent="0.15">
      <c r="A1606" s="1" t="str">
        <f ca="1">IFERROR(__xludf.DUMMYFUNCTION("GOOGLETRANSLATE(A1606, ""zh"", ""en"")"),"In order to continuously improve our work and continuously enhance the company's sustainable development capabilities and level, we very much hope to hear your opinions and suggestions")</f>
        <v>In order to continuously improve our work and continuously enhance the company's sustainable development capabilities and level, we very much hope to hear your opinions and suggestions</v>
      </c>
      <c r="B1606" s="1" t="str">
        <f ca="1">IFERROR(__xludf.DUMMYFUNCTION("GOOGLETRANSLATE(A1606, ""zh"", ""en"")"),"irrelevant text")</f>
        <v>irrelevant text</v>
      </c>
      <c r="C1606" s="1" t="str">
        <f ca="1">IFERROR(__xludf.DUMMYFUNCTION("GOOGLETRANSLATE(E1606, ""zh"", ""en"")"),"irrelevant text")</f>
        <v>irrelevant text</v>
      </c>
    </row>
    <row r="1607" spans="1:3" ht="13" x14ac:dyDescent="0.15">
      <c r="A1607" s="1" t="str">
        <f ca="1">IFERROR(__xludf.DUMMYFUNCTION("GOOGLETRANSLATE(A1607, ""zh"", ""en"")"),"Seeking improper benefits for the convenience of work and damaging the interests of Fosun Pharma.")</f>
        <v>Seeking improper benefits for the convenience of work and damaging the interests of Fosun Pharma.</v>
      </c>
      <c r="B1607" s="1" t="str">
        <f ca="1">IFERROR(__xludf.DUMMYFUNCTION("GOOGLETRANSLATE(A1607, ""zh"", ""en"")"),"Anti-corruption and anti-money laundering")</f>
        <v>Anti-corruption and anti-money laundering</v>
      </c>
      <c r="C1607" s="1" t="str">
        <f ca="1">IFERROR(__xludf.DUMMYFUNCTION("GOOGLETRANSLATE(E1607, ""zh"", ""en"")"),"Quantitative Text")</f>
        <v>Quantitative Text</v>
      </c>
    </row>
    <row r="1608" spans="1:3" ht="13" x14ac:dyDescent="0.15">
      <c r="A1608" s="1" t="str">
        <f ca="1">IFERROR(__xludf.DUMMYFUNCTION("GOOGLETRANSLATE(A1608, ""zh"", ""en"")"),"We would like to express our deepest gratitude and highest respect to our responsible partners, peers, and enterprises for visiting and researching.")</f>
        <v>We would like to express our deepest gratitude and highest respect to our responsible partners, peers, and enterprises for visiting and researching.</v>
      </c>
      <c r="B1608" s="1" t="str">
        <f ca="1">IFERROR(__xludf.DUMMYFUNCTION("GOOGLETRANSLATE(A1608, ""zh"", ""en"")"),"irrelevant text")</f>
        <v>irrelevant text</v>
      </c>
      <c r="C1608" s="1" t="str">
        <f ca="1">IFERROR(__xludf.DUMMYFUNCTION("GOOGLETRANSLATE(E1608, ""zh"", ""en"")"),"irrelevant text")</f>
        <v>irrelevant text</v>
      </c>
    </row>
    <row r="1609" spans="1:3" ht="13" x14ac:dyDescent="0.15">
      <c r="A1609" s="1" t="str">
        <f ca="1">IFERROR(__xludf.DUMMYFUNCTION("GOOGLETRANSLATE(A1609, ""zh"", ""en"")"),"The first use of non-human resource human resource management enables students to use HR skills to master the necessary basic skills of identifying and managing people")</f>
        <v>The first use of non-human resource human resource management enables students to use HR skills to master the necessary basic skills of identifying and managing people</v>
      </c>
      <c r="B1609" s="1" t="str">
        <f ca="1">IFERROR(__xludf.DUMMYFUNCTION("GOOGLETRANSLATE(A1609, ""zh"", ""en"")"),"staff")</f>
        <v>staff</v>
      </c>
      <c r="C1609" s="1" t="str">
        <f ca="1">IFERROR(__xludf.DUMMYFUNCTION("GOOGLETRANSLATE(E1609, ""zh"", ""en"")"),"Qualitative text")</f>
        <v>Qualitative text</v>
      </c>
    </row>
    <row r="1610" spans="1:3" ht="13" x14ac:dyDescent="0.15">
      <c r="A1610" s="1" t="str">
        <f ca="1">IFERROR(__xludf.DUMMYFUNCTION("GOOGLETRANSLATE(A1610, ""zh"", ""en"")"),"Strengthen targeted incentives for key groups and continue to increase incentives for high-end management talents, core scientific and technological R&amp;D talents, and highly skilled leading talents.")</f>
        <v>Strengthen targeted incentives for key groups and continue to increase incentives for high-end management talents, core scientific and technological R&amp;D talents, and highly skilled leading talents.</v>
      </c>
      <c r="B1610" s="1" t="str">
        <f ca="1">IFERROR(__xludf.DUMMYFUNCTION("GOOGLETRANSLATE(A1610, ""zh"", ""en"")"),"staff")</f>
        <v>staff</v>
      </c>
      <c r="C1610" s="1" t="str">
        <f ca="1">IFERROR(__xludf.DUMMYFUNCTION("GOOGLETRANSLATE(E1610, ""zh"", ""en"")"),"Qualitative text")</f>
        <v>Qualitative text</v>
      </c>
    </row>
    <row r="1611" spans="1:3" ht="13" x14ac:dyDescent="0.15">
      <c r="A1611" s="1" t="str">
        <f ca="1">IFERROR(__xludf.DUMMYFUNCTION("GOOGLETRANSLATE(A1611, ""zh"", ""en"")"),"Informatization strengthens communication and evaluation through multiple channels. Utilizes the company's OAERP and other information systems to optimize procurement processes and improve procurement efficiency.")</f>
        <v>Informatization strengthens communication and evaluation through multiple channels. Utilizes the company's OAERP and other information systems to optimize procurement processes and improve procurement efficiency.</v>
      </c>
      <c r="B1611" s="1" t="str">
        <f ca="1">IFERROR(__xludf.DUMMYFUNCTION("GOOGLETRANSLATE(A1611, ""zh"", ""en"")"),"supply chain management")</f>
        <v>supply chain management</v>
      </c>
      <c r="C1611" s="1" t="str">
        <f ca="1">IFERROR(__xludf.DUMMYFUNCTION("GOOGLETRANSLATE(E1611, ""zh"", ""en"")"),"Qualitative text")</f>
        <v>Qualitative text</v>
      </c>
    </row>
    <row r="1612" spans="1:3" ht="13" x14ac:dyDescent="0.15">
      <c r="A1612" s="1" t="str">
        <f ca="1">IFERROR(__xludf.DUMMYFUNCTION("GOOGLETRANSLATE(A1612, ""zh"", ""en"")"),"P29B5.3 Describe the practices for identifying environmental and social risks at each stage of the supply chain and the related implementation and monitoring methods")</f>
        <v>P29B5.3 Describe the practices for identifying environmental and social risks at each stage of the supply chain and the related implementation and monitoring methods</v>
      </c>
      <c r="B1612" s="1" t="str">
        <f ca="1">IFERROR(__xludf.DUMMYFUNCTION("GOOGLETRANSLATE(A1612, ""zh"", ""en"")"),"supply chain management")</f>
        <v>supply chain management</v>
      </c>
      <c r="C1612" s="1" t="str">
        <f ca="1">IFERROR(__xludf.DUMMYFUNCTION("GOOGLETRANSLATE(E1612, ""zh"", ""en"")"),"Qualitative text")</f>
        <v>Qualitative text</v>
      </c>
    </row>
    <row r="1613" spans="1:3" ht="13" x14ac:dyDescent="0.15">
      <c r="A1613" s="1" t="str">
        <f ca="1">IFERROR(__xludf.DUMMYFUNCTION("GOOGLETRANSLATE(A1613, ""zh"", ""en"")"),"The training focused on on-site and practical training to test the effectiveness of employees' training and their practical skills, effectively improving their ability to handle emergencies in the first place.")</f>
        <v>The training focused on on-site and practical training to test the effectiveness of employees' training and their practical skills, effectively improving their ability to handle emergencies in the first place.</v>
      </c>
      <c r="B1613" s="1" t="str">
        <f ca="1">IFERROR(__xludf.DUMMYFUNCTION("GOOGLETRANSLATE(A1613, ""zh"", ""en"")"),"staff")</f>
        <v>staff</v>
      </c>
      <c r="C1613" s="1" t="str">
        <f ca="1">IFERROR(__xludf.DUMMYFUNCTION("GOOGLETRANSLATE(E1613, ""zh"", ""en"")"),"Qualitative text")</f>
        <v>Qualitative text</v>
      </c>
    </row>
    <row r="1614" spans="1:3" ht="13" x14ac:dyDescent="0.15">
      <c r="A1614" s="1" t="str">
        <f ca="1">IFERROR(__xludf.DUMMYFUNCTION("GOOGLETRANSLATE(A1614, ""zh"", ""en"")"),"The company has established a network platform for intellectual support and training in rural areas to encourage all kinds of talents to give full play to their potential in the vast rural areas.")</f>
        <v>The company has established a network platform for intellectual support and training in rural areas to encourage all kinds of talents to give full play to their potential in the vast rural areas.</v>
      </c>
      <c r="B1614" s="1" t="str">
        <f ca="1">IFERROR(__xludf.DUMMYFUNCTION("GOOGLETRANSLATE(A1614, ""zh"", ""en"")"),"Rural assistance")</f>
        <v>Rural assistance</v>
      </c>
      <c r="C1614" s="1" t="str">
        <f ca="1">IFERROR(__xludf.DUMMYFUNCTION("GOOGLETRANSLATE(E1614, ""zh"", ""en"")"),"Qualitative text")</f>
        <v>Qualitative text</v>
      </c>
    </row>
    <row r="1615" spans="1:3" ht="13" x14ac:dyDescent="0.15">
      <c r="A1615" s="1" t="str">
        <f ca="1">IFERROR(__xludf.DUMMYFUNCTION("GOOGLETRANSLATE(A1615, ""zh"", ""en"")"),"Optimize the allocation of innovation resources, build a vibrant open innovation ecosystem, improve the overall efficiency of the innovation chain, and enhance the ability to support and lead scientific and technological innovation.")</f>
        <v>Optimize the allocation of innovation resources, build a vibrant open innovation ecosystem, improve the overall efficiency of the innovation chain, and enhance the ability to support and lead scientific and technological innovation.</v>
      </c>
      <c r="B1615" s="1" t="str">
        <f ca="1">IFERROR(__xludf.DUMMYFUNCTION("GOOGLETRANSLATE(A1615, ""zh"", ""en"")"),"Technological innovation")</f>
        <v>Technological innovation</v>
      </c>
      <c r="C1615" s="1" t="str">
        <f ca="1">IFERROR(__xludf.DUMMYFUNCTION("GOOGLETRANSLATE(E1615, ""zh"", ""en"")"),"Qualitative text")</f>
        <v>Qualitative text</v>
      </c>
    </row>
    <row r="1616" spans="1:3" ht="13" x14ac:dyDescent="0.15">
      <c r="A1616" s="1" t="str">
        <f ca="1">IFERROR(__xludf.DUMMYFUNCTION("GOOGLETRANSLATE(A1616, ""zh"", ""en"")"),"The company was listed on the Shanghai Stock Exchange on January 21, 1997 and changed its name to China Storage Development Co., Ltd. in 1998.")</f>
        <v>The company was listed on the Shanghai Stock Exchange on January 21, 1997 and changed its name to China Storage Development Co., Ltd. in 1998.</v>
      </c>
      <c r="B1616" s="1" t="str">
        <f ca="1">IFERROR(__xludf.DUMMYFUNCTION("GOOGLETRANSLATE(A1616, ""zh"", ""en"")"),"irrelevant text")</f>
        <v>irrelevant text</v>
      </c>
      <c r="C1616" s="1" t="str">
        <f ca="1">IFERROR(__xludf.DUMMYFUNCTION("GOOGLETRANSLATE(E1616, ""zh"", ""en"")"),"irrelevant text")</f>
        <v>irrelevant text</v>
      </c>
    </row>
    <row r="1617" spans="1:3" ht="13" x14ac:dyDescent="0.15">
      <c r="A1617" s="1" t="str">
        <f ca="1">IFERROR(__xludf.DUMMYFUNCTION("GOOGLETRANSLATE(A1617, ""zh"", ""en"")"),"Organize special learning and training activities to help employees fully understand and master the newly issued chemical laws and regulations and integrate them into their daily work")</f>
        <v>Organize special learning and training activities to help employees fully understand and master the newly issued chemical laws and regulations and integrate them into their daily work</v>
      </c>
      <c r="B1617" s="1" t="str">
        <f ca="1">IFERROR(__xludf.DUMMYFUNCTION("GOOGLETRANSLATE(A1617, ""zh"", ""en"")"),"Chemical Safety")</f>
        <v>Chemical Safety</v>
      </c>
      <c r="C1617" s="1" t="str">
        <f ca="1">IFERROR(__xludf.DUMMYFUNCTION("GOOGLETRANSLATE(E1617, ""zh"", ""en"")"),"Qualitative text")</f>
        <v>Qualitative text</v>
      </c>
    </row>
    <row r="1618" spans="1:3" ht="13" x14ac:dyDescent="0.15">
      <c r="A1618" s="1" t="str">
        <f ca="1">IFERROR(__xludf.DUMMYFUNCTION("GOOGLETRANSLATE(A1618, ""zh"", ""en"")"),"Waste classification and disposal methods: Use company facilities for disposal or entrust qualified hazardous waste management units for disposal.")</f>
        <v>Waste classification and disposal methods: Use company facilities for disposal or entrust qualified hazardous waste management units for disposal.</v>
      </c>
      <c r="B1618" s="1" t="str">
        <f ca="1">IFERROR(__xludf.DUMMYFUNCTION("GOOGLETRANSLATE(A1618, ""zh"", ""en"")"),"Waste Management")</f>
        <v>Waste Management</v>
      </c>
      <c r="C1618" s="1" t="str">
        <f ca="1">IFERROR(__xludf.DUMMYFUNCTION("GOOGLETRANSLATE(E1618, ""zh"", ""en"")"),"Qualitative text")</f>
        <v>Qualitative text</v>
      </c>
    </row>
    <row r="1619" spans="1:3" ht="13" x14ac:dyDescent="0.15">
      <c r="A1619" s="1" t="str">
        <f ca="1">IFERROR(__xludf.DUMMYFUNCTION("GOOGLETRANSLATE(A1619, ""zh"", ""en"")"),"Since 2019, the company has officially used shared pallets in 27 companies, leading the development direction of logistics in the domestic synthetic resin industry.")</f>
        <v>Since 2019, the company has officially used shared pallets in 27 companies, leading the development direction of logistics in the domestic synthetic resin industry.</v>
      </c>
      <c r="B1619" s="1" t="str">
        <f ca="1">IFERROR(__xludf.DUMMYFUNCTION("GOOGLETRANSLATE(A1619, ""zh"", ""en"")"),"raw materials")</f>
        <v>raw materials</v>
      </c>
      <c r="C1619" s="1" t="str">
        <f ca="1">IFERROR(__xludf.DUMMYFUNCTION("GOOGLETRANSLATE(E1619, ""zh"", ""en"")"),"Quantitative Text")</f>
        <v>Quantitative Text</v>
      </c>
    </row>
    <row r="1620" spans="1:3" ht="13" x14ac:dyDescent="0.15">
      <c r="A1620" s="1" t="str">
        <f ca="1">IFERROR(__xludf.DUMMYFUNCTION("GOOGLETRANSLATE(A1620, ""zh"", ""en"")"),"First, a risk list is formed from the bottom up, and then a list of major risks for key supervision of the company is further determined based on the results of the enterprise identification and assessment.")</f>
        <v>First, a risk list is formed from the bottom up, and then a list of major risks for key supervision of the company is further determined based on the results of the enterprise identification and assessment.</v>
      </c>
      <c r="B1620" s="1" t="str">
        <f ca="1">IFERROR(__xludf.DUMMYFUNCTION("GOOGLETRANSLATE(A1620, ""zh"", ""en"")"),"irrelevant text")</f>
        <v>irrelevant text</v>
      </c>
      <c r="C1620" s="1" t="str">
        <f ca="1">IFERROR(__xludf.DUMMYFUNCTION("GOOGLETRANSLATE(E1620, ""zh"", ""en"")"),"irrelevant text")</f>
        <v>irrelevant text</v>
      </c>
    </row>
    <row r="1621" spans="1:3" ht="13" x14ac:dyDescent="0.15">
      <c r="A1621" s="1" t="str">
        <f ca="1">IFERROR(__xludf.DUMMYFUNCTION("GOOGLETRANSLATE(A1621, ""zh"", ""en"")"),"In addition, the company has significantly improved its comprehensive management and control of contractors and employees through applications such as the contractor management information platform.")</f>
        <v>In addition, the company has significantly improved its comprehensive management and control of contractors and employees through applications such as the contractor management information platform.</v>
      </c>
      <c r="B1621" s="1" t="str">
        <f ca="1">IFERROR(__xludf.DUMMYFUNCTION("GOOGLETRANSLATE(A1621, ""zh"", ""en"")"),"staff")</f>
        <v>staff</v>
      </c>
      <c r="C1621" s="1" t="str">
        <f ca="1">IFERROR(__xludf.DUMMYFUNCTION("GOOGLETRANSLATE(E1621, ""zh"", ""en"")"),"Qualitative text")</f>
        <v>Qualitative text</v>
      </c>
    </row>
    <row r="1622" spans="1:3" ht="13" x14ac:dyDescent="0.15">
      <c r="A1622" s="1" t="str">
        <f ca="1">IFERROR(__xludf.DUMMYFUNCTION("GOOGLETRANSLATE(A1622, ""zh"", ""en"")"),"Horizontally, we will break down barriers to cross-sequence development, promote job transfers, and formulate policies for mutual recognition of professional skill levels and corresponding professional titles.")</f>
        <v>Horizontally, we will break down barriers to cross-sequence development, promote job transfers, and formulate policies for mutual recognition of professional skill levels and corresponding professional titles.</v>
      </c>
      <c r="B1622" s="1" t="str">
        <f ca="1">IFERROR(__xludf.DUMMYFUNCTION("GOOGLETRANSLATE(A1622, ""zh"", ""en"")"),"staff")</f>
        <v>staff</v>
      </c>
      <c r="C1622" s="1" t="str">
        <f ca="1">IFERROR(__xludf.DUMMYFUNCTION("GOOGLETRANSLATE(E1622, ""zh"", ""en"")"),"Qualitative text")</f>
        <v>Qualitative text</v>
      </c>
    </row>
    <row r="1623" spans="1:3" ht="13" x14ac:dyDescent="0.15">
      <c r="A1623" s="1" t="str">
        <f ca="1">IFERROR(__xludf.DUMMYFUNCTION("GOOGLETRANSLATE(A1623, ""zh"", ""en"")"),"Comprehensively carry out carbon asset management, organize and implement carbon inventory and carbon verification, set up a full-time carbon trading team to ensure the timely completion of carbon quota compliance tasks")</f>
        <v>Comprehensively carry out carbon asset management, organize and implement carbon inventory and carbon verification, set up a full-time carbon trading team to ensure the timely completion of carbon quota compliance tasks</v>
      </c>
      <c r="B1623" s="1" t="str">
        <f ca="1">IFERROR(__xludf.DUMMYFUNCTION("GOOGLETRANSLATE(A1623, ""zh"", ""en"")"),"carbon emissions")</f>
        <v>carbon emissions</v>
      </c>
      <c r="C1623" s="1" t="str">
        <f ca="1">IFERROR(__xludf.DUMMYFUNCTION("GOOGLETRANSLATE(E1623, ""zh"", ""en"")"),"Qualitative text")</f>
        <v>Qualitative text</v>
      </c>
    </row>
    <row r="1624" spans="1:3" ht="13" x14ac:dyDescent="0.15">
      <c r="A1624" s="1" t="str">
        <f ca="1">IFERROR(__xludf.DUMMYFUNCTION("GOOGLETRANSLATE(A1624, ""zh"", ""en"")"),"After the construction is completed, clean up the waste materials and garbage on site according to the principle of clean site after work and recycle the waste as much as possible.")</f>
        <v>After the construction is completed, clean up the waste materials and garbage on site according to the principle of clean site after work and recycle the waste as much as possible.</v>
      </c>
      <c r="B1624" s="1" t="str">
        <f ca="1">IFERROR(__xludf.DUMMYFUNCTION("GOOGLETRANSLATE(A1624, ""zh"", ""en"")"),"Waste Management")</f>
        <v>Waste Management</v>
      </c>
      <c r="C1624" s="1" t="str">
        <f ca="1">IFERROR(__xludf.DUMMYFUNCTION("GOOGLETRANSLATE(E1624, ""zh"", ""en"")"),"Qualitative text")</f>
        <v>Qualitative text</v>
      </c>
    </row>
    <row r="1625" spans="1:3" ht="13" x14ac:dyDescent="0.15">
      <c r="A1625" s="1" t="str">
        <f ca="1">IFERROR(__xludf.DUMMYFUNCTION("GOOGLETRANSLATE(A1625, ""zh"", ""en"")"),"CITIC Securities is committed to creating a diverse and inclusive corporate culture for its employees and providing a comprehensive talent training system and scientific career advancement channels.")</f>
        <v>CITIC Securities is committed to creating a diverse and inclusive corporate culture for its employees and providing a comprehensive talent training system and scientific career advancement channels.</v>
      </c>
      <c r="B1625" s="1" t="str">
        <f ca="1">IFERROR(__xludf.DUMMYFUNCTION("GOOGLETRANSLATE(A1625, ""zh"", ""en"")"),"staff")</f>
        <v>staff</v>
      </c>
      <c r="C1625" s="1" t="str">
        <f ca="1">IFERROR(__xludf.DUMMYFUNCTION("GOOGLETRANSLATE(E1625, ""zh"", ""en"")"),"Qualitative text")</f>
        <v>Qualitative text</v>
      </c>
    </row>
    <row r="1626" spans="1:3" ht="13" x14ac:dyDescent="0.15">
      <c r="A1626" s="1" t="str">
        <f ca="1">IFERROR(__xludf.DUMMYFUNCTION("GOOGLETRANSLATE(A1626, ""zh"", ""en"")"),"Not applicable Note 1 A3 Environment and Natural Resources General Disclosure Policies on minimizing the issuer's significant impacts on the environment and natural resources")</f>
        <v>Not applicable Note 1 A3 Environment and Natural Resources General Disclosure Policies on minimizing the issuer's significant impacts on the environment and natural resources</v>
      </c>
      <c r="B1626" s="1" t="str">
        <f ca="1">IFERROR(__xludf.DUMMYFUNCTION("GOOGLETRANSLATE(A1626, ""zh"", ""en"")"),"Environmental Policy")</f>
        <v>Environmental Policy</v>
      </c>
      <c r="C1626" s="1" t="str">
        <f ca="1">IFERROR(__xludf.DUMMYFUNCTION("GOOGLETRANSLATE(E1626, ""zh"", ""en"")"),"Qualitative text")</f>
        <v>Qualitative text</v>
      </c>
    </row>
    <row r="1627" spans="1:3" ht="13" x14ac:dyDescent="0.15">
      <c r="A1627" s="1" t="str">
        <f ca="1">IFERROR(__xludf.DUMMYFUNCTION("GOOGLETRANSLATE(A1627, ""zh"", ""en"")"),"In May, Shanghai was completely locked down due to the outbreak of the epidemic. Dongyuan Renzhi Property Management staff stayed on the front line and worked on the project for more than 90 consecutive days, living and eating in the project.")</f>
        <v>In May, Shanghai was completely locked down due to the outbreak of the epidemic. Dongyuan Renzhi Property Management staff stayed on the front line and worked on the project for more than 90 consecutive days, living and eating in the project.</v>
      </c>
      <c r="B1627" s="1" t="str">
        <f ca="1">IFERROR(__xludf.DUMMYFUNCTION("GOOGLETRANSLATE(A1627, ""zh"", ""en"")"),"Fighting the epidemic")</f>
        <v>Fighting the epidemic</v>
      </c>
      <c r="C1627" s="1" t="str">
        <f ca="1">IFERROR(__xludf.DUMMYFUNCTION("GOOGLETRANSLATE(E1627, ""zh"", ""en"")"),"Qualitative text")</f>
        <v>Qualitative text</v>
      </c>
    </row>
    <row r="1628" spans="1:3" ht="13" x14ac:dyDescent="0.15">
      <c r="A1628" s="1" t="str">
        <f ca="1">IFERROR(__xludf.DUMMYFUNCTION("GOOGLETRANSLATE(A1628, ""zh"", ""en"")"),"Multi-channel sharing has established multiple communication channels to promote the sharing of corporate culture, strategy, vision, industry practices and values ​​within Dima Co., Ltd.")</f>
        <v>Multi-channel sharing has established multiple communication channels to promote the sharing of corporate culture, strategy, vision, industry practices and values ​​within Dima Co., Ltd.</v>
      </c>
      <c r="B1628" s="1" t="str">
        <f ca="1">IFERROR(__xludf.DUMMYFUNCTION("GOOGLETRANSLATE(A1628, ""zh"", ""en"")"),"Organizational structure and operations")</f>
        <v>Organizational structure and operations</v>
      </c>
      <c r="C1628" s="1" t="str">
        <f ca="1">IFERROR(__xludf.DUMMYFUNCTION("GOOGLETRANSLATE(E1628, ""zh"", ""en"")"),"Qualitative text")</f>
        <v>Qualitative text</v>
      </c>
    </row>
    <row r="1629" spans="1:3" ht="13" x14ac:dyDescent="0.15">
      <c r="A1629" s="1" t="str">
        <f ca="1">IFERROR(__xludf.DUMMYFUNCTION("GOOGLETRANSLATE(A1629, ""zh"", ""en"")"),"Low-carbon construction materials. In 2022, Dima Industry developed new energy products such as pure electric bulletproof cash transport vehicles and new energy orchard plant protection robots.")</f>
        <v>Low-carbon construction materials. In 2022, Dima Industry developed new energy products such as pure electric bulletproof cash transport vehicles and new energy orchard plant protection robots.</v>
      </c>
      <c r="B1629" s="1" t="str">
        <f ca="1">IFERROR(__xludf.DUMMYFUNCTION("GOOGLETRANSLATE(A1629, ""zh"", ""en"")"),"Technological innovation")</f>
        <v>Technological innovation</v>
      </c>
      <c r="C1629" s="1" t="str">
        <f ca="1">IFERROR(__xludf.DUMMYFUNCTION("GOOGLETRANSLATE(E1629, ""zh"", ""en"")"),"Qualitative text")</f>
        <v>Qualitative text</v>
      </c>
    </row>
    <row r="1630" spans="1:3" ht="13" x14ac:dyDescent="0.15">
      <c r="A1630" s="1" t="str">
        <f ca="1">IFERROR(__xludf.DUMMYFUNCTION("GOOGLETRANSLATE(A1630, ""zh"", ""en"")"),"In the future, this model can be replicated to state-owned enterprises and other institutions in the province to provide more high-quality assets to the capital market and promote the development of the industrial financial ecosystem.")</f>
        <v>In the future, this model can be replicated to state-owned enterprises and other institutions in the province to provide more high-quality assets to the capital market and promote the development of the industrial financial ecosystem.</v>
      </c>
      <c r="B1630" s="1" t="str">
        <f ca="1">IFERROR(__xludf.DUMMYFUNCTION("GOOGLETRANSLATE(A1630, ""zh"", ""en"")"),"Technological innovation")</f>
        <v>Technological innovation</v>
      </c>
      <c r="C1630" s="1" t="str">
        <f ca="1">IFERROR(__xludf.DUMMYFUNCTION("GOOGLETRANSLATE(E1630, ""zh"", ""en"")"),"Qualitative text")</f>
        <v>Qualitative text</v>
      </c>
    </row>
    <row r="1631" spans="1:3" ht="13" x14ac:dyDescent="0.15">
      <c r="A1631" s="1" t="str">
        <f ca="1">IFERROR(__xludf.DUMMYFUNCTION("GOOGLETRANSLATE(A1631, ""zh"", ""en"")"),"11 Art grows together in rural areas to help students charity program Yuanjuchang linked all sites across the country to carry out 11 Art grows together in rural areas to help students charity program")</f>
        <v>11 Art grows together in rural areas to help students charity program Yuanjuchang linked all sites across the country to carry out 11 Art grows together in rural areas to help students charity program</v>
      </c>
      <c r="B1631" s="1" t="str">
        <f ca="1">IFERROR(__xludf.DUMMYFUNCTION("GOOGLETRANSLATE(A1631, ""zh"", ""en"")"),"Public welfare and volunteer service")</f>
        <v>Public welfare and volunteer service</v>
      </c>
      <c r="C1631" s="1" t="str">
        <f ca="1">IFERROR(__xludf.DUMMYFUNCTION("GOOGLETRANSLATE(E1631, ""zh"", ""en"")"),"Qualitative text")</f>
        <v>Qualitative text</v>
      </c>
    </row>
    <row r="1632" spans="1:3" ht="13" x14ac:dyDescent="0.15">
      <c r="A1632" s="1" t="str">
        <f ca="1">IFERROR(__xludf.DUMMYFUNCTION("GOOGLETRANSLATE(A1632, ""zh"", ""en"")"),"According to educational background, there are 16,252 people with college degree or above, including 6,870 undergraduates and 1,661 postgraduates or above.")</f>
        <v>According to educational background, there are 16,252 people with college degree or above, including 6,870 undergraduates and 1,661 postgraduates or above.</v>
      </c>
      <c r="B1632" s="1" t="str">
        <f ca="1">IFERROR(__xludf.DUMMYFUNCTION("GOOGLETRANSLATE(A1632, ""zh"", ""en"")"),"staff")</f>
        <v>staff</v>
      </c>
      <c r="C1632" s="1" t="str">
        <f ca="1">IFERROR(__xludf.DUMMYFUNCTION("GOOGLETRANSLATE(E1632, ""zh"", ""en"")"),"Quantitative Text")</f>
        <v>Quantitative Text</v>
      </c>
    </row>
    <row r="1633" spans="1:3" ht="13" x14ac:dyDescent="0.15">
      <c r="A1633" s="1" t="str">
        <f ca="1">IFERROR(__xludf.DUMMYFUNCTION("GOOGLETRANSLATE(A1633, ""zh"", ""en"")"),"In 2022, all staff at the headquarters underwent nucleic acid testing and multiple disinfection of the office area to ensure the life safety and health of the company's employees.")</f>
        <v>In 2022, all staff at the headquarters underwent nucleic acid testing and multiple disinfection of the office area to ensure the life safety and health of the company's employees.</v>
      </c>
      <c r="B1633" s="1" t="str">
        <f ca="1">IFERROR(__xludf.DUMMYFUNCTION("GOOGLETRANSLATE(A1633, ""zh"", ""en"")"),"Fighting the epidemic")</f>
        <v>Fighting the epidemic</v>
      </c>
      <c r="C1633" s="1" t="str">
        <f ca="1">IFERROR(__xludf.DUMMYFUNCTION("GOOGLETRANSLATE(E1633, ""zh"", ""en"")"),"Qualitative text")</f>
        <v>Qualitative text</v>
      </c>
    </row>
    <row r="1634" spans="1:3" ht="13" x14ac:dyDescent="0.15">
      <c r="A1634" s="1" t="str">
        <f ca="1">IFERROR(__xludf.DUMMYFUNCTION("GOOGLETRANSLATE(A1634, ""zh"", ""en"")"),"The company actively promotes the development of scrap steel business, circular economy, and devotes itself to the steel recycling industry, boosting the green and sustainable development of the steel industry.")</f>
        <v>The company actively promotes the development of scrap steel business, circular economy, and devotes itself to the steel recycling industry, boosting the green and sustainable development of the steel industry.</v>
      </c>
      <c r="B1634" s="1" t="str">
        <f ca="1">IFERROR(__xludf.DUMMYFUNCTION("GOOGLETRANSLATE(A1634, ""zh"", ""en"")"),"Waste Management")</f>
        <v>Waste Management</v>
      </c>
      <c r="C1634" s="1" t="str">
        <f ca="1">IFERROR(__xludf.DUMMYFUNCTION("GOOGLETRANSLATE(E1634, ""zh"", ""en"")"),"Qualitative text")</f>
        <v>Qualitative text</v>
      </c>
    </row>
    <row r="1635" spans="1:3" ht="13" x14ac:dyDescent="0.15">
      <c r="A1635" s="1" t="str">
        <f ca="1">IFERROR(__xludf.DUMMYFUNCTION("GOOGLETRANSLATE(A1635, ""zh"", ""en"")"),"In 2022, it was awarded the Chongqing Specialized and New Enterprise, Chongqing Top 100 Private Manufacturing Enterprises, Chongqing Science and Technology Award and other honors.")</f>
        <v>In 2022, it was awarded the Chongqing Specialized and New Enterprise, Chongqing Top 100 Private Manufacturing Enterprises, Chongqing Science and Technology Award and other honors.</v>
      </c>
      <c r="B1635" s="1" t="str">
        <f ca="1">IFERROR(__xludf.DUMMYFUNCTION("GOOGLETRANSLATE(A1635, ""zh"", ""en"")"),"Technological innovation")</f>
        <v>Technological innovation</v>
      </c>
      <c r="C1635" s="1" t="str">
        <f ca="1">IFERROR(__xludf.DUMMYFUNCTION("GOOGLETRANSLATE(E1635, ""zh"", ""en"")"),"Quantitative Text")</f>
        <v>Quantitative Text</v>
      </c>
    </row>
    <row r="1636" spans="1:3" ht="13" x14ac:dyDescent="0.15">
      <c r="A1636" s="1" t="str">
        <f ca="1">IFERROR(__xludf.DUMMYFUNCTION("GOOGLETRANSLATE(A1636, ""zh"", ""en"")"),"Material and Equipment Management In 2022, Dongyuan Group further upgraded and improved the engineering management system to form a 19614 system")</f>
        <v>Material and Equipment Management In 2022, Dongyuan Group further upgraded and improved the engineering management system to form a 19614 system</v>
      </c>
      <c r="B1636" s="1" t="str">
        <f ca="1">IFERROR(__xludf.DUMMYFUNCTION("GOOGLETRANSLATE(A1636, ""zh"", ""en"")"),"raw materials")</f>
        <v>raw materials</v>
      </c>
      <c r="C1636" s="1" t="str">
        <f ca="1">IFERROR(__xludf.DUMMYFUNCTION("GOOGLETRANSLATE(E1636, ""zh"", ""en"")"),"Quantitative Text")</f>
        <v>Quantitative Text</v>
      </c>
    </row>
    <row r="1637" spans="1:3" ht="13" x14ac:dyDescent="0.15">
      <c r="A1637" s="1" t="str">
        <f ca="1">IFERROR(__xludf.DUMMYFUNCTION("GOOGLETRANSLATE(A1637, ""zh"", ""en"")"),"The company revised several governance systems to strengthen the institutional foundation for standardized governance, deepen the construction of the internal control system, and continuously improve the effectiveness of the internal control system.")</f>
        <v>The company revised several governance systems to strengthen the institutional foundation for standardized governance, deepen the construction of the internal control system, and continuously improve the effectiveness of the internal control system.</v>
      </c>
      <c r="B1637" s="1" t="str">
        <f ca="1">IFERROR(__xludf.DUMMYFUNCTION("GOOGLETRANSLATE(A1637, ""zh"", ""en"")"),"Organizational structure and operations")</f>
        <v>Organizational structure and operations</v>
      </c>
      <c r="C1637" s="1" t="str">
        <f ca="1">IFERROR(__xludf.DUMMYFUNCTION("GOOGLETRANSLATE(E1637, ""zh"", ""en"")"),"Qualitative text")</f>
        <v>Qualitative text</v>
      </c>
    </row>
    <row r="1638" spans="1:3" ht="13" x14ac:dyDescent="0.15">
      <c r="A1638" s="1" t="str">
        <f ca="1">IFERROR(__xludf.DUMMYFUNCTION("GOOGLETRANSLATE(A1638, ""zh"", ""en"")"),"At the same time, the committee monitors the implementation of the remuneration system and ensures that no director or his/her contacts are involved in formulating their own remuneration.")</f>
        <v>At the same time, the committee monitors the implementation of the remuneration system and ensures that no director or his/her contacts are involved in formulating their own remuneration.</v>
      </c>
      <c r="B1638" s="1" t="str">
        <f ca="1">IFERROR(__xludf.DUMMYFUNCTION("GOOGLETRANSLATE(A1638, ""zh"", ""en"")"),"Organizational structure and operations")</f>
        <v>Organizational structure and operations</v>
      </c>
      <c r="C1638" s="1" t="str">
        <f ca="1">IFERROR(__xludf.DUMMYFUNCTION("GOOGLETRANSLATE(E1638, ""zh"", ""en"")"),"Qualitative text")</f>
        <v>Qualitative text</v>
      </c>
    </row>
    <row r="1639" spans="1:3" ht="13" x14ac:dyDescent="0.15">
      <c r="A1639" s="1" t="str">
        <f ca="1">IFERROR(__xludf.DUMMYFUNCTION("GOOGLETRANSLATE(A1639, ""zh"", ""en"")"),"The company stipulates the method and procedure for nominating directors in the ""Procedure for Nominating Directors of Sinopec Corporation"" in its Articles of Association.")</f>
        <v>The company stipulates the method and procedure for nominating directors in the "Procedure for Nominating Directors of Sinopec Corporation" in its Articles of Association.</v>
      </c>
      <c r="B1639" s="1" t="str">
        <f ca="1">IFERROR(__xludf.DUMMYFUNCTION("GOOGLETRANSLATE(A1639, ""zh"", ""en"")"),"Organizational structure and operations")</f>
        <v>Organizational structure and operations</v>
      </c>
      <c r="C1639" s="1" t="str">
        <f ca="1">IFERROR(__xludf.DUMMYFUNCTION("GOOGLETRANSLATE(E1639, ""zh"", ""en"")"),"Qualitative text")</f>
        <v>Qualitative text</v>
      </c>
    </row>
    <row r="1640" spans="1:3" ht="13" x14ac:dyDescent="0.15">
      <c r="A1640" s="1" t="str">
        <f ca="1">IFERROR(__xludf.DUMMYFUNCTION("GOOGLETRANSLATE(A1640, ""zh"", ""en"")"),"As of the end of 2022, a total of 49,852 domestic and foreign authorized patents have been obtained, of which 6,289 patents were authorized in 2022.")</f>
        <v>As of the end of 2022, a total of 49,852 domestic and foreign authorized patents have been obtained, of which 6,289 patents were authorized in 2022.</v>
      </c>
      <c r="B1640" s="1" t="str">
        <f ca="1">IFERROR(__xludf.DUMMYFUNCTION("GOOGLETRANSLATE(A1640, ""zh"", ""en"")"),"Intellectual Property Protection")</f>
        <v>Intellectual Property Protection</v>
      </c>
      <c r="C1640" s="1" t="str">
        <f ca="1">IFERROR(__xludf.DUMMYFUNCTION("GOOGLETRANSLATE(E1640, ""zh"", ""en"")"),"Quantitative Text")</f>
        <v>Quantitative Text</v>
      </c>
    </row>
    <row r="1641" spans="1:3" ht="13" x14ac:dyDescent="0.15">
      <c r="A1641" s="1" t="str">
        <f ca="1">IFERROR(__xludf.DUMMYFUNCTION("GOOGLETRANSLATE(A1641, ""zh"", ""en"")"),"The investment company expanded its investment business in the core areas of new technology, new energy and new consumption, with an annual asset management scale of 5.168 billion yuan, an increase of 63%.")</f>
        <v>The investment company expanded its investment business in the core areas of new technology, new energy and new consumption, with an annual asset management scale of 5.168 billion yuan, an increase of 63%.</v>
      </c>
      <c r="B1641" s="1" t="str">
        <f ca="1">IFERROR(__xludf.DUMMYFUNCTION("GOOGLETRANSLATE(A1641, ""zh"", ""en"")"),"Technological innovation")</f>
        <v>Technological innovation</v>
      </c>
      <c r="C1641" s="1" t="str">
        <f ca="1">IFERROR(__xludf.DUMMYFUNCTION("GOOGLETRANSLATE(E1641, ""zh"", ""en"")"),"Quantitative Text")</f>
        <v>Quantitative Text</v>
      </c>
    </row>
    <row r="1642" spans="1:3" ht="13" x14ac:dyDescent="0.15">
      <c r="A1642" s="1" t="str">
        <f ca="1">IFERROR(__xludf.DUMMYFUNCTION("GOOGLETRANSLATE(A1642, ""zh"", ""en"")"),"Carry out pilot work on the accounts receivable management scenario application of the smart supervision system for state-owned assets and state-owned enterprises and share the experience at the provincial promotion meeting")</f>
        <v>Carry out pilot work on the accounts receivable management scenario application of the smart supervision system for state-owned assets and state-owned enterprises and share the experience at the provincial promotion meeting</v>
      </c>
      <c r="B1642" s="1" t="str">
        <f ca="1">IFERROR(__xludf.DUMMYFUNCTION("GOOGLETRANSLATE(A1642, ""zh"", ""en"")"),"irrelevant text")</f>
        <v>irrelevant text</v>
      </c>
      <c r="C1642" s="1" t="str">
        <f ca="1">IFERROR(__xludf.DUMMYFUNCTION("GOOGLETRANSLATE(E1642, ""zh"", ""en"")"),"irrelevant text")</f>
        <v>irrelevant text</v>
      </c>
    </row>
    <row r="1643" spans="1:3" ht="13" x14ac:dyDescent="0.15">
      <c r="A1643" s="1" t="str">
        <f ca="1">IFERROR(__xludf.DUMMYFUNCTION("GOOGLETRANSLATE(A1643, ""zh"", ""en"")"),"Continuing Rural Revitalization, COSL 2022 ESG Report 55 COSL proactively fulfills its social responsibilities and actively participates in maritime rescue efforts")</f>
        <v>Continuing Rural Revitalization, COSL 2022 ESG Report 55 COSL proactively fulfills its social responsibilities and actively participates in maritime rescue efforts</v>
      </c>
      <c r="B1643" s="1" t="str">
        <f ca="1">IFERROR(__xludf.DUMMYFUNCTION("GOOGLETRANSLATE(A1643, ""zh"", ""en"")"),"Public welfare and volunteer service")</f>
        <v>Public welfare and volunteer service</v>
      </c>
      <c r="C1643" s="1" t="str">
        <f ca="1">IFERROR(__xludf.DUMMYFUNCTION("GOOGLETRANSLATE(E1643, ""zh"", ""en"")"),"Qualitative text")</f>
        <v>Qualitative text</v>
      </c>
    </row>
    <row r="1644" spans="1:3" ht="13" x14ac:dyDescent="0.15">
      <c r="A1644" s="1" t="str">
        <f ca="1">IFERROR(__xludf.DUMMYFUNCTION("GOOGLETRANSLATE(A1644, ""zh"", ""en"")"),"P66B5.3 Describe the practices for identifying environmental and social risks at each stage of the supply chain and the related implementation and monitoring methods")</f>
        <v>P66B5.3 Describe the practices for identifying environmental and social risks at each stage of the supply chain and the related implementation and monitoring methods</v>
      </c>
      <c r="B1644" s="1" t="str">
        <f ca="1">IFERROR(__xludf.DUMMYFUNCTION("GOOGLETRANSLATE(A1644, ""zh"", ""en"")"),"supply chain management")</f>
        <v>supply chain management</v>
      </c>
      <c r="C1644" s="1" t="str">
        <f ca="1">IFERROR(__xludf.DUMMYFUNCTION("GOOGLETRANSLATE(E1644, ""zh"", ""en"")"),"Qualitative text")</f>
        <v>Qualitative text</v>
      </c>
    </row>
    <row r="1645" spans="1:3" ht="13" x14ac:dyDescent="0.15">
      <c r="A1645" s="1" t="str">
        <f ca="1">IFERROR(__xludf.DUMMYFUNCTION("GOOGLETRANSLATE(A1645, ""zh"", ""en"")"),"Haier Smart Home received 56 awards at the German Red Dot Awards in March 2022, marking the highest number of awards ever received by a Chinese home appliance brand.")</f>
        <v>Haier Smart Home received 56 awards at the German Red Dot Awards in March 2022, marking the highest number of awards ever received by a Chinese home appliance brand.</v>
      </c>
      <c r="B1645" s="1" t="str">
        <f ca="1">IFERROR(__xludf.DUMMYFUNCTION("GOOGLETRANSLATE(A1645, ""zh"", ""en"")"),"Technological innovation")</f>
        <v>Technological innovation</v>
      </c>
      <c r="C1645" s="1" t="str">
        <f ca="1">IFERROR(__xludf.DUMMYFUNCTION("GOOGLETRANSLATE(E1645, ""zh"", ""en"")"),"Quantitative Text")</f>
        <v>Quantitative Text</v>
      </c>
    </row>
    <row r="1646" spans="1:3" ht="13" x14ac:dyDescent="0.15">
      <c r="A1646" s="1" t="str">
        <f ca="1">IFERROR(__xludf.DUMMYFUNCTION("GOOGLETRANSLATE(A1646, ""zh"", ""en"")"),"P6769B5.4 Describe the practices that promote the use of environmentally friendly products and services when selecting suppliers, as well as the related implementation and monitoring methods")</f>
        <v>P6769B5.4 Describe the practices that promote the use of environmentally friendly products and services when selecting suppliers, as well as the related implementation and monitoring methods</v>
      </c>
      <c r="B1646" s="1" t="str">
        <f ca="1">IFERROR(__xludf.DUMMYFUNCTION("GOOGLETRANSLATE(A1646, ""zh"", ""en"")"),"supply chain management")</f>
        <v>supply chain management</v>
      </c>
      <c r="C1646" s="1" t="str">
        <f ca="1">IFERROR(__xludf.DUMMYFUNCTION("GOOGLETRANSLATE(E1646, ""zh"", ""en"")"),"Qualitative text")</f>
        <v>Qualitative text</v>
      </c>
    </row>
    <row r="1647" spans="1:3" ht="13" x14ac:dyDescent="0.15">
      <c r="A1647" s="1" t="str">
        <f ca="1">IFERROR(__xludf.DUMMYFUNCTION("GOOGLETRANSLATE(A1647, ""zh"", ""en"")"),"The company fully communicates the requirements for honest work to employees when they join the company, adjust their positions, or are promoted, and requires them to sign a commitment to honest work.")</f>
        <v>The company fully communicates the requirements for honest work to employees when they join the company, adjust their positions, or are promoted, and requires them to sign a commitment to honest work.</v>
      </c>
      <c r="B1647" s="1" t="str">
        <f ca="1">IFERROR(__xludf.DUMMYFUNCTION("GOOGLETRANSLATE(A1647, ""zh"", ""en"")"),"Anti-corruption and anti-money laundering")</f>
        <v>Anti-corruption and anti-money laundering</v>
      </c>
      <c r="C1647" s="1" t="str">
        <f ca="1">IFERROR(__xludf.DUMMYFUNCTION("GOOGLETRANSLATE(E1647, ""zh"", ""en"")"),"Qualitative text")</f>
        <v>Qualitative text</v>
      </c>
    </row>
    <row r="1648" spans="1:3" ht="13" x14ac:dyDescent="0.15">
      <c r="A1648" s="1" t="str">
        <f ca="1">IFERROR(__xludf.DUMMYFUNCTION("GOOGLETRANSLATE(A1648, ""zh"", ""en"")"),"05 Supporting Employee Growth - A Diverse and Inclusive Workplace B5 Supply Chain Management General Disclosures Environmental and Social Risk Policies for Supply Chain Management")</f>
        <v>05 Supporting Employee Growth - A Diverse and Inclusive Workplace B5 Supply Chain Management General Disclosures Environmental and Social Risk Policies for Supply Chain Management</v>
      </c>
      <c r="B1648" s="1" t="str">
        <f ca="1">IFERROR(__xludf.DUMMYFUNCTION("GOOGLETRANSLATE(A1648, ""zh"", ""en"")"),"supply chain management")</f>
        <v>supply chain management</v>
      </c>
      <c r="C1648" s="1" t="str">
        <f ca="1">IFERROR(__xludf.DUMMYFUNCTION("GOOGLETRANSLATE(E1648, ""zh"", ""en"")"),"Qualitative text")</f>
        <v>Qualitative text</v>
      </c>
    </row>
    <row r="1649" spans="1:3" ht="13" x14ac:dyDescent="0.15">
      <c r="A1649" s="1" t="str">
        <f ca="1">IFERROR(__xludf.DUMMYFUNCTION("GOOGLETRANSLATE(A1649, ""zh"", ""en"")"),"06 Robust Operations III Customer Service Appendix 1 Key Performance Indicator Table B6.3 Description of practices related to maintaining and protecting intellectual property rights")</f>
        <v>06 Robust Operations III Customer Service Appendix 1 Key Performance Indicator Table B6.3 Description of practices related to maintaining and protecting intellectual property rights</v>
      </c>
      <c r="B1649" s="1" t="str">
        <f ca="1">IFERROR(__xludf.DUMMYFUNCTION("GOOGLETRANSLATE(A1649, ""zh"", ""en"")"),"Intellectual Property Protection")</f>
        <v>Intellectual Property Protection</v>
      </c>
      <c r="C1649" s="1" t="str">
        <f ca="1">IFERROR(__xludf.DUMMYFUNCTION("GOOGLETRANSLATE(E1649, ""zh"", ""en"")"),"Qualitative text")</f>
        <v>Qualitative text</v>
      </c>
    </row>
    <row r="1650" spans="1:3" ht="13" x14ac:dyDescent="0.15">
      <c r="A1650" s="1" t="str">
        <f ca="1">IFERROR(__xludf.DUMMYFUNCTION("GOOGLETRANSLATE(A1650, ""zh"", ""en"")"),"For information on COSL's corporate governance systems, measures, and effectiveness, please refer to COSL's 2022 Annual Report Corporate Governance Report.")</f>
        <v>For information on COSL's corporate governance systems, measures, and effectiveness, please refer to COSL's 2022 Annual Report Corporate Governance Report.</v>
      </c>
      <c r="B1650" s="1" t="str">
        <f ca="1">IFERROR(__xludf.DUMMYFUNCTION("GOOGLETRANSLATE(A1650, ""zh"", ""en"")"),"Organizational structure and operations")</f>
        <v>Organizational structure and operations</v>
      </c>
      <c r="C1650" s="1" t="str">
        <f ca="1">IFERROR(__xludf.DUMMYFUNCTION("GOOGLETRANSLATE(E1650, ""zh"", ""en"")"),"Qualitative text")</f>
        <v>Qualitative text</v>
      </c>
    </row>
    <row r="1651" spans="1:3" ht="13" x14ac:dyDescent="0.15">
      <c r="A1651" s="1" t="str">
        <f ca="1">IFERROR(__xludf.DUMMYFUNCTION("GOOGLETRANSLATE(A1651, ""zh"", ""en"")"),"05 Supporting Employee Growth - A Diverse and Inclusive Workplace B2.1 Number and ratio of work-related deaths in each of the past three years, including the reporting year")</f>
        <v>05 Supporting Employee Growth - A Diverse and Inclusive Workplace B2.1 Number and ratio of work-related deaths in each of the past three years, including the reporting year</v>
      </c>
      <c r="B1651" s="1" t="str">
        <f ca="1">IFERROR(__xludf.DUMMYFUNCTION("GOOGLETRANSLATE(A1651, ""zh"", ""en"")"),"staff")</f>
        <v>staff</v>
      </c>
      <c r="C1651" s="1" t="str">
        <f ca="1">IFERROR(__xludf.DUMMYFUNCTION("GOOGLETRANSLATE(E1651, ""zh"", ""en"")"),"Quantitative Text")</f>
        <v>Quantitative Text</v>
      </c>
    </row>
    <row r="1652" spans="1:3" ht="13" x14ac:dyDescent="0.15">
      <c r="A1652" s="1" t="str">
        <f ca="1">IFERROR(__xludf.DUMMYFUNCTION("GOOGLETRANSLATE(A1652, ""zh"", ""en"")"),"We provide a monthly living allowance of 500 yuan to registered disabled employees and establish a disabled care chain group to help them solve their problems.")</f>
        <v>We provide a monthly living allowance of 500 yuan to registered disabled employees and establish a disabled care chain group to help them solve their problems.</v>
      </c>
      <c r="B1652" s="1" t="str">
        <f ca="1">IFERROR(__xludf.DUMMYFUNCTION("GOOGLETRANSLATE(A1652, ""zh"", ""en"")"),"staff")</f>
        <v>staff</v>
      </c>
      <c r="C1652" s="1" t="str">
        <f ca="1">IFERROR(__xludf.DUMMYFUNCTION("GOOGLETRANSLATE(E1652, ""zh"", ""en"")"),"Qualitative text")</f>
        <v>Qualitative text</v>
      </c>
    </row>
    <row r="1653" spans="1:3" ht="13" x14ac:dyDescent="0.15">
      <c r="A1653" s="1" t="str">
        <f ca="1">IFERROR(__xludf.DUMMYFUNCTION("GOOGLETRANSLATE(A1653, ""zh"", ""en"")"),"Accelerate the establishment of a personal elderly care service system focusing on the elderly care needs of customers throughout their life cycle, focusing on both the accumulation period and the use period of elderly care funds.")</f>
        <v>Accelerate the establishment of a personal elderly care service system focusing on the elderly care needs of customers throughout their life cycle, focusing on both the accumulation period and the use period of elderly care funds.</v>
      </c>
      <c r="B1653" s="1" t="str">
        <f ca="1">IFERROR(__xludf.DUMMYFUNCTION("GOOGLETRANSLATE(A1653, ""zh"", ""en"")"),"Customers and Consumers")</f>
        <v>Customers and Consumers</v>
      </c>
      <c r="C1653" s="1" t="str">
        <f ca="1">IFERROR(__xludf.DUMMYFUNCTION("GOOGLETRANSLATE(E1653, ""zh"", ""en"")"),"Qualitative text")</f>
        <v>Qualitative text</v>
      </c>
    </row>
    <row r="1654" spans="1:3" ht="13" x14ac:dyDescent="0.15">
      <c r="A1654" s="1" t="str">
        <f ca="1">IFERROR(__xludf.DUMMYFUNCTION("GOOGLETRANSLATE(A1654, ""zh"", ""en"")"),"The company signs an information disclosure responsibility letter with its subsidiaries every year to clarify the responsible persons and contacts of member companies and improve the information disclosure reporting mechanism.")</f>
        <v>The company signs an information disclosure responsibility letter with its subsidiaries every year to clarify the responsible persons and contacts of member companies and improve the information disclosure reporting mechanism.</v>
      </c>
      <c r="B1654" s="1" t="str">
        <f ca="1">IFERROR(__xludf.DUMMYFUNCTION("GOOGLETRANSLATE(A1654, ""zh"", ""en"")"),"Information Disclosure and Investor Communication")</f>
        <v>Information Disclosure and Investor Communication</v>
      </c>
      <c r="C1654" s="1" t="str">
        <f ca="1">IFERROR(__xludf.DUMMYFUNCTION("GOOGLETRANSLATE(E1654, ""zh"", ""en"")"),"Qualitative text")</f>
        <v>Qualitative text</v>
      </c>
    </row>
    <row r="1655" spans="1:3" ht="13" x14ac:dyDescent="0.15">
      <c r="A1655" s="1" t="str">
        <f ca="1">IFERROR(__xludf.DUMMYFUNCTION("GOOGLETRANSLATE(A1655, ""zh"", ""en"")"),"Serving more than 8,200 specialized, innovative and small giant enterprises, relying on the credit evaluation system of technology flow to support 277,000 high-tech enterprises")</f>
        <v>Serving more than 8,200 specialized, innovative and small giant enterprises, relying on the credit evaluation system of technology flow to support 277,000 high-tech enterprises</v>
      </c>
      <c r="B1655" s="1" t="str">
        <f ca="1">IFERROR(__xludf.DUMMYFUNCTION("GOOGLETRANSLATE(A1655, ""zh"", ""en"")"),"Technological innovation")</f>
        <v>Technological innovation</v>
      </c>
      <c r="C1655" s="1" t="str">
        <f ca="1">IFERROR(__xludf.DUMMYFUNCTION("GOOGLETRANSLATE(E1655, ""zh"", ""en"")"),"Quantitative Text")</f>
        <v>Quantitative Text</v>
      </c>
    </row>
    <row r="1656" spans="1:3" ht="13" x14ac:dyDescent="0.15">
      <c r="A1656" s="1" t="str">
        <f ca="1">IFERROR(__xludf.DUMMYFUNCTION("GOOGLETRANSLATE(A1656, ""zh"", ""en"")"),"Focusing on improving professional skills and professional quality, we actively build a systematic capacity development system and improve the talent evaluation system and development mechanism.")</f>
        <v>Focusing on improving professional skills and professional quality, we actively build a systematic capacity development system and improve the talent evaluation system and development mechanism.</v>
      </c>
      <c r="B1656" s="1" t="str">
        <f ca="1">IFERROR(__xludf.DUMMYFUNCTION("GOOGLETRANSLATE(A1656, ""zh"", ""en"")"),"staff")</f>
        <v>staff</v>
      </c>
      <c r="C1656" s="1" t="str">
        <f ca="1">IFERROR(__xludf.DUMMYFUNCTION("GOOGLETRANSLATE(E1656, ""zh"", ""en"")"),"Qualitative text")</f>
        <v>Qualitative text</v>
      </c>
    </row>
    <row r="1657" spans="1:3" ht="13" x14ac:dyDescent="0.15">
      <c r="A1657" s="1" t="str">
        <f ca="1">IFERROR(__xludf.DUMMYFUNCTION("GOOGLETRANSLATE(A1657, ""zh"", ""en"")"),"In 2022, the college's training work achieved both quantitative and qualitative improvement. The number of trainees trained throughout the year was 35,509, with 62,640 person-days, an increase of 10% year-on-year.")</f>
        <v>In 2022, the college's training work achieved both quantitative and qualitative improvement. The number of trainees trained throughout the year was 35,509, with 62,640 person-days, an increase of 10% year-on-year.</v>
      </c>
      <c r="B1657" s="1" t="str">
        <f ca="1">IFERROR(__xludf.DUMMYFUNCTION("GOOGLETRANSLATE(A1657, ""zh"", ""en"")"),"staff")</f>
        <v>staff</v>
      </c>
      <c r="C1657" s="1" t="str">
        <f ca="1">IFERROR(__xludf.DUMMYFUNCTION("GOOGLETRANSLATE(E1657, ""zh"", ""en"")"),"Quantitative Text")</f>
        <v>Quantitative Text</v>
      </c>
    </row>
    <row r="1658" spans="1:3" ht="13" x14ac:dyDescent="0.15">
      <c r="A1658" s="1" t="str">
        <f ca="1">IFERROR(__xludf.DUMMYFUNCTION("GOOGLETRANSLATE(A1658, ""zh"", ""en"")"),"The first to participate in the construction of the national third pillar individual pension system and the first to launch individual pension business, providing customers with omni-channel one-stop service")</f>
        <v>The first to participate in the construction of the national third pillar individual pension system and the first to launch individual pension business, providing customers with omni-channel one-stop service</v>
      </c>
      <c r="B1658" s="1" t="str">
        <f ca="1">IFERROR(__xludf.DUMMYFUNCTION("GOOGLETRANSLATE(A1658, ""zh"", ""en"")"),"Customers and Consumers")</f>
        <v>Customers and Consumers</v>
      </c>
      <c r="C1658" s="1" t="str">
        <f ca="1">IFERROR(__xludf.DUMMYFUNCTION("GOOGLETRANSLATE(E1658, ""zh"", ""en"")"),"Qualitative text")</f>
        <v>Qualitative text</v>
      </c>
    </row>
    <row r="1659" spans="1:3" ht="13" x14ac:dyDescent="0.15">
      <c r="A1659" s="1" t="str">
        <f ca="1">IFERROR(__xludf.DUMMYFUNCTION("GOOGLETRANSLATE(A1659, ""zh"", ""en"")"),"Data Source and Reliability Guarantee The textual information and cases in this report are mainly derived from the company's statistical data documents and internal communication documents.")</f>
        <v>Data Source and Reliability Guarantee The textual information and cases in this report are mainly derived from the company's statistical data documents and internal communication documents.</v>
      </c>
      <c r="B1659" s="1" t="str">
        <f ca="1">IFERROR(__xludf.DUMMYFUNCTION("GOOGLETRANSLATE(A1659, ""zh"", ""en"")"),"irrelevant text")</f>
        <v>irrelevant text</v>
      </c>
      <c r="C1659" s="1" t="str">
        <f ca="1">IFERROR(__xludf.DUMMYFUNCTION("GOOGLETRANSLATE(E1659, ""zh"", ""en"")"),"irrelevant text")</f>
        <v>irrelevant text</v>
      </c>
    </row>
    <row r="1660" spans="1:3" ht="13" x14ac:dyDescent="0.15">
      <c r="A1660" s="1" t="str">
        <f ca="1">IFERROR(__xludf.DUMMYFUNCTION("GOOGLETRANSLATE(A1660, ""zh"", ""en"")"),"Rongzu Bookstore recommends books on current power, interpersonal relationship psychology, and other topics to employees in line with talent development requirements. Currently, it has over 600 books.")</f>
        <v>Rongzu Bookstore recommends books on current power, interpersonal relationship psychology, and other topics to employees in line with talent development requirements. Currently, it has over 600 books.</v>
      </c>
      <c r="B1660" s="1" t="str">
        <f ca="1">IFERROR(__xludf.DUMMYFUNCTION("GOOGLETRANSLATE(A1660, ""zh"", ""en"")"),"staff")</f>
        <v>staff</v>
      </c>
      <c r="C1660" s="1" t="str">
        <f ca="1">IFERROR(__xludf.DUMMYFUNCTION("GOOGLETRANSLATE(E1660, ""zh"", ""en"")"),"Quantitative Text")</f>
        <v>Quantitative Text</v>
      </c>
    </row>
    <row r="1661" spans="1:3" ht="13" x14ac:dyDescent="0.15">
      <c r="A1661" s="1" t="str">
        <f ca="1">IFERROR(__xludf.DUMMYFUNCTION("GOOGLETRANSLATE(A1661, ""zh"", ""en"")"),"Implement the group's subsidy and consolation system for employees in financial difficulties, sick employees, and deceased employees, as well as the employee recuperation system, to put policy benefits into practice.")</f>
        <v>Implement the group's subsidy and consolation system for employees in financial difficulties, sick employees, and deceased employees, as well as the employee recuperation system, to put policy benefits into practice.</v>
      </c>
      <c r="B1661" s="1" t="str">
        <f ca="1">IFERROR(__xludf.DUMMYFUNCTION("GOOGLETRANSLATE(A1661, ""zh"", ""en"")"),"staff")</f>
        <v>staff</v>
      </c>
      <c r="C1661" s="1" t="str">
        <f ca="1">IFERROR(__xludf.DUMMYFUNCTION("GOOGLETRANSLATE(E1661, ""zh"", ""en"")"),"Qualitative text")</f>
        <v>Qualitative text</v>
      </c>
    </row>
    <row r="1662" spans="1:3" ht="13" x14ac:dyDescent="0.15">
      <c r="A1662" s="1" t="str">
        <f ca="1">IFERROR(__xludf.DUMMYFUNCTION("GOOGLETRANSLATE(A1662, ""zh"", ""en"")"),"We select environmental suppliers with good environmental management performance and discuss carbon reduction with them to jointly explore low-carbon practices.")</f>
        <v>We select environmental suppliers with good environmental management performance and discuss carbon reduction with them to jointly explore low-carbon practices.</v>
      </c>
      <c r="B1662" s="1" t="str">
        <f ca="1">IFERROR(__xludf.DUMMYFUNCTION("GOOGLETRANSLATE(A1662, ""zh"", ""en"")"),"carbon emissions")</f>
        <v>carbon emissions</v>
      </c>
      <c r="C1662" s="1" t="str">
        <f ca="1">IFERROR(__xludf.DUMMYFUNCTION("GOOGLETRANSLATE(E1662, ""zh"", ""en"")"),"Qualitative text")</f>
        <v>Qualitative text</v>
      </c>
    </row>
    <row r="1663" spans="1:3" ht="13" x14ac:dyDescent="0.15">
      <c r="A1663" s="1" t="str">
        <f ca="1">IFERROR(__xludf.DUMMYFUNCTION("GOOGLETRANSLATE(A1663, ""zh"", ""en"")"),"We will continue to work hard in areas such as supporting youth development, helping rural areas, and volunteering to help the poor and continue to move forward on the path of public welfare.")</f>
        <v>We will continue to work hard in areas such as supporting youth development, helping rural areas, and volunteering to help the poor and continue to move forward on the path of public welfare.</v>
      </c>
      <c r="B1663" s="1" t="str">
        <f ca="1">IFERROR(__xludf.DUMMYFUNCTION("GOOGLETRANSLATE(A1663, ""zh"", ""en"")"),"Public welfare and volunteer service")</f>
        <v>Public welfare and volunteer service</v>
      </c>
      <c r="C1663" s="1" t="str">
        <f ca="1">IFERROR(__xludf.DUMMYFUNCTION("GOOGLETRANSLATE(E1663, ""zh"", ""en"")"),"Qualitative text")</f>
        <v>Qualitative text</v>
      </c>
    </row>
    <row r="1664" spans="1:3" ht="13" x14ac:dyDescent="0.15">
      <c r="A1664" s="1" t="str">
        <f ca="1">IFERROR(__xludf.DUMMYFUNCTION("GOOGLETRANSLATE(A1664, ""zh"", ""en"")"),"Among them, there are 2 executive directors, 3 non-executive directors, 4 independent directors, accounting for 44.4%, and 2 female directors, accounting for 22.2%.")</f>
        <v>Among them, there are 2 executive directors, 3 non-executive directors, 4 independent directors, accounting for 44.4%, and 2 female directors, accounting for 22.2%.</v>
      </c>
      <c r="B1664" s="1" t="str">
        <f ca="1">IFERROR(__xludf.DUMMYFUNCTION("GOOGLETRANSLATE(A1664, ""zh"", ""en"")"),"Organizational structure and operations")</f>
        <v>Organizational structure and operations</v>
      </c>
      <c r="C1664" s="1" t="str">
        <f ca="1">IFERROR(__xludf.DUMMYFUNCTION("GOOGLETRANSLATE(E1664, ""zh"", ""en"")"),"Quantitative Text")</f>
        <v>Quantitative Text</v>
      </c>
    </row>
    <row r="1665" spans="1:3" ht="13" x14ac:dyDescent="0.15">
      <c r="A1665" s="1" t="str">
        <f ca="1">IFERROR(__xludf.DUMMYFUNCTION("GOOGLETRANSLATE(A1665, ""zh"", ""en"")"),"As of the end of the reporting period, we had 109,586 employees worldwide from 53 countries, including 38,270 overseas employees.")</f>
        <v>As of the end of the reporting period, we had 109,586 employees worldwide from 53 countries, including 38,270 overseas employees.</v>
      </c>
      <c r="B1665" s="1" t="str">
        <f ca="1">IFERROR(__xludf.DUMMYFUNCTION("GOOGLETRANSLATE(A1665, ""zh"", ""en"")"),"staff")</f>
        <v>staff</v>
      </c>
      <c r="C1665" s="1" t="str">
        <f ca="1">IFERROR(__xludf.DUMMYFUNCTION("GOOGLETRANSLATE(E1665, ""zh"", ""en"")"),"Quantitative Text")</f>
        <v>Quantitative Text</v>
      </c>
    </row>
    <row r="1666" spans="1:3" ht="13" x14ac:dyDescent="0.15">
      <c r="A1666" s="1" t="str">
        <f ca="1">IFERROR(__xludf.DUMMYFUNCTION("GOOGLETRANSLATE(A1666, ""zh"", ""en"")"),"Based on customer needs, we also offer customized services such as small cans of Dendrobium officinale tea, Dendrobium officinale mooncakes, and potted Chinese medicinal materials, which are very popular among consumers.")</f>
        <v>Based on customer needs, we also offer customized services such as small cans of Dendrobium officinale tea, Dendrobium officinale mooncakes, and potted Chinese medicinal materials, which are very popular among consumers.</v>
      </c>
      <c r="B1666" s="1" t="str">
        <f ca="1">IFERROR(__xludf.DUMMYFUNCTION("GOOGLETRANSLATE(A1666, ""zh"", ""en"")"),"Customers and Consumers")</f>
        <v>Customers and Consumers</v>
      </c>
      <c r="C1666" s="1" t="str">
        <f ca="1">IFERROR(__xludf.DUMMYFUNCTION("GOOGLETRANSLATE(E1666, ""zh"", ""en"")"),"Qualitative text")</f>
        <v>Qualitative text</v>
      </c>
    </row>
    <row r="1667" spans="1:3" ht="13" x14ac:dyDescent="0.15">
      <c r="A1667" s="1" t="str">
        <f ca="1">IFERROR(__xludf.DUMMYFUNCTION("GOOGLETRANSLATE(A1667, ""zh"", ""en"")"),"Actively exploring the digitalization of the industry, we have formed a transformation vision that will make customer experience better, company management more efficient, and build a digital future for enterprises.")</f>
        <v>Actively exploring the digitalization of the industry, we have formed a transformation vision that will make customer experience better, company management more efficient, and build a digital future for enterprises.</v>
      </c>
      <c r="B1667" s="1" t="str">
        <f ca="1">IFERROR(__xludf.DUMMYFUNCTION("GOOGLETRANSLATE(A1667, ""zh"", ""en"")"),"Customers and Consumers")</f>
        <v>Customers and Consumers</v>
      </c>
      <c r="C1667" s="1" t="str">
        <f ca="1">IFERROR(__xludf.DUMMYFUNCTION("GOOGLETRANSLATE(E1667, ""zh"", ""en"")"),"Qualitative text")</f>
        <v>Qualitative text</v>
      </c>
    </row>
    <row r="1668" spans="1:3" ht="13" x14ac:dyDescent="0.15">
      <c r="A1668" s="1" t="str">
        <f ca="1">IFERROR(__xludf.DUMMYFUNCTION("GOOGLETRANSLATE(A1668, ""zh"", ""en"")"),"After the incident, the company promptly issued warning notices for each case, optimized the company's relevant systems and processes, and carried out warning education activities for all employees.")</f>
        <v>After the incident, the company promptly issued warning notices for each case, optimized the company's relevant systems and processes, and carried out warning education activities for all employees.</v>
      </c>
      <c r="B1668" s="1" t="str">
        <f ca="1">IFERROR(__xludf.DUMMYFUNCTION("GOOGLETRANSLATE(A1668, ""zh"", ""en"")"),"Legal proceedings and external sanctions")</f>
        <v>Legal proceedings and external sanctions</v>
      </c>
      <c r="C1668" s="1" t="str">
        <f ca="1">IFERROR(__xludf.DUMMYFUNCTION("GOOGLETRANSLATE(E1668, ""zh"", ""en"")"),"Qualitative text")</f>
        <v>Qualitative text</v>
      </c>
    </row>
    <row r="1669" spans="1:3" ht="13" x14ac:dyDescent="0.15">
      <c r="A1669" s="1" t="str">
        <f ca="1">IFERROR(__xludf.DUMMYFUNCTION("GOOGLETRANSLATE(A1669, ""zh"", ""en"")"),"The company's domestic operating areas sign special collective contracts for female employees with the trade union every three years with a signing rate of 100%, effectively protecting the legitimate rights and interests of female employees.")</f>
        <v>The company's domestic operating areas sign special collective contracts for female employees with the trade union every three years with a signing rate of 100%, effectively protecting the legitimate rights and interests of female employees.</v>
      </c>
      <c r="B1669" s="1" t="str">
        <f ca="1">IFERROR(__xludf.DUMMYFUNCTION("GOOGLETRANSLATE(A1669, ""zh"", ""en"")"),"staff")</f>
        <v>staff</v>
      </c>
      <c r="C1669" s="1" t="str">
        <f ca="1">IFERROR(__xludf.DUMMYFUNCTION("GOOGLETRANSLATE(E1669, ""zh"", ""en"")"),"Quantitative Text")</f>
        <v>Quantitative Text</v>
      </c>
    </row>
    <row r="1670" spans="1:3" ht="13" x14ac:dyDescent="0.15">
      <c r="A1670" s="1" t="str">
        <f ca="1">IFERROR(__xludf.DUMMYFUNCTION("GOOGLETRANSLATE(A1670, ""zh"", ""en"")"),"At the same time, the Bank fully respects the intellectual property rights of others and pays attention to preventing intellectual property infringement risks. No major intellectual property infringement incidents occurred this year.")</f>
        <v>At the same time, the Bank fully respects the intellectual property rights of others and pays attention to preventing intellectual property infringement risks. No major intellectual property infringement incidents occurred this year.</v>
      </c>
      <c r="B1670" s="1" t="str">
        <f ca="1">IFERROR(__xludf.DUMMYFUNCTION("GOOGLETRANSLATE(A1670, ""zh"", ""en"")"),"Intellectual Property Protection")</f>
        <v>Intellectual Property Protection</v>
      </c>
      <c r="C1670" s="1" t="str">
        <f ca="1">IFERROR(__xludf.DUMMYFUNCTION("GOOGLETRANSLATE(E1670, ""zh"", ""en"")"),"Quantitative Text")</f>
        <v>Quantitative Text</v>
      </c>
    </row>
    <row r="1671" spans="1:3" ht="13" x14ac:dyDescent="0.15">
      <c r="A1671" s="1" t="str">
        <f ca="1">IFERROR(__xludf.DUMMYFUNCTION("GOOGLETRANSLATE(A1671, ""zh"", ""en"")"),"Employee Behavior Management The Bank regularly conducts compliance warning education and business ethics training covering the Board of Directors, Supervisory Committee, Management and all employees")</f>
        <v>Employee Behavior Management The Bank regularly conducts compliance warning education and business ethics training covering the Board of Directors, Supervisory Committee, Management and all employees</v>
      </c>
      <c r="B1671" s="1" t="str">
        <f ca="1">IFERROR(__xludf.DUMMYFUNCTION("GOOGLETRANSLATE(A1671, ""zh"", ""en"")"),"staff")</f>
        <v>staff</v>
      </c>
      <c r="C1671" s="1" t="str">
        <f ca="1">IFERROR(__xludf.DUMMYFUNCTION("GOOGLETRANSLATE(E1671, ""zh"", ""en"")"),"Qualitative text")</f>
        <v>Qualitative text</v>
      </c>
    </row>
    <row r="1672" spans="1:3" ht="13" x14ac:dyDescent="0.15">
      <c r="A1672" s="1" t="str">
        <f ca="1">IFERROR(__xludf.DUMMYFUNCTION("GOOGLETRANSLATE(A1672, ""zh"", ""en"")"),"The event was held at Tampines Street 1 in eastern Singapore. A total of 55 branch staff and invited customer representatives participated in the event and planted 50 saplings.")</f>
        <v>The event was held at Tampines Street 1 in eastern Singapore. A total of 55 branch staff and invited customer representatives participated in the event and planted 50 saplings.</v>
      </c>
      <c r="B1672" s="1" t="str">
        <f ca="1">IFERROR(__xludf.DUMMYFUNCTION("GOOGLETRANSLATE(A1672, ""zh"", ""en"")"),"Public welfare and volunteer service")</f>
        <v>Public welfare and volunteer service</v>
      </c>
      <c r="C1672" s="1" t="str">
        <f ca="1">IFERROR(__xludf.DUMMYFUNCTION("GOOGLETRANSLATE(E1672, ""zh"", ""en"")"),"Quantitative Text")</f>
        <v>Quantitative Text</v>
      </c>
    </row>
    <row r="1673" spans="1:3" ht="13" x14ac:dyDescent="0.15">
      <c r="A1673" s="1" t="str">
        <f ca="1">IFERROR(__xludf.DUMMYFUNCTION("GOOGLETRANSLATE(A1673, ""zh"", ""en"")"),"Aiding the construction of rural terraced homestays in Hengfeng County, Jiangxi Province, developing rural tourism and leisure agriculture in accordance with local conditions and creating an ecological model for the integrated development of the primary, "&amp;"secondary and tertiary industries.")</f>
        <v>Aiding the construction of rural terraced homestays in Hengfeng County, Jiangxi Province, developing rural tourism and leisure agriculture in accordance with local conditions and creating an ecological model for the integrated development of the primary, secondary and tertiary industries.</v>
      </c>
      <c r="B1673" s="1" t="str">
        <f ca="1">IFERROR(__xludf.DUMMYFUNCTION("GOOGLETRANSLATE(A1673, ""zh"", ""en"")"),"Rural assistance")</f>
        <v>Rural assistance</v>
      </c>
      <c r="C1673" s="1" t="str">
        <f ca="1">IFERROR(__xludf.DUMMYFUNCTION("GOOGLETRANSLATE(E1673, ""zh"", ""en"")"),"Qualitative text")</f>
        <v>Qualitative text</v>
      </c>
    </row>
    <row r="1674" spans="1:3" ht="13" x14ac:dyDescent="0.15">
      <c r="A1674" s="1" t="str">
        <f ca="1">IFERROR(__xludf.DUMMYFUNCTION("GOOGLETRANSLATE(A1674, ""zh"", ""en"")"),"Cultivating a diverse, fair, and inclusive corporate culture. Employee rights and development. 83. Companies are rooted in society. Giving back to society is a company's responsibility.")</f>
        <v>Cultivating a diverse, fair, and inclusive corporate culture. Employee rights and development. 83. Companies are rooted in society. Giving back to society is a company's responsibility.</v>
      </c>
      <c r="B1674" s="1" t="str">
        <f ca="1">IFERROR(__xludf.DUMMYFUNCTION("GOOGLETRANSLATE(A1674, ""zh"", ""en"")"),"staff")</f>
        <v>staff</v>
      </c>
      <c r="C1674" s="1" t="str">
        <f ca="1">IFERROR(__xludf.DUMMYFUNCTION("GOOGLETRANSLATE(E1674, ""zh"", ""en"")"),"Qualitative text")</f>
        <v>Qualitative text</v>
      </c>
    </row>
    <row r="1675" spans="1:3" ht="13" x14ac:dyDescent="0.15">
      <c r="A1675" s="1" t="str">
        <f ca="1">IFERROR(__xludf.DUMMYFUNCTION("GOOGLETRANSLATE(A1675, ""zh"", ""en"")"),"After more than ten years of development, EBCC has grown from an ordinary local company to one of the best comprehensive camp service companies in Iraq.")</f>
        <v>After more than ten years of development, EBCC has grown from an ordinary local company to one of the best comprehensive camp service companies in Iraq.</v>
      </c>
      <c r="B1675" s="1" t="str">
        <f ca="1">IFERROR(__xludf.DUMMYFUNCTION("GOOGLETRANSLATE(A1675, ""zh"", ""en"")"),"irrelevant text")</f>
        <v>irrelevant text</v>
      </c>
      <c r="C1675" s="1" t="str">
        <f ca="1">IFERROR(__xludf.DUMMYFUNCTION("GOOGLETRANSLATE(E1675, ""zh"", ""en"")"),"irrelevant text")</f>
        <v>irrelevant text</v>
      </c>
    </row>
    <row r="1676" spans="1:3" ht="13" x14ac:dyDescent="0.15">
      <c r="A1676" s="1" t="str">
        <f ca="1">IFERROR(__xludf.DUMMYFUNCTION("GOOGLETRANSLATE(A1676, ""zh"", ""en"")"),"ESG management companies highly recognize the importance of ESG to the company's sound operations and have established effective ESG management and governance mechanisms.")</f>
        <v>ESG management companies highly recognize the importance of ESG to the company's sound operations and have established effective ESG management and governance mechanisms.</v>
      </c>
      <c r="B1676" s="1" t="str">
        <f ca="1">IFERROR(__xludf.DUMMYFUNCTION("GOOGLETRANSLATE(A1676, ""zh"", ""en"")"),"Organizational structure and operations")</f>
        <v>Organizational structure and operations</v>
      </c>
      <c r="C1676" s="1" t="str">
        <f ca="1">IFERROR(__xludf.DUMMYFUNCTION("GOOGLETRANSLATE(E1676, ""zh"", ""en"")"),"Qualitative text")</f>
        <v>Qualitative text</v>
      </c>
    </row>
    <row r="1677" spans="1:3" ht="13" x14ac:dyDescent="0.15">
      <c r="A1677" s="1" t="str">
        <f ca="1">IFERROR(__xludf.DUMMYFUNCTION("GOOGLETRANSLATE(A1677, ""zh"", ""en"")"),"B5.2 Execute the supply quantity of relevant demand cases and the execution and monitoring method of 99 relevant slow cases.")</f>
        <v>B5.2 Execute the supply quantity of relevant demand cases and the execution and monitoring method of 99 relevant slow cases.</v>
      </c>
      <c r="B1677" s="1" t="str">
        <f ca="1">IFERROR(__xludf.DUMMYFUNCTION("GOOGLETRANSLATE(A1677, ""zh"", ""en"")"),"supply chain management")</f>
        <v>supply chain management</v>
      </c>
      <c r="C1677" s="1" t="str">
        <f ca="1">IFERROR(__xludf.DUMMYFUNCTION("GOOGLETRANSLATE(E1677, ""zh"", ""en"")"),"Qualitative text")</f>
        <v>Qualitative text</v>
      </c>
    </row>
    <row r="1678" spans="1:3" ht="13" x14ac:dyDescent="0.15">
      <c r="A1678" s="1" t="str">
        <f ca="1">IFERROR(__xludf.DUMMYFUNCTION("GOOGLETRANSLATE(A1678, ""zh"", ""en"")"),"At the same time, we will reorganize and reposition the global brand layout of Sunshine Lighting's independent products, reorganize smart lighting into e-commerce and edge product planning")</f>
        <v>At the same time, we will reorganize and reposition the global brand layout of Sunshine Lighting's independent products, reorganize smart lighting into e-commerce and edge product planning</v>
      </c>
      <c r="B1678" s="1" t="str">
        <f ca="1">IFERROR(__xludf.DUMMYFUNCTION("GOOGLETRANSLATE(A1678, ""zh"", ""en"")"),"Product quality")</f>
        <v>Product quality</v>
      </c>
      <c r="C1678" s="1" t="str">
        <f ca="1">IFERROR(__xludf.DUMMYFUNCTION("GOOGLETRANSLATE(E1678, ""zh"", ""en"")"),"Qualitative text")</f>
        <v>Qualitative text</v>
      </c>
    </row>
    <row r="1679" spans="1:3" ht="13" x14ac:dyDescent="0.15">
      <c r="A1679" s="1" t="str">
        <f ca="1">IFERROR(__xludf.DUMMYFUNCTION("GOOGLETRANSLATE(A1679, ""zh"", ""en"")"),"102 Key Fill Efficiency Description: Any problems with applicable water sources and the plan and results of improving water efficiency in Han Standard A2.4")</f>
        <v>102 Key Fill Efficiency Description: Any problems with applicable water sources and the plan and results of improving water efficiency in Han Standard A2.4</v>
      </c>
      <c r="B1679" s="1" t="str">
        <f ca="1">IFERROR(__xludf.DUMMYFUNCTION("GOOGLETRANSLATE(A1679, ""zh"", ""en"")"),"Water resources")</f>
        <v>Water resources</v>
      </c>
      <c r="C1679" s="1" t="str">
        <f ca="1">IFERROR(__xludf.DUMMYFUNCTION("GOOGLETRANSLATE(E1679, ""zh"", ""en"")"),"Qualitative text")</f>
        <v>Qualitative text</v>
      </c>
    </row>
    <row r="1680" spans="1:3" ht="13" x14ac:dyDescent="0.15">
      <c r="A1680" s="1" t="str">
        <f ca="1">IFERROR(__xludf.DUMMYFUNCTION("GOOGLETRANSLATE(A1680, ""zh"", ""en"")"),"The company persists in rectifying work styles and enforcing discipline, firmly grasps the key minority, closely monitors key nodes, and establishes a mechanism for interviewing persons in key areas before important holidays.")</f>
        <v>The company persists in rectifying work styles and enforcing discipline, firmly grasps the key minority, closely monitors key nodes, and establishes a mechanism for interviewing persons in key areas before important holidays.</v>
      </c>
      <c r="B1680" s="1" t="str">
        <f ca="1">IFERROR(__xludf.DUMMYFUNCTION("GOOGLETRANSLATE(A1680, ""zh"", ""en"")"),"Anti-corruption and anti-money laundering")</f>
        <v>Anti-corruption and anti-money laundering</v>
      </c>
      <c r="C1680" s="1" t="str">
        <f ca="1">IFERROR(__xludf.DUMMYFUNCTION("GOOGLETRANSLATE(E1680, ""zh"", ""en"")"),"Qualitative text")</f>
        <v>Qualitative text</v>
      </c>
    </row>
    <row r="1681" spans="1:3" ht="13" x14ac:dyDescent="0.15">
      <c r="A1681" s="1" t="str">
        <f ca="1">IFERROR(__xludf.DUMMYFUNCTION("GOOGLETRANSLATE(A1681, ""zh"", ""en"")"),"Facing the challenges brought by the epidemic, the Party General Branch of Jiankangyuan insisted on actively combining enterprise production with the people's epidemic prevention and control to give full play to its own value advantages.")</f>
        <v>Facing the challenges brought by the epidemic, the Party General Branch of Jiankangyuan insisted on actively combining enterprise production with the people's epidemic prevention and control to give full play to its own value advantages.</v>
      </c>
      <c r="B1681" s="1" t="str">
        <f ca="1">IFERROR(__xludf.DUMMYFUNCTION("GOOGLETRANSLATE(A1681, ""zh"", ""en"")"),"Fighting the epidemic")</f>
        <v>Fighting the epidemic</v>
      </c>
      <c r="C1681" s="1" t="str">
        <f ca="1">IFERROR(__xludf.DUMMYFUNCTION("GOOGLETRANSLATE(E1681, ""zh"", ""en"")"),"Qualitative text")</f>
        <v>Qualitative text</v>
      </c>
    </row>
    <row r="1682" spans="1:3" ht="13" x14ac:dyDescent="0.15">
      <c r="A1682" s="1" t="str">
        <f ca="1">IFERROR(__xludf.DUMMYFUNCTION("GOOGLETRANSLATE(A1682, ""zh"", ""en"")"),"Cloud Concert During the epidemic lockdown, online concerts and sharing of executive experiences helped employees overcome negative emotions and maintain physical and mental health.")</f>
        <v>Cloud Concert During the epidemic lockdown, online concerts and sharing of executive experiences helped employees overcome negative emotions and maintain physical and mental health.</v>
      </c>
      <c r="B1682" s="1" t="str">
        <f ca="1">IFERROR(__xludf.DUMMYFUNCTION("GOOGLETRANSLATE(A1682, ""zh"", ""en"")"),"Fighting the epidemic")</f>
        <v>Fighting the epidemic</v>
      </c>
      <c r="C1682" s="1" t="str">
        <f ca="1">IFERROR(__xludf.DUMMYFUNCTION("GOOGLETRANSLATE(E1682, ""zh"", ""en"")"),"Qualitative text")</f>
        <v>Qualitative text</v>
      </c>
    </row>
    <row r="1683" spans="1:3" ht="13" x14ac:dyDescent="0.15">
      <c r="A1683" s="1" t="str">
        <f ca="1">IFERROR(__xludf.DUMMYFUNCTION("GOOGLETRANSLATE(A1683, ""zh"", ""en"")"),"After the successful commissioning of 7 wells, the production has steadily exceeded the designed production capacity. The production of some single wells has more than doubled the design value, which has been highly praised by customers.")</f>
        <v>After the successful commissioning of 7 wells, the production has steadily exceeded the designed production capacity. The production of some single wells has more than doubled the design value, which has been highly praised by customers.</v>
      </c>
      <c r="B1683" s="1" t="str">
        <f ca="1">IFERROR(__xludf.DUMMYFUNCTION("GOOGLETRANSLATE(A1683, ""zh"", ""en"")"),"Product quality")</f>
        <v>Product quality</v>
      </c>
      <c r="C1683" s="1" t="str">
        <f ca="1">IFERROR(__xludf.DUMMYFUNCTION("GOOGLETRANSLATE(E1683, ""zh"", ""en"")"),"Quantitative Text")</f>
        <v>Quantitative Text</v>
      </c>
    </row>
    <row r="1684" spans="1:3" ht="13" x14ac:dyDescent="0.15">
      <c r="A1684" s="1" t="str">
        <f ca="1">IFERROR(__xludf.DUMMYFUNCTION("GOOGLETRANSLATE(A1684, ""zh"", ""en"")"),"Start with people and gather as the center. Realize the value of the group based on the trustworthy relationship between people. Become a participant, contributor and beneficiary of community culture.")</f>
        <v>Start with people and gather as the center. Realize the value of the group based on the trustworthy relationship between people. Become a participant, contributor and beneficiary of community culture.</v>
      </c>
      <c r="B1684" s="1" t="str">
        <f ca="1">IFERROR(__xludf.DUMMYFUNCTION("GOOGLETRANSLATE(A1684, ""zh"", ""en"")"),"staff")</f>
        <v>staff</v>
      </c>
      <c r="C1684" s="1" t="str">
        <f ca="1">IFERROR(__xludf.DUMMYFUNCTION("GOOGLETRANSLATE(E1684, ""zh"", ""en"")"),"Qualitative text")</f>
        <v>Qualitative text</v>
      </c>
    </row>
    <row r="1685" spans="1:3" ht="13" x14ac:dyDescent="0.15">
      <c r="A1685" s="1" t="str">
        <f ca="1">IFERROR(__xludf.DUMMYFUNCTION("GOOGLETRANSLATE(A1685, ""zh"", ""en"")"),"The company incorporates water-saving indicators into performance appraisals, implements a target responsibility system for energy conservation and water conservation, and implements an energy conservation and water conservation appraisal system to streng"&amp;"then water use process management.")</f>
        <v>The company incorporates water-saving indicators into performance appraisals, implements a target responsibility system for energy conservation and water conservation, and implements an energy conservation and water conservation appraisal system to strengthen water use process management.</v>
      </c>
      <c r="B1685" s="1" t="str">
        <f ca="1">IFERROR(__xludf.DUMMYFUNCTION("GOOGLETRANSLATE(A1685, ""zh"", ""en"")"),"Water resources")</f>
        <v>Water resources</v>
      </c>
      <c r="C1685" s="1" t="str">
        <f ca="1">IFERROR(__xludf.DUMMYFUNCTION("GOOGLETRANSLATE(E1685, ""zh"", ""en"")"),"Qualitative text")</f>
        <v>Qualitative text</v>
      </c>
    </row>
    <row r="1686" spans="1:3" ht="13" x14ac:dyDescent="0.15">
      <c r="A1686" s="1" t="str">
        <f ca="1">IFERROR(__xludf.DUMMYFUNCTION("GOOGLETRANSLATE(A1686, ""zh"", ""en"")"),"We strictly control emissions and pollution, actively create a green office environment, continuously improve green manufacturing, and achieve refined management of safety and environmental protection work.")</f>
        <v>We strictly control emissions and pollution, actively create a green office environment, continuously improve green manufacturing, and achieve refined management of safety and environmental protection work.</v>
      </c>
      <c r="B1686" s="1" t="str">
        <f ca="1">IFERROR(__xludf.DUMMYFUNCTION("GOOGLETRANSLATE(A1686, ""zh"", ""en"")"),"Waste Management")</f>
        <v>Waste Management</v>
      </c>
      <c r="C1686" s="1" t="str">
        <f ca="1">IFERROR(__xludf.DUMMYFUNCTION("GOOGLETRANSLATE(E1686, ""zh"", ""en"")"),"Qualitative text")</f>
        <v>Qualitative text</v>
      </c>
    </row>
    <row r="1687" spans="1:3" ht="13" x14ac:dyDescent="0.15">
      <c r="A1687" s="1" t="str">
        <f ca="1">IFERROR(__xludf.DUMMYFUNCTION("GOOGLETRANSLATE(A1687, ""zh"", ""en"")"),"We regard production safety as the core value of the enterprise and implement it in all aspects of production and operation, actively promoting the construction of a long-term mechanism for production safety")</f>
        <v>We regard production safety as the core value of the enterprise and implement it in all aspects of production and operation, actively promoting the construction of a long-term mechanism for production safety</v>
      </c>
      <c r="B1687" s="1" t="str">
        <f ca="1">IFERROR(__xludf.DUMMYFUNCTION("GOOGLETRANSLATE(A1687, ""zh"", ""en"")"),"staff")</f>
        <v>staff</v>
      </c>
      <c r="C1687" s="1" t="str">
        <f ca="1">IFERROR(__xludf.DUMMYFUNCTION("GOOGLETRANSLATE(E1687, ""zh"", ""en"")"),"Qualitative text")</f>
        <v>Qualitative text</v>
      </c>
    </row>
    <row r="1688" spans="1:3" ht="13" x14ac:dyDescent="0.15">
      <c r="A1688" s="1" t="str">
        <f ca="1">IFERROR(__xludf.DUMMYFUNCTION("GOOGLETRANSLATE(A1688, ""zh"", ""en"")"),"During the period of stationing at the factory, more than 200 Party members and 1,500 production and quality control staff of Yaoyou Pharmaceutical delivered down vests to the Party members stationed at the factory.")</f>
        <v>During the period of stationing at the factory, more than 200 Party members and 1,500 production and quality control staff of Yaoyou Pharmaceutical delivered down vests to the Party members stationed at the factory.</v>
      </c>
      <c r="B1688" s="1" t="str">
        <f ca="1">IFERROR(__xludf.DUMMYFUNCTION("GOOGLETRANSLATE(A1688, ""zh"", ""en"")"),"staff")</f>
        <v>staff</v>
      </c>
      <c r="C1688" s="1" t="str">
        <f ca="1">IFERROR(__xludf.DUMMYFUNCTION("GOOGLETRANSLATE(E1688, ""zh"", ""en"")"),"Quantitative Text")</f>
        <v>Quantitative Text</v>
      </c>
    </row>
    <row r="1689" spans="1:3" ht="13" x14ac:dyDescent="0.15">
      <c r="A1689" s="1" t="str">
        <f ca="1">IFERROR(__xludf.DUMMYFUNCTION("GOOGLETRANSLATE(A1689, ""zh"", ""en"")"),"The sense of identity of the majority of party members and employees towards the company has been significantly improved by the end of February 2023.")</f>
        <v>The sense of identity of the majority of party members and employees towards the company has been significantly improved by the end of February 2023.</v>
      </c>
      <c r="B1689" s="1" t="str">
        <f ca="1">IFERROR(__xludf.DUMMYFUNCTION("GOOGLETRANSLATE(A1689, ""zh"", ""en"")"),"staff")</f>
        <v>staff</v>
      </c>
      <c r="C1689" s="1" t="str">
        <f ca="1">IFERROR(__xludf.DUMMYFUNCTION("GOOGLETRANSLATE(E1689, ""zh"", ""en"")"),"Quantitative Text")</f>
        <v>Quantitative Text</v>
      </c>
    </row>
    <row r="1690" spans="1:3" ht="13" x14ac:dyDescent="0.15">
      <c r="A1690" s="1" t="str">
        <f ca="1">IFERROR(__xludf.DUMMYFUNCTION("GOOGLETRANSLATE(A1690, ""zh"", ""en"")"),"Reporting Principles This report complies with the Environmental, Social and Governance Reporting Guidelines of the Hong Kong Stock Exchange and adheres to the principles of materiality, quantification, consistency and balance.")</f>
        <v>Reporting Principles This report complies with the Environmental, Social and Governance Reporting Guidelines of the Hong Kong Stock Exchange and adheres to the principles of materiality, quantification, consistency and balance.</v>
      </c>
      <c r="B1690" s="1" t="str">
        <f ca="1">IFERROR(__xludf.DUMMYFUNCTION("GOOGLETRANSLATE(A1690, ""zh"", ""en"")"),"irrelevant text")</f>
        <v>irrelevant text</v>
      </c>
      <c r="C1690" s="1" t="str">
        <f ca="1">IFERROR(__xludf.DUMMYFUNCTION("GOOGLETRANSLATE(E1690, ""zh"", ""en"")"),"irrelevant text")</f>
        <v>irrelevant text</v>
      </c>
    </row>
    <row r="1691" spans="1:3" ht="13" x14ac:dyDescent="0.15">
      <c r="A1691" s="1" t="str">
        <f ca="1">IFERROR(__xludf.DUMMYFUNCTION("GOOGLETRANSLATE(A1691, ""zh"", ""en"")"),"Application forms include third-party certification within Fosun Pharma Group, the percentage of employees of certified companies, cross-audits by various pharmaceutical departments, and self-audits by member companies.")</f>
        <v>Application forms include third-party certification within Fosun Pharma Group, the percentage of employees of certified companies, cross-audits by various pharmaceutical departments, and self-audits by member companies.</v>
      </c>
      <c r="B1691" s="1" t="str">
        <f ca="1">IFERROR(__xludf.DUMMYFUNCTION("GOOGLETRANSLATE(A1691, ""zh"", ""en"")"),"staff")</f>
        <v>staff</v>
      </c>
      <c r="C1691" s="1" t="str">
        <f ca="1">IFERROR(__xludf.DUMMYFUNCTION("GOOGLETRANSLATE(E1691, ""zh"", ""en"")"),"Qualitative text")</f>
        <v>Qualitative text</v>
      </c>
    </row>
    <row r="1692" spans="1:3" ht="13" x14ac:dyDescent="0.15">
      <c r="A1692" s="1" t="str">
        <f ca="1">IFERROR(__xludf.DUMMYFUNCTION("GOOGLETRANSLATE(A1692, ""zh"", ""en"")"),"Two member companies, Hongqi Bieyao Xinshengyuangen, were included in the local carbon emission trading quota management list and cooperated with the competent authorities to participate in local carbon trading.")</f>
        <v>Two member companies, Hongqi Bieyao Xinshengyuangen, were included in the local carbon emission trading quota management list and cooperated with the competent authorities to participate in local carbon trading.</v>
      </c>
      <c r="B1692" s="1" t="str">
        <f ca="1">IFERROR(__xludf.DUMMYFUNCTION("GOOGLETRANSLATE(A1692, ""zh"", ""en"")"),"carbon emissions")</f>
        <v>carbon emissions</v>
      </c>
      <c r="C1692" s="1" t="str">
        <f ca="1">IFERROR(__xludf.DUMMYFUNCTION("GOOGLETRANSLATE(E1692, ""zh"", ""en"")"),"Qualitative text")</f>
        <v>Qualitative text</v>
      </c>
    </row>
    <row r="1693" spans="1:3" ht="13" x14ac:dyDescent="0.15">
      <c r="A1693" s="1" t="str">
        <f ca="1">IFERROR(__xludf.DUMMYFUNCTION("GOOGLETRANSLATE(A1693, ""zh"", ""en"")"),"2. Employee Rights Protection The company adheres to the people-oriented principle, protects the rights of employees, guides employees to do the right thing, and gives full play to the wisdom and talents of each employee")</f>
        <v>2. Employee Rights Protection The company adheres to the people-oriented principle, protects the rights of employees, guides employees to do the right thing, and gives full play to the wisdom and talents of each employee</v>
      </c>
      <c r="B1693" s="1" t="str">
        <f ca="1">IFERROR(__xludf.DUMMYFUNCTION("GOOGLETRANSLATE(A1693, ""zh"", ""en"")"),"staff")</f>
        <v>staff</v>
      </c>
      <c r="C1693" s="1" t="str">
        <f ca="1">IFERROR(__xludf.DUMMYFUNCTION("GOOGLETRANSLATE(E1693, ""zh"", ""en"")"),"Qualitative text")</f>
        <v>Qualitative text</v>
      </c>
    </row>
    <row r="1694" spans="1:3" ht="13" x14ac:dyDescent="0.15">
      <c r="A1694" s="1" t="str">
        <f ca="1">IFERROR(__xludf.DUMMYFUNCTION("GOOGLETRANSLATE(A1694, ""zh"", ""en"")"),"All relevant complaint records and investigation information are promptly responded to customers within a specified time and properly summarized and registered for corrective and preventive measures.")</f>
        <v>All relevant complaint records and investigation information are promptly responded to customers within a specified time and properly summarized and registered for corrective and preventive measures.</v>
      </c>
      <c r="B1694" s="1" t="str">
        <f ca="1">IFERROR(__xludf.DUMMYFUNCTION("GOOGLETRANSLATE(A1694, ""zh"", ""en"")"),"Customers and Consumers")</f>
        <v>Customers and Consumers</v>
      </c>
      <c r="C1694" s="1" t="str">
        <f ca="1">IFERROR(__xludf.DUMMYFUNCTION("GOOGLETRANSLATE(E1694, ""zh"", ""en"")"),"Qualitative text")</f>
        <v>Qualitative text</v>
      </c>
    </row>
    <row r="1695" spans="1:3" ht="13" x14ac:dyDescent="0.15">
      <c r="A1695" s="1" t="str">
        <f ca="1">IFERROR(__xludf.DUMMYFUNCTION("GOOGLETRANSLATE(A1695, ""zh"", ""en"")"),"The company revised its science and technology award regulations to increase incentives for major scientific and technological contributors, fully mobilizing the enthusiasm of scientific and technological personnel for innovation and creation.")</f>
        <v>The company revised its science and technology award regulations to increase incentives for major scientific and technological contributors, fully mobilizing the enthusiasm of scientific and technological personnel for innovation and creation.</v>
      </c>
      <c r="B1695" s="1" t="str">
        <f ca="1">IFERROR(__xludf.DUMMYFUNCTION("GOOGLETRANSLATE(A1695, ""zh"", ""en"")"),"Technological innovation")</f>
        <v>Technological innovation</v>
      </c>
      <c r="C1695" s="1" t="str">
        <f ca="1">IFERROR(__xludf.DUMMYFUNCTION("GOOGLETRANSLATE(E1695, ""zh"", ""en"")"),"Qualitative text")</f>
        <v>Qualitative text</v>
      </c>
    </row>
    <row r="1696" spans="1:3" ht="13" x14ac:dyDescent="0.15">
      <c r="A1696" s="1" t="str">
        <f ca="1">IFERROR(__xludf.DUMMYFUNCTION("GOOGLETRANSLATE(A1696, ""zh"", ""en"")"),"Diversity of the Board of Directors In 2022, the company held 7 board meetings, 10 special committee meetings, and passed 36 board resolutions.")</f>
        <v>Diversity of the Board of Directors In 2022, the company held 7 board meetings, 10 special committee meetings, and passed 36 board resolutions.</v>
      </c>
      <c r="B1696" s="1" t="str">
        <f ca="1">IFERROR(__xludf.DUMMYFUNCTION("GOOGLETRANSLATE(A1696, ""zh"", ""en"")"),"Organizational structure and operations")</f>
        <v>Organizational structure and operations</v>
      </c>
      <c r="C1696" s="1" t="str">
        <f ca="1">IFERROR(__xludf.DUMMYFUNCTION("GOOGLETRANSLATE(E1696, ""zh"", ""en"")"),"Quantitative Text")</f>
        <v>Quantitative Text</v>
      </c>
    </row>
    <row r="1697" spans="1:3" ht="13" x14ac:dyDescent="0.15">
      <c r="A1697" s="1" t="str">
        <f ca="1">IFERROR(__xludf.DUMMYFUNCTION("GOOGLETRANSLATE(A1697, ""zh"", ""en"")"),"Industrial groups focus on industrial development, strengthen corporate governance, increase efficiency, lay a solid foundation for sustainable development, and ensure controllable risks and adhere to bottom lines for the future.")</f>
        <v>Industrial groups focus on industrial development, strengthen corporate governance, increase efficiency, lay a solid foundation for sustainable development, and ensure controllable risks and adhere to bottom lines for the future.</v>
      </c>
      <c r="B1697" s="1" t="str">
        <f ca="1">IFERROR(__xludf.DUMMYFUNCTION("GOOGLETRANSLATE(A1697, ""zh"", ""en"")"),"Organizational structure and operations")</f>
        <v>Organizational structure and operations</v>
      </c>
      <c r="C1697" s="1" t="str">
        <f ca="1">IFERROR(__xludf.DUMMYFUNCTION("GOOGLETRANSLATE(E1697, ""zh"", ""en"")"),"Qualitative text")</f>
        <v>Qualitative text</v>
      </c>
    </row>
    <row r="1698" spans="1:3" ht="13" x14ac:dyDescent="0.15">
      <c r="A1698" s="1" t="str">
        <f ca="1">IFERROR(__xludf.DUMMYFUNCTION("GOOGLETRANSLATE(A1698, ""zh"", ""en"")"),"By promoting the use of shared pallets, Sinopec's synthetic resin products have been shipped with packaging, which has greatly improved the speed and efficiency of logistics operations.")</f>
        <v>By promoting the use of shared pallets, Sinopec's synthetic resin products have been shipped with packaging, which has greatly improved the speed and efficiency of logistics operations.</v>
      </c>
      <c r="B1698" s="1" t="str">
        <f ca="1">IFERROR(__xludf.DUMMYFUNCTION("GOOGLETRANSLATE(A1698, ""zh"", ""en"")"),"raw materials")</f>
        <v>raw materials</v>
      </c>
      <c r="C1698" s="1" t="str">
        <f ca="1">IFERROR(__xludf.DUMMYFUNCTION("GOOGLETRANSLATE(E1698, ""zh"", ""en"")"),"Qualitative text")</f>
        <v>Qualitative text</v>
      </c>
    </row>
    <row r="1699" spans="1:3" ht="13" x14ac:dyDescent="0.15">
      <c r="A1699" s="1" t="str">
        <f ca="1">IFERROR(__xludf.DUMMYFUNCTION("GOOGLETRANSLATE(A1699, ""zh"", ""en"")"),"Occupational disease hazard factor detection rate 100% effective prevention and control rate 100% occupational health examination rate 100% intervention rate for high-risk personnel 100%")</f>
        <v>Occupational disease hazard factor detection rate 100% effective prevention and control rate 100% occupational health examination rate 100% intervention rate for high-risk personnel 100%</v>
      </c>
      <c r="B1699" s="1" t="str">
        <f ca="1">IFERROR(__xludf.DUMMYFUNCTION("GOOGLETRANSLATE(A1699, ""zh"", ""en"")"),"staff")</f>
        <v>staff</v>
      </c>
      <c r="C1699" s="1" t="str">
        <f ca="1">IFERROR(__xludf.DUMMYFUNCTION("GOOGLETRANSLATE(E1699, ""zh"", ""en"")"),"Quantitative Text")</f>
        <v>Quantitative Text</v>
      </c>
    </row>
    <row r="1700" spans="1:3" ht="13" x14ac:dyDescent="0.15">
      <c r="A1700" s="1" t="str">
        <f ca="1">IFERROR(__xludf.DUMMYFUNCTION("GOOGLETRANSLATE(A1700, ""zh"", ""en"")"),"Product purchase software content and during the reporting period, the company introduced a third-party consulting company to jointly sort out business process updates and launch a digital service platform")</f>
        <v>Product purchase software content and during the reporting period, the company introduced a third-party consulting company to jointly sort out business process updates and launch a digital service platform</v>
      </c>
      <c r="B1700" s="1" t="str">
        <f ca="1">IFERROR(__xludf.DUMMYFUNCTION("GOOGLETRANSLATE(A1700, ""zh"", ""en"")"),"Product quality")</f>
        <v>Product quality</v>
      </c>
      <c r="C1700" s="1" t="str">
        <f ca="1">IFERROR(__xludf.DUMMYFUNCTION("GOOGLETRANSLATE(E1700, ""zh"", ""en"")"),"Qualitative text")</f>
        <v>Qualitative text</v>
      </c>
    </row>
    <row r="1701" spans="1:3" ht="13" x14ac:dyDescent="0.15">
      <c r="A1701" s="1" t="str">
        <f ca="1">IFERROR(__xludf.DUMMYFUNCTION("GOOGLETRANSLATE(A1701, ""zh"", ""en"")"),"Important Note: This report has been reviewed and approved by the Board of Directors. No false records, misleading statements or material omissions were found in the report.")</f>
        <v>Important Note: This report has been reviewed and approved by the Board of Directors. No false records, misleading statements or material omissions were found in the report.</v>
      </c>
      <c r="B1701" s="1" t="str">
        <f ca="1">IFERROR(__xludf.DUMMYFUNCTION("GOOGLETRANSLATE(A1701, ""zh"", ""en"")"),"irrelevant text")</f>
        <v>irrelevant text</v>
      </c>
      <c r="C1701" s="1" t="str">
        <f ca="1">IFERROR(__xludf.DUMMYFUNCTION("GOOGLETRANSLATE(E1701, ""zh"", ""en"")"),"irrelevant text")</f>
        <v>irrelevant text</v>
      </c>
    </row>
    <row r="1702" spans="1:3" ht="13" x14ac:dyDescent="0.15">
      <c r="A1702" s="1" t="str">
        <f ca="1">IFERROR(__xludf.DUMMYFUNCTION("GOOGLETRANSLATE(A1702, ""zh"", ""en"")"),"In 2022, the Hisense Visual Chief Technician skill level will be added to the original 6-level skill channel to further expand the promotion and development space for employees.")</f>
        <v>In 2022, the Hisense Visual Chief Technician skill level will be added to the original 6-level skill channel to further expand the promotion and development space for employees.</v>
      </c>
      <c r="B1702" s="1" t="str">
        <f ca="1">IFERROR(__xludf.DUMMYFUNCTION("GOOGLETRANSLATE(A1702, ""zh"", ""en"")"),"staff")</f>
        <v>staff</v>
      </c>
      <c r="C1702" s="1" t="str">
        <f ca="1">IFERROR(__xludf.DUMMYFUNCTION("GOOGLETRANSLATE(E1702, ""zh"", ""en"")"),"Qualitative text")</f>
        <v>Qualitative text</v>
      </c>
    </row>
    <row r="1703" spans="1:3" ht="13" x14ac:dyDescent="0.15">
      <c r="A1703" s="1" t="str">
        <f ca="1">IFERROR(__xludf.DUMMYFUNCTION("GOOGLETRANSLATE(A1703, ""zh"", ""en"")"),"Efficiently utilize land to revitalize land resources, strictly implement well sealing and soil testing, and sign a safety and environmental protection handover confirmation letter with the local natural resources department.")</f>
        <v>Efficiently utilize land to revitalize land resources, strictly implement well sealing and soil testing, and sign a safety and environmental protection handover confirmation letter with the local natural resources department.</v>
      </c>
      <c r="B1703" s="1" t="str">
        <f ca="1">IFERROR(__xludf.DUMMYFUNCTION("GOOGLETRANSLATE(A1703, ""zh"", ""en"")"),"Land use")</f>
        <v>Land use</v>
      </c>
      <c r="C1703" s="1" t="str">
        <f ca="1">IFERROR(__xludf.DUMMYFUNCTION("GOOGLETRANSLATE(E1703, ""zh"", ""en"")"),"Qualitative text")</f>
        <v>Qualitative text</v>
      </c>
    </row>
    <row r="1704" spans="1:3" ht="13" x14ac:dyDescent="0.15">
      <c r="A1704" s="1" t="str">
        <f ca="1">IFERROR(__xludf.DUMMYFUNCTION("GOOGLETRANSLATE(A1704, ""zh"", ""en"")"),"The Bulenggou Primary School built with aid solved the problem of local children having difficulty in going to school. Sinopec also established a scholarship to support the Hope Project for Girls.")</f>
        <v>The Bulenggou Primary School built with aid solved the problem of local children having difficulty in going to school. Sinopec also established a scholarship to support the Hope Project for Girls.</v>
      </c>
      <c r="B1704" s="1" t="str">
        <f ca="1">IFERROR(__xludf.DUMMYFUNCTION("GOOGLETRANSLATE(A1704, ""zh"", ""en"")"),"Public welfare and volunteer service")</f>
        <v>Public welfare and volunteer service</v>
      </c>
      <c r="C1704" s="1" t="str">
        <f ca="1">IFERROR(__xludf.DUMMYFUNCTION("GOOGLETRANSLATE(E1704, ""zh"", ""en"")"),"Qualitative text")</f>
        <v>Qualitative text</v>
      </c>
    </row>
    <row r="1705" spans="1:3" ht="13" x14ac:dyDescent="0.15">
      <c r="A1705" s="1" t="str">
        <f ca="1">IFERROR(__xludf.DUMMYFUNCTION("GOOGLETRANSLATE(A1705, ""zh"", ""en"")"),"Over the next five years, Sinopec will continue to increase its support for Dongxiang County and invest over 500 million yuan in support to help the county achieve its rural revitalization goals.")</f>
        <v>Over the next five years, Sinopec will continue to increase its support for Dongxiang County and invest over 500 million yuan in support to help the county achieve its rural revitalization goals.</v>
      </c>
      <c r="B1705" s="1" t="str">
        <f ca="1">IFERROR(__xludf.DUMMYFUNCTION("GOOGLETRANSLATE(A1705, ""zh"", ""en"")"),"Rural assistance")</f>
        <v>Rural assistance</v>
      </c>
      <c r="C1705" s="1" t="str">
        <f ca="1">IFERROR(__xludf.DUMMYFUNCTION("GOOGLETRANSLATE(E1705, ""zh"", ""en"")"),"Quantitative Text")</f>
        <v>Quantitative Text</v>
      </c>
    </row>
    <row r="1706" spans="1:3" ht="13" x14ac:dyDescent="0.15">
      <c r="A1706" s="1" t="str">
        <f ca="1">IFERROR(__xludf.DUMMYFUNCTION("GOOGLETRANSLATE(A1706, ""zh"", ""en"")"),"At the same time, the company upholds the spirit of volunteer service of dedication, friendship, mutual assistance and progress, and encourages employees to participate in volunteer activities to contribute love and warmth to the society.")</f>
        <v>At the same time, the company upholds the spirit of volunteer service of dedication, friendship, mutual assistance and progress, and encourages employees to participate in volunteer activities to contribute love and warmth to the society.</v>
      </c>
      <c r="B1706" s="1" t="str">
        <f ca="1">IFERROR(__xludf.DUMMYFUNCTION("GOOGLETRANSLATE(A1706, ""zh"", ""en"")"),"Public welfare and volunteer service")</f>
        <v>Public welfare and volunteer service</v>
      </c>
      <c r="C1706" s="1" t="str">
        <f ca="1">IFERROR(__xludf.DUMMYFUNCTION("GOOGLETRANSLATE(E1706, ""zh"", ""en"")"),"Qualitative text")</f>
        <v>Qualitative text</v>
      </c>
    </row>
    <row r="1707" spans="1:3" ht="13" x14ac:dyDescent="0.15">
      <c r="A1707" s="1" t="str">
        <f ca="1">IFERROR(__xludf.DUMMYFUNCTION("GOOGLETRANSLATE(A1707, ""zh"", ""en"")"),"This requires us to leverage our deep experience, take root in the digital battlefield, empower all industries with scientific and technological capabilities, and become builders of Digital China.")</f>
        <v>This requires us to leverage our deep experience, take root in the digital battlefield, empower all industries with scientific and technological capabilities, and become builders of Digital China.</v>
      </c>
      <c r="B1707" s="1" t="str">
        <f ca="1">IFERROR(__xludf.DUMMYFUNCTION("GOOGLETRANSLATE(A1707, ""zh"", ""en"")"),"Technological innovation")</f>
        <v>Technological innovation</v>
      </c>
      <c r="C1707" s="1" t="str">
        <f ca="1">IFERROR(__xludf.DUMMYFUNCTION("GOOGLETRANSLATE(E1707, ""zh"", ""en"")"),"Qualitative text")</f>
        <v>Qualitative text</v>
      </c>
    </row>
    <row r="1708" spans="1:3" ht="13" x14ac:dyDescent="0.15">
      <c r="A1708" s="1" t="str">
        <f ca="1">IFERROR(__xludf.DUMMYFUNCTION("GOOGLETRANSLATE(A1708, ""zh"", ""en"")"),"Among them, Shenma Dizi Cloth and Cord Fabric Development Company were awarded the titles of Safety Production Standardization Demonstration Enterprise and Safety Advanced Unit by Xianlian Group Ground Enterprise.")</f>
        <v>Among them, Shenma Dizi Cloth and Cord Fabric Development Company were awarded the titles of Safety Production Standardization Demonstration Enterprise and Safety Advanced Unit by Xianlian Group Ground Enterprise.</v>
      </c>
      <c r="B1708" s="1" t="str">
        <f ca="1">IFERROR(__xludf.DUMMYFUNCTION("GOOGLETRANSLATE(A1708, ""zh"", ""en"")"),"staff")</f>
        <v>staff</v>
      </c>
      <c r="C1708" s="1" t="str">
        <f ca="1">IFERROR(__xludf.DUMMYFUNCTION("GOOGLETRANSLATE(E1708, ""zh"", ""en"")"),"Qualitative text")</f>
        <v>Qualitative text</v>
      </c>
    </row>
    <row r="1709" spans="1:3" ht="13" x14ac:dyDescent="0.15">
      <c r="A1709" s="1" t="str">
        <f ca="1">IFERROR(__xludf.DUMMYFUNCTION("GOOGLETRANSLATE(A1709, ""zh"", ""en"")"),"The volunteers actively participated in the calligraphy donation activity organized by the Youth League Committee of the Group and received unanimous praise from the citizens on the scene.")</f>
        <v>The volunteers actively participated in the calligraphy donation activity organized by the Youth League Committee of the Group and received unanimous praise from the citizens on the scene.</v>
      </c>
      <c r="B1709" s="1" t="str">
        <f ca="1">IFERROR(__xludf.DUMMYFUNCTION("GOOGLETRANSLATE(A1709, ""zh"", ""en"")"),"Public welfare and volunteer service")</f>
        <v>Public welfare and volunteer service</v>
      </c>
      <c r="C1709" s="1" t="str">
        <f ca="1">IFERROR(__xludf.DUMMYFUNCTION("GOOGLETRANSLATE(E1709, ""zh"", ""en"")"),"Qualitative text")</f>
        <v>Qualitative text</v>
      </c>
    </row>
    <row r="1710" spans="1:3" ht="13" x14ac:dyDescent="0.15">
      <c r="A1710" s="1" t="str">
        <f ca="1">IFERROR(__xludf.DUMMYFUNCTION("GOOGLETRANSLATE(A1710, ""zh"", ""en"")"),"The company prepares major risk management reports every quarter. The 2022 full-year risk assessment shows that integrity risks are controllable and the risk level has not changed significantly.")</f>
        <v>The company prepares major risk management reports every quarter. The 2022 full-year risk assessment shows that integrity risks are controllable and the risk level has not changed significantly.</v>
      </c>
      <c r="B1710" s="1" t="str">
        <f ca="1">IFERROR(__xludf.DUMMYFUNCTION("GOOGLETRANSLATE(A1710, ""zh"", ""en"")"),"Anti-corruption and anti-money laundering")</f>
        <v>Anti-corruption and anti-money laundering</v>
      </c>
      <c r="C1710" s="1" t="str">
        <f ca="1">IFERROR(__xludf.DUMMYFUNCTION("GOOGLETRANSLATE(E1710, ""zh"", ""en"")"),"Quantitative Text")</f>
        <v>Quantitative Text</v>
      </c>
    </row>
    <row r="1711" spans="1:3" ht="13" x14ac:dyDescent="0.15">
      <c r="A1711" s="1" t="str">
        <f ca="1">IFERROR(__xludf.DUMMYFUNCTION("GOOGLETRANSLATE(A1711, ""zh"", ""en"")"),"The company maintains good and regular communication with customers, shares corporate information with customers and collects customer feedback to establish a good cooperative relationship")</f>
        <v>The company maintains good and regular communication with customers, shares corporate information with customers and collects customer feedback to establish a good cooperative relationship</v>
      </c>
      <c r="B1711" s="1" t="str">
        <f ca="1">IFERROR(__xludf.DUMMYFUNCTION("GOOGLETRANSLATE(A1711, ""zh"", ""en"")"),"Customers and Consumers")</f>
        <v>Customers and Consumers</v>
      </c>
      <c r="C1711" s="1" t="str">
        <f ca="1">IFERROR(__xludf.DUMMYFUNCTION("GOOGLETRANSLATE(E1711, ""zh"", ""en"")"),"Qualitative text")</f>
        <v>Qualitative text</v>
      </c>
    </row>
    <row r="1712" spans="1:3" ht="13" x14ac:dyDescent="0.15">
      <c r="A1712" s="1" t="str">
        <f ca="1">IFERROR(__xludf.DUMMYFUNCTION("GOOGLETRANSLATE(A1712, ""zh"", ""en"")"),"The customer service company adheres to democratic management, establishes and improves the system of staff congress and trade union institutions and working mechanisms, respects and protects the legal rights and interests of employees.")</f>
        <v>The customer service company adheres to democratic management, establishes and improves the system of staff congress and trade union institutions and working mechanisms, respects and protects the legal rights and interests of employees.</v>
      </c>
      <c r="B1712" s="1" t="str">
        <f ca="1">IFERROR(__xludf.DUMMYFUNCTION("GOOGLETRANSLATE(A1712, ""zh"", ""en"")"),"staff")</f>
        <v>staff</v>
      </c>
      <c r="C1712" s="1" t="str">
        <f ca="1">IFERROR(__xludf.DUMMYFUNCTION("GOOGLETRANSLATE(E1712, ""zh"", ""en"")"),"Qualitative text")</f>
        <v>Qualitative text</v>
      </c>
    </row>
    <row r="1713" spans="1:3" ht="13" x14ac:dyDescent="0.15">
      <c r="A1713" s="1" t="str">
        <f ca="1">IFERROR(__xludf.DUMMYFUNCTION("GOOGLETRANSLATE(A1713, ""zh"", ""en"")"),"The Board of Supervisors safeguards the legitimate rights and interests of the company and its shareholders by inspecting and supervising the legality of the performance of duties by the company's directors and senior management.")</f>
        <v>The Board of Supervisors safeguards the legitimate rights and interests of the company and its shareholders by inspecting and supervising the legality of the performance of duties by the company's directors and senior management.</v>
      </c>
      <c r="B1713" s="1" t="str">
        <f ca="1">IFERROR(__xludf.DUMMYFUNCTION("GOOGLETRANSLATE(A1713, ""zh"", ""en"")"),"Organizational structure and operations")</f>
        <v>Organizational structure and operations</v>
      </c>
      <c r="C1713" s="1" t="str">
        <f ca="1">IFERROR(__xludf.DUMMYFUNCTION("GOOGLETRANSLATE(E1713, ""zh"", ""en"")"),"Qualitative text")</f>
        <v>Qualitative text</v>
      </c>
    </row>
    <row r="1714" spans="1:3" ht="13" x14ac:dyDescent="0.15">
      <c r="A1714" s="1" t="str">
        <f ca="1">IFERROR(__xludf.DUMMYFUNCTION("GOOGLETRANSLATE(A1714, ""zh"", ""en"")"),"At the same time, the company continues to strengthen the search and cultivation of supply resources in new energy fields such as geothermal, hydrogen, photovoltaic, and wind energy, and actively serves the development of the three new industries.")</f>
        <v>At the same time, the company continues to strengthen the search and cultivation of supply resources in new energy fields such as geothermal, hydrogen, photovoltaic, and wind energy, and actively serves the development of the three new industries.</v>
      </c>
      <c r="B1714" s="1" t="str">
        <f ca="1">IFERROR(__xludf.DUMMYFUNCTION("GOOGLETRANSLATE(A1714, ""zh"", ""en"")"),"Energy and resource consumption")</f>
        <v>Energy and resource consumption</v>
      </c>
      <c r="C1714" s="1" t="str">
        <f ca="1">IFERROR(__xludf.DUMMYFUNCTION("GOOGLETRANSLATE(E1714, ""zh"", ""en"")"),"Qualitative text")</f>
        <v>Qualitative text</v>
      </c>
    </row>
    <row r="1715" spans="1:3" ht="13" x14ac:dyDescent="0.15">
      <c r="A1715" s="1" t="str">
        <f ca="1">IFERROR(__xludf.DUMMYFUNCTION("GOOGLETRANSLATE(A1715, ""zh"", ""en"")"),"Adhere to the principle of prioritizing conservation and continue to implement energy efficiency improvement plans. Comprehensively carry out energy efficiency leader activities. The energy efficiency of major products has reached international leading le"&amp;"vels.")</f>
        <v>Adhere to the principle of prioritizing conservation and continue to implement energy efficiency improvement plans. Comprehensively carry out energy efficiency leader activities. The energy efficiency of major products has reached international leading levels.</v>
      </c>
      <c r="B1715" s="1" t="str">
        <f ca="1">IFERROR(__xludf.DUMMYFUNCTION("GOOGLETRANSLATE(A1715, ""zh"", ""en"")"),"Energy and resource consumption")</f>
        <v>Energy and resource consumption</v>
      </c>
      <c r="C1715" s="1" t="str">
        <f ca="1">IFERROR(__xludf.DUMMYFUNCTION("GOOGLETRANSLATE(E1715, ""zh"", ""en"")"),"Qualitative text")</f>
        <v>Qualitative text</v>
      </c>
    </row>
    <row r="1716" spans="1:3" ht="13" x14ac:dyDescent="0.15">
      <c r="A1716" s="1" t="str">
        <f ca="1">IFERROR(__xludf.DUMMYFUNCTION("GOOGLETRANSLATE(A1716, ""zh"", ""en"")"),"We have always taken it as our responsibility to safeguard the legitimate rights and interests of investors and take effective safeguards to ensure that investors receive reasonable returns.")</f>
        <v>We have always taken it as our responsibility to safeguard the legitimate rights and interests of investors and take effective safeguards to ensure that investors receive reasonable returns.</v>
      </c>
      <c r="B1716" s="1" t="str">
        <f ca="1">IFERROR(__xludf.DUMMYFUNCTION("GOOGLETRANSLATE(A1716, ""zh"", ""en"")"),"Shareholder and creditor rights")</f>
        <v>Shareholder and creditor rights</v>
      </c>
      <c r="C1716" s="1" t="str">
        <f ca="1">IFERROR(__xludf.DUMMYFUNCTION("GOOGLETRANSLATE(E1716, ""zh"", ""en"")"),"Qualitative text")</f>
        <v>Qualitative text</v>
      </c>
    </row>
    <row r="1717" spans="1:3" ht="13" x14ac:dyDescent="0.15">
      <c r="A1717" s="1" t="str">
        <f ca="1">IFERROR(__xludf.DUMMYFUNCTION("GOOGLETRANSLATE(A1717, ""zh"", ""en"")"),"5.3 Caring for Health and Safety Key Performance Indicator B2.1 Number and ratio of work-related deaths in each of the past three years, including the reporting year")</f>
        <v>5.3 Caring for Health and Safety Key Performance Indicator B2.1 Number and ratio of work-related deaths in each of the past three years, including the reporting year</v>
      </c>
      <c r="B1717" s="1" t="str">
        <f ca="1">IFERROR(__xludf.DUMMYFUNCTION("GOOGLETRANSLATE(A1717, ""zh"", ""en"")"),"staff")</f>
        <v>staff</v>
      </c>
      <c r="C1717" s="1" t="str">
        <f ca="1">IFERROR(__xludf.DUMMYFUNCTION("GOOGLETRANSLATE(E1717, ""zh"", ""en"")"),"Quantitative Text")</f>
        <v>Quantitative Text</v>
      </c>
    </row>
    <row r="1718" spans="1:3" ht="13" x14ac:dyDescent="0.15">
      <c r="A1718" s="1" t="str">
        <f ca="1">IFERROR(__xludf.DUMMYFUNCTION("GOOGLETRANSLATE(A1718, ""zh"", ""en"")"),"3.3 Addressing both the symptoms and the root causes of pollution A2 Resource Use General Disclosure Policies for the efficient use of resources, including energy, water, and other raw materials")</f>
        <v>3.3 Addressing both the symptoms and the root causes of pollution A2 Resource Use General Disclosure Policies for the efficient use of resources, including energy, water, and other raw materials</v>
      </c>
      <c r="B1718" s="1" t="str">
        <f ca="1">IFERROR(__xludf.DUMMYFUNCTION("GOOGLETRANSLATE(A1718, ""zh"", ""en"")"),"raw materials")</f>
        <v>raw materials</v>
      </c>
      <c r="C1718" s="1" t="str">
        <f ca="1">IFERROR(__xludf.DUMMYFUNCTION("GOOGLETRANSLATE(E1718, ""zh"", ""en"")"),"Qualitative text")</f>
        <v>Qualitative text</v>
      </c>
    </row>
    <row r="1719" spans="1:3" ht="13" x14ac:dyDescent="0.15">
      <c r="A1719" s="1" t="str">
        <f ca="1">IFERROR(__xludf.DUMMYFUNCTION("GOOGLETRANSLATE(A1719, ""zh"", ""en"")"),"The company has established a comprehensive complaint reporting and whistleblower protection mechanism to provide an effective channel for internal and external stakeholders to participate in the company's compliance management.")</f>
        <v>The company has established a comprehensive complaint reporting and whistleblower protection mechanism to provide an effective channel for internal and external stakeholders to participate in the company's compliance management.</v>
      </c>
      <c r="B1719" s="1" t="str">
        <f ca="1">IFERROR(__xludf.DUMMYFUNCTION("GOOGLETRANSLATE(A1719, ""zh"", ""en"")"),"Reporting System")</f>
        <v>Reporting System</v>
      </c>
      <c r="C1719" s="1" t="str">
        <f ca="1">IFERROR(__xludf.DUMMYFUNCTION("GOOGLETRANSLATE(E1719, ""zh"", ""en"")"),"Qualitative text")</f>
        <v>Qualitative text</v>
      </c>
    </row>
    <row r="1720" spans="1:3" ht="13" x14ac:dyDescent="0.15">
      <c r="A1720" s="1" t="str">
        <f ca="1">IFERROR(__xludf.DUMMYFUNCTION("GOOGLETRANSLATE(A1720, ""zh"", ""en"")"),"We conduct a series of competency-oriented courses to improve employees' core work abilities such as leadership and influence, performance management, communication and so on.")</f>
        <v>We conduct a series of competency-oriented courses to improve employees' core work abilities such as leadership and influence, performance management, communication and so on.</v>
      </c>
      <c r="B1720" s="1" t="str">
        <f ca="1">IFERROR(__xludf.DUMMYFUNCTION("GOOGLETRANSLATE(A1720, ""zh"", ""en"")"),"staff")</f>
        <v>staff</v>
      </c>
      <c r="C1720" s="1" t="str">
        <f ca="1">IFERROR(__xludf.DUMMYFUNCTION("GOOGLETRANSLATE(E1720, ""zh"", ""en"")"),"Qualitative text")</f>
        <v>Qualitative text</v>
      </c>
    </row>
    <row r="1721" spans="1:3" ht="13" x14ac:dyDescent="0.15">
      <c r="A1721" s="1" t="str">
        <f ca="1">IFERROR(__xludf.DUMMYFUNCTION("GOOGLETRANSLATE(A1721, ""zh"", ""en"")"),"2 Data is taken from the 12386 China Securities Regulatory Commission hotline platform. The regulatory agency transferred the total number of complaints received by the customer service hotline and branches.")</f>
        <v>2 Data is taken from the 12386 China Securities Regulatory Commission hotline platform. The regulatory agency transferred the total number of complaints received by the customer service hotline and branches.</v>
      </c>
      <c r="B1721" s="1" t="str">
        <f ca="1">IFERROR(__xludf.DUMMYFUNCTION("GOOGLETRANSLATE(A1721, ""zh"", ""en"")"),"Reporting System")</f>
        <v>Reporting System</v>
      </c>
      <c r="C1721" s="1" t="str">
        <f ca="1">IFERROR(__xludf.DUMMYFUNCTION("GOOGLETRANSLATE(E1721, ""zh"", ""en"")"),"Quantitative Text")</f>
        <v>Quantitative Text</v>
      </c>
    </row>
    <row r="1722" spans="1:3" ht="13" x14ac:dyDescent="0.15">
      <c r="A1722" s="1" t="str">
        <f ca="1">IFERROR(__xludf.DUMMYFUNCTION("GOOGLETRANSLATE(A1722, ""zh"", ""en"")"),"The company closely follows the national strategic orientation and leverages its professional advantages to respond to the national call through financial means, bringing capital market vitality into the field of rural revitalization.")</f>
        <v>The company closely follows the national strategic orientation and leverages its professional advantages to respond to the national call through financial means, bringing capital market vitality into the field of rural revitalization.</v>
      </c>
      <c r="B1722" s="1" t="str">
        <f ca="1">IFERROR(__xludf.DUMMYFUNCTION("GOOGLETRANSLATE(A1722, ""zh"", ""en"")"),"Rural assistance")</f>
        <v>Rural assistance</v>
      </c>
      <c r="C1722" s="1" t="str">
        <f ca="1">IFERROR(__xludf.DUMMYFUNCTION("GOOGLETRANSLATE(E1722, ""zh"", ""en"")"),"Qualitative text")</f>
        <v>Qualitative text</v>
      </c>
    </row>
    <row r="1723" spans="1:3" ht="13" x14ac:dyDescent="0.15">
      <c r="A1723" s="1" t="str">
        <f ca="1">IFERROR(__xludf.DUMMYFUNCTION("GOOGLETRANSLATE(A1723, ""zh"", ""en"")"),"1.1 Compliance Operations and Self-Discipline Key Performance Indicator B7.2 Description of preventive measures and reporting procedures, as well as related implementation and monitoring methods")</f>
        <v>1.1 Compliance Operations and Self-Discipline Key Performance Indicator B7.2 Description of preventive measures and reporting procedures, as well as related implementation and monitoring methods</v>
      </c>
      <c r="B1723" s="1" t="str">
        <f ca="1">IFERROR(__xludf.DUMMYFUNCTION("GOOGLETRANSLATE(A1723, ""zh"", ""en"")"),"Reporting System")</f>
        <v>Reporting System</v>
      </c>
      <c r="C1723" s="1" t="str">
        <f ca="1">IFERROR(__xludf.DUMMYFUNCTION("GOOGLETRANSLATE(E1723, ""zh"", ""en"")"),"Qualitative text")</f>
        <v>Qualitative text</v>
      </c>
    </row>
    <row r="1724" spans="1:3" ht="13" x14ac:dyDescent="0.15">
      <c r="A1724" s="1" t="str">
        <f ca="1">IFERROR(__xludf.DUMMYFUNCTION("GOOGLETRANSLATE(A1724, ""zh"", ""en"")"),"Promote and participate in green financial innovation, focusing on the clean energy industry and using capital allocation to guide the transformation of industrial and energy structures towards green and low-carbon development.")</f>
        <v>Promote and participate in green financial innovation, focusing on the clean energy industry and using capital allocation to guide the transformation of industrial and energy structures towards green and low-carbon development.</v>
      </c>
      <c r="B1724" s="1" t="str">
        <f ca="1">IFERROR(__xludf.DUMMYFUNCTION("GOOGLETRANSLATE(A1724, ""zh"", ""en"")"),"Green Finance")</f>
        <v>Green Finance</v>
      </c>
      <c r="C1724" s="1" t="str">
        <f ca="1">IFERROR(__xludf.DUMMYFUNCTION("GOOGLETRANSLATE(E1724, ""zh"", ""en"")"),"Qualitative text")</f>
        <v>Qualitative text</v>
      </c>
    </row>
    <row r="1725" spans="1:3" ht="13" x14ac:dyDescent="0.15">
      <c r="A1725" s="1" t="str">
        <f ca="1">IFERROR(__xludf.DUMMYFUNCTION("GOOGLETRANSLATE(A1725, ""zh"", ""en"")"),"Focus on the company's performance of its responsibilities to stakeholders and make recommendations on the key areas of post-investment management to enhance the company's sustainable development capabilities.")</f>
        <v>Focus on the company's performance of its responsibilities to stakeholders and make recommendations on the key areas of post-investment management to enhance the company's sustainable development capabilities.</v>
      </c>
      <c r="B1725" s="1" t="str">
        <f ca="1">IFERROR(__xludf.DUMMYFUNCTION("GOOGLETRANSLATE(A1725, ""zh"", ""en"")"),"irrelevant text")</f>
        <v>irrelevant text</v>
      </c>
      <c r="C1725" s="1" t="str">
        <f ca="1">IFERROR(__xludf.DUMMYFUNCTION("GOOGLETRANSLATE(E1725, ""zh"", ""en"")"),"irrelevant text")</f>
        <v>irrelevant text</v>
      </c>
    </row>
    <row r="1726" spans="1:3" ht="13" x14ac:dyDescent="0.15">
      <c r="A1726" s="1" t="str">
        <f ca="1">IFERROR(__xludf.DUMMYFUNCTION("GOOGLETRANSLATE(A1726, ""zh"", ""en"")"),"CITIC Securities adheres to a people-oriented approach and is committed to creating a diverse and inclusive corporate culture for its employees and providing them with a safe and comfortable working environment.")</f>
        <v>CITIC Securities adheres to a people-oriented approach and is committed to creating a diverse and inclusive corporate culture for its employees and providing them with a safe and comfortable working environment.</v>
      </c>
      <c r="B1726" s="1" t="str">
        <f ca="1">IFERROR(__xludf.DUMMYFUNCTION("GOOGLETRANSLATE(A1726, ""zh"", ""en"")"),"staff")</f>
        <v>staff</v>
      </c>
      <c r="C1726" s="1" t="str">
        <f ca="1">IFERROR(__xludf.DUMMYFUNCTION("GOOGLETRANSLATE(E1726, ""zh"", ""en"")"),"Qualitative text")</f>
        <v>Qualitative text</v>
      </c>
    </row>
    <row r="1727" spans="1:3" ht="13" x14ac:dyDescent="0.15">
      <c r="A1727" s="1" t="str">
        <f ca="1">IFERROR(__xludf.DUMMYFUNCTION("GOOGLETRANSLATE(A1727, ""zh"", ""en"")"),"8386 Key Performance Indicator B3.1 Percentage of employees trained by gender and employee category, such as senior management and middle management")</f>
        <v>8386 Key Performance Indicator B3.1 Percentage of employees trained by gender and employee category, such as senior management and middle management</v>
      </c>
      <c r="B1727" s="1" t="str">
        <f ca="1">IFERROR(__xludf.DUMMYFUNCTION("GOOGLETRANSLATE(A1727, ""zh"", ""en"")"),"staff")</f>
        <v>staff</v>
      </c>
      <c r="C1727" s="1" t="str">
        <f ca="1">IFERROR(__xludf.DUMMYFUNCTION("GOOGLETRANSLATE(E1727, ""zh"", ""en"")"),"Quantitative Text")</f>
        <v>Quantitative Text</v>
      </c>
    </row>
    <row r="1728" spans="1:3" ht="13" x14ac:dyDescent="0.15">
      <c r="A1728" s="1" t="str">
        <f ca="1">IFERROR(__xludf.DUMMYFUNCTION("GOOGLETRANSLATE(A1728, ""zh"", ""en"")"),"798082 Key Performance Indicator B1.1 Total number of employees by gender, employment type (e.g., full-time or part-time), age group, and region")</f>
        <v>798082 Key Performance Indicator B1.1 Total number of employees by gender, employment type (e.g., full-time or part-time), age group, and region</v>
      </c>
      <c r="B1728" s="1" t="str">
        <f ca="1">IFERROR(__xludf.DUMMYFUNCTION("GOOGLETRANSLATE(A1728, ""zh"", ""en"")"),"staff")</f>
        <v>staff</v>
      </c>
      <c r="C1728" s="1" t="str">
        <f ca="1">IFERROR(__xludf.DUMMYFUNCTION("GOOGLETRANSLATE(E1728, ""zh"", ""en"")"),"Qualitative text")</f>
        <v>Qualitative text</v>
      </c>
    </row>
    <row r="1729" spans="1:3" ht="13" x14ac:dyDescent="0.15">
      <c r="A1729" s="1" t="str">
        <f ca="1">IFERROR(__xludf.DUMMYFUNCTION("GOOGLETRANSLATE(A1729, ""zh"", ""en"")"),"In August 2022, we organized a picking activity for all employees to participate voluntarily. During this period, tomatoes, cucumbers, green peppers and other fruits and vegetables were ripe.")</f>
        <v>In August 2022, we organized a picking activity for all employees to participate voluntarily. During this period, tomatoes, cucumbers, green peppers and other fruits and vegetables were ripe.</v>
      </c>
      <c r="B1729" s="1" t="str">
        <f ca="1">IFERROR(__xludf.DUMMYFUNCTION("GOOGLETRANSLATE(A1729, ""zh"", ""en"")"),"Public welfare and volunteer service")</f>
        <v>Public welfare and volunteer service</v>
      </c>
      <c r="C1729" s="1" t="str">
        <f ca="1">IFERROR(__xludf.DUMMYFUNCTION("GOOGLETRANSLATE(E1729, ""zh"", ""en"")"),"Qualitative text")</f>
        <v>Qualitative text</v>
      </c>
    </row>
    <row r="1730" spans="1:3" ht="13" x14ac:dyDescent="0.15">
      <c r="A1730" s="1" t="str">
        <f ca="1">IFERROR(__xludf.DUMMYFUNCTION("GOOGLETRANSLATE(A1730, ""zh"", ""en"")"),"On December 26, Nanchang Metro Line 4 and Hefei Metro Line 4 officially opened for operation, bringing more convenient travel experience to local citizens.")</f>
        <v>On December 26, Nanchang Metro Line 4 and Hefei Metro Line 4 officially opened for operation, bringing more convenient travel experience to local citizens.</v>
      </c>
      <c r="B1730" s="1" t="str">
        <f ca="1">IFERROR(__xludf.DUMMYFUNCTION("GOOGLETRANSLATE(A1730, ""zh"", ""en"")"),"irrelevant text")</f>
        <v>irrelevant text</v>
      </c>
      <c r="C1730" s="1" t="str">
        <f ca="1">IFERROR(__xludf.DUMMYFUNCTION("GOOGLETRANSLATE(E1730, ""zh"", ""en"")"),"irrelevant text")</f>
        <v>irrelevant text</v>
      </c>
    </row>
    <row r="1731" spans="1:3" ht="13" x14ac:dyDescent="0.15">
      <c r="A1731" s="1" t="str">
        <f ca="1">IFERROR(__xludf.DUMMYFUNCTION("GOOGLETRANSLATE(A1731, ""zh"", ""en"")"),"The company's board of directors consists of three professional committees: the Nomination and Appraisal Committee, the Audit Committee, and the Strategy and Sustainable Development (ESG) Committee.")</f>
        <v>The company's board of directors consists of three professional committees: the Nomination and Appraisal Committee, the Audit Committee, and the Strategy and Sustainable Development (ESG) Committee.</v>
      </c>
      <c r="B1731" s="1" t="str">
        <f ca="1">IFERROR(__xludf.DUMMYFUNCTION("GOOGLETRANSLATE(A1731, ""zh"", ""en"")"),"Organizational structure and operations")</f>
        <v>Organizational structure and operations</v>
      </c>
      <c r="C1731" s="1" t="str">
        <f ca="1">IFERROR(__xludf.DUMMYFUNCTION("GOOGLETRANSLATE(E1731, ""zh"", ""en"")"),"Qualitative text")</f>
        <v>Qualitative text</v>
      </c>
    </row>
    <row r="1732" spans="1:3" ht="13" x14ac:dyDescent="0.15">
      <c r="A1732" s="1" t="str">
        <f ca="1">IFERROR(__xludf.DUMMYFUNCTION("GOOGLETRANSLATE(A1732, ""zh"", ""en"")"),"The third level is for the safety and environmental protection departments of each mining area to implement resource conservation measures according to requirements, clarify the division of responsibilities and evaluate the performance of water conservati"&amp;"on projects.")</f>
        <v>The third level is for the safety and environmental protection departments of each mining area to implement resource conservation measures according to requirements, clarify the division of responsibilities and evaluate the performance of water conservation projects.</v>
      </c>
      <c r="B1732" s="1" t="str">
        <f ca="1">IFERROR(__xludf.DUMMYFUNCTION("GOOGLETRANSLATE(A1732, ""zh"", ""en"")"),"Water resources")</f>
        <v>Water resources</v>
      </c>
      <c r="C1732" s="1" t="str">
        <f ca="1">IFERROR(__xludf.DUMMYFUNCTION("GOOGLETRANSLATE(E1732, ""zh"", ""en"")"),"Qualitative text")</f>
        <v>Qualitative text</v>
      </c>
    </row>
    <row r="1733" spans="1:3" ht="13" x14ac:dyDescent="0.15">
      <c r="A1733" s="1" t="str">
        <f ca="1">IFERROR(__xludf.DUMMYFUNCTION("GOOGLETRANSLATE(A1733, ""zh"", ""en"")"),"Focusing on optimizing investment management processes, we implement differentiated authorization management that combines authorization, management, and evaluation, and continuously promote the scientific and standardized system processes.")</f>
        <v>Focusing on optimizing investment management processes, we implement differentiated authorization management that combines authorization, management, and evaluation, and continuously promote the scientific and standardized system processes.</v>
      </c>
      <c r="B1733" s="1" t="str">
        <f ca="1">IFERROR(__xludf.DUMMYFUNCTION("GOOGLETRANSLATE(A1733, ""zh"", ""en"")"),"Organizational structure and operations")</f>
        <v>Organizational structure and operations</v>
      </c>
      <c r="C1733" s="1" t="str">
        <f ca="1">IFERROR(__xludf.DUMMYFUNCTION("GOOGLETRANSLATE(E1733, ""zh"", ""en"")"),"Qualitative text")</f>
        <v>Qualitative text</v>
      </c>
    </row>
    <row r="1734" spans="1:3" ht="13" x14ac:dyDescent="0.15">
      <c r="A1734" s="1" t="str">
        <f ca="1">IFERROR(__xludf.DUMMYFUNCTION("GOOGLETRANSLATE(A1734, ""zh"", ""en"")"),"7982 Key Performance Indicator B3.1 Percentage of trained employees by gender and employee category, such as senior management and middle management")</f>
        <v>7982 Key Performance Indicator B3.1 Percentage of trained employees by gender and employee category, such as senior management and middle management</v>
      </c>
      <c r="B1734" s="1" t="str">
        <f ca="1">IFERROR(__xludf.DUMMYFUNCTION("GOOGLETRANSLATE(A1734, ""zh"", ""en"")"),"staff")</f>
        <v>staff</v>
      </c>
      <c r="C1734" s="1" t="str">
        <f ca="1">IFERROR(__xludf.DUMMYFUNCTION("GOOGLETRANSLATE(E1734, ""zh"", ""en"")"),"Quantitative Text")</f>
        <v>Quantitative Text</v>
      </c>
    </row>
    <row r="1735" spans="1:3" ht="13" x14ac:dyDescent="0.15">
      <c r="A1735" s="1" t="str">
        <f ca="1">IFERROR(__xludf.DUMMYFUNCTION("GOOGLETRANSLATE(A1735, ""zh"", ""en"")"),"In July 2022, the Wuhan Puke Party Branch organized all party members and active members to raise the national flag and sing the national anthem.")</f>
        <v>In July 2022, the Wuhan Puke Party Branch organized all party members and active members to raise the national flag and sing the national anthem.</v>
      </c>
      <c r="B1735" s="1" t="str">
        <f ca="1">IFERROR(__xludf.DUMMYFUNCTION("GOOGLETRANSLATE(A1735, ""zh"", ""en"")"),"Organizational structure and operations")</f>
        <v>Organizational structure and operations</v>
      </c>
      <c r="C1735" s="1" t="str">
        <f ca="1">IFERROR(__xludf.DUMMYFUNCTION("GOOGLETRANSLATE(E1735, ""zh"", ""en"")"),"Qualitative text")</f>
        <v>Qualitative text</v>
      </c>
    </row>
    <row r="1736" spans="1:3" ht="13" x14ac:dyDescent="0.15">
      <c r="A1736" s="1" t="str">
        <f ca="1">IFERROR(__xludf.DUMMYFUNCTION("GOOGLETRANSLATE(A1736, ""zh"", ""en"")"),"The 2022 list anonymously surveyed 150,000 full-time and part-time employees from 57 countries working in multinational companies and institutions.")</f>
        <v>The 2022 list anonymously surveyed 150,000 full-time and part-time employees from 57 countries working in multinational companies and institutions.</v>
      </c>
      <c r="B1736" s="1" t="str">
        <f ca="1">IFERROR(__xludf.DUMMYFUNCTION("GOOGLETRANSLATE(A1736, ""zh"", ""en"")"),"staff")</f>
        <v>staff</v>
      </c>
      <c r="C1736" s="1" t="str">
        <f ca="1">IFERROR(__xludf.DUMMYFUNCTION("GOOGLETRANSLATE(E1736, ""zh"", ""en"")"),"Quantitative Text")</f>
        <v>Quantitative Text</v>
      </c>
    </row>
    <row r="1737" spans="1:3" ht="13" x14ac:dyDescent="0.15">
      <c r="A1737" s="1" t="str">
        <f ca="1">IFERROR(__xludf.DUMMYFUNCTION("GOOGLETRANSLATE(A1737, ""zh"", ""en"")"),"The training invited former Fortune 500 executives to give on-site lectures. More than 40 participants worked in groups to discuss and interact with each other based on actual work scenarios.")</f>
        <v>The training invited former Fortune 500 executives to give on-site lectures. More than 40 participants worked in groups to discuss and interact with each other based on actual work scenarios.</v>
      </c>
      <c r="B1737" s="1" t="str">
        <f ca="1">IFERROR(__xludf.DUMMYFUNCTION("GOOGLETRANSLATE(A1737, ""zh"", ""en"")"),"staff")</f>
        <v>staff</v>
      </c>
      <c r="C1737" s="1" t="str">
        <f ca="1">IFERROR(__xludf.DUMMYFUNCTION("GOOGLETRANSLATE(E1737, ""zh"", ""en"")"),"Qualitative text")</f>
        <v>Qualitative text</v>
      </c>
    </row>
    <row r="1738" spans="1:3" ht="13" x14ac:dyDescent="0.15">
      <c r="A1738" s="1" t="str">
        <f ca="1">IFERROR(__xludf.DUMMYFUNCTION("GOOGLETRANSLATE(A1738, ""zh"", ""en"")"),"Shanghai Zhiheng New Energy Co., Ltd., a wholly-owned subsidiary of Electric Wind Power, signed a contract with Huaning County, Yuxi City, Yunnan Province for the Yuxi Zero Carbon Industrial Park construction project")</f>
        <v>Shanghai Zhiheng New Energy Co., Ltd., a wholly-owned subsidiary of Electric Wind Power, signed a contract with Huaning County, Yuxi City, Yunnan Province for the Yuxi Zero Carbon Industrial Park construction project</v>
      </c>
      <c r="B1738" s="1" t="str">
        <f ca="1">IFERROR(__xludf.DUMMYFUNCTION("GOOGLETRANSLATE(A1738, ""zh"", ""en"")"),"carbon emissions")</f>
        <v>carbon emissions</v>
      </c>
      <c r="C1738" s="1" t="str">
        <f ca="1">IFERROR(__xludf.DUMMYFUNCTION("GOOGLETRANSLATE(E1738, ""zh"", ""en"")"),"Qualitative text")</f>
        <v>Qualitative text</v>
      </c>
    </row>
    <row r="1739" spans="1:3" ht="13" x14ac:dyDescent="0.15">
      <c r="A1739" s="1" t="str">
        <f ca="1">IFERROR(__xludf.DUMMYFUNCTION("GOOGLETRANSLATE(A1739, ""zh"", ""en"")"),"Our subsidiaries also took the initiative to organize internal network and data security training on various occasions, such as the 2022 City Cybersecurity Awareness Week.")</f>
        <v>Our subsidiaries also took the initiative to organize internal network and data security training on various occasions, such as the 2022 City Cybersecurity Awareness Week.</v>
      </c>
      <c r="B1739" s="1" t="str">
        <f ca="1">IFERROR(__xludf.DUMMYFUNCTION("GOOGLETRANSLATE(A1739, ""zh"", ""en"")"),"Data security")</f>
        <v>Data security</v>
      </c>
      <c r="C1739" s="1" t="str">
        <f ca="1">IFERROR(__xludf.DUMMYFUNCTION("GOOGLETRANSLATE(E1739, ""zh"", ""en"")"),"Qualitative text")</f>
        <v>Qualitative text</v>
      </c>
    </row>
    <row r="1740" spans="1:3" ht="13" x14ac:dyDescent="0.15">
      <c r="A1740" s="1" t="str">
        <f ca="1">IFERROR(__xludf.DUMMYFUNCTION("GOOGLETRANSLATE(A1740, ""zh"", ""en"")"),"Through the optimization of supply chain management this year, we achieved the goal of reducing the cost of centralized procurement by more than 5%, and the actual cost reduction rate reached 11.8%.")</f>
        <v>Through the optimization of supply chain management this year, we achieved the goal of reducing the cost of centralized procurement by more than 5%, and the actual cost reduction rate reached 11.8%.</v>
      </c>
      <c r="B1740" s="1" t="str">
        <f ca="1">IFERROR(__xludf.DUMMYFUNCTION("GOOGLETRANSLATE(A1740, ""zh"", ""en"")"),"supply chain management")</f>
        <v>supply chain management</v>
      </c>
      <c r="C1740" s="1" t="str">
        <f ca="1">IFERROR(__xludf.DUMMYFUNCTION("GOOGLETRANSLATE(E1740, ""zh"", ""en"")"),"Quantitative Text")</f>
        <v>Quantitative Text</v>
      </c>
    </row>
    <row r="1741" spans="1:3" ht="13" x14ac:dyDescent="0.15">
      <c r="A1741" s="1" t="str">
        <f ca="1">IFERROR(__xludf.DUMMYFUNCTION("GOOGLETRANSLATE(A1741, ""zh"", ""en"")"),"In 2022, the company organized and carried out 1,018 internal audit projects and reported the relevant work to the Audit Committee of the Board of Directors three times.")</f>
        <v>In 2022, the company organized and carried out 1,018 internal audit projects and reported the relevant work to the Audit Committee of the Board of Directors three times.</v>
      </c>
      <c r="B1741" s="1" t="str">
        <f ca="1">IFERROR(__xludf.DUMMYFUNCTION("GOOGLETRANSLATE(A1741, ""zh"", ""en"")"),"Audit work")</f>
        <v>Audit work</v>
      </c>
      <c r="C1741" s="1" t="str">
        <f ca="1">IFERROR(__xludf.DUMMYFUNCTION("GOOGLETRANSLATE(E1741, ""zh"", ""en"")"),"Quantitative Text")</f>
        <v>Quantitative Text</v>
      </c>
    </row>
    <row r="1742" spans="1:3" ht="13" x14ac:dyDescent="0.15">
      <c r="A1742" s="1" t="str">
        <f ca="1">IFERROR(__xludf.DUMMYFUNCTION("GOOGLETRANSLATE(A1742, ""zh"", ""en"")"),"The 2022 dividend of 0.42 yuan per share, including applicable taxes, reached a record high. The total dividend was 77.34 billion yuan, an increase of 86.5% year-on-year.")</f>
        <v>The 2022 dividend of 0.42 yuan per share, including applicable taxes, reached a record high. The total dividend was 77.34 billion yuan, an increase of 86.5% year-on-year.</v>
      </c>
      <c r="B1742" s="1" t="str">
        <f ca="1">IFERROR(__xludf.DUMMYFUNCTION("GOOGLETRANSLATE(A1742, ""zh"", ""en"")"),"Tax transparency")</f>
        <v>Tax transparency</v>
      </c>
      <c r="C1742" s="1" t="str">
        <f ca="1">IFERROR(__xludf.DUMMYFUNCTION("GOOGLETRANSLATE(E1742, ""zh"", ""en"")"),"Quantitative Text")</f>
        <v>Quantitative Text</v>
      </c>
    </row>
    <row r="1743" spans="1:3" ht="13" x14ac:dyDescent="0.15">
      <c r="A1743" s="1" t="str">
        <f ca="1">IFERROR(__xludf.DUMMYFUNCTION("GOOGLETRANSLATE(A1743, ""zh"", ""en"")"),"We have a zero-tolerance attitude towards all forms of harassment and will eliminate any gender-related violations in the recruitment, promotion and selection process.")</f>
        <v>We have a zero-tolerance attitude towards all forms of harassment and will eliminate any gender-related violations in the recruitment, promotion and selection process.</v>
      </c>
      <c r="B1743" s="1" t="str">
        <f ca="1">IFERROR(__xludf.DUMMYFUNCTION("GOOGLETRANSLATE(A1743, ""zh"", ""en"")"),"staff")</f>
        <v>staff</v>
      </c>
      <c r="C1743" s="1" t="str">
        <f ca="1">IFERROR(__xludf.DUMMYFUNCTION("GOOGLETRANSLATE(E1743, ""zh"", ""en"")"),"Qualitative text")</f>
        <v>Qualitative text</v>
      </c>
    </row>
    <row r="1744" spans="1:3" ht="13" x14ac:dyDescent="0.15">
      <c r="A1744" s="1" t="str">
        <f ca="1">IFERROR(__xludf.DUMMYFUNCTION("GOOGLETRANSLATE(A1744, ""zh"", ""en"")"),"In response to the IMO sulfur limit regulations, we develop and produce low-sulfur marine fuel oil with a sulfur content below 0.5 to protect the marine atmospheric environment.")</f>
        <v>In response to the IMO sulfur limit regulations, we develop and produce low-sulfur marine fuel oil with a sulfur content below 0.5 to protect the marine atmospheric environment.</v>
      </c>
      <c r="B1744" s="1" t="str">
        <f ca="1">IFERROR(__xludf.DUMMYFUNCTION("GOOGLETRANSLATE(A1744, ""zh"", ""en"")"),"Addressing climate change")</f>
        <v>Addressing climate change</v>
      </c>
      <c r="C1744" s="1" t="str">
        <f ca="1">IFERROR(__xludf.DUMMYFUNCTION("GOOGLETRANSLATE(E1744, ""zh"", ""en"")"),"Qualitative text")</f>
        <v>Qualitative text</v>
      </c>
    </row>
    <row r="1745" spans="1:3" ht="13" x14ac:dyDescent="0.15">
      <c r="A1745" s="1" t="str">
        <f ca="1">IFERROR(__xludf.DUMMYFUNCTION("GOOGLETRANSLATE(A1745, ""zh"", ""en"")"),"The index forms a transparent procurement risk control mechanism to timely identify and warn of compliance risks in procurement business management and build a firewall for an honest supply chain.")</f>
        <v>The index forms a transparent procurement risk control mechanism to timely identify and warn of compliance risks in procurement business management and build a firewall for an honest supply chain.</v>
      </c>
      <c r="B1745" s="1" t="str">
        <f ca="1">IFERROR(__xludf.DUMMYFUNCTION("GOOGLETRANSLATE(A1745, ""zh"", ""en"")"),"supply chain management")</f>
        <v>supply chain management</v>
      </c>
      <c r="C1745" s="1" t="str">
        <f ca="1">IFERROR(__xludf.DUMMYFUNCTION("GOOGLETRANSLATE(E1745, ""zh"", ""en"")"),"Qualitative text")</f>
        <v>Qualitative text</v>
      </c>
    </row>
    <row r="1746" spans="1:3" ht="13" x14ac:dyDescent="0.15">
      <c r="A1746" s="1" t="str">
        <f ca="1">IFERROR(__xludf.DUMMYFUNCTION("GOOGLETRANSLATE(A1746, ""zh"", ""en"")"),"To consolidate and expand the achievements in poverty alleviation, the Group leverages its own industrial advantages to promote the sustainable development of the rural economy through industrial assistance.")</f>
        <v>To consolidate and expand the achievements in poverty alleviation, the Group leverages its own industrial advantages to promote the sustainable development of the rural economy through industrial assistance.</v>
      </c>
      <c r="B1746" s="1" t="str">
        <f ca="1">IFERROR(__xludf.DUMMYFUNCTION("GOOGLETRANSLATE(A1746, ""zh"", ""en"")"),"Rural assistance")</f>
        <v>Rural assistance</v>
      </c>
      <c r="C1746" s="1" t="str">
        <f ca="1">IFERROR(__xludf.DUMMYFUNCTION("GOOGLETRANSLATE(E1746, ""zh"", ""en"")"),"Qualitative text")</f>
        <v>Qualitative text</v>
      </c>
    </row>
    <row r="1747" spans="1:3" ht="13" x14ac:dyDescent="0.15">
      <c r="A1747" s="1" t="str">
        <f ca="1">IFERROR(__xludf.DUMMYFUNCTION("GOOGLETRANSLATE(A1747, ""zh"", ""en"")"),"In 2022, the Group conducted a total of 9 EHS internal audits for each subsidiary. Due to the impact of the epidemic, 2 of the audits were conducted through video and other means.")</f>
        <v>In 2022, the Group conducted a total of 9 EHS internal audits for each subsidiary. Due to the impact of the epidemic, 2 of the audits were conducted through video and other means.</v>
      </c>
      <c r="B1747" s="1" t="str">
        <f ca="1">IFERROR(__xludf.DUMMYFUNCTION("GOOGLETRANSLATE(A1747, ""zh"", ""en"")"),"Audit work")</f>
        <v>Audit work</v>
      </c>
      <c r="C1747" s="1" t="str">
        <f ca="1">IFERROR(__xludf.DUMMYFUNCTION("GOOGLETRANSLATE(E1747, ""zh"", ""en"")"),"Quantitative Text")</f>
        <v>Quantitative Text</v>
      </c>
    </row>
    <row r="1748" spans="1:3" ht="13" x14ac:dyDescent="0.15">
      <c r="A1748" s="1" t="str">
        <f ca="1">IFERROR(__xludf.DUMMYFUNCTION("GOOGLETRANSLATE(A1748, ""zh"", ""en"")"),"Over 3,000 books on clean governance, including ""Reshaping the New Era: Rectifying Conduct, Strengthening Discipline, and Fighting Corruption,"" were distributed, promoting a line of defense against corruption.")</f>
        <v>Over 3,000 books on clean governance, including "Reshaping the New Era: Rectifying Conduct, Strengthening Discipline, and Fighting Corruption," were distributed, promoting a line of defense against corruption.</v>
      </c>
      <c r="B1748" s="1" t="str">
        <f ca="1">IFERROR(__xludf.DUMMYFUNCTION("GOOGLETRANSLATE(A1748, ""zh"", ""en"")"),"Anti-corruption and anti-money laundering")</f>
        <v>Anti-corruption and anti-money laundering</v>
      </c>
      <c r="C1748" s="1" t="str">
        <f ca="1">IFERROR(__xludf.DUMMYFUNCTION("GOOGLETRANSLATE(E1748, ""zh"", ""en"")"),"Quantitative Text")</f>
        <v>Quantitative Text</v>
      </c>
    </row>
    <row r="1749" spans="1:3" ht="13" x14ac:dyDescent="0.15">
      <c r="A1749" s="1" t="str">
        <f ca="1">IFERROR(__xludf.DUMMYFUNCTION("GOOGLETRANSLATE(A1749, ""zh"", ""en"")"),"Over the past year, Renmin Pharmaceutical has continued to optimize its corporate governance structure. The efficient operation of the board of directors, supervisory committee, and management team has provided support for the company's scientific decisio"&amp;"n-making.")</f>
        <v>Over the past year, Renmin Pharmaceutical has continued to optimize its corporate governance structure. The efficient operation of the board of directors, supervisory committee, and management team has provided support for the company's scientific decision-making.</v>
      </c>
      <c r="B1749" s="1" t="str">
        <f ca="1">IFERROR(__xludf.DUMMYFUNCTION("GOOGLETRANSLATE(A1749, ""zh"", ""en"")"),"Organizational structure and operations")</f>
        <v>Organizational structure and operations</v>
      </c>
      <c r="C1749" s="1" t="str">
        <f ca="1">IFERROR(__xludf.DUMMYFUNCTION("GOOGLETRANSLATE(E1749, ""zh"", ""en"")"),"Qualitative text")</f>
        <v>Qualitative text</v>
      </c>
    </row>
    <row r="1750" spans="1:3" ht="13" x14ac:dyDescent="0.15">
      <c r="A1750" s="1" t="str">
        <f ca="1">IFERROR(__xludf.DUMMYFUNCTION("GOOGLETRANSLATE(A1750, ""zh"", ""en"")"),"The company continued to deepen its democratic management mechanism and conducted a satisfaction survey of its Medical Research Institute employees for the second consecutive year and conducted special interviews with its clinical team.")</f>
        <v>The company continued to deepen its democratic management mechanism and conducted a satisfaction survey of its Medical Research Institute employees for the second consecutive year and conducted special interviews with its clinical team.</v>
      </c>
      <c r="B1750" s="1" t="str">
        <f ca="1">IFERROR(__xludf.DUMMYFUNCTION("GOOGLETRANSLATE(A1750, ""zh"", ""en"")"),"staff")</f>
        <v>staff</v>
      </c>
      <c r="C1750" s="1" t="str">
        <f ca="1">IFERROR(__xludf.DUMMYFUNCTION("GOOGLETRANSLATE(E1750, ""zh"", ""en"")"),"Qualitative text")</f>
        <v>Qualitative text</v>
      </c>
    </row>
    <row r="1751" spans="1:3" ht="13" x14ac:dyDescent="0.15">
      <c r="A1751" s="1" t="str">
        <f ca="1">IFERROR(__xludf.DUMMYFUNCTION("GOOGLETRANSLATE(A1751, ""zh"", ""en"")"),"We guarantee that this report does not contain any false records, misleading statements or major omissions, and we are responsible for the authenticity, accuracy and completeness of the content.")</f>
        <v>We guarantee that this report does not contain any false records, misleading statements or major omissions, and we are responsible for the authenticity, accuracy and completeness of the content.</v>
      </c>
      <c r="B1751" s="1" t="str">
        <f ca="1">IFERROR(__xludf.DUMMYFUNCTION("GOOGLETRANSLATE(A1751, ""zh"", ""en"")"),"irrelevant text")</f>
        <v>irrelevant text</v>
      </c>
      <c r="C1751" s="1" t="str">
        <f ca="1">IFERROR(__xludf.DUMMYFUNCTION("GOOGLETRANSLATE(E1751, ""zh"", ""en"")"),"irrelevant text")</f>
        <v>irrelevant text</v>
      </c>
    </row>
    <row r="1752" spans="1:3" ht="13" x14ac:dyDescent="0.15">
      <c r="A1752" s="1" t="str">
        <f ca="1">IFERROR(__xludf.DUMMYFUNCTION("GOOGLETRANSLATE(A1752, ""zh"", ""en"")"),"Safety Standards Responsibility Case: Donating over RMB10,000 worth of materials to the Hong Kong Federation of Youth Groups at the beginning of the year reflects the care that private enterprises in the capital have for their fellow Hong Kong compatriots"&amp;".")</f>
        <v>Safety Standards Responsibility Case: Donating over RMB10,000 worth of materials to the Hong Kong Federation of Youth Groups at the beginning of the year reflects the care that private enterprises in the capital have for their fellow Hong Kong compatriots.</v>
      </c>
      <c r="B1752" s="1" t="str">
        <f ca="1">IFERROR(__xludf.DUMMYFUNCTION("GOOGLETRANSLATE(A1752, ""zh"", ""en"")"),"Public welfare and volunteer service")</f>
        <v>Public welfare and volunteer service</v>
      </c>
      <c r="C1752" s="1" t="str">
        <f ca="1">IFERROR(__xludf.DUMMYFUNCTION("GOOGLETRANSLATE(E1752, ""zh"", ""en"")"),"Quantitative Text")</f>
        <v>Quantitative Text</v>
      </c>
    </row>
    <row r="1753" spans="1:3" ht="13" x14ac:dyDescent="0.15">
      <c r="A1753" s="1" t="str">
        <f ca="1">IFERROR(__xludf.DUMMYFUNCTION("GOOGLETRANSLATE(A1753, ""zh"", ""en"")"),"In June 2018, a special quiz event on digital security and building a strong digital defense line, jointly organized by the Beijing-Tianjin-Hebei Citizens Science Literacy Competition and the Public Welfare Department, was launched online in the pictorial"&amp;".")</f>
        <v>In June 2018, a special quiz event on digital security and building a strong digital defense line, jointly organized by the Beijing-Tianjin-Hebei Citizens Science Literacy Competition and the Public Welfare Department, was launched online in the pictorial.</v>
      </c>
      <c r="B1753" s="1" t="str">
        <f ca="1">IFERROR(__xludf.DUMMYFUNCTION("GOOGLETRANSLATE(A1753, ""zh"", ""en"")"),"Data security")</f>
        <v>Data security</v>
      </c>
      <c r="C1753" s="1" t="str">
        <f ca="1">IFERROR(__xludf.DUMMYFUNCTION("GOOGLETRANSLATE(E1753, ""zh"", ""en"")"),"Qualitative text")</f>
        <v>Qualitative text</v>
      </c>
    </row>
    <row r="1754" spans="1:3" ht="13" x14ac:dyDescent="0.15">
      <c r="A1754" s="1" t="str">
        <f ca="1">IFERROR(__xludf.DUMMYFUNCTION("GOOGLETRANSLATE(A1754, ""zh"", ""en"")"),"In 2022, a total of 221 smelter cleanup suppliers were identified and managed according to the performance evaluation system based on five levels: excellence, selection, limited selection, elimination and ban.")</f>
        <v>In 2022, a total of 221 smelter cleanup suppliers were identified and managed according to the performance evaluation system based on five levels: excellence, selection, limited selection, elimination and ban.</v>
      </c>
      <c r="B1754" s="1" t="str">
        <f ca="1">IFERROR(__xludf.DUMMYFUNCTION("GOOGLETRANSLATE(A1754, ""zh"", ""en"")"),"supply chain management")</f>
        <v>supply chain management</v>
      </c>
      <c r="C1754" s="1" t="str">
        <f ca="1">IFERROR(__xludf.DUMMYFUNCTION("GOOGLETRANSLATE(E1754, ""zh"", ""en"")"),"Quantitative Text")</f>
        <v>Quantitative Text</v>
      </c>
    </row>
    <row r="1755" spans="1:3" ht="13" x14ac:dyDescent="0.15">
      <c r="A1755" s="1" t="str">
        <f ca="1">IFERROR(__xludf.DUMMYFUNCTION("GOOGLETRANSLATE(A1755, ""zh"", ""en"")"),"The full-color and full-sound high-end new product L9V uses screen sound technology combined with the ultra-large conversion of laser TV to meet users' high-quality mobile viewing needs.")</f>
        <v>The full-color and full-sound high-end new product L9V uses screen sound technology combined with the ultra-large conversion of laser TV to meet users' high-quality mobile viewing needs.</v>
      </c>
      <c r="B1755" s="1" t="str">
        <f ca="1">IFERROR(__xludf.DUMMYFUNCTION("GOOGLETRANSLATE(A1755, ""zh"", ""en"")"),"Product quality")</f>
        <v>Product quality</v>
      </c>
      <c r="C1755" s="1" t="str">
        <f ca="1">IFERROR(__xludf.DUMMYFUNCTION("GOOGLETRANSLATE(E1755, ""zh"", ""en"")"),"Qualitative text")</f>
        <v>Qualitative text</v>
      </c>
    </row>
    <row r="1756" spans="1:3" ht="13" x14ac:dyDescent="0.15">
      <c r="A1756" s="1" t="str">
        <f ca="1">IFERROR(__xludf.DUMMYFUNCTION("GOOGLETRANSLATE(A1756, ""zh"", ""en"")"),"Hisense US R&amp;D Center in Atlanta, USA continues to promote scientific and technological progress, enhance the company's independent innovation capabilities, and summarize its technological innovation work experience.")</f>
        <v>Hisense US R&amp;D Center in Atlanta, USA continues to promote scientific and technological progress, enhance the company's independent innovation capabilities, and summarize its technological innovation work experience.</v>
      </c>
      <c r="B1756" s="1" t="str">
        <f ca="1">IFERROR(__xludf.DUMMYFUNCTION("GOOGLETRANSLATE(A1756, ""zh"", ""en"")"),"Technological innovation")</f>
        <v>Technological innovation</v>
      </c>
      <c r="C1756" s="1" t="str">
        <f ca="1">IFERROR(__xludf.DUMMYFUNCTION("GOOGLETRANSLATE(E1756, ""zh"", ""en"")"),"Qualitative text")</f>
        <v>Qualitative text</v>
      </c>
    </row>
    <row r="1757" spans="1:3" ht="13" x14ac:dyDescent="0.15">
      <c r="A1757" s="1" t="str">
        <f ca="1">IFERROR(__xludf.DUMMYFUNCTION("GOOGLETRANSLATE(A1757, ""zh"", ""en"")"),"SDIC Capital implements statutory employee benefits in a standardized manner, enriches employee security benefits, enhances employee sense of belonging, centripetal force and cohesion, and stimulates employee work enthusiasm.")</f>
        <v>SDIC Capital implements statutory employee benefits in a standardized manner, enriches employee security benefits, enhances employee sense of belonging, centripetal force and cohesion, and stimulates employee work enthusiasm.</v>
      </c>
      <c r="B1757" s="1" t="str">
        <f ca="1">IFERROR(__xludf.DUMMYFUNCTION("GOOGLETRANSLATE(A1757, ""zh"", ""en"")"),"staff")</f>
        <v>staff</v>
      </c>
      <c r="C1757" s="1" t="str">
        <f ca="1">IFERROR(__xludf.DUMMYFUNCTION("GOOGLETRANSLATE(E1757, ""zh"", ""en"")"),"Qualitative text")</f>
        <v>Qualitative text</v>
      </c>
    </row>
    <row r="1758" spans="1:3" ht="13" x14ac:dyDescent="0.15">
      <c r="A1758" s="1" t="str">
        <f ca="1">IFERROR(__xludf.DUMMYFUNCTION("GOOGLETRANSLATE(A1758, ""zh"", ""en"")"),"The company has strengthened publicity, education and training in accordance with the safety production policy of safety first, prevention first and comprehensive management, and has implemented the three-level safety education work for employees.")</f>
        <v>The company has strengthened publicity, education and training in accordance with the safety production policy of safety first, prevention first and comprehensive management, and has implemented the three-level safety education work for employees.</v>
      </c>
      <c r="B1758" s="1" t="str">
        <f ca="1">IFERROR(__xludf.DUMMYFUNCTION("GOOGLETRANSLATE(A1758, ""zh"", ""en"")"),"staff")</f>
        <v>staff</v>
      </c>
      <c r="C1758" s="1" t="str">
        <f ca="1">IFERROR(__xludf.DUMMYFUNCTION("GOOGLETRANSLATE(E1758, ""zh"", ""en"")"),"Qualitative text")</f>
        <v>Qualitative text</v>
      </c>
    </row>
    <row r="1759" spans="1:3" ht="13" x14ac:dyDescent="0.15">
      <c r="A1759" s="1" t="str">
        <f ca="1">IFERROR(__xludf.DUMMYFUNCTION("GOOGLETRANSLATE(A1759, ""zh"", ""en"")"),"The company's board of directors consists of four professional committees: Audit Committee, Strategy Committee, Nomination Committee, Remuneration and Appraisal Committee, and their membership composition is reasonable.")</f>
        <v>The company's board of directors consists of four professional committees: Audit Committee, Strategy Committee, Nomination Committee, Remuneration and Appraisal Committee, and their membership composition is reasonable.</v>
      </c>
      <c r="B1759" s="1" t="str">
        <f ca="1">IFERROR(__xludf.DUMMYFUNCTION("GOOGLETRANSLATE(A1759, ""zh"", ""en"")"),"Organizational structure and operations")</f>
        <v>Organizational structure and operations</v>
      </c>
      <c r="C1759" s="1" t="str">
        <f ca="1">IFERROR(__xludf.DUMMYFUNCTION("GOOGLETRANSLATE(E1759, ""zh"", ""en"")"),"Qualitative text")</f>
        <v>Qualitative text</v>
      </c>
    </row>
    <row r="1760" spans="1:3" ht="13" x14ac:dyDescent="0.15">
      <c r="A1760" s="1" t="str">
        <f ca="1">IFERROR(__xludf.DUMMYFUNCTION("GOOGLETRANSLATE(A1760, ""zh"", ""en"")"),"P38A4 Climate Change General Disclosure Policies for identifying and addressing significant climate-related issues that have or may have an impact on the issuer")</f>
        <v>P38A4 Climate Change General Disclosure Policies for identifying and addressing significant climate-related issues that have or may have an impact on the issuer</v>
      </c>
      <c r="B1760" s="1" t="str">
        <f ca="1">IFERROR(__xludf.DUMMYFUNCTION("GOOGLETRANSLATE(A1760, ""zh"", ""en"")"),"Addressing climate change")</f>
        <v>Addressing climate change</v>
      </c>
      <c r="C1760" s="1" t="str">
        <f ca="1">IFERROR(__xludf.DUMMYFUNCTION("GOOGLETRANSLATE(E1760, ""zh"", ""en"")"),"Qualitative text")</f>
        <v>Qualitative text</v>
      </c>
    </row>
    <row r="1761" spans="1:3" ht="13" x14ac:dyDescent="0.15">
      <c r="A1761" s="1" t="str">
        <f ca="1">IFERROR(__xludf.DUMMYFUNCTION("GOOGLETRANSLATE(A1761, ""zh"", ""en"")"),"We actively build a gender-equal work system and working environment globally, encouraging all female employees to give full play to their strengths and highlight the power of women.")</f>
        <v>We actively build a gender-equal work system and working environment globally, encouraging all female employees to give full play to their strengths and highlight the power of women.</v>
      </c>
      <c r="B1761" s="1" t="str">
        <f ca="1">IFERROR(__xludf.DUMMYFUNCTION("GOOGLETRANSLATE(A1761, ""zh"", ""en"")"),"staff")</f>
        <v>staff</v>
      </c>
      <c r="C1761" s="1" t="str">
        <f ca="1">IFERROR(__xludf.DUMMYFUNCTION("GOOGLETRANSLATE(E1761, ""zh"", ""en"")"),"Qualitative text")</f>
        <v>Qualitative text</v>
      </c>
    </row>
    <row r="1762" spans="1:3" ht="13" x14ac:dyDescent="0.15">
      <c r="A1762" s="1" t="str">
        <f ca="1">IFERROR(__xludf.DUMMYFUNCTION("GOOGLETRANSLATE(A1762, ""zh"", ""en"")"),"In 2022, we optimized the Haier Smart Home Vulnerability Management Specifications and other systems and added the English version of the Haier Smart Home Data Security Management Regulations.")</f>
        <v>In 2022, we optimized the Haier Smart Home Vulnerability Management Specifications and other systems and added the English version of the Haier Smart Home Data Security Management Regulations.</v>
      </c>
      <c r="B1762" s="1" t="str">
        <f ca="1">IFERROR(__xludf.DUMMYFUNCTION("GOOGLETRANSLATE(A1762, ""zh"", ""en"")"),"Data security")</f>
        <v>Data security</v>
      </c>
      <c r="C1762" s="1" t="str">
        <f ca="1">IFERROR(__xludf.DUMMYFUNCTION("GOOGLETRANSLATE(E1762, ""zh"", ""en"")"),"Qualitative text")</f>
        <v>Qualitative text</v>
      </c>
    </row>
    <row r="1763" spans="1:3" ht="13" x14ac:dyDescent="0.15">
      <c r="A1763" s="1" t="str">
        <f ca="1">IFERROR(__xludf.DUMMYFUNCTION("GOOGLETRANSLATE(A1763, ""zh"", ""en"")"),"GEA's workforce now comprises 31% women and 23% people of color, earning it a recognition as a top workplace for women from diverse backgrounds.")</f>
        <v>GEA's workforce now comprises 31% women and 23% people of color, earning it a recognition as a top workplace for women from diverse backgrounds.</v>
      </c>
      <c r="B1763" s="1" t="str">
        <f ca="1">IFERROR(__xludf.DUMMYFUNCTION("GOOGLETRANSLATE(A1763, ""zh"", ""en"")"),"staff")</f>
        <v>staff</v>
      </c>
      <c r="C1763" s="1" t="str">
        <f ca="1">IFERROR(__xludf.DUMMYFUNCTION("GOOGLETRANSLATE(E1763, ""zh"", ""en"")"),"Quantitative Text")</f>
        <v>Quantitative Text</v>
      </c>
    </row>
    <row r="1764" spans="1:3" ht="13" x14ac:dyDescent="0.15">
      <c r="A1764" s="1" t="str">
        <f ca="1">IFERROR(__xludf.DUMMYFUNCTION("GOOGLETRANSLATE(A1764, ""zh"", ""en"")"),"Haier Smart Home's success is inseparable from the many outstanding female managers and female employees who are full of insight and creativity.")</f>
        <v>Haier Smart Home's success is inseparable from the many outstanding female managers and female employees who are full of insight and creativity.</v>
      </c>
      <c r="B1764" s="1" t="str">
        <f ca="1">IFERROR(__xludf.DUMMYFUNCTION("GOOGLETRANSLATE(A1764, ""zh"", ""en"")"),"staff")</f>
        <v>staff</v>
      </c>
      <c r="C1764" s="1" t="str">
        <f ca="1">IFERROR(__xludf.DUMMYFUNCTION("GOOGLETRANSLATE(E1764, ""zh"", ""en"")"),"Qualitative text")</f>
        <v>Qualitative text</v>
      </c>
    </row>
    <row r="1765" spans="1:3" ht="13" x14ac:dyDescent="0.15">
      <c r="A1765" s="1" t="str">
        <f ca="1">IFERROR(__xludf.DUMMYFUNCTION("GOOGLETRANSLATE(A1765, ""zh"", ""en"")"),"CSI Index ESG Rating: AAA 2022 CSI Index Releases ESG Ratings for A-Share Listed Companies; Haier Smart Home Earns AAA Rating")</f>
        <v>CSI Index ESG Rating: AAA 2022 CSI Index Releases ESG Ratings for A-Share Listed Companies; Haier Smart Home Earns AAA Rating</v>
      </c>
      <c r="B1765" s="1" t="str">
        <f ca="1">IFERROR(__xludf.DUMMYFUNCTION("GOOGLETRANSLATE(A1765, ""zh"", ""en"")"),"Sustainable certification")</f>
        <v>Sustainable certification</v>
      </c>
      <c r="C1765" s="1" t="str">
        <f ca="1">IFERROR(__xludf.DUMMYFUNCTION("GOOGLETRANSLATE(E1765, ""zh"", ""en"")"),"Quantitative Text")</f>
        <v>Quantitative Text</v>
      </c>
    </row>
    <row r="1766" spans="1:3" ht="13" x14ac:dyDescent="0.15">
      <c r="A1766" s="1" t="str">
        <f ca="1">IFERROR(__xludf.DUMMYFUNCTION("GOOGLETRANSLATE(A1766, ""zh"", ""en"")"),"Tibet Everest attaches great importance to the employment of people in overseas operations. We are committed to providing more employment opportunities for the local workforce.")</f>
        <v>Tibet Everest attaches great importance to the employment of people in overseas operations. We are committed to providing more employment opportunities for the local workforce.</v>
      </c>
      <c r="B1766" s="1" t="str">
        <f ca="1">IFERROR(__xludf.DUMMYFUNCTION("GOOGLETRANSLATE(A1766, ""zh"", ""en"")"),"Promoting employment")</f>
        <v>Promoting employment</v>
      </c>
      <c r="C1766" s="1" t="str">
        <f ca="1">IFERROR(__xludf.DUMMYFUNCTION("GOOGLETRANSLATE(E1766, ""zh"", ""en"")"),"Qualitative text")</f>
        <v>Qualitative text</v>
      </c>
    </row>
    <row r="1767" spans="1:3" ht="13" x14ac:dyDescent="0.15">
      <c r="A1767" s="1" t="str">
        <f ca="1">IFERROR(__xludf.DUMMYFUNCTION("GOOGLETRANSLATE(A1767, ""zh"", ""en"")"),"In order to promote the improvement of local employment in Argentina, we have implemented various forms of professional quality training and general education training courses and practical activities.")</f>
        <v>In order to promote the improvement of local employment in Argentina, we have implemented various forms of professional quality training and general education training courses and practical activities.</v>
      </c>
      <c r="B1767" s="1" t="str">
        <f ca="1">IFERROR(__xludf.DUMMYFUNCTION("GOOGLETRANSLATE(A1767, ""zh"", ""en"")"),"Promoting employment")</f>
        <v>Promoting employment</v>
      </c>
      <c r="C1767" s="1" t="str">
        <f ca="1">IFERROR(__xludf.DUMMYFUNCTION("GOOGLETRANSLATE(E1767, ""zh"", ""en"")"),"Qualitative text")</f>
        <v>Qualitative text</v>
      </c>
    </row>
    <row r="1768" spans="1:3" ht="13" x14ac:dyDescent="0.15">
      <c r="A1768" s="1" t="str">
        <f ca="1">IFERROR(__xludf.DUMMYFUNCTION("GOOGLETRANSLATE(A1768, ""zh"", ""en"")"),"Lead alloys and their compounds are widely used in battery, cable sheath, machinery manufacturing, shipbuilding, light industry, lead oxide, radiation protection and other industries.")</f>
        <v>Lead alloys and their compounds are widely used in battery, cable sheath, machinery manufacturing, shipbuilding, light industry, lead oxide, radiation protection and other industries.</v>
      </c>
      <c r="B1768" s="1" t="str">
        <f ca="1">IFERROR(__xludf.DUMMYFUNCTION("GOOGLETRANSLATE(A1768, ""zh"", ""en"")"),"Chemical Safety")</f>
        <v>Chemical Safety</v>
      </c>
      <c r="C1768" s="1" t="str">
        <f ca="1">IFERROR(__xludf.DUMMYFUNCTION("GOOGLETRANSLATE(E1768, ""zh"", ""en"")"),"Qualitative text")</f>
        <v>Qualitative text</v>
      </c>
    </row>
    <row r="1769" spans="1:3" ht="13" x14ac:dyDescent="0.15">
      <c r="A1769" s="1" t="str">
        <f ca="1">IFERROR(__xludf.DUMMYFUNCTION("GOOGLETRANSLATE(A1769, ""zh"", ""en"")"),"We are the first company in China's metals and mining industry to receive TCFD support and have actively committed to addressing climate change through concrete actions.")</f>
        <v>We are the first company in China's metals and mining industry to receive TCFD support and have actively committed to addressing climate change through concrete actions.</v>
      </c>
      <c r="B1769" s="1" t="str">
        <f ca="1">IFERROR(__xludf.DUMMYFUNCTION("GOOGLETRANSLATE(A1769, ""zh"", ""en"")"),"Addressing climate change")</f>
        <v>Addressing climate change</v>
      </c>
      <c r="C1769" s="1" t="str">
        <f ca="1">IFERROR(__xludf.DUMMYFUNCTION("GOOGLETRANSLATE(E1769, ""zh"", ""en"")"),"Qualitative text")</f>
        <v>Qualitative text</v>
      </c>
    </row>
    <row r="1770" spans="1:3" ht="13" x14ac:dyDescent="0.15">
      <c r="A1770" s="1" t="str">
        <f ca="1">IFERROR(__xludf.DUMMYFUNCTION("GOOGLETRANSLATE(A1770, ""zh"", ""en"")"),"Leverage the guiding role of assessment and evaluation to closely integrate the effectiveness of subsidiary board operations and the performance of external directors with corporate performance assessment and cadre promotion.")</f>
        <v>Leverage the guiding role of assessment and evaluation to closely integrate the effectiveness of subsidiary board operations and the performance of external directors with corporate performance assessment and cadre promotion.</v>
      </c>
      <c r="B1770" s="1" t="str">
        <f ca="1">IFERROR(__xludf.DUMMYFUNCTION("GOOGLETRANSLATE(A1770, ""zh"", ""en"")"),"Organizational structure and operations")</f>
        <v>Organizational structure and operations</v>
      </c>
      <c r="C1770" s="1" t="str">
        <f ca="1">IFERROR(__xludf.DUMMYFUNCTION("GOOGLETRANSLATE(E1770, ""zh"", ""en"")"),"Qualitative text")</f>
        <v>Qualitative text</v>
      </c>
    </row>
    <row r="1771" spans="1:3" ht="13" x14ac:dyDescent="0.15">
      <c r="A1771" s="1" t="str">
        <f ca="1">IFERROR(__xludf.DUMMYFUNCTION("GOOGLETRANSLATE(A1771, ""zh"", ""en"")"),"The company has established an Audit Department which, under the leadership of the Audit Committee, independently exercises internal audit supervision authority and takes the lead in organizing and coordinating the establishment and implementation of inte"&amp;"rnal controls.")</f>
        <v>The company has established an Audit Department which, under the leadership of the Audit Committee, independently exercises internal audit supervision authority and takes the lead in organizing and coordinating the establishment and implementation of internal controls.</v>
      </c>
      <c r="B1771" s="1" t="str">
        <f ca="1">IFERROR(__xludf.DUMMYFUNCTION("GOOGLETRANSLATE(A1771, ""zh"", ""en"")"),"Audit work")</f>
        <v>Audit work</v>
      </c>
      <c r="C1771" s="1" t="str">
        <f ca="1">IFERROR(__xludf.DUMMYFUNCTION("GOOGLETRANSLATE(E1771, ""zh"", ""en"")"),"Qualitative text")</f>
        <v>Qualitative text</v>
      </c>
    </row>
    <row r="1772" spans="1:3" ht="13" x14ac:dyDescent="0.15">
      <c r="A1772" s="1" t="str">
        <f ca="1">IFERROR(__xludf.DUMMYFUNCTION("GOOGLETRANSLATE(A1772, ""zh"", ""en"")"),"Actively promote business structure adjustment and model upgrades while seizing opportunities for development, actively explore new industries for green transformation in counties, and explore new energy businesses.")</f>
        <v>Actively promote business structure adjustment and model upgrades while seizing opportunities for development, actively explore new industries for green transformation in counties, and explore new energy businesses.</v>
      </c>
      <c r="B1772" s="1" t="str">
        <f ca="1">IFERROR(__xludf.DUMMYFUNCTION("GOOGLETRANSLATE(A1772, ""zh"", ""en"")"),"Technological innovation")</f>
        <v>Technological innovation</v>
      </c>
      <c r="C1772" s="1" t="str">
        <f ca="1">IFERROR(__xludf.DUMMYFUNCTION("GOOGLETRANSLATE(E1772, ""zh"", ""en"")"),"Qualitative text")</f>
        <v>Qualitative text</v>
      </c>
    </row>
    <row r="1773" spans="1:3" ht="13" x14ac:dyDescent="0.15">
      <c r="A1773" s="1" t="str">
        <f ca="1">IFERROR(__xludf.DUMMYFUNCTION("GOOGLETRANSLATE(A1773, ""zh"", ""en"")"),"The company actively fulfills its social responsibilities as a central enterprise and continuously improves its strategic layout around the company's vision and mission and the development of an integrated supply chain service platform.")</f>
        <v>The company actively fulfills its social responsibilities as a central enterprise and continuously improves its strategic layout around the company's vision and mission and the development of an integrated supply chain service platform.</v>
      </c>
      <c r="B1773" s="1" t="str">
        <f ca="1">IFERROR(__xludf.DUMMYFUNCTION("GOOGLETRANSLATE(A1773, ""zh"", ""en"")"),"supply chain management")</f>
        <v>supply chain management</v>
      </c>
      <c r="C1773" s="1" t="str">
        <f ca="1">IFERROR(__xludf.DUMMYFUNCTION("GOOGLETRANSLATE(E1773, ""zh"", ""en"")"),"Qualitative text")</f>
        <v>Qualitative text</v>
      </c>
    </row>
    <row r="1774" spans="1:3" ht="13" x14ac:dyDescent="0.15">
      <c r="A1774" s="1" t="str">
        <f ca="1">IFERROR(__xludf.DUMMYFUNCTION("GOOGLETRANSLATE(A1774, ""zh"", ""en"")"),"All units at all levels have established safety production management committees. All major operating units have established safety offices and appointed full-time and part-time safety officers.")</f>
        <v>All units at all levels have established safety production management committees. All major operating units have established safety offices and appointed full-time and part-time safety officers.</v>
      </c>
      <c r="B1774" s="1" t="str">
        <f ca="1">IFERROR(__xludf.DUMMYFUNCTION("GOOGLETRANSLATE(A1774, ""zh"", ""en"")"),"staff")</f>
        <v>staff</v>
      </c>
      <c r="C1774" s="1" t="str">
        <f ca="1">IFERROR(__xludf.DUMMYFUNCTION("GOOGLETRANSLATE(E1774, ""zh"", ""en"")"),"Qualitative text")</f>
        <v>Qualitative text</v>
      </c>
    </row>
    <row r="1775" spans="1:3" ht="13" x14ac:dyDescent="0.15">
      <c r="A1775" s="1" t="str">
        <f ca="1">IFERROR(__xludf.DUMMYFUNCTION("GOOGLETRANSLATE(A1775, ""zh"", ""en"")"),"In 2022, the number of suppliers rejected by the Group's member companies due to the risk level of the materials supplied to them affecting product quality was 103.")</f>
        <v>In 2022, the number of suppliers rejected by the Group's member companies due to the risk level of the materials supplied to them affecting product quality was 103.</v>
      </c>
      <c r="B1775" s="1" t="str">
        <f ca="1">IFERROR(__xludf.DUMMYFUNCTION("GOOGLETRANSLATE(A1775, ""zh"", ""en"")"),"supply chain management")</f>
        <v>supply chain management</v>
      </c>
      <c r="C1775" s="1" t="str">
        <f ca="1">IFERROR(__xludf.DUMMYFUNCTION("GOOGLETRANSLATE(E1775, ""zh"", ""en"")"),"Quantitative Text")</f>
        <v>Quantitative Text</v>
      </c>
    </row>
    <row r="1776" spans="1:3" ht="13" x14ac:dyDescent="0.15">
      <c r="A1776" s="1" t="str">
        <f ca="1">IFERROR(__xludf.DUMMYFUNCTION("GOOGLETRANSLATE(A1776, ""zh"", ""en"")"),"In the recruitment of graduates, preference will be given to graduates from poor families in western regions, families receiving subsistence allowances, families with zero employment, and those with disabilities who meet the job requirements.")</f>
        <v>In the recruitment of graduates, preference will be given to graduates from poor families in western regions, families receiving subsistence allowances, families with zero employment, and those with disabilities who meet the job requirements.</v>
      </c>
      <c r="B1776" s="1" t="str">
        <f ca="1">IFERROR(__xludf.DUMMYFUNCTION("GOOGLETRANSLATE(A1776, ""zh"", ""en"")"),"Promoting employment")</f>
        <v>Promoting employment</v>
      </c>
      <c r="C1776" s="1" t="str">
        <f ca="1">IFERROR(__xludf.DUMMYFUNCTION("GOOGLETRANSLATE(E1776, ""zh"", ""en"")"),"Qualitative text")</f>
        <v>Qualitative text</v>
      </c>
    </row>
    <row r="1777" spans="1:3" ht="13" x14ac:dyDescent="0.15">
      <c r="A1777" s="1" t="str">
        <f ca="1">IFERROR(__xludf.DUMMYFUNCTION("GOOGLETRANSLATE(A1777, ""zh"", ""en"")"),"For defects found during the audit process, we require the audited company to complete rectification according to the rectification suggestions within 120 days and verify the rectification results.")</f>
        <v>For defects found during the audit process, we require the audited company to complete rectification according to the rectification suggestions within 120 days and verify the rectification results.</v>
      </c>
      <c r="B1777" s="1" t="str">
        <f ca="1">IFERROR(__xludf.DUMMYFUNCTION("GOOGLETRANSLATE(A1777, ""zh"", ""en"")"),"Audit work")</f>
        <v>Audit work</v>
      </c>
      <c r="C1777" s="1" t="str">
        <f ca="1">IFERROR(__xludf.DUMMYFUNCTION("GOOGLETRANSLATE(E1777, ""zh"", ""en"")"),"Qualitative text")</f>
        <v>Qualitative text</v>
      </c>
    </row>
    <row r="1778" spans="1:3" ht="13" x14ac:dyDescent="0.15">
      <c r="A1778" s="1" t="str">
        <f ca="1">IFERROR(__xludf.DUMMYFUNCTION("GOOGLETRANSLATE(A1778, ""zh"", ""en"")"),"Diversity encompasses not only educational background, professional experience, skills, knowledge, and length of service, but also gender, age, nationality, cultural background, and ethnicity or race.")</f>
        <v>Diversity encompasses not only educational background, professional experience, skills, knowledge, and length of service, but also gender, age, nationality, cultural background, and ethnicity or race.</v>
      </c>
      <c r="B1778" s="1" t="str">
        <f ca="1">IFERROR(__xludf.DUMMYFUNCTION("GOOGLETRANSLATE(A1778, ""zh"", ""en"")"),"Organizational structure and operations")</f>
        <v>Organizational structure and operations</v>
      </c>
      <c r="C1778" s="1" t="str">
        <f ca="1">IFERROR(__xludf.DUMMYFUNCTION("GOOGLETRANSLATE(E1778, ""zh"", ""en"")"),"Qualitative text")</f>
        <v>Qualitative text</v>
      </c>
    </row>
    <row r="1779" spans="1:3" ht="13" x14ac:dyDescent="0.15">
      <c r="A1779" s="1" t="str">
        <f ca="1">IFERROR(__xludf.DUMMYFUNCTION("GOOGLETRANSLATE(A1779, ""zh"", ""en"")"),"In addition, Livzon Group assists its subsidiaries in launching joint training programs with Jinan University and supports newly introduced doctors in conducting scientific research at Jinan University.")</f>
        <v>In addition, Livzon Group assists its subsidiaries in launching joint training programs with Jinan University and supports newly introduced doctors in conducting scientific research at Jinan University.</v>
      </c>
      <c r="B1779" s="1" t="str">
        <f ca="1">IFERROR(__xludf.DUMMYFUNCTION("GOOGLETRANSLATE(A1779, ""zh"", ""en"")"),"Technological innovation")</f>
        <v>Technological innovation</v>
      </c>
      <c r="C1779" s="1" t="str">
        <f ca="1">IFERROR(__xludf.DUMMYFUNCTION("GOOGLETRANSLATE(E1779, ""zh"", ""en"")"),"Qualitative text")</f>
        <v>Qualitative text</v>
      </c>
    </row>
    <row r="1780" spans="1:3" ht="13" x14ac:dyDescent="0.15">
      <c r="A1780" s="1" t="str">
        <f ca="1">IFERROR(__xludf.DUMMYFUNCTION("GOOGLETRANSLATE(A1780, ""zh"", ""en"")"),"This year, the Group's Human Resources Department has strengthened the collection, statistics, and disclosure of workforce diversity indicators to ensure the orderly advancement of diversity-related work.")</f>
        <v>This year, the Group's Human Resources Department has strengthened the collection, statistics, and disclosure of workforce diversity indicators to ensure the orderly advancement of diversity-related work.</v>
      </c>
      <c r="B1780" s="1" t="str">
        <f ca="1">IFERROR(__xludf.DUMMYFUNCTION("GOOGLETRANSLATE(A1780, ""zh"", ""en"")"),"Promoting employment")</f>
        <v>Promoting employment</v>
      </c>
      <c r="C1780" s="1" t="str">
        <f ca="1">IFERROR(__xludf.DUMMYFUNCTION("GOOGLETRANSLATE(E1780, ""zh"", ""en"")"),"Qualitative text")</f>
        <v>Qualitative text</v>
      </c>
    </row>
    <row r="1781" spans="1:3" ht="13" x14ac:dyDescent="0.15">
      <c r="A1781" s="1" t="str">
        <f ca="1">IFERROR(__xludf.DUMMYFUNCTION("GOOGLETRANSLATE(A1781, ""zh"", ""en"")"),"The Group has strong R&amp;D capabilities and international R&amp;D concepts in the fields of chemicals, traditional Chinese medicine preparations, biological products, diagnostic reagents, and health foods.")</f>
        <v>The Group has strong R&amp;D capabilities and international R&amp;D concepts in the fields of chemicals, traditional Chinese medicine preparations, biological products, diagnostic reagents, and health foods.</v>
      </c>
      <c r="B1781" s="1" t="str">
        <f ca="1">IFERROR(__xludf.DUMMYFUNCTION("GOOGLETRANSLATE(A1781, ""zh"", ""en"")"),"Technological innovation")</f>
        <v>Technological innovation</v>
      </c>
      <c r="C1781" s="1" t="str">
        <f ca="1">IFERROR(__xludf.DUMMYFUNCTION("GOOGLETRANSLATE(E1781, ""zh"", ""en"")"),"Qualitative text")</f>
        <v>Qualitative text</v>
      </c>
    </row>
    <row r="1782" spans="1:3" ht="13" x14ac:dyDescent="0.15">
      <c r="A1782" s="1" t="str">
        <f ca="1">IFERROR(__xludf.DUMMYFUNCTION("GOOGLETRANSLATE(A1782, ""zh"", ""en"")"),"We have precisely planned product development in the fields of respiratory, anti-infective, anti-tumor, gonadotropin, digestive and neurological, forming a clear product development pipeline.")</f>
        <v>We have precisely planned product development in the fields of respiratory, anti-infective, anti-tumor, gonadotropin, digestive and neurological, forming a clear product development pipeline.</v>
      </c>
      <c r="B1782" s="1" t="str">
        <f ca="1">IFERROR(__xludf.DUMMYFUNCTION("GOOGLETRANSLATE(A1782, ""zh"", ""en"")"),"Fighting the epidemic")</f>
        <v>Fighting the epidemic</v>
      </c>
      <c r="C1782" s="1" t="str">
        <f ca="1">IFERROR(__xludf.DUMMYFUNCTION("GOOGLETRANSLATE(E1782, ""zh"", ""en"")"),"Qualitative text")</f>
        <v>Qualitative text</v>
      </c>
    </row>
    <row r="1783" spans="1:3" ht="13" x14ac:dyDescent="0.15">
      <c r="A1783" s="1" t="str">
        <f ca="1">IFERROR(__xludf.DUMMYFUNCTION("GOOGLETRANSLATE(A1783, ""zh"", ""en"")"),"High-quality service provides integrated services, mainly serving the North Sea region and continuously providing drilling platform services to high-end customers such as Statoil.")</f>
        <v>High-quality service provides integrated services, mainly serving the North Sea region and continuously providing drilling platform services to high-end customers such as Statoil.</v>
      </c>
      <c r="B1783" s="1" t="str">
        <f ca="1">IFERROR(__xludf.DUMMYFUNCTION("GOOGLETRANSLATE(A1783, ""zh"", ""en"")"),"Customers and Consumers")</f>
        <v>Customers and Consumers</v>
      </c>
      <c r="C1783" s="1" t="str">
        <f ca="1">IFERROR(__xludf.DUMMYFUNCTION("GOOGLETRANSLATE(E1783, ""zh"", ""en"")"),"Qualitative text")</f>
        <v>Qualitative text</v>
      </c>
    </row>
    <row r="1784" spans="1:3" ht="13" x14ac:dyDescent="0.15">
      <c r="A1784" s="1" t="str">
        <f ca="1">IFERROR(__xludf.DUMMYFUNCTION("GOOGLETRANSLATE(A1784, ""zh"", ""en"")"),"PetroChina always attaches great importance to the safety training of its employees. Emergency knowledge such as cardiopulmonary resuscitation and self-rescue and mutual rescue skills are important contents of the training.")</f>
        <v>PetroChina always attaches great importance to the safety training of its employees. Emergency knowledge such as cardiopulmonary resuscitation and self-rescue and mutual rescue skills are important contents of the training.</v>
      </c>
      <c r="B1784" s="1" t="str">
        <f ca="1">IFERROR(__xludf.DUMMYFUNCTION("GOOGLETRANSLATE(A1784, ""zh"", ""en"")"),"staff")</f>
        <v>staff</v>
      </c>
      <c r="C1784" s="1" t="str">
        <f ca="1">IFERROR(__xludf.DUMMYFUNCTION("GOOGLETRANSLATE(E1784, ""zh"", ""en"")"),"Qualitative text")</f>
        <v>Qualitative text</v>
      </c>
    </row>
    <row r="1785" spans="1:3" ht="13" x14ac:dyDescent="0.15">
      <c r="A1785" s="1" t="str">
        <f ca="1">IFERROR(__xludf.DUMMYFUNCTION("GOOGLETRANSLATE(A1785, ""zh"", ""en"")"),"Form a rational layout of science and technology and a coordinated R&amp;D strategy. Strengthen the joint research and development of science and technology and business through major scientific research projects. Promote cross-sector technology exchanges.")</f>
        <v>Form a rational layout of science and technology and a coordinated R&amp;D strategy. Strengthen the joint research and development of science and technology and business through major scientific research projects. Promote cross-sector technology exchanges.</v>
      </c>
      <c r="B1785" s="1" t="str">
        <f ca="1">IFERROR(__xludf.DUMMYFUNCTION("GOOGLETRANSLATE(A1785, ""zh"", ""en"")"),"Technological innovation")</f>
        <v>Technological innovation</v>
      </c>
      <c r="C1785" s="1" t="str">
        <f ca="1">IFERROR(__xludf.DUMMYFUNCTION("GOOGLETRANSLATE(E1785, ""zh"", ""en"")"),"Qualitative text")</f>
        <v>Qualitative text</v>
      </c>
    </row>
    <row r="1786" spans="1:3" ht="13" x14ac:dyDescent="0.15">
      <c r="A1786" s="1" t="str">
        <f ca="1">IFERROR(__xludf.DUMMYFUNCTION("GOOGLETRANSLATE(A1786, ""zh"", ""en"")"),"The Northeast region refers to the following areas where China Construction Bank's first-level branches and audit institutions are located: Liaoning Province, Jilin Province, Heilongjiang Province, and Dalian City.")</f>
        <v>The Northeast region refers to the following areas where China Construction Bank's first-level branches and audit institutions are located: Liaoning Province, Jilin Province, Heilongjiang Province, and Dalian City.</v>
      </c>
      <c r="B1786" s="1" t="str">
        <f ca="1">IFERROR(__xludf.DUMMYFUNCTION("GOOGLETRANSLATE(A1786, ""zh"", ""en"")"),"Audit work")</f>
        <v>Audit work</v>
      </c>
      <c r="C1786" s="1" t="str">
        <f ca="1">IFERROR(__xludf.DUMMYFUNCTION("GOOGLETRANSLATE(E1786, ""zh"", ""en"")"),"Qualitative text")</f>
        <v>Qualitative text</v>
      </c>
    </row>
    <row r="1787" spans="1:3" ht="13" x14ac:dyDescent="0.15">
      <c r="A1787" s="1" t="str">
        <f ca="1">IFERROR(__xludf.DUMMYFUNCTION("GOOGLETRANSLATE(A1787, ""zh"", ""en"")"),"The Pearl River Delta refers to the following areas where the first-tier branches and audit institutions of China Construction Bank are located: Shenzhen, Guangdong Province, Fujian Province, and Xiamen City.")</f>
        <v>The Pearl River Delta refers to the following areas where the first-tier branches and audit institutions of China Construction Bank are located: Shenzhen, Guangdong Province, Fujian Province, and Xiamen City.</v>
      </c>
      <c r="B1787" s="1" t="str">
        <f ca="1">IFERROR(__xludf.DUMMYFUNCTION("GOOGLETRANSLATE(A1787, ""zh"", ""en"")"),"Audit work")</f>
        <v>Audit work</v>
      </c>
      <c r="C1787" s="1" t="str">
        <f ca="1">IFERROR(__xludf.DUMMYFUNCTION("GOOGLETRANSLATE(E1787, ""zh"", ""en"")"),"Qualitative text")</f>
        <v>Qualitative text</v>
      </c>
    </row>
    <row r="1788" spans="1:3" ht="13" x14ac:dyDescent="0.15">
      <c r="A1788" s="1" t="str">
        <f ca="1">IFERROR(__xludf.DUMMYFUNCTION("GOOGLETRANSLATE(A1788, ""zh"", ""en"")"),"By 2022, the low-carbon lifestyle segment has been rolled out to 74 cities, with over 560,000 users and a cumulative reduction of over 2,000 tons of carbon emissions.")</f>
        <v>By 2022, the low-carbon lifestyle segment has been rolled out to 74 cities, with over 560,000 users and a cumulative reduction of over 2,000 tons of carbon emissions.</v>
      </c>
      <c r="B1788" s="1" t="str">
        <f ca="1">IFERROR(__xludf.DUMMYFUNCTION("GOOGLETRANSLATE(A1788, ""zh"", ""en"")"),"carbon emissions")</f>
        <v>carbon emissions</v>
      </c>
      <c r="C1788" s="1" t="str">
        <f ca="1">IFERROR(__xludf.DUMMYFUNCTION("GOOGLETRANSLATE(E1788, ""zh"", ""en"")"),"Quantitative Text")</f>
        <v>Quantitative Text</v>
      </c>
    </row>
    <row r="1789" spans="1:3" ht="13" x14ac:dyDescent="0.15">
      <c r="A1789" s="1" t="str">
        <f ca="1">IFERROR(__xludf.DUMMYFUNCTION("GOOGLETRANSLATE(A1789, ""zh"", ""en"")"),"During the selection process for the creation of party-building brands of Shanghai state-owned enterprises, the first batch of 6 party-building brands of Shanghai Electric Party Committee were selected, and the second batch of 7 party-building brands were"&amp;" selected.")</f>
        <v>During the selection process for the creation of party-building brands of Shanghai state-owned enterprises, the first batch of 6 party-building brands of Shanghai Electric Party Committee were selected, and the second batch of 7 party-building brands were selected.</v>
      </c>
      <c r="B1789" s="1" t="str">
        <f ca="1">IFERROR(__xludf.DUMMYFUNCTION("GOOGLETRANSLATE(A1789, ""zh"", ""en"")"),"Organizational structure and operations")</f>
        <v>Organizational structure and operations</v>
      </c>
      <c r="C1789" s="1" t="str">
        <f ca="1">IFERROR(__xludf.DUMMYFUNCTION("GOOGLETRANSLATE(E1789, ""zh"", ""en"")"),"Quantitative Text")</f>
        <v>Quantitative Text</v>
      </c>
    </row>
    <row r="1790" spans="1:3" ht="13" x14ac:dyDescent="0.15">
      <c r="A1790" s="1" t="str">
        <f ca="1">IFERROR(__xludf.DUMMYFUNCTION("GOOGLETRANSLATE(A1790, ""zh"", ""en"")"),"In 2022, 2,494 Party member demonstration posts have been established, and more than 10,000 Party members have made Party member post commitments with the theme of ""I will contribute to high-quality development.""")</f>
        <v>In 2022, 2,494 Party member demonstration posts have been established, and more than 10,000 Party members have made Party member post commitments with the theme of "I will contribute to high-quality development."</v>
      </c>
      <c r="B1790" s="1" t="str">
        <f ca="1">IFERROR(__xludf.DUMMYFUNCTION("GOOGLETRANSLATE(A1790, ""zh"", ""en"")"),"Organizational structure and operations")</f>
        <v>Organizational structure and operations</v>
      </c>
      <c r="C1790" s="1" t="str">
        <f ca="1">IFERROR(__xludf.DUMMYFUNCTION("GOOGLETRANSLATE(E1790, ""zh"", ""en"")"),"Quantitative Text")</f>
        <v>Quantitative Text</v>
      </c>
    </row>
    <row r="1791" spans="1:3" ht="13" x14ac:dyDescent="0.15">
      <c r="A1791" s="1" t="str">
        <f ca="1">IFERROR(__xludf.DUMMYFUNCTION("GOOGLETRANSLATE(A1791, ""zh"", ""en"")"),"In addition, to continuously improve the usability of the platform, we have further launched the Nebula Zhihui mobile terminal, upgraded the smart cloud box, and created supporting digital products.")</f>
        <v>In addition, to continuously improve the usability of the platform, we have further launched the Nebula Zhihui mobile terminal, upgraded the smart cloud box, and created supporting digital products.</v>
      </c>
      <c r="B1791" s="1" t="str">
        <f ca="1">IFERROR(__xludf.DUMMYFUNCTION("GOOGLETRANSLATE(A1791, ""zh"", ""en"")"),"Technological innovation")</f>
        <v>Technological innovation</v>
      </c>
      <c r="C1791" s="1" t="str">
        <f ca="1">IFERROR(__xludf.DUMMYFUNCTION("GOOGLETRANSLATE(E1791, ""zh"", ""en"")"),"Qualitative text")</f>
        <v>Qualitative text</v>
      </c>
    </row>
    <row r="1792" spans="1:3" ht="13" x14ac:dyDescent="0.15">
      <c r="A1792" s="1" t="str">
        <f ca="1">IFERROR(__xludf.DUMMYFUNCTION("GOOGLETRANSLATE(A1792, ""zh"", ""en"")"),"This donation is specifically used to support small and micro businesses facing operational difficulties and to provide relief to people and families harmed by major disasters and accidents.")</f>
        <v>This donation is specifically used to support small and micro businesses facing operational difficulties and to provide relief to people and families harmed by major disasters and accidents.</v>
      </c>
      <c r="B1792" s="1" t="str">
        <f ca="1">IFERROR(__xludf.DUMMYFUNCTION("GOOGLETRANSLATE(A1792, ""zh"", ""en"")"),"Public welfare and volunteer service")</f>
        <v>Public welfare and volunteer service</v>
      </c>
      <c r="C1792" s="1" t="str">
        <f ca="1">IFERROR(__xludf.DUMMYFUNCTION("GOOGLETRANSLATE(E1792, ""zh"", ""en"")"),"Qualitative text")</f>
        <v>Qualitative text</v>
      </c>
    </row>
    <row r="1793" spans="1:3" ht="13" x14ac:dyDescent="0.15">
      <c r="A1793" s="1" t="str">
        <f ca="1">IFERROR(__xludf.DUMMYFUNCTION("GOOGLETRANSLATE(A1793, ""zh"", ""en"")"),"The Guangdong Branch's Consumer Protection Senior Class uses case-based and scenario-based methods to help elderly customers learn the financial knowledge they need for daily life and bridge the digital divide.")</f>
        <v>The Guangdong Branch's Consumer Protection Senior Class uses case-based and scenario-based methods to help elderly customers learn the financial knowledge they need for daily life and bridge the digital divide.</v>
      </c>
      <c r="B1793" s="1" t="str">
        <f ca="1">IFERROR(__xludf.DUMMYFUNCTION("GOOGLETRANSLATE(A1793, ""zh"", ""en"")"),"Customers and Consumers")</f>
        <v>Customers and Consumers</v>
      </c>
      <c r="C1793" s="1" t="str">
        <f ca="1">IFERROR(__xludf.DUMMYFUNCTION("GOOGLETRANSLATE(E1793, ""zh"", ""en"")"),"Qualitative text")</f>
        <v>Qualitative text</v>
      </c>
    </row>
    <row r="1794" spans="1:3" ht="13" x14ac:dyDescent="0.15">
      <c r="A1794" s="1" t="str">
        <f ca="1">IFERROR(__xludf.DUMMYFUNCTION("GOOGLETRANSLATE(A1794, ""zh"", ""en"")"),"814 county-level rural capital supervision platforms have been launched to meet the needs of collective economic organizations for revenue and expenditure management, financial management, contract management, statistical supervision, etc.")</f>
        <v>814 county-level rural capital supervision platforms have been launched to meet the needs of collective economic organizations for revenue and expenditure management, financial management, contract management, statistical supervision, etc.</v>
      </c>
      <c r="B1794" s="1" t="str">
        <f ca="1">IFERROR(__xludf.DUMMYFUNCTION("GOOGLETRANSLATE(A1794, ""zh"", ""en"")"),"Rural assistance")</f>
        <v>Rural assistance</v>
      </c>
      <c r="C1794" s="1" t="str">
        <f ca="1">IFERROR(__xludf.DUMMYFUNCTION("GOOGLETRANSLATE(E1794, ""zh"", ""en"")"),"Quantitative Text")</f>
        <v>Quantitative Text</v>
      </c>
    </row>
    <row r="1795" spans="1:3" ht="13" x14ac:dyDescent="0.15">
      <c r="A1795" s="1" t="str">
        <f ca="1">IFERROR(__xludf.DUMMYFUNCTION("GOOGLETRANSLATE(A1795, ""zh"", ""en"")"),"In terms of customer complaint handling process, a remote smart banking center is set up with dedicated customer complaint handling personnel to respond to customer complaints in a timely manner.")</f>
        <v>In terms of customer complaint handling process, a remote smart banking center is set up with dedicated customer complaint handling personnel to respond to customer complaints in a timely manner.</v>
      </c>
      <c r="B1795" s="1" t="str">
        <f ca="1">IFERROR(__xludf.DUMMYFUNCTION("GOOGLETRANSLATE(A1795, ""zh"", ""en"")"),"Customers and Consumers")</f>
        <v>Customers and Consumers</v>
      </c>
      <c r="C1795" s="1" t="str">
        <f ca="1">IFERROR(__xludf.DUMMYFUNCTION("GOOGLETRANSLATE(E1795, ""zh"", ""en"")"),"Qualitative text")</f>
        <v>Qualitative text</v>
      </c>
    </row>
    <row r="1796" spans="1:3" ht="13" x14ac:dyDescent="0.15">
      <c r="A1796" s="1" t="str">
        <f ca="1">IFERROR(__xludf.DUMMYFUNCTION("GOOGLETRANSLATE(A1796, ""zh"", ""en"")"),"Experts at the event introduced personal pension policies and retirement planning suggestions to customers, guiding the public to make reasonable asset allocation and financial planning.")</f>
        <v>Experts at the event introduced personal pension policies and retirement planning suggestions to customers, guiding the public to make reasonable asset allocation and financial planning.</v>
      </c>
      <c r="B1796" s="1" t="str">
        <f ca="1">IFERROR(__xludf.DUMMYFUNCTION("GOOGLETRANSLATE(A1796, ""zh"", ""en"")"),"Customers and Consumers")</f>
        <v>Customers and Consumers</v>
      </c>
      <c r="C1796" s="1" t="str">
        <f ca="1">IFERROR(__xludf.DUMMYFUNCTION("GOOGLETRANSLATE(E1796, ""zh"", ""en"")"),"Qualitative text")</f>
        <v>Qualitative text</v>
      </c>
    </row>
    <row r="1797" spans="1:3" ht="13" x14ac:dyDescent="0.15">
      <c r="A1797" s="1" t="str">
        <f ca="1">IFERROR(__xludf.DUMMYFUNCTION("GOOGLETRANSLATE(A1797, ""zh"", ""en"")"),"In terms of post-loan management, we will add environmental and climate risk content to post-loan inspections, strengthen risk early warning, verification and follow-up management, and promptly verify early warning signals.")</f>
        <v>In terms of post-loan management, we will add environmental and climate risk content to post-loan inspections, strengthen risk early warning, verification and follow-up management, and promptly verify early warning signals.</v>
      </c>
      <c r="B1797" s="1" t="str">
        <f ca="1">IFERROR(__xludf.DUMMYFUNCTION("GOOGLETRANSLATE(A1797, ""zh"", ""en"")"),"Addressing climate change")</f>
        <v>Addressing climate change</v>
      </c>
      <c r="C1797" s="1" t="str">
        <f ca="1">IFERROR(__xludf.DUMMYFUNCTION("GOOGLETRANSLATE(E1797, ""zh"", ""en"")"),"Qualitative text")</f>
        <v>Qualitative text</v>
      </c>
    </row>
    <row r="1798" spans="1:3" ht="13" x14ac:dyDescent="0.15">
      <c r="A1798" s="1" t="str">
        <f ca="1">IFERROR(__xludf.DUMMYFUNCTION("GOOGLETRANSLATE(A1798, ""zh"", ""en"")"),"We will always adhere to the principle of upholding integrity and innovating to accelerate the transformation of strategic advantages into competitive advantages, especially by increasing efforts to improve the quality and effectiveness of strategic execu"&amp;"tion and digital operations.")</f>
        <v>We will always adhere to the principle of upholding integrity and innovating to accelerate the transformation of strategic advantages into competitive advantages, especially by increasing efforts to improve the quality and effectiveness of strategic execution and digital operations.</v>
      </c>
      <c r="B1798" s="1" t="str">
        <f ca="1">IFERROR(__xludf.DUMMYFUNCTION("GOOGLETRANSLATE(A1798, ""zh"", ""en"")"),"Technological innovation")</f>
        <v>Technological innovation</v>
      </c>
      <c r="C1798" s="1" t="str">
        <f ca="1">IFERROR(__xludf.DUMMYFUNCTION("GOOGLETRANSLATE(E1798, ""zh"", ""en"")"),"Qualitative text")</f>
        <v>Qualitative text</v>
      </c>
    </row>
    <row r="1799" spans="1:3" ht="13" x14ac:dyDescent="0.15">
      <c r="A1799" s="1" t="str">
        <f ca="1">IFERROR(__xludf.DUMMYFUNCTION("GOOGLETRANSLATE(A1799, ""zh"", ""en"")"),"The design plan for the two party-building bases of Cixi Party Branch and one party-building base of the Property Party Branch in Changjiang Village will be completed in October and December 2022.")</f>
        <v>The design plan for the two party-building bases of Cixi Party Branch and one party-building base of the Property Party Branch in Changjiang Village will be completed in October and December 2022.</v>
      </c>
      <c r="B1799" s="1" t="str">
        <f ca="1">IFERROR(__xludf.DUMMYFUNCTION("GOOGLETRANSLATE(A1799, ""zh"", ""en"")"),"Public welfare and volunteer service")</f>
        <v>Public welfare and volunteer service</v>
      </c>
      <c r="C1799" s="1" t="str">
        <f ca="1">IFERROR(__xludf.DUMMYFUNCTION("GOOGLETRANSLATE(E1799, ""zh"", ""en"")"),"Qualitative text")</f>
        <v>Qualitative text</v>
      </c>
    </row>
    <row r="1800" spans="1:3" ht="13" x14ac:dyDescent="0.15">
      <c r="A1800" s="1" t="str">
        <f ca="1">IFERROR(__xludf.DUMMYFUNCTION("GOOGLETRANSLATE(A1800, ""zh"", ""en"")"),"With 26 years of operation, it covers three major sectors: smart manufacturing, urban operations, and smart livelihoods. It ranks 249th among the top 500 Chinese enterprises in 2021.")</f>
        <v>With 26 years of operation, it covers three major sectors: smart manufacturing, urban operations, and smart livelihoods. It ranks 249th among the top 500 Chinese enterprises in 2021.</v>
      </c>
      <c r="B1800" s="1" t="str">
        <f ca="1">IFERROR(__xludf.DUMMYFUNCTION("GOOGLETRANSLATE(A1800, ""zh"", ""en"")"),"Technological innovation")</f>
        <v>Technological innovation</v>
      </c>
      <c r="C1800" s="1" t="str">
        <f ca="1">IFERROR(__xludf.DUMMYFUNCTION("GOOGLETRANSLATE(E1800, ""zh"", ""en"")"),"Quantitative Text")</f>
        <v>Quantitative Text</v>
      </c>
    </row>
    <row r="1801" spans="1:3" ht="13" x14ac:dyDescent="0.15">
      <c r="A1801" s="1" t="str">
        <f ca="1">IFERROR(__xludf.DUMMYFUNCTION("GOOGLETRANSLATE(A1801, ""zh"", ""en"")"),"Since the launch of the Love Mommy Hut project, the group has helped build 52 Mommy Huts, including 4 five-star huts and 6 four-star huts.")</f>
        <v>Since the launch of the Love Mommy Hut project, the group has helped build 52 Mommy Huts, including 4 five-star huts and 6 four-star huts.</v>
      </c>
      <c r="B1801" s="1" t="str">
        <f ca="1">IFERROR(__xludf.DUMMYFUNCTION("GOOGLETRANSLATE(A1801, ""zh"", ""en"")"),"Public welfare and volunteer service")</f>
        <v>Public welfare and volunteer service</v>
      </c>
      <c r="C1801" s="1" t="str">
        <f ca="1">IFERROR(__xludf.DUMMYFUNCTION("GOOGLETRANSLATE(E1801, ""zh"", ""en"")"),"Quantitative Text")</f>
        <v>Quantitative Text</v>
      </c>
    </row>
    <row r="1802" spans="1:3" ht="13" x14ac:dyDescent="0.15">
      <c r="A1802" s="1" t="str">
        <f ca="1">IFERROR(__xludf.DUMMYFUNCTION("GOOGLETRANSLATE(A1802, ""zh"", ""en"")"),"At the same time, Liu Ping, Deputy Secretary of the Party Committee and President, inquired in detail about the physical and living conditions of employees in difficulties and urged them to take good care of themselves and face life positively.")</f>
        <v>At the same time, Liu Ping, Deputy Secretary of the Party Committee and President, inquired in detail about the physical and living conditions of employees in difficulties and urged them to take good care of themselves and face life positively.</v>
      </c>
      <c r="B1802" s="1" t="str">
        <f ca="1">IFERROR(__xludf.DUMMYFUNCTION("GOOGLETRANSLATE(A1802, ""zh"", ""en"")"),"staff")</f>
        <v>staff</v>
      </c>
      <c r="C1802" s="1" t="str">
        <f ca="1">IFERROR(__xludf.DUMMYFUNCTION("GOOGLETRANSLATE(E1802, ""zh"", ""en"")"),"Qualitative text")</f>
        <v>Qualitative text</v>
      </c>
    </row>
    <row r="1803" spans="1:3" ht="13" x14ac:dyDescent="0.15">
      <c r="A1803" s="1" t="str">
        <f ca="1">IFERROR(__xludf.DUMMYFUNCTION("GOOGLETRANSLATE(A1803, ""zh"", ""en"")"),"Dima shares currently has 10 party organizations at all levels, including 1 party committee, 1 party general branch, and 8 party branches. There are more than 100 party members in the party organizations at all levels.")</f>
        <v>Dima shares currently has 10 party organizations at all levels, including 1 party committee, 1 party general branch, and 8 party branches. There are more than 100 party members in the party organizations at all levels.</v>
      </c>
      <c r="B1803" s="1" t="str">
        <f ca="1">IFERROR(__xludf.DUMMYFUNCTION("GOOGLETRANSLATE(A1803, ""zh"", ""en"")"),"Organizational structure and operations")</f>
        <v>Organizational structure and operations</v>
      </c>
      <c r="C1803" s="1" t="str">
        <f ca="1">IFERROR(__xludf.DUMMYFUNCTION("GOOGLETRANSLATE(E1803, ""zh"", ""en"")"),"Quantitative Text")</f>
        <v>Quantitative Text</v>
      </c>
    </row>
    <row r="1804" spans="1:3" ht="13" x14ac:dyDescent="0.15">
      <c r="A1804" s="1" t="str">
        <f ca="1">IFERROR(__xludf.DUMMYFUNCTION("GOOGLETRANSLATE(A1804, ""zh"", ""en"")"),"The old streets and alleys have become new landmarks. Xiahaoli opened in November 2022 and has become a well-deserved urban cultural landmark and a popular check-in spot.")</f>
        <v>The old streets and alleys have become new landmarks. Xiahaoli opened in November 2022 and has become a well-deserved urban cultural landmark and a popular check-in spot.</v>
      </c>
      <c r="B1804" s="1" t="str">
        <f ca="1">IFERROR(__xludf.DUMMYFUNCTION("GOOGLETRANSLATE(A1804, ""zh"", ""en"")"),"irrelevant text")</f>
        <v>irrelevant text</v>
      </c>
      <c r="C1804" s="1" t="str">
        <f ca="1">IFERROR(__xludf.DUMMYFUNCTION("GOOGLETRANSLATE(E1804, ""zh"", ""en"")"),"irrelevant text")</f>
        <v>irrelevant text</v>
      </c>
    </row>
    <row r="1805" spans="1:3" ht="13" x14ac:dyDescent="0.15">
      <c r="A1805" s="1" t="str">
        <f ca="1">IFERROR(__xludf.DUMMYFUNCTION("GOOGLETRANSLATE(A1805, ""zh"", ""en"")"),"The original life brand community value-added services include Shenma Dongdong, Yuanyoujia, Meiju, Meijia, Yuanzhujia, parking space sales, Yuandaojia rental and sales, and Yuanmeijia, four sub-brands.")</f>
        <v>The original life brand community value-added services include Shenma Dongdong, Yuanyoujia, Meiju, Meijia, Yuanzhujia, parking space sales, Yuandaojia rental and sales, and Yuanmeijia, four sub-brands.</v>
      </c>
      <c r="B1805" s="1" t="str">
        <f ca="1">IFERROR(__xludf.DUMMYFUNCTION("GOOGLETRANSLATE(A1805, ""zh"", ""en"")"),"irrelevant text")</f>
        <v>irrelevant text</v>
      </c>
      <c r="C1805" s="1" t="str">
        <f ca="1">IFERROR(__xludf.DUMMYFUNCTION("GOOGLETRANSLATE(E1805, ""zh"", ""en"")"),"irrelevant text")</f>
        <v>irrelevant text</v>
      </c>
    </row>
    <row r="1806" spans="1:3" ht="13" x14ac:dyDescent="0.15">
      <c r="A1806" s="1" t="str">
        <f ca="1">IFERROR(__xludf.DUMMYFUNCTION("GOOGLETRANSLATE(A1806, ""zh"", ""en"")"),"During the project construction, Universal Engineering and the owner's stakeholders overcame various difficulties caused by the epidemic and made every effort to advance various work milestones.")</f>
        <v>During the project construction, Universal Engineering and the owner's stakeholders overcame various difficulties caused by the epidemic and made every effort to advance various work milestones.</v>
      </c>
      <c r="B1806" s="1" t="str">
        <f ca="1">IFERROR(__xludf.DUMMYFUNCTION("GOOGLETRANSLATE(A1806, ""zh"", ""en"")"),"Fighting the epidemic")</f>
        <v>Fighting the epidemic</v>
      </c>
      <c r="C1806" s="1" t="str">
        <f ca="1">IFERROR(__xludf.DUMMYFUNCTION("GOOGLETRANSLATE(E1806, ""zh"", ""en"")"),"Qualitative text")</f>
        <v>Qualitative text</v>
      </c>
    </row>
    <row r="1807" spans="1:3" ht="13" x14ac:dyDescent="0.15">
      <c r="A1807" s="1" t="str">
        <f ca="1">IFERROR(__xludf.DUMMYFUNCTION("GOOGLETRANSLATE(A1807, ""zh"", ""en"")"),"The three sub-working groups are formed by the integration of relevant functional departments and are responsible for communicating and coordinating with the relevant departments of the subsidiaries to promote and implement specific matters.")</f>
        <v>The three sub-working groups are formed by the integration of relevant functional departments and are responsible for communicating and coordinating with the relevant departments of the subsidiaries to promote and implement specific matters.</v>
      </c>
      <c r="B1807" s="1" t="str">
        <f ca="1">IFERROR(__xludf.DUMMYFUNCTION("GOOGLETRANSLATE(A1807, ""zh"", ""en"")"),"Organizational structure and operations")</f>
        <v>Organizational structure and operations</v>
      </c>
      <c r="C1807" s="1" t="str">
        <f ca="1">IFERROR(__xludf.DUMMYFUNCTION("GOOGLETRANSLATE(E1807, ""zh"", ""en"")"),"Qualitative text")</f>
        <v>Qualitative text</v>
      </c>
    </row>
    <row r="1808" spans="1:3" ht="13" x14ac:dyDescent="0.15">
      <c r="A1808" s="1" t="str">
        <f ca="1">IFERROR(__xludf.DUMMYFUNCTION("GOOGLETRANSLATE(A1808, ""zh"", ""en"")"),"At the same time, we continue to pay attention to extreme weather warning information and further improve the adaptability and stability of equipment operations through a series of layouts and practices.")</f>
        <v>At the same time, we continue to pay attention to extreme weather warning information and further improve the adaptability and stability of equipment operations through a series of layouts and practices.</v>
      </c>
      <c r="B1808" s="1" t="str">
        <f ca="1">IFERROR(__xludf.DUMMYFUNCTION("GOOGLETRANSLATE(A1808, ""zh"", ""en"")"),"Addressing climate change")</f>
        <v>Addressing climate change</v>
      </c>
      <c r="C1808" s="1" t="str">
        <f ca="1">IFERROR(__xludf.DUMMYFUNCTION("GOOGLETRANSLATE(E1808, ""zh"", ""en"")"),"Qualitative text")</f>
        <v>Qualitative text</v>
      </c>
    </row>
    <row r="1809" spans="1:3" ht="13" x14ac:dyDescent="0.15">
      <c r="A1809" s="1" t="str">
        <f ca="1">IFERROR(__xludf.DUMMYFUNCTION("GOOGLETRANSLATE(A1809, ""zh"", ""en"")"),"Unless otherwise specified, all currencies mentioned in the report are RMB. Density data is based on the operating income data of Shanghai Electric's 2022 annual report.")</f>
        <v>Unless otherwise specified, all currencies mentioned in the report are RMB. Density data is based on the operating income data of Shanghai Electric's 2022 annual report.</v>
      </c>
      <c r="B1809" s="1" t="str">
        <f ca="1">IFERROR(__xludf.DUMMYFUNCTION("GOOGLETRANSLATE(A1809, ""zh"", ""en"")"),"irrelevant text")</f>
        <v>irrelevant text</v>
      </c>
      <c r="C1809" s="1" t="str">
        <f ca="1">IFERROR(__xludf.DUMMYFUNCTION("GOOGLETRANSLATE(E1809, ""zh"", ""en"")"),"irrelevant text")</f>
        <v>irrelevant text</v>
      </c>
    </row>
    <row r="1810" spans="1:3" ht="13" x14ac:dyDescent="0.15">
      <c r="A1810" s="1" t="str">
        <f ca="1">IFERROR(__xludf.DUMMYFUNCTION("GOOGLETRANSLATE(A1810, ""zh"", ""en"")"),"In November 2022, Sinopec will initiate the revision of its compliance management regulations to further clarify the division of responsibilities, work processes, and operating mechanisms.")</f>
        <v>In November 2022, Sinopec will initiate the revision of its compliance management regulations to further clarify the division of responsibilities, work processes, and operating mechanisms.</v>
      </c>
      <c r="B1810" s="1" t="str">
        <f ca="1">IFERROR(__xludf.DUMMYFUNCTION("GOOGLETRANSLATE(A1810, ""zh"", ""en"")"),"Organizational structure and operations")</f>
        <v>Organizational structure and operations</v>
      </c>
      <c r="C1810" s="1" t="str">
        <f ca="1">IFERROR(__xludf.DUMMYFUNCTION("GOOGLETRANSLATE(E1810, ""zh"", ""en"")"),"Qualitative text")</f>
        <v>Qualitative text</v>
      </c>
    </row>
    <row r="1811" spans="1:3" ht="13" x14ac:dyDescent="0.15">
      <c r="A1811" s="1" t="str">
        <f ca="1">IFERROR(__xludf.DUMMYFUNCTION("GOOGLETRANSLATE(A1811, ""zh"", ""en"")"),"The assessment indicators mainly include three aspects: management's fulfillment of anti-corruption responsibilities, support for supervisory agencies in fulfilling their duties, supervision work, and accountability.")</f>
        <v>The assessment indicators mainly include three aspects: management's fulfillment of anti-corruption responsibilities, support for supervisory agencies in fulfilling their duties, supervision work, and accountability.</v>
      </c>
      <c r="B1811" s="1" t="str">
        <f ca="1">IFERROR(__xludf.DUMMYFUNCTION("GOOGLETRANSLATE(A1811, ""zh"", ""en"")"),"Anti-corruption and anti-money laundering")</f>
        <v>Anti-corruption and anti-money laundering</v>
      </c>
      <c r="C1811" s="1" t="str">
        <f ca="1">IFERROR(__xludf.DUMMYFUNCTION("GOOGLETRANSLATE(E1811, ""zh"", ""en"")"),"Qualitative text")</f>
        <v>Qualitative text</v>
      </c>
    </row>
    <row r="1812" spans="1:3" ht="13" x14ac:dyDescent="0.15">
      <c r="A1812" s="1" t="str">
        <f ca="1">IFERROR(__xludf.DUMMYFUNCTION("GOOGLETRANSLATE(A1812, ""zh"", ""en"")"),"In addition, the company insists on carrying out risk management training, fully integrating risk internal control into various business training to comprehensively improve employees' risk management skills and level.")</f>
        <v>In addition, the company insists on carrying out risk management training, fully integrating risk internal control into various business training to comprehensively improve employees' risk management skills and level.</v>
      </c>
      <c r="B1812" s="1" t="str">
        <f ca="1">IFERROR(__xludf.DUMMYFUNCTION("GOOGLETRANSLATE(A1812, ""zh"", ""en"")"),"staff")</f>
        <v>staff</v>
      </c>
      <c r="C1812" s="1" t="str">
        <f ca="1">IFERROR(__xludf.DUMMYFUNCTION("GOOGLETRANSLATE(E1812, ""zh"", ""en"")"),"Qualitative text")</f>
        <v>Qualitative text</v>
      </c>
    </row>
    <row r="1813" spans="1:3" ht="13" x14ac:dyDescent="0.15">
      <c r="A1813" s="1" t="str">
        <f ca="1">IFERROR(__xludf.DUMMYFUNCTION("GOOGLETRANSLATE(A1813, ""zh"", ""en"")"),"The company actively carries out safety production related training and daily safety concept promotion activities to improve employees' safety prevention skills and promote safety culture construction")</f>
        <v>The company actively carries out safety production related training and daily safety concept promotion activities to improve employees' safety prevention skills and promote safety culture construction</v>
      </c>
      <c r="B1813" s="1" t="str">
        <f ca="1">IFERROR(__xludf.DUMMYFUNCTION("GOOGLETRANSLATE(A1813, ""zh"", ""en"")"),"staff")</f>
        <v>staff</v>
      </c>
      <c r="C1813" s="1" t="str">
        <f ca="1">IFERROR(__xludf.DUMMYFUNCTION("GOOGLETRANSLATE(E1813, ""zh"", ""en"")"),"Qualitative text")</f>
        <v>Qualitative text</v>
      </c>
    </row>
    <row r="1814" spans="1:3" ht="13" x14ac:dyDescent="0.15">
      <c r="A1814" s="1" t="str">
        <f ca="1">IFERROR(__xludf.DUMMYFUNCTION("GOOGLETRANSLATE(A1814, ""zh"", ""en"")"),"The company has established democratic management mechanisms such as labor unions and other employee rights protection departments and employee representative conferences to promptly listen to and resolve employee feedback.")</f>
        <v>The company has established democratic management mechanisms such as labor unions and other employee rights protection departments and employee representative conferences to promptly listen to and resolve employee feedback.</v>
      </c>
      <c r="B1814" s="1" t="str">
        <f ca="1">IFERROR(__xludf.DUMMYFUNCTION("GOOGLETRANSLATE(A1814, ""zh"", ""en"")"),"staff")</f>
        <v>staff</v>
      </c>
      <c r="C1814" s="1" t="str">
        <f ca="1">IFERROR(__xludf.DUMMYFUNCTION("GOOGLETRANSLATE(E1814, ""zh"", ""en"")"),"Qualitative text")</f>
        <v>Qualitative text</v>
      </c>
    </row>
    <row r="1815" spans="1:3" ht="13" x14ac:dyDescent="0.15">
      <c r="A1815" s="1" t="str">
        <f ca="1">IFERROR(__xludf.DUMMYFUNCTION("GOOGLETRANSLATE(A1815, ""zh"", ""en"")"),"CITIC Securities adheres to the concept of sustainable finance and conducts in-depth research in the ESG field, participates in supporting the development of the carbon market, and focuses on the development of innovative models in the carbon market.")</f>
        <v>CITIC Securities adheres to the concept of sustainable finance and conducts in-depth research in the ESG field, participates in supporting the development of the carbon market, and focuses on the development of innovative models in the carbon market.</v>
      </c>
      <c r="B1815" s="1" t="str">
        <f ca="1">IFERROR(__xludf.DUMMYFUNCTION("GOOGLETRANSLATE(A1815, ""zh"", ""en"")"),"carbon emissions")</f>
        <v>carbon emissions</v>
      </c>
      <c r="C1815" s="1" t="str">
        <f ca="1">IFERROR(__xludf.DUMMYFUNCTION("GOOGLETRANSLATE(E1815, ""zh"", ""en"")"),"Qualitative text")</f>
        <v>Qualitative text</v>
      </c>
    </row>
    <row r="1816" spans="1:3" ht="13" x14ac:dyDescent="0.15">
      <c r="A1816" s="1" t="str">
        <f ca="1">IFERROR(__xludf.DUMMYFUNCTION("GOOGLETRANSLATE(A1816, ""zh"", ""en"")"),"The company actively conducts supply chain sustainability risk assessments to review suppliers' environmental and social performance and reduce corresponding risks to suppliers.")</f>
        <v>The company actively conducts supply chain sustainability risk assessments to review suppliers' environmental and social performance and reduce corresponding risks to suppliers.</v>
      </c>
      <c r="B1816" s="1" t="str">
        <f ca="1">IFERROR(__xludf.DUMMYFUNCTION("GOOGLETRANSLATE(A1816, ""zh"", ""en"")"),"supply chain management")</f>
        <v>supply chain management</v>
      </c>
      <c r="C1816" s="1" t="str">
        <f ca="1">IFERROR(__xludf.DUMMYFUNCTION("GOOGLETRANSLATE(E1816, ""zh"", ""en"")"),"Qualitative text")</f>
        <v>Qualitative text</v>
      </c>
    </row>
    <row r="1817" spans="1:3" ht="13" x14ac:dyDescent="0.15">
      <c r="A1817" s="1" t="str">
        <f ca="1">IFERROR(__xludf.DUMMYFUNCTION("GOOGLETRANSLATE(A1817, ""zh"", ""en"")"),"In terms of on-site counter business, the company simplifies the business processing materials for institutional customers, enables online appointments and material pre-examination before the counter, and optimizes the business processing process.")</f>
        <v>In terms of on-site counter business, the company simplifies the business processing materials for institutional customers, enables online appointments and material pre-examination before the counter, and optimizes the business processing process.</v>
      </c>
      <c r="B1817" s="1" t="str">
        <f ca="1">IFERROR(__xludf.DUMMYFUNCTION("GOOGLETRANSLATE(A1817, ""zh"", ""en"")"),"Customers and Consumers")</f>
        <v>Customers and Consumers</v>
      </c>
      <c r="C1817" s="1" t="str">
        <f ca="1">IFERROR(__xludf.DUMMYFUNCTION("GOOGLETRANSLATE(E1817, ""zh"", ""en"")"),"Qualitative text")</f>
        <v>Qualitative text</v>
      </c>
    </row>
    <row r="1818" spans="1:3" ht="13" x14ac:dyDescent="0.15">
      <c r="A1818" s="1" t="str">
        <f ca="1">IFERROR(__xludf.DUMMYFUNCTION("GOOGLETRANSLATE(A1818, ""zh"", ""en"")"),"Further improve and explore new channels for the capital market to serve the national dual carbon strategy and promote the vigorous development of the green bond and public REITs markets")</f>
        <v>Further improve and explore new channels for the capital market to serve the national dual carbon strategy and promote the vigorous development of the green bond and public REITs markets</v>
      </c>
      <c r="B1818" s="1" t="str">
        <f ca="1">IFERROR(__xludf.DUMMYFUNCTION("GOOGLETRANSLATE(A1818, ""zh"", ""en"")"),"Green Finance")</f>
        <v>Green Finance</v>
      </c>
      <c r="C1818" s="1" t="str">
        <f ca="1">IFERROR(__xludf.DUMMYFUNCTION("GOOGLETRANSLATE(E1818, ""zh"", ""en"")"),"Qualitative text")</f>
        <v>Qualitative text</v>
      </c>
    </row>
    <row r="1819" spans="1:3" ht="13" x14ac:dyDescent="0.15">
      <c r="A1819" s="1" t="str">
        <f ca="1">IFERROR(__xludf.DUMMYFUNCTION("GOOGLETRANSLATE(A1819, ""zh"", ""en"")"),"The company purchased agricultural and sideline products from eight supporting areas, including Huichang County in Jiangxi, Jishishan County in Gansu, Xi County in Shanxi, Shenzha County in Tibet, Yuanyang County in Yunnan, etc.")</f>
        <v>The company purchased agricultural and sideline products from eight supporting areas, including Huichang County in Jiangxi, Jishishan County in Gansu, Xi County in Shanxi, Shenzha County in Tibet, Yuanyang County in Yunnan, etc.</v>
      </c>
      <c r="B1819" s="1" t="str">
        <f ca="1">IFERROR(__xludf.DUMMYFUNCTION("GOOGLETRANSLATE(A1819, ""zh"", ""en"")"),"Rural assistance")</f>
        <v>Rural assistance</v>
      </c>
      <c r="C1819" s="1" t="str">
        <f ca="1">IFERROR(__xludf.DUMMYFUNCTION("GOOGLETRANSLATE(E1819, ""zh"", ""en"")"),"Quantitative Text")</f>
        <v>Quantitative Text</v>
      </c>
    </row>
    <row r="1820" spans="1:3" ht="13" x14ac:dyDescent="0.15">
      <c r="A1820" s="1" t="str">
        <f ca="1">IFERROR(__xludf.DUMMYFUNCTION("GOOGLETRANSLATE(A1820, ""zh"", ""en"")"),"Over the past ten years, a total of 174 million yuan has been invested in 28 assistance projects, supporting 881 students in need and promoting high-quality and balanced development of education.")</f>
        <v>Over the past ten years, a total of 174 million yuan has been invested in 28 assistance projects, supporting 881 students in need and promoting high-quality and balanced development of education.</v>
      </c>
      <c r="B1820" s="1" t="str">
        <f ca="1">IFERROR(__xludf.DUMMYFUNCTION("GOOGLETRANSLATE(A1820, ""zh"", ""en"")"),"Rural assistance")</f>
        <v>Rural assistance</v>
      </c>
      <c r="C1820" s="1" t="str">
        <f ca="1">IFERROR(__xludf.DUMMYFUNCTION("GOOGLETRANSLATE(E1820, ""zh"", ""en"")"),"Quantitative Text")</f>
        <v>Quantitative Text</v>
      </c>
    </row>
    <row r="1821" spans="1:3" ht="13" x14ac:dyDescent="0.15">
      <c r="A1821" s="1" t="str">
        <f ca="1">IFERROR(__xludf.DUMMYFUNCTION("GOOGLETRANSLATE(A1821, ""zh"", ""en"")"),"The company rewards those who actively participate in environmental protection reporting with phone cards to encourage the public to actively participate in environmental protection supervision and jointly create an odor-free factory.")</f>
        <v>The company rewards those who actively participate in environmental protection reporting with phone cards to encourage the public to actively participate in environmental protection supervision and jointly create an odor-free factory.</v>
      </c>
      <c r="B1821" s="1" t="str">
        <f ca="1">IFERROR(__xludf.DUMMYFUNCTION("GOOGLETRANSLATE(A1821, ""zh"", ""en"")"),"Reporting System")</f>
        <v>Reporting System</v>
      </c>
      <c r="C1821" s="1" t="str">
        <f ca="1">IFERROR(__xludf.DUMMYFUNCTION("GOOGLETRANSLATE(E1821, ""zh"", ""en"")"),"Qualitative text")</f>
        <v>Qualitative text</v>
      </c>
    </row>
    <row r="1822" spans="1:3" ht="13" x14ac:dyDescent="0.15">
      <c r="A1822" s="1" t="str">
        <f ca="1">IFERROR(__xludf.DUMMYFUNCTION("GOOGLETRANSLATE(A1822, ""zh"", ""en"")"),"Responsible for identifying, assessing and managing risks and impacts related to climate change, ecological environment protection, etc. Reviewing the annual evaluation report of the relevant major risk list")</f>
        <v>Responsible for identifying, assessing and managing risks and impacts related to climate change, ecological environment protection, etc. Reviewing the annual evaluation report of the relevant major risk list</v>
      </c>
      <c r="B1822" s="1" t="str">
        <f ca="1">IFERROR(__xludf.DUMMYFUNCTION("GOOGLETRANSLATE(A1822, ""zh"", ""en"")"),"Addressing climate change")</f>
        <v>Addressing climate change</v>
      </c>
      <c r="C1822" s="1" t="str">
        <f ca="1">IFERROR(__xludf.DUMMYFUNCTION("GOOGLETRANSLATE(E1822, ""zh"", ""en"")"),"Qualitative text")</f>
        <v>Qualitative text</v>
      </c>
    </row>
    <row r="1823" spans="1:3" ht="13" x14ac:dyDescent="0.15">
      <c r="A1823" s="1" t="str">
        <f ca="1">IFERROR(__xludf.DUMMYFUNCTION("GOOGLETRANSLATE(A1823, ""zh"", ""en"")"),"Sinopec actively participates in the national carbon emission trading market and formulates and implements Sinopec Carbon Trading Management Measures to regulate corporate carbon quota compliance.")</f>
        <v>Sinopec actively participates in the national carbon emission trading market and formulates and implements Sinopec Carbon Trading Management Measures to regulate corporate carbon quota compliance.</v>
      </c>
      <c r="B1823" s="1" t="str">
        <f ca="1">IFERROR(__xludf.DUMMYFUNCTION("GOOGLETRANSLATE(A1823, ""zh"", ""en"")"),"carbon emissions")</f>
        <v>carbon emissions</v>
      </c>
      <c r="C1823" s="1" t="str">
        <f ca="1">IFERROR(__xludf.DUMMYFUNCTION("GOOGLETRANSLATE(E1823, ""zh"", ""en"")"),"Qualitative text")</f>
        <v>Qualitative text</v>
      </c>
    </row>
    <row r="1824" spans="1:3" ht="13" x14ac:dyDescent="0.15">
      <c r="A1824" s="1" t="str">
        <f ca="1">IFERROR(__xludf.DUMMYFUNCTION("GOOGLETRANSLATE(A1824, ""zh"", ""en"")"),"5.2 Mutual Promotion of Talent Development Key Performance Indicator B3.2 Average training hours completed per employee by gender and employee category")</f>
        <v>5.2 Mutual Promotion of Talent Development Key Performance Indicator B3.2 Average training hours completed per employee by gender and employee category</v>
      </c>
      <c r="B1824" s="1" t="str">
        <f ca="1">IFERROR(__xludf.DUMMYFUNCTION("GOOGLETRANSLATE(A1824, ""zh"", ""en"")"),"staff")</f>
        <v>staff</v>
      </c>
      <c r="C1824" s="1" t="str">
        <f ca="1">IFERROR(__xludf.DUMMYFUNCTION("GOOGLETRANSLATE(E1824, ""zh"", ""en"")"),"Quantitative Text")</f>
        <v>Quantitative Text</v>
      </c>
    </row>
    <row r="1825" spans="1:3" ht="13" x14ac:dyDescent="0.15">
      <c r="A1825" s="1" t="str">
        <f ca="1">IFERROR(__xludf.DUMMYFUNCTION("GOOGLETRANSLATE(A1825, ""zh"", ""en"")"),"In October and November, the epidemic in Chengdu and Chongqing was severe, and thousands of people were on duty. At the same time, hundreds of volunteers were mobilized to provide support for district-level centralized isolation points.")</f>
        <v>In October and November, the epidemic in Chengdu and Chongqing was severe, and thousands of people were on duty. At the same time, hundreds of volunteers were mobilized to provide support for district-level centralized isolation points.</v>
      </c>
      <c r="B1825" s="1" t="str">
        <f ca="1">IFERROR(__xludf.DUMMYFUNCTION("GOOGLETRANSLATE(A1825, ""zh"", ""en"")"),"Fighting the epidemic")</f>
        <v>Fighting the epidemic</v>
      </c>
      <c r="C1825" s="1" t="str">
        <f ca="1">IFERROR(__xludf.DUMMYFUNCTION("GOOGLETRANSLATE(E1825, ""zh"", ""en"")"),"Quantitative Text")</f>
        <v>Quantitative Text</v>
      </c>
    </row>
    <row r="1826" spans="1:3" ht="13" x14ac:dyDescent="0.15">
      <c r="A1826" s="1" t="str">
        <f ca="1">IFERROR(__xludf.DUMMYFUNCTION("GOOGLETRANSLATE(A1826, ""zh"", ""en"")"),"The Health Station addresses employees' concerns about basic diseases and health issues, while also providing psychological comfort assessments to safeguard the physical and mental health of overseas employees.")</f>
        <v>The Health Station addresses employees' concerns about basic diseases and health issues, while also providing psychological comfort assessments to safeguard the physical and mental health of overseas employees.</v>
      </c>
      <c r="B1826" s="1" t="str">
        <f ca="1">IFERROR(__xludf.DUMMYFUNCTION("GOOGLETRANSLATE(A1826, ""zh"", ""en"")"),"staff")</f>
        <v>staff</v>
      </c>
      <c r="C1826" s="1" t="str">
        <f ca="1">IFERROR(__xludf.DUMMYFUNCTION("GOOGLETRANSLATE(E1826, ""zh"", ""en"")"),"Qualitative text")</f>
        <v>Qualitative text</v>
      </c>
    </row>
    <row r="1827" spans="1:3" ht="13" x14ac:dyDescent="0.15">
      <c r="A1827" s="1" t="str">
        <f ca="1">IFERROR(__xludf.DUMMYFUNCTION("GOOGLETRANSLATE(A1827, ""zh"", ""en"")"),"Optimize and adjust the salary structure, improve internal distribution relations, and continue to increase allocation to key and difficult positions at the grassroots level and professional and technical personnel.")</f>
        <v>Optimize and adjust the salary structure, improve internal distribution relations, and continue to increase allocation to key and difficult positions at the grassroots level and professional and technical personnel.</v>
      </c>
      <c r="B1827" s="1" t="str">
        <f ca="1">IFERROR(__xludf.DUMMYFUNCTION("GOOGLETRANSLATE(A1827, ""zh"", ""en"")"),"Promoting employment")</f>
        <v>Promoting employment</v>
      </c>
      <c r="C1827" s="1" t="str">
        <f ca="1">IFERROR(__xludf.DUMMYFUNCTION("GOOGLETRANSLATE(E1827, ""zh"", ""en"")"),"Qualitative text")</f>
        <v>Qualitative text</v>
      </c>
    </row>
    <row r="1828" spans="1:3" ht="13" x14ac:dyDescent="0.15">
      <c r="A1828" s="1" t="str">
        <f ca="1">IFERROR(__xludf.DUMMYFUNCTION("GOOGLETRANSLATE(A1828, ""zh"", ""en"")"),"Participate in global research cooperation on direct air carbon capture and storage (DACCS), biomass energy combined with carbon capture and storage (BECCS), and ocean carbon sinks.")</f>
        <v>Participate in global research cooperation on direct air carbon capture and storage (DACCS), biomass energy combined with carbon capture and storage (BECCS), and ocean carbon sinks.</v>
      </c>
      <c r="B1828" s="1" t="str">
        <f ca="1">IFERROR(__xludf.DUMMYFUNCTION("GOOGLETRANSLATE(A1828, ""zh"", ""en"")"),"carbon emissions")</f>
        <v>carbon emissions</v>
      </c>
      <c r="C1828" s="1" t="str">
        <f ca="1">IFERROR(__xludf.DUMMYFUNCTION("GOOGLETRANSLATE(E1828, ""zh"", ""en"")"),"Qualitative text")</f>
        <v>Qualitative text</v>
      </c>
    </row>
    <row r="1829" spans="1:3" ht="13" x14ac:dyDescent="0.15">
      <c r="A1829" s="1" t="str">
        <f ca="1">IFERROR(__xludf.DUMMYFUNCTION("GOOGLETRANSLATE(A1829, ""zh"", ""en"")"),"The establishment of rural children's care centers not only puts the pain points of rural community reconstruction in the public spotlight, but also provides a bright solution path.")</f>
        <v>The establishment of rural children's care centers not only puts the pain points of rural community reconstruction in the public spotlight, but also provides a bright solution path.</v>
      </c>
      <c r="B1829" s="1" t="str">
        <f ca="1">IFERROR(__xludf.DUMMYFUNCTION("GOOGLETRANSLATE(A1829, ""zh"", ""en"")"),"Rural assistance")</f>
        <v>Rural assistance</v>
      </c>
      <c r="C1829" s="1" t="str">
        <f ca="1">IFERROR(__xludf.DUMMYFUNCTION("GOOGLETRANSLATE(E1829, ""zh"", ""en"")"),"Qualitative text")</f>
        <v>Qualitative text</v>
      </c>
    </row>
    <row r="1830" spans="1:3" ht="13" x14ac:dyDescent="0.15">
      <c r="A1830" s="1" t="str">
        <f ca="1">IFERROR(__xludf.DUMMYFUNCTION("GOOGLETRANSLATE(A1830, ""zh"", ""en"")"),"We discovered issues such as process non-compliance, incomplete information records, and contract defects. We formulated effective improvement measures for these specific issues and have completed all of them.")</f>
        <v>We discovered issues such as process non-compliance, incomplete information records, and contract defects. We formulated effective improvement measures for these specific issues and have completed all of them.</v>
      </c>
      <c r="B1830" s="1" t="str">
        <f ca="1">IFERROR(__xludf.DUMMYFUNCTION("GOOGLETRANSLATE(A1830, ""zh"", ""en"")"),"Legal proceedings and external sanctions")</f>
        <v>Legal proceedings and external sanctions</v>
      </c>
      <c r="C1830" s="1" t="str">
        <f ca="1">IFERROR(__xludf.DUMMYFUNCTION("GOOGLETRANSLATE(E1830, ""zh"", ""en"")"),"Qualitative text")</f>
        <v>Qualitative text</v>
      </c>
    </row>
    <row r="1831" spans="1:3" ht="13" x14ac:dyDescent="0.15">
      <c r="A1831" s="1" t="str">
        <f ca="1">IFERROR(__xludf.DUMMYFUNCTION("GOOGLETRANSLATE(A1831, ""zh"", ""en"")"),"At the same time, multiple systems such as ERP system, BPM system and human resources management system work simultaneously to ensure that customers are provided with efficient and satisfactory services.")</f>
        <v>At the same time, multiple systems such as ERP system, BPM system and human resources management system work simultaneously to ensure that customers are provided with efficient and satisfactory services.</v>
      </c>
      <c r="B1831" s="1" t="str">
        <f ca="1">IFERROR(__xludf.DUMMYFUNCTION("GOOGLETRANSLATE(A1831, ""zh"", ""en"")"),"Customers and Consumers")</f>
        <v>Customers and Consumers</v>
      </c>
      <c r="C1831" s="1" t="str">
        <f ca="1">IFERROR(__xludf.DUMMYFUNCTION("GOOGLETRANSLATE(E1831, ""zh"", ""en"")"),"Qualitative text")</f>
        <v>Qualitative text</v>
      </c>
    </row>
    <row r="1832" spans="1:3" ht="13" x14ac:dyDescent="0.15">
      <c r="A1832" s="1" t="str">
        <f ca="1">IFERROR(__xludf.DUMMYFUNCTION("GOOGLETRANSLATE(A1832, ""zh"", ""en"")"),"Successfully created four major brand IPs: the high-end service brand Dongyu, the value-added service brand Yuanshenghuo, the property service brand Yuanguanjia, the community life brand Yuanjuchang")</f>
        <v>Successfully created four major brand IPs: the high-end service brand Dongyu, the value-added service brand Yuanshenghuo, the property service brand Yuanguanjia, the community life brand Yuanjuchang</v>
      </c>
      <c r="B1832" s="1" t="str">
        <f ca="1">IFERROR(__xludf.DUMMYFUNCTION("GOOGLETRANSLATE(A1832, ""zh"", ""en"")"),"irrelevant text")</f>
        <v>irrelevant text</v>
      </c>
      <c r="C1832" s="1" t="str">
        <f ca="1">IFERROR(__xludf.DUMMYFUNCTION("GOOGLETRANSLATE(E1832, ""zh"", ""en"")"),"irrelevant text")</f>
        <v>irrelevant text</v>
      </c>
    </row>
    <row r="1833" spans="1:3" ht="13" x14ac:dyDescent="0.15">
      <c r="A1833" s="1" t="str">
        <f ca="1">IFERROR(__xludf.DUMMYFUNCTION("GOOGLETRANSLATE(A1833, ""zh"", ""en"")"),"Reduce fresh water consumption by actively developing and utilizing unconventional water resources such as seawater and rainwater through the application of advanced water-saving and wastewater reuse technologies")</f>
        <v>Reduce fresh water consumption by actively developing and utilizing unconventional water resources such as seawater and rainwater through the application of advanced water-saving and wastewater reuse technologies</v>
      </c>
      <c r="B1833" s="1" t="str">
        <f ca="1">IFERROR(__xludf.DUMMYFUNCTION("GOOGLETRANSLATE(A1833, ""zh"", ""en"")"),"Water resources")</f>
        <v>Water resources</v>
      </c>
      <c r="C1833" s="1" t="str">
        <f ca="1">IFERROR(__xludf.DUMMYFUNCTION("GOOGLETRANSLATE(E1833, ""zh"", ""en"")"),"Qualitative text")</f>
        <v>Qualitative text</v>
      </c>
    </row>
    <row r="1834" spans="1:3" ht="13" x14ac:dyDescent="0.15">
      <c r="A1834" s="1" t="str">
        <f ca="1">IFERROR(__xludf.DUMMYFUNCTION("GOOGLETRANSLATE(A1834, ""zh"", ""en"")"),"Continue to develop green outlets. From 2022 to 2026, the proportion of recyclable materials in renovated or newly built outlets will reach more than 60%.")</f>
        <v>Continue to develop green outlets. From 2022 to 2026, the proportion of recyclable materials in renovated or newly built outlets will reach more than 60%.</v>
      </c>
      <c r="B1834" s="1" t="str">
        <f ca="1">IFERROR(__xludf.DUMMYFUNCTION("GOOGLETRANSLATE(A1834, ""zh"", ""en"")"),"Green Building")</f>
        <v>Green Building</v>
      </c>
      <c r="C1834" s="1" t="str">
        <f ca="1">IFERROR(__xludf.DUMMYFUNCTION("GOOGLETRANSLATE(E1834, ""zh"", ""en"")"),"Quantitative Text")</f>
        <v>Quantitative Text</v>
      </c>
    </row>
    <row r="1835" spans="1:3" ht="13" x14ac:dyDescent="0.15">
      <c r="A1835" s="1" t="str">
        <f ca="1">IFERROR(__xludf.DUMMYFUNCTION("GOOGLETRANSLATE(A1835, ""zh"", ""en"")"),"The Bohai Rim refers to the following areas where the first-level branches and audit institutions of China Construction Bank are located: Beijing, Shandong, Tianjin, Hebei, and Qingdao.")</f>
        <v>The Bohai Rim refers to the following areas where the first-level branches and audit institutions of China Construction Bank are located: Beijing, Shandong, Tianjin, Hebei, and Qingdao.</v>
      </c>
      <c r="B1835" s="1" t="str">
        <f ca="1">IFERROR(__xludf.DUMMYFUNCTION("GOOGLETRANSLATE(A1835, ""zh"", ""en"")"),"Audit work")</f>
        <v>Audit work</v>
      </c>
      <c r="C1835" s="1" t="str">
        <f ca="1">IFERROR(__xludf.DUMMYFUNCTION("GOOGLETRANSLATE(E1835, ""zh"", ""en"")"),"Qualitative text")</f>
        <v>Qualitative text</v>
      </c>
    </row>
    <row r="1836" spans="1:3" ht="13" x14ac:dyDescent="0.15">
      <c r="A1836" s="1" t="str">
        <f ca="1">IFERROR(__xludf.DUMMYFUNCTION("GOOGLETRANSLATE(A1836, ""zh"", ""en"")"),"The Group attaches great importance to the publicity and education of energy conservation and emission reduction. Energy conservation and emission reduction publicity signs are posted and hung in offices, production workshops, business premises, automobil"&amp;"e 4S stores, etc.")</f>
        <v>The Group attaches great importance to the publicity and education of energy conservation and emission reduction. Energy conservation and emission reduction publicity signs are posted and hung in offices, production workshops, business premises, automobile 4S stores, etc.</v>
      </c>
      <c r="B1836" s="1" t="str">
        <f ca="1">IFERROR(__xludf.DUMMYFUNCTION("GOOGLETRANSLATE(A1836, ""zh"", ""en"")"),"Energy and resource consumption")</f>
        <v>Energy and resource consumption</v>
      </c>
      <c r="C1836" s="1" t="str">
        <f ca="1">IFERROR(__xludf.DUMMYFUNCTION("GOOGLETRANSLATE(E1836, ""zh"", ""en"")"),"Qualitative text")</f>
        <v>Qualitative text</v>
      </c>
    </row>
    <row r="1837" spans="1:3" ht="13" x14ac:dyDescent="0.15">
      <c r="A1837" s="1" t="str">
        <f ca="1">IFERROR(__xludf.DUMMYFUNCTION("GOOGLETRANSLATE(A1837, ""zh"", ""en"")"),"1 new senior professional title, 3 Hangzhou E-level talents, 2 current senior professional titles, 9 associate senior professional titles, 2 Hangzhou D-level talents, and 7 E-level talents")</f>
        <v>1 new senior professional title, 3 Hangzhou E-level talents, 2 current senior professional titles, 9 associate senior professional titles, 2 Hangzhou D-level talents, and 7 E-level talents</v>
      </c>
      <c r="B1837" s="1" t="str">
        <f ca="1">IFERROR(__xludf.DUMMYFUNCTION("GOOGLETRANSLATE(A1837, ""zh"", ""en"")"),"Organizational structure and operations")</f>
        <v>Organizational structure and operations</v>
      </c>
      <c r="C1837" s="1" t="str">
        <f ca="1">IFERROR(__xludf.DUMMYFUNCTION("GOOGLETRANSLATE(E1837, ""zh"", ""en"")"),"Quantitative Text")</f>
        <v>Quantitative Text</v>
      </c>
    </row>
    <row r="1838" spans="1:3" ht="13" x14ac:dyDescent="0.15">
      <c r="A1838" s="1" t="str">
        <f ca="1">IFERROR(__xludf.DUMMYFUNCTION("GOOGLETRANSLATE(A1838, ""zh"", ""en"")"),"At present, the digitalization of the workshop has achieved 100% coverage of production equipment. The collected production data has been applied to the equipment dashboard of the special cable workshop.")</f>
        <v>At present, the digitalization of the workshop has achieved 100% coverage of production equipment. The collected production data has been applied to the equipment dashboard of the special cable workshop.</v>
      </c>
      <c r="B1838" s="1" t="str">
        <f ca="1">IFERROR(__xludf.DUMMYFUNCTION("GOOGLETRANSLATE(A1838, ""zh"", ""en"")"),"Technological innovation")</f>
        <v>Technological innovation</v>
      </c>
      <c r="C1838" s="1" t="str">
        <f ca="1">IFERROR(__xludf.DUMMYFUNCTION("GOOGLETRANSLATE(E1838, ""zh"", ""en"")"),"Qualitative text")</f>
        <v>Qualitative text</v>
      </c>
    </row>
    <row r="1839" spans="1:3" ht="13" x14ac:dyDescent="0.15">
      <c r="A1839" s="1" t="str">
        <f ca="1">IFERROR(__xludf.DUMMYFUNCTION("GOOGLETRANSLATE(A1839, ""zh"", ""en"")"),"Focusing on core areas such as new technology, new energy, and new materials, we will deepen our project layout and actively expand the breadth of the Group's exploration in emerging industries.")</f>
        <v>Focusing on core areas such as new technology, new energy, and new materials, we will deepen our project layout and actively expand the breadth of the Group's exploration in emerging industries.</v>
      </c>
      <c r="B1839" s="1" t="str">
        <f ca="1">IFERROR(__xludf.DUMMYFUNCTION("GOOGLETRANSLATE(A1839, ""zh"", ""en"")"),"Technological innovation")</f>
        <v>Technological innovation</v>
      </c>
      <c r="C1839" s="1" t="str">
        <f ca="1">IFERROR(__xludf.DUMMYFUNCTION("GOOGLETRANSLATE(E1839, ""zh"", ""en"")"),"Qualitative text")</f>
        <v>Qualitative text</v>
      </c>
    </row>
    <row r="1840" spans="1:3" ht="13" x14ac:dyDescent="0.15">
      <c r="A1840" s="1" t="str">
        <f ca="1">IFERROR(__xludf.DUMMYFUNCTION("GOOGLETRANSLATE(A1840, ""zh"", ""en"")"),"Established a technical committee to strengthen technical discussions and in-depth exchanges with universities such as Zhejiang University, Huazhong University of Science and Technology, Tongji University, and the University of Science and Technology of C"&amp;"hina, and actively promote cooperation in scientific and technological research and development projects")</f>
        <v>Established a technical committee to strengthen technical discussions and in-depth exchanges with universities such as Zhejiang University, Huazhong University of Science and Technology, Tongji University, and the University of Science and Technology of China, and actively promote cooperation in scientific and technological research and development projects</v>
      </c>
      <c r="B1840" s="1" t="str">
        <f ca="1">IFERROR(__xludf.DUMMYFUNCTION("GOOGLETRANSLATE(A1840, ""zh"", ""en"")"),"Technological innovation")</f>
        <v>Technological innovation</v>
      </c>
      <c r="C1840" s="1" t="str">
        <f ca="1">IFERROR(__xludf.DUMMYFUNCTION("GOOGLETRANSLATE(E1840, ""zh"", ""en"")"),"Qualitative text")</f>
        <v>Qualitative text</v>
      </c>
    </row>
    <row r="1841" spans="1:3" ht="13" x14ac:dyDescent="0.15">
      <c r="A1841" s="1" t="str">
        <f ca="1">IFERROR(__xludf.DUMMYFUNCTION("GOOGLETRANSLATE(A1841, ""zh"", ""en"")"),"We carry out full-process management from multiple aspects, including supplier access, procurement evaluation and empowerment, and specifically incorporate consideration of supplier ESG risks.")</f>
        <v>We carry out full-process management from multiple aspects, including supplier access, procurement evaluation and empowerment, and specifically incorporate consideration of supplier ESG risks.</v>
      </c>
      <c r="B1841" s="1" t="str">
        <f ca="1">IFERROR(__xludf.DUMMYFUNCTION("GOOGLETRANSLATE(A1841, ""zh"", ""en"")"),"supply chain management")</f>
        <v>supply chain management</v>
      </c>
      <c r="C1841" s="1" t="str">
        <f ca="1">IFERROR(__xludf.DUMMYFUNCTION("GOOGLETRANSLATE(E1841, ""zh"", ""en"")"),"Qualitative text")</f>
        <v>Qualitative text</v>
      </c>
    </row>
    <row r="1842" spans="1:3" ht="13" x14ac:dyDescent="0.15">
      <c r="A1842" s="1" t="str">
        <f ca="1">IFERROR(__xludf.DUMMYFUNCTION("GOOGLETRANSLATE(A1842, ""zh"", ""en"")"),"In 2022, we revised the employee code of conduct based on business characteristics and updated the leave management manual to include parental leave and parental care leave.")</f>
        <v>In 2022, we revised the employee code of conduct based on business characteristics and updated the leave management manual to include parental leave and parental care leave.</v>
      </c>
      <c r="B1842" s="1" t="str">
        <f ca="1">IFERROR(__xludf.DUMMYFUNCTION("GOOGLETRANSLATE(A1842, ""zh"", ""en"")"),"staff")</f>
        <v>staff</v>
      </c>
      <c r="C1842" s="1" t="str">
        <f ca="1">IFERROR(__xludf.DUMMYFUNCTION("GOOGLETRANSLATE(E1842, ""zh"", ""en"")"),"Qualitative text")</f>
        <v>Qualitative text</v>
      </c>
    </row>
    <row r="1843" spans="1:3" ht="13" x14ac:dyDescent="0.15">
      <c r="A1843" s="1" t="str">
        <f ca="1">IFERROR(__xludf.DUMMYFUNCTION("GOOGLETRANSLATE(A1843, ""zh"", ""en"")"),"The company ensures that all pollutant emissions comply with the environmental standards of the operating location and implements emission and waste reduction and regular supervision and inspection.")</f>
        <v>The company ensures that all pollutant emissions comply with the environmental standards of the operating location and implements emission and waste reduction and regular supervision and inspection.</v>
      </c>
      <c r="B1843" s="1" t="str">
        <f ca="1">IFERROR(__xludf.DUMMYFUNCTION("GOOGLETRANSLATE(A1843, ""zh"", ""en"")"),"Waste Management")</f>
        <v>Waste Management</v>
      </c>
      <c r="C1843" s="1" t="str">
        <f ca="1">IFERROR(__xludf.DUMMYFUNCTION("GOOGLETRANSLATE(E1843, ""zh"", ""en"")"),"Qualitative text")</f>
        <v>Qualitative text</v>
      </c>
    </row>
    <row r="1844" spans="1:3" ht="13" x14ac:dyDescent="0.15">
      <c r="A1844" s="1" t="str">
        <f ca="1">IFERROR(__xludf.DUMMYFUNCTION("GOOGLETRANSLATE(A1844, ""zh"", ""en"")"),"In 2022, we will continue to focus on the entire product life cycle and promote carbon reduction plans by focusing on energy management projects and the development of the recycling industry.")</f>
        <v>In 2022, we will continue to focus on the entire product life cycle and promote carbon reduction plans by focusing on energy management projects and the development of the recycling industry.</v>
      </c>
      <c r="B1844" s="1" t="str">
        <f ca="1">IFERROR(__xludf.DUMMYFUNCTION("GOOGLETRANSLATE(A1844, ""zh"", ""en"")"),"carbon emissions")</f>
        <v>carbon emissions</v>
      </c>
      <c r="C1844" s="1" t="str">
        <f ca="1">IFERROR(__xludf.DUMMYFUNCTION("GOOGLETRANSLATE(E1844, ""zh"", ""en"")"),"Qualitative text")</f>
        <v>Qualitative text</v>
      </c>
    </row>
    <row r="1845" spans="1:3" ht="13" x14ac:dyDescent="0.15">
      <c r="A1845" s="1" t="str">
        <f ca="1">IFERROR(__xludf.DUMMYFUNCTION("GOOGLETRANSLATE(A1845, ""zh"", ""en"")"),"The company's annual greening investment has reached more than 3 million yuan, and the greening rate has reached 46%. There is no exposed ground in the factory area except for the factory buildings and roads. Grass and trees are planted.")</f>
        <v>The company's annual greening investment has reached more than 3 million yuan, and the greening rate has reached 46%. There is no exposed ground in the factory area except for the factory buildings and roads. Grass and trees are planted.</v>
      </c>
      <c r="B1845" s="1" t="str">
        <f ca="1">IFERROR(__xludf.DUMMYFUNCTION("GOOGLETRANSLATE(A1845, ""zh"", ""en"")"),"Green Building")</f>
        <v>Green Building</v>
      </c>
      <c r="C1845" s="1" t="str">
        <f ca="1">IFERROR(__xludf.DUMMYFUNCTION("GOOGLETRANSLATE(E1845, ""zh"", ""en"")"),"Quantitative Text")</f>
        <v>Quantitative Text</v>
      </c>
    </row>
    <row r="1846" spans="1:3" ht="13" x14ac:dyDescent="0.15">
      <c r="A1846" s="1" t="str">
        <f ca="1">IFERROR(__xludf.DUMMYFUNCTION("GOOGLETRANSLATE(A1846, ""zh"", ""en"")"),"All pollution prevention and control facilities can operate normally. After treatment, wastewater and gas can be discharged stably and meet the relevant national emission standards.")</f>
        <v>All pollution prevention and control facilities can operate normally. After treatment, wastewater and gas can be discharged stably and meet the relevant national emission standards.</v>
      </c>
      <c r="B1846" s="1" t="str">
        <f ca="1">IFERROR(__xludf.DUMMYFUNCTION("GOOGLETRANSLATE(A1846, ""zh"", ""en"")"),"Waste Management")</f>
        <v>Waste Management</v>
      </c>
      <c r="C1846" s="1" t="str">
        <f ca="1">IFERROR(__xludf.DUMMYFUNCTION("GOOGLETRANSLATE(E1846, ""zh"", ""en"")"),"Qualitative text")</f>
        <v>Qualitative text</v>
      </c>
    </row>
    <row r="1847" spans="1:3" ht="13" x14ac:dyDescent="0.15">
      <c r="A1847" s="1" t="str">
        <f ca="1">IFERROR(__xludf.DUMMYFUNCTION("GOOGLETRANSLATE(A1847, ""zh"", ""en"")"),"The company under investigation has always insisted on taking safety training as one of the important measures to establish a long-term mechanism for safe production. All hidden dangers have been rectified.")</f>
        <v>The company under investigation has always insisted on taking safety training as one of the important measures to establish a long-term mechanism for safe production. All hidden dangers have been rectified.</v>
      </c>
      <c r="B1847" s="1" t="str">
        <f ca="1">IFERROR(__xludf.DUMMYFUNCTION("GOOGLETRANSLATE(A1847, ""zh"", ""en"")"),"staff")</f>
        <v>staff</v>
      </c>
      <c r="C1847" s="1" t="str">
        <f ca="1">IFERROR(__xludf.DUMMYFUNCTION("GOOGLETRANSLATE(E1847, ""zh"", ""en"")"),"Quantitative Text")</f>
        <v>Quantitative Text</v>
      </c>
    </row>
    <row r="1848" spans="1:3" ht="13" x14ac:dyDescent="0.15">
      <c r="A1848" s="1" t="str">
        <f ca="1">IFERROR(__xludf.DUMMYFUNCTION("GOOGLETRANSLATE(A1848, ""zh"", ""en"")"),"The company has established short-term and long-term health and safety goals. During the reporting period, the safety situation was relatively stable and no major or above production safety accidents occurred.")</f>
        <v>The company has established short-term and long-term health and safety goals. During the reporting period, the safety situation was relatively stable and no major or above production safety accidents occurred.</v>
      </c>
      <c r="B1848" s="1" t="str">
        <f ca="1">IFERROR(__xludf.DUMMYFUNCTION("GOOGLETRANSLATE(A1848, ""zh"", ""en"")"),"staff")</f>
        <v>staff</v>
      </c>
      <c r="C1848" s="1" t="str">
        <f ca="1">IFERROR(__xludf.DUMMYFUNCTION("GOOGLETRANSLATE(E1848, ""zh"", ""en"")"),"Quantitative Text")</f>
        <v>Quantitative Text</v>
      </c>
    </row>
    <row r="1849" spans="1:3" ht="13" x14ac:dyDescent="0.15">
      <c r="A1849" s="1" t="str">
        <f ca="1">IFERROR(__xludf.DUMMYFUNCTION("GOOGLETRANSLATE(A1849, ""zh"", ""en"")"),"Strong continuous supply and delivery capabilities are an important foundation for the company to win the trust of customers and maintain long-term cooperation, which has won the company good market recognition.")</f>
        <v>Strong continuous supply and delivery capabilities are an important foundation for the company to win the trust of customers and maintain long-term cooperation, which has won the company good market recognition.</v>
      </c>
      <c r="B1849" s="1" t="str">
        <f ca="1">IFERROR(__xludf.DUMMYFUNCTION("GOOGLETRANSLATE(A1849, ""zh"", ""en"")"),"Customers and Consumers")</f>
        <v>Customers and Consumers</v>
      </c>
      <c r="C1849" s="1" t="str">
        <f ca="1">IFERROR(__xludf.DUMMYFUNCTION("GOOGLETRANSLATE(E1849, ""zh"", ""en"")"),"Qualitative text")</f>
        <v>Qualitative text</v>
      </c>
    </row>
    <row r="1850" spans="1:3" ht="13" x14ac:dyDescent="0.15">
      <c r="A1850" s="1" t="str">
        <f ca="1">IFERROR(__xludf.DUMMYFUNCTION("GOOGLETRANSLATE(A1850, ""zh"", ""en"")"),"The case was participated by seven units including Shenma Di's subsidiary Tianhong Coal Preparation, Environmental Protection and Energy Saving Company, Shenma Bob Nylon New Materials Company's Financial Assets Department, and Liemai Company.")</f>
        <v>The case was participated by seven units including Shenma Di's subsidiary Tianhong Coal Preparation, Environmental Protection and Energy Saving Company, Shenma Bob Nylon New Materials Company's Financial Assets Department, and Liemai Company.</v>
      </c>
      <c r="B1850" s="1" t="str">
        <f ca="1">IFERROR(__xludf.DUMMYFUNCTION("GOOGLETRANSLATE(A1850, ""zh"", ""en"")"),"irrelevant text")</f>
        <v>irrelevant text</v>
      </c>
      <c r="C1850" s="1" t="str">
        <f ca="1">IFERROR(__xludf.DUMMYFUNCTION("GOOGLETRANSLATE(E1850, ""zh"", ""en"")"),"irrelevant text")</f>
        <v>irrelevant text</v>
      </c>
    </row>
    <row r="1851" spans="1:3" ht="13" x14ac:dyDescent="0.15">
      <c r="A1851" s="1" t="str">
        <f ca="1">IFERROR(__xludf.DUMMYFUNCTION("GOOGLETRANSLATE(A1851, ""zh"", ""en"")"),"Urge all branches to refer to the guiding cases of discipline and law enforcement of the Central Commission for Discipline Inspection and the National Supervisory Commission, and promote the culture of integrity to the front line by creating an atmosphere"&amp;".")</f>
        <v>Urge all branches to refer to the guiding cases of discipline and law enforcement of the Central Commission for Discipline Inspection and the National Supervisory Commission, and promote the culture of integrity to the front line by creating an atmosphere.</v>
      </c>
      <c r="B1851" s="1" t="str">
        <f ca="1">IFERROR(__xludf.DUMMYFUNCTION("GOOGLETRANSLATE(A1851, ""zh"", ""en"")"),"Anti-corruption and anti-money laundering")</f>
        <v>Anti-corruption and anti-money laundering</v>
      </c>
      <c r="C1851" s="1" t="str">
        <f ca="1">IFERROR(__xludf.DUMMYFUNCTION("GOOGLETRANSLATE(E1851, ""zh"", ""en"")"),"Qualitative text")</f>
        <v>Qualitative text</v>
      </c>
    </row>
    <row r="1852" spans="1:3" ht="13" x14ac:dyDescent="0.15">
      <c r="A1852" s="1" t="str">
        <f ca="1">IFERROR(__xludf.DUMMYFUNCTION("GOOGLETRANSLATE(A1852, ""zh"", ""en"")"),"Carefully organize grassroots branches to participate in the smart party building platform. Company leaders at all levels and comrades from some production plant departments and offices participate in constitutional publicity activities.")</f>
        <v>Carefully organize grassroots branches to participate in the smart party building platform. Company leaders at all levels and comrades from some production plant departments and offices participate in constitutional publicity activities.</v>
      </c>
      <c r="B1852" s="1" t="str">
        <f ca="1">IFERROR(__xludf.DUMMYFUNCTION("GOOGLETRANSLATE(A1852, ""zh"", ""en"")"),"Organizational structure and operations")</f>
        <v>Organizational structure and operations</v>
      </c>
      <c r="C1852" s="1" t="str">
        <f ca="1">IFERROR(__xludf.DUMMYFUNCTION("GOOGLETRANSLATE(E1852, ""zh"", ""en"")"),"Qualitative text")</f>
        <v>Qualitative text</v>
      </c>
    </row>
    <row r="1853" spans="1:3" ht="13" x14ac:dyDescent="0.15">
      <c r="A1853" s="1" t="str">
        <f ca="1">IFERROR(__xludf.DUMMYFUNCTION("GOOGLETRANSLATE(A1853, ""zh"", ""en"")"),"5.3 Caring for Health and Safety Aspect B3 Development and Training General Disclosure Policies on improving employees' knowledge and skills in performing their job duties")</f>
        <v>5.3 Caring for Health and Safety Aspect B3 Development and Training General Disclosure Policies on improving employees' knowledge and skills in performing their job duties</v>
      </c>
      <c r="B1853" s="1" t="str">
        <f ca="1">IFERROR(__xludf.DUMMYFUNCTION("GOOGLETRANSLATE(A1853, ""zh"", ""en"")"),"staff")</f>
        <v>staff</v>
      </c>
      <c r="C1853" s="1" t="str">
        <f ca="1">IFERROR(__xludf.DUMMYFUNCTION("GOOGLETRANSLATE(E1853, ""zh"", ""en"")"),"Qualitative text")</f>
        <v>Qualitative text</v>
      </c>
    </row>
    <row r="1854" spans="1:3" ht="13" x14ac:dyDescent="0.15">
      <c r="A1854" s="1" t="str">
        <f ca="1">IFERROR(__xludf.DUMMYFUNCTION("GOOGLETRANSLATE(A1854, ""zh"", ""en"")"),"In 2022, the company had no major corruption, fraud, money laundering, etc. cases, nor any corruption lawsuits filed against the company or its employees.")</f>
        <v>In 2022, the company had no major corruption, fraud, money laundering, etc. cases, nor any corruption lawsuits filed against the company or its employees.</v>
      </c>
      <c r="B1854" s="1" t="str">
        <f ca="1">IFERROR(__xludf.DUMMYFUNCTION("GOOGLETRANSLATE(A1854, ""zh"", ""en"")"),"Legal proceedings and external sanctions")</f>
        <v>Legal proceedings and external sanctions</v>
      </c>
      <c r="C1854" s="1" t="str">
        <f ca="1">IFERROR(__xludf.DUMMYFUNCTION("GOOGLETRANSLATE(E1854, ""zh"", ""en"")"),"Quantitative Text")</f>
        <v>Quantitative Text</v>
      </c>
    </row>
    <row r="1855" spans="1:3" ht="13" x14ac:dyDescent="0.15">
      <c r="A1855" s="1" t="str">
        <f ca="1">IFERROR(__xludf.DUMMYFUNCTION("GOOGLETRANSLATE(A1855, ""zh"", ""en"")"),"As of December 31, 2022, the company has total assets of RMB 5.569 billion, net assets of RMB 3.614 billion, and over 4,000 employees.")</f>
        <v>As of December 31, 2022, the company has total assets of RMB 5.569 billion, net assets of RMB 3.614 billion, and over 4,000 employees.</v>
      </c>
      <c r="B1855" s="1" t="str">
        <f ca="1">IFERROR(__xludf.DUMMYFUNCTION("GOOGLETRANSLATE(A1855, ""zh"", ""en"")"),"staff")</f>
        <v>staff</v>
      </c>
      <c r="C1855" s="1" t="str">
        <f ca="1">IFERROR(__xludf.DUMMYFUNCTION("GOOGLETRANSLATE(E1855, ""zh"", ""en"")"),"Quantitative Text")</f>
        <v>Quantitative Text</v>
      </c>
    </row>
    <row r="1856" spans="1:3" ht="13" x14ac:dyDescent="0.15">
      <c r="A1856" s="1" t="str">
        <f ca="1">IFERROR(__xludf.DUMMYFUNCTION("GOOGLETRANSLATE(A1856, ""zh"", ""en"")"),"4. Report Data Description: If there is any discrepancy between the financial data disclosed in this report and the annual report, the financial report shall prevail. Other data are from the company’s internal statistics.")</f>
        <v>4. Report Data Description: If there is any discrepancy between the financial data disclosed in this report and the annual report, the financial report shall prevail. Other data are from the company’s internal statistics.</v>
      </c>
      <c r="B1856" s="1" t="str">
        <f ca="1">IFERROR(__xludf.DUMMYFUNCTION("GOOGLETRANSLATE(A1856, ""zh"", ""en"")"),"irrelevant text")</f>
        <v>irrelevant text</v>
      </c>
      <c r="C1856" s="1" t="str">
        <f ca="1">IFERROR(__xludf.DUMMYFUNCTION("GOOGLETRANSLATE(E1856, ""zh"", ""en"")"),"irrelevant text")</f>
        <v>irrelevant text</v>
      </c>
    </row>
    <row r="1857" spans="1:3" ht="13" x14ac:dyDescent="0.15">
      <c r="A1857" s="1" t="str">
        <f ca="1">IFERROR(__xludf.DUMMYFUNCTION("GOOGLETRANSLATE(A1857, ""zh"", ""en"")"),"Chongqing Xingrong Star Lighting Public Welfare Assistance Program Chengling Hospital Chongqing Xingrong Plastic Surgery Hospital Star Lighting Public Welfare Assistance Program insists on carrying out public assistance")</f>
        <v>Chongqing Xingrong Star Lighting Public Welfare Assistance Program Chengling Hospital Chongqing Xingrong Plastic Surgery Hospital Star Lighting Public Welfare Assistance Program insists on carrying out public assistance</v>
      </c>
      <c r="B1857" s="1" t="str">
        <f ca="1">IFERROR(__xludf.DUMMYFUNCTION("GOOGLETRANSLATE(A1857, ""zh"", ""en"")"),"Public welfare and volunteer service")</f>
        <v>Public welfare and volunteer service</v>
      </c>
      <c r="C1857" s="1" t="str">
        <f ca="1">IFERROR(__xludf.DUMMYFUNCTION("GOOGLETRANSLATE(E1857, ""zh"", ""en"")"),"Qualitative text")</f>
        <v>Qualitative text</v>
      </c>
    </row>
    <row r="1858" spans="1:3" ht="13" x14ac:dyDescent="0.15">
      <c r="A1858" s="1" t="str">
        <f ca="1">IFERROR(__xludf.DUMMYFUNCTION("GOOGLETRANSLATE(A1858, ""zh"", ""en"")"),"In 2022, each medical clinic will verify the effectiveness of the existing recall system to ensure that no product recall occurs in the event of a product failure or medical device member company")</f>
        <v>In 2022, each medical clinic will verify the effectiveness of the existing recall system to ensure that no product recall occurs in the event of a product failure or medical device member company</v>
      </c>
      <c r="B1858" s="1" t="str">
        <f ca="1">IFERROR(__xludf.DUMMYFUNCTION("GOOGLETRANSLATE(A1858, ""zh"", ""en"")"),"Product quality")</f>
        <v>Product quality</v>
      </c>
      <c r="C1858" s="1" t="str">
        <f ca="1">IFERROR(__xludf.DUMMYFUNCTION("GOOGLETRANSLATE(E1858, ""zh"", ""en"")"),"Qualitative text")</f>
        <v>Qualitative text</v>
      </c>
    </row>
    <row r="1859" spans="1:3" ht="13" x14ac:dyDescent="0.15">
      <c r="A1859" s="1" t="str">
        <f ca="1">IFERROR(__xludf.DUMMYFUNCTION("GOOGLETRANSLATE(A1859, ""zh"", ""en"")"),"There were 2 accidents that resulted in lost work due to falls and slips, and 3 accidents that resulted in lost work due to timely and effective communication measures.")</f>
        <v>There were 2 accidents that resulted in lost work due to falls and slips, and 3 accidents that resulted in lost work due to timely and effective communication measures.</v>
      </c>
      <c r="B1859" s="1" t="str">
        <f ca="1">IFERROR(__xludf.DUMMYFUNCTION("GOOGLETRANSLATE(A1859, ""zh"", ""en"")"),"staff")</f>
        <v>staff</v>
      </c>
      <c r="C1859" s="1" t="str">
        <f ca="1">IFERROR(__xludf.DUMMYFUNCTION("GOOGLETRANSLATE(E1859, ""zh"", ""en"")"),"Quantitative Text")</f>
        <v>Quantitative Text</v>
      </c>
    </row>
    <row r="1860" spans="1:3" ht="13" x14ac:dyDescent="0.15">
      <c r="A1860" s="1" t="str">
        <f ca="1">IFERROR(__xludf.DUMMYFUNCTION("GOOGLETRANSLATE(A1860, ""zh"", ""en"")"),"Established a 724 sinus monitoring system and early warning mechanism to keep a real-time eye on the global Olympic situation dynamics in terms of procurement, infrastructure quality, informationization and other operations.")</f>
        <v>Established a 724 sinus monitoring system and early warning mechanism to keep a real-time eye on the global Olympic situation dynamics in terms of procurement, infrastructure quality, informationization and other operations.</v>
      </c>
      <c r="B1860" s="1" t="str">
        <f ca="1">IFERROR(__xludf.DUMMYFUNCTION("GOOGLETRANSLATE(A1860, ""zh"", ""en"")"),"raw materials")</f>
        <v>raw materials</v>
      </c>
      <c r="C1860" s="1" t="str">
        <f ca="1">IFERROR(__xludf.DUMMYFUNCTION("GOOGLETRANSLATE(E1860, ""zh"", ""en"")"),"Qualitative text")</f>
        <v>Qualitative text</v>
      </c>
    </row>
    <row r="1861" spans="1:3" ht="13" x14ac:dyDescent="0.15">
      <c r="A1861" s="1" t="str">
        <f ca="1">IFERROR(__xludf.DUMMYFUNCTION("GOOGLETRANSLATE(A1861, ""zh"", ""en"")"),"In 2022, the company established the Talent Work Leading Group of the Party Committee of China Animal Husbandry Group to take the lead in the construction and management of the company's cadre and staff team.")</f>
        <v>In 2022, the company established the Talent Work Leading Group of the Party Committee of China Animal Husbandry Group to take the lead in the construction and management of the company's cadre and staff team.</v>
      </c>
      <c r="B1861" s="1" t="str">
        <f ca="1">IFERROR(__xludf.DUMMYFUNCTION("GOOGLETRANSLATE(A1861, ""zh"", ""en"")"),"staff")</f>
        <v>staff</v>
      </c>
      <c r="C1861" s="1" t="str">
        <f ca="1">IFERROR(__xludf.DUMMYFUNCTION("GOOGLETRANSLATE(E1861, ""zh"", ""en"")"),"Qualitative text")</f>
        <v>Qualitative text</v>
      </c>
    </row>
    <row r="1862" spans="1:3" ht="13" x14ac:dyDescent="0.15">
      <c r="A1862" s="1" t="str">
        <f ca="1">IFERROR(__xludf.DUMMYFUNCTION("GOOGLETRANSLATE(A1862, ""zh"", ""en"")"),"In addition, Shanghai Electric has actively played a positive role in promoting local development by creating jobs, improving water sources, strengthening power supply, and improving the environment.")</f>
        <v>In addition, Shanghai Electric has actively played a positive role in promoting local development by creating jobs, improving water sources, strengthening power supply, and improving the environment.</v>
      </c>
      <c r="B1862" s="1" t="str">
        <f ca="1">IFERROR(__xludf.DUMMYFUNCTION("GOOGLETRANSLATE(A1862, ""zh"", ""en"")"),"Promoting employment")</f>
        <v>Promoting employment</v>
      </c>
      <c r="C1862" s="1" t="str">
        <f ca="1">IFERROR(__xludf.DUMMYFUNCTION("GOOGLETRANSLATE(E1862, ""zh"", ""en"")"),"Qualitative text")</f>
        <v>Qualitative text</v>
      </c>
    </row>
    <row r="1863" spans="1:3" ht="13" x14ac:dyDescent="0.15">
      <c r="A1863" s="1" t="str">
        <f ca="1">IFERROR(__xludf.DUMMYFUNCTION("GOOGLETRANSLATE(A1863, ""zh"", ""en"")"),"The group's employee turnover rate in 2022 was 3.5, which was a decrease compared to last year. In particular, the employee turnover rate in Shanghai decreased by 0.33 year-on-year.")</f>
        <v>The group's employee turnover rate in 2022 was 3.5, which was a decrease compared to last year. In particular, the employee turnover rate in Shanghai decreased by 0.33 year-on-year.</v>
      </c>
      <c r="B1863" s="1" t="str">
        <f ca="1">IFERROR(__xludf.DUMMYFUNCTION("GOOGLETRANSLATE(A1863, ""zh"", ""en"")"),"staff")</f>
        <v>staff</v>
      </c>
      <c r="C1863" s="1" t="str">
        <f ca="1">IFERROR(__xludf.DUMMYFUNCTION("GOOGLETRANSLATE(E1863, ""zh"", ""en"")"),"Quantitative Text")</f>
        <v>Quantitative Text</v>
      </c>
    </row>
    <row r="1864" spans="1:3" ht="13" x14ac:dyDescent="0.15">
      <c r="A1864" s="1" t="str">
        <f ca="1">IFERROR(__xludf.DUMMYFUNCTION("GOOGLETRANSLATE(A1864, ""zh"", ""en"")"),"Through face-to-face lectures by trainers, video explanations and other methods, we rely on Hisense Academy intelligent customer service platform to organize training to improve employees' service skills and service standards")</f>
        <v>Through face-to-face lectures by trainers, video explanations and other methods, we rely on Hisense Academy intelligent customer service platform to organize training to improve employees' service skills and service standards</v>
      </c>
      <c r="B1864" s="1" t="str">
        <f ca="1">IFERROR(__xludf.DUMMYFUNCTION("GOOGLETRANSLATE(A1864, ""zh"", ""en"")"),"staff")</f>
        <v>staff</v>
      </c>
      <c r="C1864" s="1" t="str">
        <f ca="1">IFERROR(__xludf.DUMMYFUNCTION("GOOGLETRANSLATE(E1864, ""zh"", ""en"")"),"Qualitative text")</f>
        <v>Qualitative text</v>
      </c>
    </row>
    <row r="1865" spans="1:3" ht="13" x14ac:dyDescent="0.15">
      <c r="A1865" s="1" t="str">
        <f ca="1">IFERROR(__xludf.DUMMYFUNCTION("GOOGLETRANSLATE(A1865, ""zh"", ""en"")"),"Renfu African Employees Activities: Every New Year's Day, we select and commend outstanding employees to stimulate their sense of honor and belonging and create a positive atmosphere.")</f>
        <v>Renfu African Employees Activities: Every New Year's Day, we select and commend outstanding employees to stimulate their sense of honor and belonging and create a positive atmosphere.</v>
      </c>
      <c r="B1865" s="1" t="str">
        <f ca="1">IFERROR(__xludf.DUMMYFUNCTION("GOOGLETRANSLATE(A1865, ""zh"", ""en"")"),"staff")</f>
        <v>staff</v>
      </c>
      <c r="C1865" s="1" t="str">
        <f ca="1">IFERROR(__xludf.DUMMYFUNCTION("GOOGLETRANSLATE(E1865, ""zh"", ""en"")"),"Qualitative text")</f>
        <v>Qualitative text</v>
      </c>
    </row>
    <row r="1866" spans="1:3" ht="13" x14ac:dyDescent="0.15">
      <c r="A1866" s="1" t="str">
        <f ca="1">IFERROR(__xludf.DUMMYFUNCTION("GOOGLETRANSLATE(A1866, ""zh"", ""en"")"),"Support the construction of a clean and low-carbon energy supply system, deepen the development of new infrastructure and services such as charging and swapping stations and hydrogen refueling stations, and promote the development of green transportation "&amp;"and hydrogen energy transportation.")</f>
        <v>Support the construction of a clean and low-carbon energy supply system, deepen the development of new infrastructure and services such as charging and swapping stations and hydrogen refueling stations, and promote the development of green transportation and hydrogen energy transportation.</v>
      </c>
      <c r="B1866" s="1" t="str">
        <f ca="1">IFERROR(__xludf.DUMMYFUNCTION("GOOGLETRANSLATE(A1866, ""zh"", ""en"")"),"Energy and resource consumption")</f>
        <v>Energy and resource consumption</v>
      </c>
      <c r="C1866" s="1" t="str">
        <f ca="1">IFERROR(__xludf.DUMMYFUNCTION("GOOGLETRANSLATE(E1866, ""zh"", ""en"")"),"Qualitative text")</f>
        <v>Qualitative text</v>
      </c>
    </row>
    <row r="1867" spans="1:3" ht="13" x14ac:dyDescent="0.15">
      <c r="A1867" s="1" t="str">
        <f ca="1">IFERROR(__xludf.DUMMYFUNCTION("GOOGLETRANSLATE(A1867, ""zh"", ""en"")"),"Key pollutant-discharging units fully cooperate with regulatory authorities in carrying out monitoring work and install online monitoring facilities to transmit data in real time to national and local regulatory platforms.")</f>
        <v>Key pollutant-discharging units fully cooperate with regulatory authorities in carrying out monitoring work and install online monitoring facilities to transmit data in real time to national and local regulatory platforms.</v>
      </c>
      <c r="B1867" s="1" t="str">
        <f ca="1">IFERROR(__xludf.DUMMYFUNCTION("GOOGLETRANSLATE(A1867, ""zh"", ""en"")"),"Environmental penalties")</f>
        <v>Environmental penalties</v>
      </c>
      <c r="C1867" s="1" t="str">
        <f ca="1">IFERROR(__xludf.DUMMYFUNCTION("GOOGLETRANSLATE(E1867, ""zh"", ""en"")"),"Qualitative text")</f>
        <v>Qualitative text</v>
      </c>
    </row>
    <row r="1868" spans="1:3" ht="13" x14ac:dyDescent="0.15">
      <c r="A1868" s="1" t="str">
        <f ca="1">IFERROR(__xludf.DUMMYFUNCTION("GOOGLETRANSLATE(A1868, ""zh"", ""en"")"),"The assessment content highlights performance assessment orientation, covering work performance, work ability, work style, etc., and strives to openly, comprehensively and truthfully reflect the work situation of employees.")</f>
        <v>The assessment content highlights performance assessment orientation, covering work performance, work ability, work style, etc., and strives to openly, comprehensively and truthfully reflect the work situation of employees.</v>
      </c>
      <c r="B1868" s="1" t="str">
        <f ca="1">IFERROR(__xludf.DUMMYFUNCTION("GOOGLETRANSLATE(A1868, ""zh"", ""en"")"),"staff")</f>
        <v>staff</v>
      </c>
      <c r="C1868" s="1" t="str">
        <f ca="1">IFERROR(__xludf.DUMMYFUNCTION("GOOGLETRANSLATE(E1868, ""zh"", ""en"")"),"Qualitative text")</f>
        <v>Qualitative text</v>
      </c>
    </row>
    <row r="1869" spans="1:3" ht="13" x14ac:dyDescent="0.15">
      <c r="A1869" s="1" t="str">
        <f ca="1">IFERROR(__xludf.DUMMYFUNCTION("GOOGLETRANSLATE(A1869, ""zh"", ""en"")"),"Establish a comprehensive supplier evaluation system, supplier interview mechanism and red and yellow card system to build a closed-loop supplier management model with assessment, selection, evaluation and adjustment.")</f>
        <v>Establish a comprehensive supplier evaluation system, supplier interview mechanism and red and yellow card system to build a closed-loop supplier management model with assessment, selection, evaluation and adjustment.</v>
      </c>
      <c r="B1869" s="1" t="str">
        <f ca="1">IFERROR(__xludf.DUMMYFUNCTION("GOOGLETRANSLATE(A1869, ""zh"", ""en"")"),"supply chain management")</f>
        <v>supply chain management</v>
      </c>
      <c r="C1869" s="1" t="str">
        <f ca="1">IFERROR(__xludf.DUMMYFUNCTION("GOOGLETRANSLATE(E1869, ""zh"", ""en"")"),"Qualitative text")</f>
        <v>Qualitative text</v>
      </c>
    </row>
    <row r="1870" spans="1:3" ht="13" x14ac:dyDescent="0.15">
      <c r="A1870" s="1" t="str">
        <f ca="1">IFERROR(__xludf.DUMMYFUNCTION("GOOGLETRANSLATE(A1870, ""zh"", ""en"")"),"Managers and employees who are Party members must also abide by the Chinese Communist Party's Code of Integrity and Self-Discipline, the Several Provisions on Honest Practice, and other systems and accept supervision.")</f>
        <v>Managers and employees who are Party members must also abide by the Chinese Communist Party's Code of Integrity and Self-Discipline, the Several Provisions on Honest Practice, and other systems and accept supervision.</v>
      </c>
      <c r="B1870" s="1" t="str">
        <f ca="1">IFERROR(__xludf.DUMMYFUNCTION("GOOGLETRANSLATE(A1870, ""zh"", ""en"")"),"Anti-corruption and anti-money laundering")</f>
        <v>Anti-corruption and anti-money laundering</v>
      </c>
      <c r="C1870" s="1" t="str">
        <f ca="1">IFERROR(__xludf.DUMMYFUNCTION("GOOGLETRANSLATE(E1870, ""zh"", ""en"")"),"Qualitative text")</f>
        <v>Qualitative text</v>
      </c>
    </row>
    <row r="1871" spans="1:3" ht="13" x14ac:dyDescent="0.15">
      <c r="A1871" s="1" t="str">
        <f ca="1">IFERROR(__xludf.DUMMYFUNCTION("GOOGLETRANSLATE(A1871, ""zh"", ""en"")"),"Collect major risk reports from the headquarters' risk prevention and control leading department; organize affiliated companies to conduct risk assessments and submit the top ten major risks ranked by the unit;")</f>
        <v>Collect major risk reports from the headquarters' risk prevention and control leading department; organize affiliated companies to conduct risk assessments and submit the top ten major risks ranked by the unit;</v>
      </c>
      <c r="B1871" s="1" t="str">
        <f ca="1">IFERROR(__xludf.DUMMYFUNCTION("GOOGLETRANSLATE(A1871, ""zh"", ""en"")"),"irrelevant text")</f>
        <v>irrelevant text</v>
      </c>
      <c r="C1871" s="1" t="str">
        <f ca="1">IFERROR(__xludf.DUMMYFUNCTION("GOOGLETRANSLATE(E1871, ""zh"", ""en"")"),"irrelevant text")</f>
        <v>irrelevant text</v>
      </c>
    </row>
    <row r="1872" spans="1:3" ht="13" x14ac:dyDescent="0.15">
      <c r="A1872" s="1" t="str">
        <f ca="1">IFERROR(__xludf.DUMMYFUNCTION("GOOGLETRANSLATE(A1872, ""zh"", ""en"")"),"Information Security Management Data Security Management The company continuously strengthens its protection capabilities and optimizes its protection strategies in key areas such as data security, supply chain, and information security.")</f>
        <v>Information Security Management Data Security Management The company continuously strengthens its protection capabilities and optimizes its protection strategies in key areas such as data security, supply chain, and information security.</v>
      </c>
      <c r="B1872" s="1" t="str">
        <f ca="1">IFERROR(__xludf.DUMMYFUNCTION("GOOGLETRANSLATE(A1872, ""zh"", ""en"")"),"Data security")</f>
        <v>Data security</v>
      </c>
      <c r="C1872" s="1" t="str">
        <f ca="1">IFERROR(__xludf.DUMMYFUNCTION("GOOGLETRANSLATE(E1872, ""zh"", ""en"")"),"Qualitative text")</f>
        <v>Qualitative text</v>
      </c>
    </row>
    <row r="1873" spans="1:3" ht="13" x14ac:dyDescent="0.15">
      <c r="A1873" s="1" t="str">
        <f ca="1">IFERROR(__xludf.DUMMYFUNCTION("GOOGLETRANSLATE(A1873, ""zh"", ""en"")"),"The company cares about the physical and mental health of its employees and provides them with statutory insurance, commercial insurance, personal accident insurance, global overseas travel insurance and other insurance benefits.")</f>
        <v>The company cares about the physical and mental health of its employees and provides them with statutory insurance, commercial insurance, personal accident insurance, global overseas travel insurance and other insurance benefits.</v>
      </c>
      <c r="B1873" s="1" t="str">
        <f ca="1">IFERROR(__xludf.DUMMYFUNCTION("GOOGLETRANSLATE(A1873, ""zh"", ""en"")"),"staff")</f>
        <v>staff</v>
      </c>
      <c r="C1873" s="1" t="str">
        <f ca="1">IFERROR(__xludf.DUMMYFUNCTION("GOOGLETRANSLATE(E1873, ""zh"", ""en"")"),"Qualitative text")</f>
        <v>Qualitative text</v>
      </c>
    </row>
    <row r="1874" spans="1:3" ht="13" x14ac:dyDescent="0.15">
      <c r="A1874" s="1" t="str">
        <f ca="1">IFERROR(__xludf.DUMMYFUNCTION("GOOGLETRANSLATE(A1874, ""zh"", ""en"")"),"The company's labor union organizes and carries out cultural and sports activities such as Frisbee, calligraphy and painting to provide employees with a platform to showcase their talents and increase opportunities for communication among employees in dif"&amp;"ferent positions.")</f>
        <v>The company's labor union organizes and carries out cultural and sports activities such as Frisbee, calligraphy and painting to provide employees with a platform to showcase their talents and increase opportunities for communication among employees in different positions.</v>
      </c>
      <c r="B1874" s="1" t="str">
        <f ca="1">IFERROR(__xludf.DUMMYFUNCTION("GOOGLETRANSLATE(A1874, ""zh"", ""en"")"),"staff")</f>
        <v>staff</v>
      </c>
      <c r="C1874" s="1" t="str">
        <f ca="1">IFERROR(__xludf.DUMMYFUNCTION("GOOGLETRANSLATE(E1874, ""zh"", ""en"")"),"Qualitative text")</f>
        <v>Qualitative text</v>
      </c>
    </row>
    <row r="1875" spans="1:3" ht="13" x14ac:dyDescent="0.15">
      <c r="A1875" s="1" t="str">
        <f ca="1">IFERROR(__xludf.DUMMYFUNCTION("GOOGLETRANSLATE(A1875, ""zh"", ""en"")"),"Continue to strengthen climate change, environmental, and social risk management, integrate ESG into investment decision-making systems, and accurately grasp the risks and opportunities under the ESG dimension.")</f>
        <v>Continue to strengthen climate change, environmental, and social risk management, integrate ESG into investment decision-making systems, and accurately grasp the risks and opportunities under the ESG dimension.</v>
      </c>
      <c r="B1875" s="1" t="str">
        <f ca="1">IFERROR(__xludf.DUMMYFUNCTION("GOOGLETRANSLATE(A1875, ""zh"", ""en"")"),"Addressing climate change")</f>
        <v>Addressing climate change</v>
      </c>
      <c r="C1875" s="1" t="str">
        <f ca="1">IFERROR(__xludf.DUMMYFUNCTION("GOOGLETRANSLATE(E1875, ""zh"", ""en"")"),"Qualitative text")</f>
        <v>Qualitative text</v>
      </c>
    </row>
    <row r="1876" spans="1:3" ht="13" x14ac:dyDescent="0.15">
      <c r="A1876" s="1" t="str">
        <f ca="1">IFERROR(__xludf.DUMMYFUNCTION("GOOGLETRANSLATE(A1876, ""zh"", ""en"")"),"Refer to the TCFD framework to identify and assess the significant risks and opportunities posed by climate change to the company's operations and business, and develop relevant management response mechanisms")</f>
        <v>Refer to the TCFD framework to identify and assess the significant risks and opportunities posed by climate change to the company's operations and business, and develop relevant management response mechanisms</v>
      </c>
      <c r="B1876" s="1" t="str">
        <f ca="1">IFERROR(__xludf.DUMMYFUNCTION("GOOGLETRANSLATE(A1876, ""zh"", ""en"")"),"Addressing climate change")</f>
        <v>Addressing climate change</v>
      </c>
      <c r="C1876" s="1" t="str">
        <f ca="1">IFERROR(__xludf.DUMMYFUNCTION("GOOGLETRANSLATE(E1876, ""zh"", ""en"")"),"Qualitative text")</f>
        <v>Qualitative text</v>
      </c>
    </row>
    <row r="1877" spans="1:3" ht="13" x14ac:dyDescent="0.15">
      <c r="A1877" s="1" t="str">
        <f ca="1">IFERROR(__xludf.DUMMYFUNCTION("GOOGLETRANSLATE(A1877, ""zh"", ""en"")"),"Among them, the special training on honest practice held for enterprise management and key personnel has basically achieved full coverage of grassroots supervision targets of enterprises.")</f>
        <v>Among them, the special training on honest practice held for enterprise management and key personnel has basically achieved full coverage of grassroots supervision targets of enterprises.</v>
      </c>
      <c r="B1877" s="1" t="str">
        <f ca="1">IFERROR(__xludf.DUMMYFUNCTION("GOOGLETRANSLATE(A1877, ""zh"", ""en"")"),"Anti-corruption and anti-money laundering")</f>
        <v>Anti-corruption and anti-money laundering</v>
      </c>
      <c r="C1877" s="1" t="str">
        <f ca="1">IFERROR(__xludf.DUMMYFUNCTION("GOOGLETRANSLATE(E1877, ""zh"", ""en"")"),"Qualitative text")</f>
        <v>Qualitative text</v>
      </c>
    </row>
    <row r="1878" spans="1:3" ht="13" x14ac:dyDescent="0.15">
      <c r="A1878" s="1" t="str">
        <f ca="1">IFERROR(__xludf.DUMMYFUNCTION("GOOGLETRANSLATE(A1878, ""zh"", ""en"")"),"The neural network fully supports the basic support platform with a comprehensive and powerful database and a global neural network, which provides it with reliable basic support.")</f>
        <v>The neural network fully supports the basic support platform with a comprehensive and powerful database and a global neural network, which provides it with reliable basic support.</v>
      </c>
      <c r="B1878" s="1" t="str">
        <f ca="1">IFERROR(__xludf.DUMMYFUNCTION("GOOGLETRANSLATE(A1878, ""zh"", ""en"")"),"irrelevant text")</f>
        <v>irrelevant text</v>
      </c>
      <c r="C1878" s="1" t="str">
        <f ca="1">IFERROR(__xludf.DUMMYFUNCTION("GOOGLETRANSLATE(E1878, ""zh"", ""en"")"),"irrelevant text")</f>
        <v>irrelevant text</v>
      </c>
    </row>
    <row r="1879" spans="1:3" ht="13" x14ac:dyDescent="0.15">
      <c r="A1879" s="1" t="str">
        <f ca="1">IFERROR(__xludf.DUMMYFUNCTION("GOOGLETRANSLATE(A1879, ""zh"", ""en"")"),"We have improved the EHS change management system this year to ensure that the hazards brought about by changes in production processes, facilities and equipment are effectively controlled.")</f>
        <v>We have improved the EHS change management system this year to ensure that the hazards brought about by changes in production processes, facilities and equipment are effectively controlled.</v>
      </c>
      <c r="B1879" s="1" t="str">
        <f ca="1">IFERROR(__xludf.DUMMYFUNCTION("GOOGLETRANSLATE(A1879, ""zh"", ""en"")"),"Environmental Policy")</f>
        <v>Environmental Policy</v>
      </c>
      <c r="C1879" s="1" t="str">
        <f ca="1">IFERROR(__xludf.DUMMYFUNCTION("GOOGLETRANSLATE(E1879, ""zh"", ""en"")"),"Qualitative text")</f>
        <v>Qualitative text</v>
      </c>
    </row>
    <row r="1880" spans="1:3" ht="13" x14ac:dyDescent="0.15">
      <c r="A1880" s="1" t="str">
        <f ca="1">IFERROR(__xludf.DUMMYFUNCTION("GOOGLETRANSLATE(A1880, ""zh"", ""en"")"),"At the same time, the measurable goals and progress achieved in implementing the Board diversity policy will be disclosed annually in the Group’s Social Responsibility Report.")</f>
        <v>At the same time, the measurable goals and progress achieved in implementing the Board diversity policy will be disclosed annually in the Group’s Social Responsibility Report.</v>
      </c>
      <c r="B1880" s="1" t="str">
        <f ca="1">IFERROR(__xludf.DUMMYFUNCTION("GOOGLETRANSLATE(A1880, ""zh"", ""en"")"),"Organizational structure and operations")</f>
        <v>Organizational structure and operations</v>
      </c>
      <c r="C1880" s="1" t="str">
        <f ca="1">IFERROR(__xludf.DUMMYFUNCTION("GOOGLETRANSLATE(E1880, ""zh"", ""en"")"),"Qualitative text")</f>
        <v>Qualitative text</v>
      </c>
    </row>
    <row r="1881" spans="1:3" ht="13" x14ac:dyDescent="0.15">
      <c r="A1881" s="1" t="str">
        <f ca="1">IFERROR(__xludf.DUMMYFUNCTION("GOOGLETRANSLATE(A1881, ""zh"", ""en"")"),"Conduct special investigations on construction projects, industrial and financial projects, etc., adhere to the bottom line of controllable risks, promptly warn of risks, propose improvement suggestions and promote management improvement")</f>
        <v>Conduct special investigations on construction projects, industrial and financial projects, etc., adhere to the bottom line of controllable risks, promptly warn of risks, propose improvement suggestions and promote management improvement</v>
      </c>
      <c r="B1881" s="1" t="str">
        <f ca="1">IFERROR(__xludf.DUMMYFUNCTION("GOOGLETRANSLATE(A1881, ""zh"", ""en"")"),"irrelevant text")</f>
        <v>irrelevant text</v>
      </c>
      <c r="C1881" s="1" t="str">
        <f ca="1">IFERROR(__xludf.DUMMYFUNCTION("GOOGLETRANSLATE(E1881, ""zh"", ""en"")"),"irrelevant text")</f>
        <v>irrelevant text</v>
      </c>
    </row>
    <row r="1882" spans="1:3" ht="13" x14ac:dyDescent="0.15">
      <c r="A1882" s="1" t="str">
        <f ca="1">IFERROR(__xludf.DUMMYFUNCTION("GOOGLETRANSLATE(A1882, ""zh"", ""en"")"),"Audit supervision strengthens joint supervision research and joint inspections, collaborates with relevant departments to carry out special inspections and research projects to improve work efficiency and supervisory effectiveness.")</f>
        <v>Audit supervision strengthens joint supervision research and joint inspections, collaborates with relevant departments to carry out special inspections and research projects to improve work efficiency and supervisory effectiveness.</v>
      </c>
      <c r="B1882" s="1" t="str">
        <f ca="1">IFERROR(__xludf.DUMMYFUNCTION("GOOGLETRANSLATE(A1882, ""zh"", ""en"")"),"Audit work")</f>
        <v>Audit work</v>
      </c>
      <c r="C1882" s="1" t="str">
        <f ca="1">IFERROR(__xludf.DUMMYFUNCTION("GOOGLETRANSLATE(E1882, ""zh"", ""en"")"),"Qualitative text")</f>
        <v>Qualitative text</v>
      </c>
    </row>
    <row r="1883" spans="1:3" ht="13" x14ac:dyDescent="0.15">
      <c r="A1883" s="1" t="str">
        <f ca="1">IFERROR(__xludf.DUMMYFUNCTION("GOOGLETRANSLATE(A1883, ""zh"", ""en"")"),"The Institute of Biomedicine collaborates with China Pharmaceutical University and the Technical University of Denmark to build a computer-aided protein engineering and computational biology tool library")</f>
        <v>The Institute of Biomedicine collaborates with China Pharmaceutical University and the Technical University of Denmark to build a computer-aided protein engineering and computational biology tool library</v>
      </c>
      <c r="B1883" s="1" t="str">
        <f ca="1">IFERROR(__xludf.DUMMYFUNCTION("GOOGLETRANSLATE(A1883, ""zh"", ""en"")"),"Technological innovation")</f>
        <v>Technological innovation</v>
      </c>
      <c r="C1883" s="1" t="str">
        <f ca="1">IFERROR(__xludf.DUMMYFUNCTION("GOOGLETRANSLATE(E1883, ""zh"", ""en"")"),"Qualitative text")</f>
        <v>Qualitative text</v>
      </c>
    </row>
    <row r="1884" spans="1:3" ht="13" x14ac:dyDescent="0.15">
      <c r="A1884" s="1" t="str">
        <f ca="1">IFERROR(__xludf.DUMMYFUNCTION("GOOGLETRANSLATE(A1884, ""zh"", ""en"")"),"During the recruitment process, we truthfully inform employees of their work content, working conditions, safety production status, labor remuneration, etc., fully protecting their right to know.")</f>
        <v>During the recruitment process, we truthfully inform employees of their work content, working conditions, safety production status, labor remuneration, etc., fully protecting their right to know.</v>
      </c>
      <c r="B1884" s="1" t="str">
        <f ca="1">IFERROR(__xludf.DUMMYFUNCTION("GOOGLETRANSLATE(A1884, ""zh"", ""en"")"),"staff")</f>
        <v>staff</v>
      </c>
      <c r="C1884" s="1" t="str">
        <f ca="1">IFERROR(__xludf.DUMMYFUNCTION("GOOGLETRANSLATE(E1884, ""zh"", ""en"")"),"Qualitative text")</f>
        <v>Qualitative text</v>
      </c>
    </row>
    <row r="1885" spans="1:3" ht="13" x14ac:dyDescent="0.15">
      <c r="A1885" s="1" t="str">
        <f ca="1">IFERROR(__xludf.DUMMYFUNCTION("GOOGLETRANSLATE(A1885, ""zh"", ""en"")"),"In addition, the company's interim announcement also includes the company's senior management's resolution on the progress of the share auction and the signing of major contracts for the company's daily operations.")</f>
        <v>In addition, the company's interim announcement also includes the company's senior management's resolution on the progress of the share auction and the signing of major contracts for the company's daily operations.</v>
      </c>
      <c r="B1885" s="1" t="str">
        <f ca="1">IFERROR(__xludf.DUMMYFUNCTION("GOOGLETRANSLATE(A1885, ""zh"", ""en"")"),"irrelevant text")</f>
        <v>irrelevant text</v>
      </c>
      <c r="C1885" s="1" t="str">
        <f ca="1">IFERROR(__xludf.DUMMYFUNCTION("GOOGLETRANSLATE(E1885, ""zh"", ""en"")"),"irrelevant text")</f>
        <v>irrelevant text</v>
      </c>
    </row>
    <row r="1886" spans="1:3" ht="13" x14ac:dyDescent="0.15">
      <c r="A1886" s="1" t="str">
        <f ca="1">IFERROR(__xludf.DUMMYFUNCTION("GOOGLETRANSLATE(A1886, ""zh"", ""en"")"),"We have established a platform for employees to express their interests and built a smooth petition channel to provide employees with a path to problem solving and feedback.")</f>
        <v>We have established a platform for employees to express their interests and built a smooth petition channel to provide employees with a path to problem solving and feedback.</v>
      </c>
      <c r="B1886" s="1" t="str">
        <f ca="1">IFERROR(__xludf.DUMMYFUNCTION("GOOGLETRANSLATE(A1886, ""zh"", ""en"")"),"staff")</f>
        <v>staff</v>
      </c>
      <c r="C1886" s="1" t="str">
        <f ca="1">IFERROR(__xludf.DUMMYFUNCTION("GOOGLETRANSLATE(E1886, ""zh"", ""en"")"),"Qualitative text")</f>
        <v>Qualitative text</v>
      </c>
    </row>
    <row r="1887" spans="1:3" ht="13" x14ac:dyDescent="0.15">
      <c r="A1887" s="1" t="str">
        <f ca="1">IFERROR(__xludf.DUMMYFUNCTION("GOOGLETRANSLATE(A1887, ""zh"", ""en"")"),"At the meeting, Zhu Zhaokai, deputy secretary of the Shanghai Electric Party Committee and chairman of the Municipal Mechanical and Electrical Trade Union, led the study of the spirit of General Secretary Xi Jinping's speech at the Achievement Exhibition "&amp;"on the theme of ""Striving for a New Era""")</f>
        <v>At the meeting, Zhu Zhaokai, deputy secretary of the Shanghai Electric Party Committee and chairman of the Municipal Mechanical and Electrical Trade Union, led the study of the spirit of General Secretary Xi Jinping's speech at the Achievement Exhibition on the theme of "Striving for a New Era"</v>
      </c>
      <c r="B1887" s="1" t="str">
        <f ca="1">IFERROR(__xludf.DUMMYFUNCTION("GOOGLETRANSLATE(A1887, ""zh"", ""en"")"),"irrelevant text")</f>
        <v>irrelevant text</v>
      </c>
      <c r="C1887" s="1" t="str">
        <f ca="1">IFERROR(__xludf.DUMMYFUNCTION("GOOGLETRANSLATE(E1887, ""zh"", ""en"")"),"irrelevant text")</f>
        <v>irrelevant text</v>
      </c>
    </row>
    <row r="1888" spans="1:3" ht="13" x14ac:dyDescent="0.15">
      <c r="A1888" s="1" t="str">
        <f ca="1">IFERROR(__xludf.DUMMYFUNCTION("GOOGLETRANSLATE(A1888, ""zh"", ""en"")"),"Summarize and analyze the satisfaction survey results to develop key points for the 2023 grassroots branch employee care project to continuously improve grassroots branch employee satisfaction")</f>
        <v>Summarize and analyze the satisfaction survey results to develop key points for the 2023 grassroots branch employee care project to continuously improve grassroots branch employee satisfaction</v>
      </c>
      <c r="B1888" s="1" t="str">
        <f ca="1">IFERROR(__xludf.DUMMYFUNCTION("GOOGLETRANSLATE(A1888, ""zh"", ""en"")"),"staff")</f>
        <v>staff</v>
      </c>
      <c r="C1888" s="1" t="str">
        <f ca="1">IFERROR(__xludf.DUMMYFUNCTION("GOOGLETRANSLATE(E1888, ""zh"", ""en"")"),"Qualitative text")</f>
        <v>Qualitative text</v>
      </c>
    </row>
    <row r="1889" spans="1:3" ht="13" x14ac:dyDescent="0.15">
      <c r="A1889" s="1" t="str">
        <f ca="1">IFERROR(__xludf.DUMMYFUNCTION("GOOGLETRANSLATE(A1889, ""zh"", ""en"")"),"New energy vehicles will be given priority when replacing official vehicles. From 2022 to 2026, the proportion of new energy vehicles in the bank will increase annually to promote green commuting.")</f>
        <v>New energy vehicles will be given priority when replacing official vehicles. From 2022 to 2026, the proportion of new energy vehicles in the bank will increase annually to promote green commuting.</v>
      </c>
      <c r="B1889" s="1" t="str">
        <f ca="1">IFERROR(__xludf.DUMMYFUNCTION("GOOGLETRANSLATE(A1889, ""zh"", ""en"")"),"Energy and resource consumption")</f>
        <v>Energy and resource consumption</v>
      </c>
      <c r="C1889" s="1" t="str">
        <f ca="1">IFERROR(__xludf.DUMMYFUNCTION("GOOGLETRANSLATE(E1889, ""zh"", ""en"")"),"Qualitative text")</f>
        <v>Qualitative text</v>
      </c>
    </row>
    <row r="1890" spans="1:3" ht="13" x14ac:dyDescent="0.15">
      <c r="A1890" s="1" t="str">
        <f ca="1">IFERROR(__xludf.DUMMYFUNCTION("GOOGLETRANSLATE(A1890, ""zh"", ""en"")"),"Fourth, we have steadily carried out the recycling of used products and completed the procurement of scrap services for computers and other equipment, involving 53 categories including servers, network security equipment, etc.")</f>
        <v>Fourth, we have steadily carried out the recycling of used products and completed the procurement of scrap services for computers and other equipment, involving 53 categories including servers, network security equipment, etc.</v>
      </c>
      <c r="B1890" s="1" t="str">
        <f ca="1">IFERROR(__xludf.DUMMYFUNCTION("GOOGLETRANSLATE(A1890, ""zh"", ""en"")"),"Waste Management")</f>
        <v>Waste Management</v>
      </c>
      <c r="C1890" s="1" t="str">
        <f ca="1">IFERROR(__xludf.DUMMYFUNCTION("GOOGLETRANSLATE(E1890, ""zh"", ""en"")"),"Quantitative Text")</f>
        <v>Quantitative Text</v>
      </c>
    </row>
    <row r="1891" spans="1:3" ht="13" x14ac:dyDescent="0.15">
      <c r="A1891" s="1" t="str">
        <f ca="1">IFERROR(__xludf.DUMMYFUNCTION("GOOGLETRANSLATE(A1891, ""zh"", ""en"")"),"Users enjoy a smooth gaming experience, and the industry's first Filmmaker Mode perfectly restores the creator's intention and brings happy karaoke moments.")</f>
        <v>Users enjoy a smooth gaming experience, and the industry's first Filmmaker Mode perfectly restores the creator's intention and brings happy karaoke moments.</v>
      </c>
      <c r="B1891" s="1" t="str">
        <f ca="1">IFERROR(__xludf.DUMMYFUNCTION("GOOGLETRANSLATE(A1891, ""zh"", ""en"")"),"Product quality")</f>
        <v>Product quality</v>
      </c>
      <c r="C1891" s="1" t="str">
        <f ca="1">IFERROR(__xludf.DUMMYFUNCTION("GOOGLETRANSLATE(E1891, ""zh"", ""en"")"),"Qualitative text")</f>
        <v>Qualitative text</v>
      </c>
    </row>
    <row r="1892" spans="1:3" ht="13" x14ac:dyDescent="0.15">
      <c r="A1892" s="1" t="str">
        <f ca="1">IFERROR(__xludf.DUMMYFUNCTION("GOOGLETRANSLATE(A1892, ""zh"", ""en"")"),"The investment banking business continues to practice responsible investment concepts and actively invests in green bonds and carbon neutral stocks to support the development of a green and low-carbon economy.")</f>
        <v>The investment banking business continues to practice responsible investment concepts and actively invests in green bonds and carbon neutral stocks to support the development of a green and low-carbon economy.</v>
      </c>
      <c r="B1892" s="1" t="str">
        <f ca="1">IFERROR(__xludf.DUMMYFUNCTION("GOOGLETRANSLATE(A1892, ""zh"", ""en"")"),"Green Finance")</f>
        <v>Green Finance</v>
      </c>
      <c r="C1892" s="1" t="str">
        <f ca="1">IFERROR(__xludf.DUMMYFUNCTION("GOOGLETRANSLATE(E1892, ""zh"", ""en"")"),"Qualitative text")</f>
        <v>Qualitative text</v>
      </c>
    </row>
    <row r="1893" spans="1:3" ht="13" x14ac:dyDescent="0.15">
      <c r="A1893" s="1" t="str">
        <f ca="1">IFERROR(__xludf.DUMMYFUNCTION("GOOGLETRANSLATE(A1893, ""zh"", ""en"")"),"The company will refer to the annual performance evaluation results every year to select outstanding individuals and teams and hold an annual commendation meeting to award honors and provide incentives")</f>
        <v>The company will refer to the annual performance evaluation results every year to select outstanding individuals and teams and hold an annual commendation meeting to award honors and provide incentives</v>
      </c>
      <c r="B1893" s="1" t="str">
        <f ca="1">IFERROR(__xludf.DUMMYFUNCTION("GOOGLETRANSLATE(A1893, ""zh"", ""en"")"),"staff")</f>
        <v>staff</v>
      </c>
      <c r="C1893" s="1" t="str">
        <f ca="1">IFERROR(__xludf.DUMMYFUNCTION("GOOGLETRANSLATE(E1893, ""zh"", ""en"")"),"Qualitative text")</f>
        <v>Qualitative text</v>
      </c>
    </row>
    <row r="1894" spans="1:3" ht="13" x14ac:dyDescent="0.15">
      <c r="A1894" s="1" t="str">
        <f ca="1">IFERROR(__xludf.DUMMYFUNCTION("GOOGLETRANSLATE(A1894, ""zh"", ""en"")"),"Environmental management: Pollution and waste discharge must comply with the provisions of the Environmental Protection Law. Illegal outsourcing is prohibited. Illegal discharge of toxic and harmful pollutants, including wastewater, waste gas or waste res"&amp;"idue, is prohibited.")</f>
        <v>Environmental management: Pollution and waste discharge must comply with the provisions of the Environmental Protection Law. Illegal outsourcing is prohibited. Illegal discharge of toxic and harmful pollutants, including wastewater, waste gas or waste residue, is prohibited.</v>
      </c>
      <c r="B1894" s="1" t="str">
        <f ca="1">IFERROR(__xludf.DUMMYFUNCTION("GOOGLETRANSLATE(A1894, ""zh"", ""en"")"),"Waste Management")</f>
        <v>Waste Management</v>
      </c>
      <c r="C1894" s="1" t="str">
        <f ca="1">IFERROR(__xludf.DUMMYFUNCTION("GOOGLETRANSLATE(E1894, ""zh"", ""en"")"),"Qualitative text")</f>
        <v>Qualitative text</v>
      </c>
    </row>
    <row r="1895" spans="1:3" ht="13" x14ac:dyDescent="0.15">
      <c r="A1895" s="1" t="str">
        <f ca="1">IFERROR(__xludf.DUMMYFUNCTION("GOOGLETRANSLATE(A1895, ""zh"", ""en"")"),"The number of corporate customers is counted according to the unit's organization code certificate, business license and other license numbers. The number of individual customers is counted according to the valid ID card.")</f>
        <v>The number of corporate customers is counted according to the unit's organization code certificate, business license and other license numbers. The number of individual customers is counted according to the valid ID card.</v>
      </c>
      <c r="B1895" s="1" t="str">
        <f ca="1">IFERROR(__xludf.DUMMYFUNCTION("GOOGLETRANSLATE(A1895, ""zh"", ""en"")"),"Customers and Consumers")</f>
        <v>Customers and Consumers</v>
      </c>
      <c r="C1895" s="1" t="str">
        <f ca="1">IFERROR(__xludf.DUMMYFUNCTION("GOOGLETRANSLATE(E1895, ""zh"", ""en"")"),"Qualitative text")</f>
        <v>Qualitative text</v>
      </c>
    </row>
    <row r="1896" spans="1:3" ht="13" x14ac:dyDescent="0.15">
      <c r="A1896" s="1" t="str">
        <f ca="1">IFERROR(__xludf.DUMMYFUNCTION("GOOGLETRANSLATE(A1896, ""zh"", ""en"")"),"Conduct system effectiveness assessments based on the group's management improvement requirements, formulate annual system improvement plans, and promote the revision and improvement of internal control system processes in batches and categories.")</f>
        <v>Conduct system effectiveness assessments based on the group's management improvement requirements, formulate annual system improvement plans, and promote the revision and improvement of internal control system processes in batches and categories.</v>
      </c>
      <c r="B1896" s="1" t="str">
        <f ca="1">IFERROR(__xludf.DUMMYFUNCTION("GOOGLETRANSLATE(A1896, ""zh"", ""en"")"),"Organizational structure and operations")</f>
        <v>Organizational structure and operations</v>
      </c>
      <c r="C1896" s="1" t="str">
        <f ca="1">IFERROR(__xludf.DUMMYFUNCTION("GOOGLETRANSLATE(E1896, ""zh"", ""en"")"),"Qualitative text")</f>
        <v>Qualitative text</v>
      </c>
    </row>
    <row r="1897" spans="1:3" ht="13" x14ac:dyDescent="0.15">
      <c r="A1897" s="1" t="str">
        <f ca="1">IFERROR(__xludf.DUMMYFUNCTION("GOOGLETRANSLATE(A1897, ""zh"", ""en"")"),"The Group will continue to focus on highly significant ESG issues in its future ESG development, and these issues also constitute the focus of disclosure in this report to varying degrees.")</f>
        <v>The Group will continue to focus on highly significant ESG issues in its future ESG development, and these issues also constitute the focus of disclosure in this report to varying degrees.</v>
      </c>
      <c r="B1897" s="1" t="str">
        <f ca="1">IFERROR(__xludf.DUMMYFUNCTION("GOOGLETRANSLATE(A1897, ""zh"", ""en"")"),"irrelevant text")</f>
        <v>irrelevant text</v>
      </c>
      <c r="C1897" s="1" t="str">
        <f ca="1">IFERROR(__xludf.DUMMYFUNCTION("GOOGLETRANSLATE(E1897, ""zh"", ""en"")"),"irrelevant text")</f>
        <v>irrelevant text</v>
      </c>
    </row>
    <row r="1898" spans="1:3" ht="13" x14ac:dyDescent="0.15">
      <c r="A1898" s="1" t="str">
        <f ca="1">IFERROR(__xludf.DUMMYFUNCTION("GOOGLETRANSLATE(A1898, ""zh"", ""en"")"),"By the end of 2022, 11 branch specialty pavilions in Shanghai have been launched. The colorful consumer protection 3D exhibition halls make financial knowledge immersive and accessible to customers.")</f>
        <v>By the end of 2022, 11 branch specialty pavilions in Shanghai have been launched. The colorful consumer protection 3D exhibition halls make financial knowledge immersive and accessible to customers.</v>
      </c>
      <c r="B1898" s="1" t="str">
        <f ca="1">IFERROR(__xludf.DUMMYFUNCTION("GOOGLETRANSLATE(A1898, ""zh"", ""en"")"),"Customers and Consumers")</f>
        <v>Customers and Consumers</v>
      </c>
      <c r="C1898" s="1" t="str">
        <f ca="1">IFERROR(__xludf.DUMMYFUNCTION("GOOGLETRANSLATE(E1898, ""zh"", ""en"")"),"Qualitative text")</f>
        <v>Qualitative text</v>
      </c>
    </row>
    <row r="1899" spans="1:3" ht="13" x14ac:dyDescent="0.15">
      <c r="A1899" s="1" t="str">
        <f ca="1">IFERROR(__xludf.DUMMYFUNCTION("GOOGLETRANSLATE(A1899, ""zh"", ""en"")"),"During the reporting year, the company accepted more than 25,000 batches of samples for external inspection at the national, provincial and municipal levels, and all of them passed the quality inspection without any product recall incidents.")</f>
        <v>During the reporting year, the company accepted more than 25,000 batches of samples for external inspection at the national, provincial and municipal levels, and all of them passed the quality inspection without any product recall incidents.</v>
      </c>
      <c r="B1899" s="1" t="str">
        <f ca="1">IFERROR(__xludf.DUMMYFUNCTION("GOOGLETRANSLATE(A1899, ""zh"", ""en"")"),"Product quality")</f>
        <v>Product quality</v>
      </c>
      <c r="C1899" s="1" t="str">
        <f ca="1">IFERROR(__xludf.DUMMYFUNCTION("GOOGLETRANSLATE(E1899, ""zh"", ""en"")"),"Quantitative Text")</f>
        <v>Quantitative Text</v>
      </c>
    </row>
    <row r="1900" spans="1:3" ht="13" x14ac:dyDescent="0.15">
      <c r="A1900" s="1" t="str">
        <f ca="1">IFERROR(__xludf.DUMMYFUNCTION("GOOGLETRANSLATE(A1900, ""zh"", ""en"")"),"Based on the sister school pairing, we invite experts and famous teachers to adopt the model of expert-led case study, practical exercises and results display to strengthen local teacher training.")</f>
        <v>Based on the sister school pairing, we invite experts and famous teachers to adopt the model of expert-led case study, practical exercises and results display to strengthen local teacher training.</v>
      </c>
      <c r="B1900" s="1" t="str">
        <f ca="1">IFERROR(__xludf.DUMMYFUNCTION("GOOGLETRANSLATE(A1900, ""zh"", ""en"")"),"staff")</f>
        <v>staff</v>
      </c>
      <c r="C1900" s="1" t="str">
        <f ca="1">IFERROR(__xludf.DUMMYFUNCTION("GOOGLETRANSLATE(E1900, ""zh"", ""en"")"),"Qualitative text")</f>
        <v>Qualitative text</v>
      </c>
    </row>
    <row r="1901" spans="1:3" ht="13" x14ac:dyDescent="0.15">
      <c r="A1901" s="1" t="str">
        <f ca="1">IFERROR(__xludf.DUMMYFUNCTION("GOOGLETRANSLATE(A1901, ""zh"", ""en"")"),"103 Key Performance Indicator A1.3 Total amount of hazardous waste generated in tons and, if applicable, density per unit of production per facility")</f>
        <v>103 Key Performance Indicator A1.3 Total amount of hazardous waste generated in tons and, if applicable, density per unit of production per facility</v>
      </c>
      <c r="B1901" s="1" t="str">
        <f ca="1">IFERROR(__xludf.DUMMYFUNCTION("GOOGLETRANSLATE(A1901, ""zh"", ""en"")"),"Waste Management")</f>
        <v>Waste Management</v>
      </c>
      <c r="C1901" s="1" t="str">
        <f ca="1">IFERROR(__xludf.DUMMYFUNCTION("GOOGLETRANSLATE(E1901, ""zh"", ""en"")"),"Quantitative Text")</f>
        <v>Quantitative Text</v>
      </c>
    </row>
    <row r="1902" spans="1:3" ht="13" x14ac:dyDescent="0.15">
      <c r="A1902" s="1" t="str">
        <f ca="1">IFERROR(__xludf.DUMMYFUNCTION("GOOGLETRANSLATE(A1902, ""zh"", ""en"")"),"In 2022, the company will carry out various forms of employee cultural and sports activities to enrich employees' work and life, enhance communication and exchanges among employees, and improve team cohesion.")</f>
        <v>In 2022, the company will carry out various forms of employee cultural and sports activities to enrich employees' work and life, enhance communication and exchanges among employees, and improve team cohesion.</v>
      </c>
      <c r="B1902" s="1" t="str">
        <f ca="1">IFERROR(__xludf.DUMMYFUNCTION("GOOGLETRANSLATE(A1902, ""zh"", ""en"")"),"staff")</f>
        <v>staff</v>
      </c>
      <c r="C1902" s="1" t="str">
        <f ca="1">IFERROR(__xludf.DUMMYFUNCTION("GOOGLETRANSLATE(E1902, ""zh"", ""en"")"),"Qualitative text")</f>
        <v>Qualitative text</v>
      </c>
    </row>
    <row r="1903" spans="1:3" ht="13" x14ac:dyDescent="0.15">
      <c r="A1903" s="1" t="str">
        <f ca="1">IFERROR(__xludf.DUMMYFUNCTION("GOOGLETRANSLATE(A1903, ""zh"", ""en"")"),"This year, the company adhered to the closed-loop management mechanism of performance planning process management, assessment and evaluation results feedback and application, and communicated with employees on the assessment results.")</f>
        <v>This year, the company adhered to the closed-loop management mechanism of performance planning process management, assessment and evaluation results feedback and application, and communicated with employees on the assessment results.</v>
      </c>
      <c r="B1903" s="1" t="str">
        <f ca="1">IFERROR(__xludf.DUMMYFUNCTION("GOOGLETRANSLATE(A1903, ""zh"", ""en"")"),"staff")</f>
        <v>staff</v>
      </c>
      <c r="C1903" s="1" t="str">
        <f ca="1">IFERROR(__xludf.DUMMYFUNCTION("GOOGLETRANSLATE(E1903, ""zh"", ""en"")"),"Qualitative text")</f>
        <v>Qualitative text</v>
      </c>
    </row>
    <row r="1904" spans="1:3" ht="13" x14ac:dyDescent="0.15">
      <c r="A1904" s="1" t="str">
        <f ca="1">IFERROR(__xludf.DUMMYFUNCTION("GOOGLETRANSLATE(A1904, ""zh"", ""en"")"),"Reporting Scope Unless otherwise stated, the reporting scope of this report covers the environmental, social and governance performance of the entire Group, including the headquarters and domestic and overseas subsidiaries.")</f>
        <v>Reporting Scope Unless otherwise stated, the reporting scope of this report covers the environmental, social and governance performance of the entire Group, including the headquarters and domestic and overseas subsidiaries.</v>
      </c>
      <c r="B1904" s="1" t="str">
        <f ca="1">IFERROR(__xludf.DUMMYFUNCTION("GOOGLETRANSLATE(A1904, ""zh"", ""en"")"),"irrelevant text")</f>
        <v>irrelevant text</v>
      </c>
      <c r="C1904" s="1" t="str">
        <f ca="1">IFERROR(__xludf.DUMMYFUNCTION("GOOGLETRANSLATE(E1904, ""zh"", ""en"")"),"irrelevant text")</f>
        <v>irrelevant text</v>
      </c>
    </row>
    <row r="1905" spans="1:3" ht="13" x14ac:dyDescent="0.15">
      <c r="A1905" s="1" t="str">
        <f ca="1">IFERROR(__xludf.DUMMYFUNCTION("GOOGLETRANSLATE(A1905, ""zh"", ""en"")"),"This year, the company revised its Anti-Money Laundering Compliance Manual, which comprehensively introduced the company's money laundering risk management background, significance, division of responsibilities, policies and procedures.")</f>
        <v>This year, the company revised its Anti-Money Laundering Compliance Manual, which comprehensively introduced the company's money laundering risk management background, significance, division of responsibilities, policies and procedures.</v>
      </c>
      <c r="B1905" s="1" t="str">
        <f ca="1">IFERROR(__xludf.DUMMYFUNCTION("GOOGLETRANSLATE(A1905, ""zh"", ""en"")"),"Anti-corruption and anti-money laundering")</f>
        <v>Anti-corruption and anti-money laundering</v>
      </c>
      <c r="C1905" s="1" t="str">
        <f ca="1">IFERROR(__xludf.DUMMYFUNCTION("GOOGLETRANSLATE(E1905, ""zh"", ""en"")"),"Qualitative text")</f>
        <v>Qualitative text</v>
      </c>
    </row>
    <row r="1906" spans="1:3" ht="13" x14ac:dyDescent="0.15">
      <c r="A1906" s="1" t="str">
        <f ca="1">IFERROR(__xludf.DUMMYFUNCTION("GOOGLETRANSLATE(A1906, ""zh"", ""en"")"),"We aim to meet the aspirations of our employees for a better life by creating a comprehensive service platform for employees and establishing a precise connection platform between social resources and employee needs.")</f>
        <v>We aim to meet the aspirations of our employees for a better life by creating a comprehensive service platform for employees and establishing a precise connection platform between social resources and employee needs.</v>
      </c>
      <c r="B1906" s="1" t="str">
        <f ca="1">IFERROR(__xludf.DUMMYFUNCTION("GOOGLETRANSLATE(A1906, ""zh"", ""en"")"),"staff")</f>
        <v>staff</v>
      </c>
      <c r="C1906" s="1" t="str">
        <f ca="1">IFERROR(__xludf.DUMMYFUNCTION("GOOGLETRANSLATE(E1906, ""zh"", ""en"")"),"Qualitative text")</f>
        <v>Qualitative text</v>
      </c>
    </row>
    <row r="1907" spans="1:3" ht="13" x14ac:dyDescent="0.15">
      <c r="A1907" s="1" t="str">
        <f ca="1">IFERROR(__xludf.DUMMYFUNCTION("GOOGLETRANSLATE(A1907, ""zh"", ""en"")"),"The company's innovative capabilities and system proposals have been recognized by multiple relevant authorities and won the 2021 Outstanding Member Award from the Shanghai Environment and Energy Exchange.")</f>
        <v>The company's innovative capabilities and system proposals have been recognized by multiple relevant authorities and won the 2021 Outstanding Member Award from the Shanghai Environment and Energy Exchange.</v>
      </c>
      <c r="B1907" s="1" t="str">
        <f ca="1">IFERROR(__xludf.DUMMYFUNCTION("GOOGLETRANSLATE(A1907, ""zh"", ""en"")"),"Technological innovation")</f>
        <v>Technological innovation</v>
      </c>
      <c r="C1907" s="1" t="str">
        <f ca="1">IFERROR(__xludf.DUMMYFUNCTION("GOOGLETRANSLATE(E1907, ""zh"", ""en"")"),"Quantitative Text")</f>
        <v>Quantitative Text</v>
      </c>
    </row>
    <row r="1908" spans="1:3" ht="13" x14ac:dyDescent="0.15">
      <c r="A1908" s="1" t="str">
        <f ca="1">IFERROR(__xludf.DUMMYFUNCTION("GOOGLETRANSLATE(A1908, ""zh"", ""en"")"),"2. The types of non-hazardous waste involved in the Group’s operations mainly include discarded electronic information products, discarded office supplies, discarded batteries and discarded vehicles.")</f>
        <v>2. The types of non-hazardous waste involved in the Group’s operations mainly include discarded electronic information products, discarded office supplies, discarded batteries and discarded vehicles.</v>
      </c>
      <c r="B1908" s="1" t="str">
        <f ca="1">IFERROR(__xludf.DUMMYFUNCTION("GOOGLETRANSLATE(A1908, ""zh"", ""en"")"),"Waste Management")</f>
        <v>Waste Management</v>
      </c>
      <c r="C1908" s="1" t="str">
        <f ca="1">IFERROR(__xludf.DUMMYFUNCTION("GOOGLETRANSLATE(E1908, ""zh"", ""en"")"),"Qualitative text")</f>
        <v>Qualitative text</v>
      </c>
    </row>
    <row r="1909" spans="1:3" ht="13" x14ac:dyDescent="0.15">
      <c r="A1909" s="1" t="str">
        <f ca="1">IFERROR(__xludf.DUMMYFUNCTION("GOOGLETRANSLATE(A1909, ""zh"", ""en"")"),"In order to better fulfill its responsibilities and mission as a state-owned enterprise, Shanghai Electric has always regarded charity as an important part of its social responsibility.")</f>
        <v>In order to better fulfill its responsibilities and mission as a state-owned enterprise, Shanghai Electric has always regarded charity as an important part of its social responsibility.</v>
      </c>
      <c r="B1909" s="1" t="str">
        <f ca="1">IFERROR(__xludf.DUMMYFUNCTION("GOOGLETRANSLATE(A1909, ""zh"", ""en"")"),"Public welfare and volunteer service")</f>
        <v>Public welfare and volunteer service</v>
      </c>
      <c r="C1909" s="1" t="str">
        <f ca="1">IFERROR(__xludf.DUMMYFUNCTION("GOOGLETRANSLATE(E1909, ""zh"", ""en"")"),"Qualitative text")</f>
        <v>Qualitative text</v>
      </c>
    </row>
    <row r="1910" spans="1:3" ht="13" x14ac:dyDescent="0.15">
      <c r="A1910" s="1" t="str">
        <f ca="1">IFERROR(__xludf.DUMMYFUNCTION("GOOGLETRANSLATE(A1910, ""zh"", ""en"")"),"The company discloses its management strategy and progress in addressing climate change in accordance with the recommendations of the Task Force on Climate-related Financial Disclosures (TCFD).")</f>
        <v>The company discloses its management strategy and progress in addressing climate change in accordance with the recommendations of the Task Force on Climate-related Financial Disclosures (TCFD).</v>
      </c>
      <c r="B1910" s="1" t="str">
        <f ca="1">IFERROR(__xludf.DUMMYFUNCTION("GOOGLETRANSLATE(A1910, ""zh"", ""en"")"),"Addressing climate change")</f>
        <v>Addressing climate change</v>
      </c>
      <c r="C1910" s="1" t="str">
        <f ca="1">IFERROR(__xludf.DUMMYFUNCTION("GOOGLETRANSLATE(E1910, ""zh"", ""en"")"),"Qualitative text")</f>
        <v>Qualitative text</v>
      </c>
    </row>
    <row r="1911" spans="1:3" ht="13" x14ac:dyDescent="0.15">
      <c r="A1911" s="1" t="str">
        <f ca="1">IFERROR(__xludf.DUMMYFUNCTION("GOOGLETRANSLATE(A1911, ""zh"", ""en"")"),"As a national treasure, we have the great ideal of revitalizing the national industry. We have bravely climbed to the top and reaped fruitful results through hard work and sweat.")</f>
        <v>As a national treasure, we have the great ideal of revitalizing the national industry. We have bravely climbed to the top and reaped fruitful results through hard work and sweat.</v>
      </c>
      <c r="B1911" s="1" t="str">
        <f ca="1">IFERROR(__xludf.DUMMYFUNCTION("GOOGLETRANSLATE(A1911, ""zh"", ""en"")"),"irrelevant text")</f>
        <v>irrelevant text</v>
      </c>
      <c r="C1911" s="1" t="str">
        <f ca="1">IFERROR(__xludf.DUMMYFUNCTION("GOOGLETRANSLATE(E1911, ""zh"", ""en"")"),"irrelevant text")</f>
        <v>irrelevant text</v>
      </c>
    </row>
    <row r="1912" spans="1:3" ht="13" x14ac:dyDescent="0.15">
      <c r="A1912" s="1" t="str">
        <f ca="1">IFERROR(__xludf.DUMMYFUNCTION("GOOGLETRANSLATE(A1912, ""zh"", ""en"")"),"Songping Hut is a community service station set up for people with mental disabilities. It aims to help them improve their ability to integrate into society by building a platform for social participation.")</f>
        <v>Songping Hut is a community service station set up for people with mental disabilities. It aims to help them improve their ability to integrate into society by building a platform for social participation.</v>
      </c>
      <c r="B1912" s="1" t="str">
        <f ca="1">IFERROR(__xludf.DUMMYFUNCTION("GOOGLETRANSLATE(A1912, ""zh"", ""en"")"),"Public welfare and volunteer service")</f>
        <v>Public welfare and volunteer service</v>
      </c>
      <c r="C1912" s="1" t="str">
        <f ca="1">IFERROR(__xludf.DUMMYFUNCTION("GOOGLETRANSLATE(E1912, ""zh"", ""en"")"),"Qualitative text")</f>
        <v>Qualitative text</v>
      </c>
    </row>
    <row r="1913" spans="1:3" ht="13" x14ac:dyDescent="0.15">
      <c r="A1913" s="1" t="str">
        <f ca="1">IFERROR(__xludf.DUMMYFUNCTION("GOOGLETRANSLATE(A1913, ""zh"", ""en"")"),"We strengthen theoretical guidance on party building, continue to implement the ""three meetings and one lesson"" system, strengthen the interaction between the party and the masses, actively promote the construction of party and mass culture, and enhance"&amp;" the vitality of the party organization in the enterprise.")</f>
        <v>We strengthen theoretical guidance on party building, continue to implement the "three meetings and one lesson" system, strengthen the interaction between the party and the masses, actively promote the construction of party and mass culture, and enhance the vitality of the party organization in the enterprise.</v>
      </c>
      <c r="B1913" s="1" t="str">
        <f ca="1">IFERROR(__xludf.DUMMYFUNCTION("GOOGLETRANSLATE(A1913, ""zh"", ""en"")"),"Organizational structure and operations")</f>
        <v>Organizational structure and operations</v>
      </c>
      <c r="C1913" s="1" t="str">
        <f ca="1">IFERROR(__xludf.DUMMYFUNCTION("GOOGLETRANSLATE(E1913, ""zh"", ""en"")"),"Qualitative text")</f>
        <v>Qualitative text</v>
      </c>
    </row>
    <row r="1914" spans="1:3" ht="13" x14ac:dyDescent="0.15">
      <c r="A1914" s="1" t="str">
        <f ca="1">IFERROR(__xludf.DUMMYFUNCTION("GOOGLETRANSLATE(A1914, ""zh"", ""en"")"),"The Audit Committee of the Group's Board of Directors is responsible for coordinating the integrity management work. The Supervision and Audit Department is responsible for coordinating the implementation of relevant work to ensure that the business is ca"&amp;"rried out legally and in compliance with regulations.")</f>
        <v>The Audit Committee of the Group's Board of Directors is responsible for coordinating the integrity management work. The Supervision and Audit Department is responsible for coordinating the implementation of relevant work to ensure that the business is carried out legally and in compliance with regulations.</v>
      </c>
      <c r="B1914" s="1" t="str">
        <f ca="1">IFERROR(__xludf.DUMMYFUNCTION("GOOGLETRANSLATE(A1914, ""zh"", ""en"")"),"Audit work")</f>
        <v>Audit work</v>
      </c>
      <c r="C1914" s="1" t="str">
        <f ca="1">IFERROR(__xludf.DUMMYFUNCTION("GOOGLETRANSLATE(E1914, ""zh"", ""en"")"),"Qualitative text")</f>
        <v>Qualitative text</v>
      </c>
    </row>
    <row r="1915" spans="1:3" ht="13" x14ac:dyDescent="0.15">
      <c r="A1915" s="1" t="str">
        <f ca="1">IFERROR(__xludf.DUMMYFUNCTION("GOOGLETRANSLATE(A1915, ""zh"", ""en"")"),"4.6.1 Improve the integrity system. Jiankangyuan has established a sound integrity management system and manages business ethics and anti-corruption issues at the board level.")</f>
        <v>4.6.1 Improve the integrity system. Jiankangyuan has established a sound integrity management system and manages business ethics and anti-corruption issues at the board level.</v>
      </c>
      <c r="B1915" s="1" t="str">
        <f ca="1">IFERROR(__xludf.DUMMYFUNCTION("GOOGLETRANSLATE(A1915, ""zh"", ""en"")"),"Anti-corruption and anti-money laundering")</f>
        <v>Anti-corruption and anti-money laundering</v>
      </c>
      <c r="C1915" s="1" t="str">
        <f ca="1">IFERROR(__xludf.DUMMYFUNCTION("GOOGLETRANSLATE(E1915, ""zh"", ""en"")"),"Qualitative text")</f>
        <v>Qualitative text</v>
      </c>
    </row>
    <row r="1916" spans="1:3" ht="13" x14ac:dyDescent="0.15">
      <c r="A1916" s="1" t="str">
        <f ca="1">IFERROR(__xludf.DUMMYFUNCTION("GOOGLETRANSLATE(A1916, ""zh"", ""en"")"),"On the one hand, it helps the group recruit more high-quality fresh graduates to continuously supplement high-potential reserve talents; on the other hand, it can also promote the transformation and implementation of industry-university-research results.")</f>
        <v>On the one hand, it helps the group recruit more high-quality fresh graduates to continuously supplement high-potential reserve talents; on the other hand, it can also promote the transformation and implementation of industry-university-research results.</v>
      </c>
      <c r="B1916" s="1" t="str">
        <f ca="1">IFERROR(__xludf.DUMMYFUNCTION("GOOGLETRANSLATE(A1916, ""zh"", ""en"")"),"Promoting employment")</f>
        <v>Promoting employment</v>
      </c>
      <c r="C1916" s="1" t="str">
        <f ca="1">IFERROR(__xludf.DUMMYFUNCTION("GOOGLETRANSLATE(E1916, ""zh"", ""en"")"),"Qualitative text")</f>
        <v>Qualitative text</v>
      </c>
    </row>
    <row r="1917" spans="1:3" ht="13" x14ac:dyDescent="0.15">
      <c r="A1917" s="1" t="str">
        <f ca="1">IFERROR(__xludf.DUMMYFUNCTION("GOOGLETRANSLATE(A1917, ""zh"", ""en"")"),"We help employees improve their academic qualifications by carrying out on-the-job master's and doctoral degree programs and assisting employees in applying for relevant specific qualifications or national professional title certification.")</f>
        <v>We help employees improve their academic qualifications by carrying out on-the-job master's and doctoral degree programs and assisting employees in applying for relevant specific qualifications or national professional title certification.</v>
      </c>
      <c r="B1917" s="1" t="str">
        <f ca="1">IFERROR(__xludf.DUMMYFUNCTION("GOOGLETRANSLATE(A1917, ""zh"", ""en"")"),"staff")</f>
        <v>staff</v>
      </c>
      <c r="C1917" s="1" t="str">
        <f ca="1">IFERROR(__xludf.DUMMYFUNCTION("GOOGLETRANSLATE(E1917, ""zh"", ""en"")"),"Qualitative text")</f>
        <v>Qualitative text</v>
      </c>
    </row>
    <row r="1918" spans="1:3" ht="13" x14ac:dyDescent="0.15">
      <c r="A1918" s="1" t="str">
        <f ca="1">IFERROR(__xludf.DUMMYFUNCTION("GOOGLETRANSLATE(A1918, ""zh"", ""en"")"),"Each production subsidiary uses the corrective and preventive measures management regulations as a guide to continuously make follow-up corrections to the non-conforming items in the internal audit and promote the implementation of rectification work.")</f>
        <v>Each production subsidiary uses the corrective and preventive measures management regulations as a guide to continuously make follow-up corrections to the non-conforming items in the internal audit and promote the implementation of rectification work.</v>
      </c>
      <c r="B1918" s="1" t="str">
        <f ca="1">IFERROR(__xludf.DUMMYFUNCTION("GOOGLETRANSLATE(A1918, ""zh"", ""en"")"),"Audit work")</f>
        <v>Audit work</v>
      </c>
      <c r="C1918" s="1" t="str">
        <f ca="1">IFERROR(__xludf.DUMMYFUNCTION("GOOGLETRANSLATE(E1918, ""zh"", ""en"")"),"Qualitative text")</f>
        <v>Qualitative text</v>
      </c>
    </row>
    <row r="1919" spans="1:3" ht="13" x14ac:dyDescent="0.15">
      <c r="A1919" s="1" t="str">
        <f ca="1">IFERROR(__xludf.DUMMYFUNCTION("GOOGLETRANSLATE(A1919, ""zh"", ""en"")"),"Starting from 2021, we will be the first among provincial state-owned enterprises to implement the annual performance evaluation of external directors appointed by the group in combination with cadre adjustment, exchange, training and use.")</f>
        <v>Starting from 2021, we will be the first among provincial state-owned enterprises to implement the annual performance evaluation of external directors appointed by the group in combination with cadre adjustment, exchange, training and use.</v>
      </c>
      <c r="B1919" s="1" t="str">
        <f ca="1">IFERROR(__xludf.DUMMYFUNCTION("GOOGLETRANSLATE(A1919, ""zh"", ""en"")"),"Organizational structure and operations")</f>
        <v>Organizational structure and operations</v>
      </c>
      <c r="C1919" s="1" t="str">
        <f ca="1">IFERROR(__xludf.DUMMYFUNCTION("GOOGLETRANSLATE(E1919, ""zh"", ""en"")"),"Qualitative text")</f>
        <v>Qualitative text</v>
      </c>
    </row>
    <row r="1920" spans="1:3" ht="13" x14ac:dyDescent="0.15">
      <c r="A1920" s="1" t="str">
        <f ca="1">IFERROR(__xludf.DUMMYFUNCTION("GOOGLETRANSLATE(A1920, ""zh"", ""en"")"),"We have promoted trade unions at all levels to establish employee cultural and sports clubs. 119 clubs have 3,000 regular members and have held over 2,400 club activities.")</f>
        <v>We have promoted trade unions at all levels to establish employee cultural and sports clubs. 119 clubs have 3,000 regular members and have held over 2,400 club activities.</v>
      </c>
      <c r="B1920" s="1" t="str">
        <f ca="1">IFERROR(__xludf.DUMMYFUNCTION("GOOGLETRANSLATE(A1920, ""zh"", ""en"")"),"staff")</f>
        <v>staff</v>
      </c>
      <c r="C1920" s="1" t="str">
        <f ca="1">IFERROR(__xludf.DUMMYFUNCTION("GOOGLETRANSLATE(E1920, ""zh"", ""en"")"),"Quantitative Text")</f>
        <v>Quantitative Text</v>
      </c>
    </row>
    <row r="1921" spans="1:3" ht="13" x14ac:dyDescent="0.15">
      <c r="A1921" s="1" t="str">
        <f ca="1">IFERROR(__xludf.DUMMYFUNCTION("GOOGLETRANSLATE(A1921, ""zh"", ""en"")"),"107 Key Performance Indicator A1.4 Total amount of non-hazardous waste generated, calculated in tons and, if applicable, density, calculated per unit of production per facility")</f>
        <v>107 Key Performance Indicator A1.4 Total amount of non-hazardous waste generated, calculated in tons and, if applicable, density, calculated per unit of production per facility</v>
      </c>
      <c r="B1921" s="1" t="str">
        <f ca="1">IFERROR(__xludf.DUMMYFUNCTION("GOOGLETRANSLATE(A1921, ""zh"", ""en"")"),"Waste Management")</f>
        <v>Waste Management</v>
      </c>
      <c r="C1921" s="1" t="str">
        <f ca="1">IFERROR(__xludf.DUMMYFUNCTION("GOOGLETRANSLATE(E1921, ""zh"", ""en"")"),"Quantitative Text")</f>
        <v>Quantitative Text</v>
      </c>
    </row>
    <row r="1922" spans="1:3" ht="13" x14ac:dyDescent="0.15">
      <c r="A1922" s="1" t="str">
        <f ca="1">IFERROR(__xludf.DUMMYFUNCTION("GOOGLETRANSLATE(A1922, ""zh"", ""en"")"),"106 Key Performance Indicator A1.3 Total amount of hazardous waste generated in tons and, if applicable, density per unit of production per facility")</f>
        <v>106 Key Performance Indicator A1.3 Total amount of hazardous waste generated in tons and, if applicable, density per unit of production per facility</v>
      </c>
      <c r="B1922" s="1" t="str">
        <f ca="1">IFERROR(__xludf.DUMMYFUNCTION("GOOGLETRANSLATE(A1922, ""zh"", ""en"")"),"Waste Management")</f>
        <v>Waste Management</v>
      </c>
      <c r="C1922" s="1" t="str">
        <f ca="1">IFERROR(__xludf.DUMMYFUNCTION("GOOGLETRANSLATE(E1922, ""zh"", ""en"")"),"Qualitative text")</f>
        <v>Qualitative text</v>
      </c>
    </row>
    <row r="1923" spans="1:3" ht="13" x14ac:dyDescent="0.15">
      <c r="A1923" s="1" t="str">
        <f ca="1">IFERROR(__xludf.DUMMYFUNCTION("GOOGLETRANSLATE(A1923, ""zh"", ""en"")"),"Reporting Scope Explain the reporting scope of the ESG report and describe the process for selecting entities or businesses to be included in the ESG report")</f>
        <v>Reporting Scope Explain the reporting scope of the ESG report and describe the process for selecting entities or businesses to be included in the ESG report</v>
      </c>
      <c r="B1923" s="1" t="str">
        <f ca="1">IFERROR(__xludf.DUMMYFUNCTION("GOOGLETRANSLATE(A1923, ""zh"", ""en"")"),"irrelevant text")</f>
        <v>irrelevant text</v>
      </c>
      <c r="C1923" s="1" t="str">
        <f ca="1">IFERROR(__xludf.DUMMYFUNCTION("GOOGLETRANSLATE(E1923, ""zh"", ""en"")"),"irrelevant text")</f>
        <v>irrelevant text</v>
      </c>
    </row>
    <row r="1924" spans="1:3" ht="13" x14ac:dyDescent="0.15">
      <c r="A1924" s="1" t="str">
        <f ca="1">IFERROR(__xludf.DUMMYFUNCTION("GOOGLETRANSLATE(A1924, ""zh"", ""en"")"),"According to the group's safety CNC platform indicator system, Yunshang Company has signed 34 safety responsibility letters with all its subsidiaries and departments.")</f>
        <v>According to the group's safety CNC platform indicator system, Yunshang Company has signed 34 safety responsibility letters with all its subsidiaries and departments.</v>
      </c>
      <c r="B1924" s="1" t="str">
        <f ca="1">IFERROR(__xludf.DUMMYFUNCTION("GOOGLETRANSLATE(A1924, ""zh"", ""en"")"),"Data security")</f>
        <v>Data security</v>
      </c>
      <c r="C1924" s="1" t="str">
        <f ca="1">IFERROR(__xludf.DUMMYFUNCTION("GOOGLETRANSLATE(E1924, ""zh"", ""en"")"),"Quantitative Text")</f>
        <v>Quantitative Text</v>
      </c>
    </row>
    <row r="1925" spans="1:3" ht="13" x14ac:dyDescent="0.15">
      <c r="A1925" s="1" t="str">
        <f ca="1">IFERROR(__xludf.DUMMYFUNCTION("GOOGLETRANSLATE(A1925, ""zh"", ""en"")"),"In accordance with the company's actual situation and the social responsibilities assumed by the world's top 500 companies and listed companies, we strictly control safety indicators and strictly carry out process and target assessments.")</f>
        <v>In accordance with the company's actual situation and the social responsibilities assumed by the world's top 500 companies and listed companies, we strictly control safety indicators and strictly carry out process and target assessments.</v>
      </c>
      <c r="B1925" s="1" t="str">
        <f ca="1">IFERROR(__xludf.DUMMYFUNCTION("GOOGLETRANSLATE(A1925, ""zh"", ""en"")"),"Product quality")</f>
        <v>Product quality</v>
      </c>
      <c r="C1925" s="1" t="str">
        <f ca="1">IFERROR(__xludf.DUMMYFUNCTION("GOOGLETRANSLATE(E1925, ""zh"", ""en"")"),"Qualitative text")</f>
        <v>Qualitative text</v>
      </c>
    </row>
    <row r="1926" spans="1:3" ht="13" x14ac:dyDescent="0.15">
      <c r="A1926" s="1" t="str">
        <f ca="1">IFERROR(__xludf.DUMMYFUNCTION("GOOGLETRANSLATE(A1926, ""zh"", ""en"")"),"Zhan Guojing of its Langhe International Medical and Nursing Center was awarded the title of Zhejiang Golden Blue Collar for his outstanding performance in the 2021 Provincial Employee Vocational Skills Competition")</f>
        <v>Zhan Guojing of its Langhe International Medical and Nursing Center was awarded the title of Zhejiang Golden Blue Collar for his outstanding performance in the 2021 Provincial Employee Vocational Skills Competition</v>
      </c>
      <c r="B1926" s="1" t="str">
        <f ca="1">IFERROR(__xludf.DUMMYFUNCTION("GOOGLETRANSLATE(A1926, ""zh"", ""en"")"),"staff")</f>
        <v>staff</v>
      </c>
      <c r="C1926" s="1" t="str">
        <f ca="1">IFERROR(__xludf.DUMMYFUNCTION("GOOGLETRANSLATE(E1926, ""zh"", ""en"")"),"Qualitative text")</f>
        <v>Qualitative text</v>
      </c>
    </row>
    <row r="1927" spans="1:3" ht="13" x14ac:dyDescent="0.15">
      <c r="A1927" s="1" t="str">
        <f ca="1">IFERROR(__xludf.DUMMYFUNCTION("GOOGLETRANSLATE(A1927, ""zh"", ""en"")"),"The Internal Control Management Center implements regular testing and assessment of operating risks at each operating base and mining area through a layered approach and publishes risk assessment reports.")</f>
        <v>The Internal Control Management Center implements regular testing and assessment of operating risks at each operating base and mining area through a layered approach and publishes risk assessment reports.</v>
      </c>
      <c r="B1927" s="1" t="str">
        <f ca="1">IFERROR(__xludf.DUMMYFUNCTION("GOOGLETRANSLATE(A1927, ""zh"", ""en"")"),"Organizational structure and operations")</f>
        <v>Organizational structure and operations</v>
      </c>
      <c r="C1927" s="1" t="str">
        <f ca="1">IFERROR(__xludf.DUMMYFUNCTION("GOOGLETRANSLATE(E1927, ""zh"", ""en"")"),"Qualitative text")</f>
        <v>Qualitative text</v>
      </c>
    </row>
    <row r="1928" spans="1:3" ht="13" x14ac:dyDescent="0.15">
      <c r="A1928" s="1" t="str">
        <f ca="1">IFERROR(__xludf.DUMMYFUNCTION("GOOGLETRANSLATE(A1928, ""zh"", ""en"")"),"Specifically, we collect the mineral processing wastewater from the mine production system into the tailings pond and process it through the water treatment system before reusing it in the production process.")</f>
        <v>Specifically, we collect the mineral processing wastewater from the mine production system into the tailings pond and process it through the water treatment system before reusing it in the production process.</v>
      </c>
      <c r="B1928" s="1" t="str">
        <f ca="1">IFERROR(__xludf.DUMMYFUNCTION("GOOGLETRANSLATE(A1928, ""zh"", ""en"")"),"Waste Management")</f>
        <v>Waste Management</v>
      </c>
      <c r="C1928" s="1" t="str">
        <f ca="1">IFERROR(__xludf.DUMMYFUNCTION("GOOGLETRANSLATE(E1928, ""zh"", ""en"")"),"Qualitative text")</f>
        <v>Qualitative text</v>
      </c>
    </row>
    <row r="1929" spans="1:3" ht="13" x14ac:dyDescent="0.15">
      <c r="A1929" s="1" t="str">
        <f ca="1">IFERROR(__xludf.DUMMYFUNCTION("GOOGLETRANSLATE(A1929, ""zh"", ""en"")"),"During the mining phase, we make comprehensive use of the waste rock, using it as building materials or for repairing roads, building tailings ponds, and filling underground goafs.")</f>
        <v>During the mining phase, we make comprehensive use of the waste rock, using it as building materials or for repairing roads, building tailings ponds, and filling underground goafs.</v>
      </c>
      <c r="B1929" s="1" t="str">
        <f ca="1">IFERROR(__xludf.DUMMYFUNCTION("GOOGLETRANSLATE(A1929, ""zh"", ""en"")"),"Waste Management")</f>
        <v>Waste Management</v>
      </c>
      <c r="C1929" s="1" t="str">
        <f ca="1">IFERROR(__xludf.DUMMYFUNCTION("GOOGLETRANSLATE(E1929, ""zh"", ""en"")"),"Qualitative text")</f>
        <v>Qualitative text</v>
      </c>
    </row>
    <row r="1930" spans="1:3" ht="13" x14ac:dyDescent="0.15">
      <c r="A1930" s="1" t="str">
        <f ca="1">IFERROR(__xludf.DUMMYFUNCTION("GOOGLETRANSLATE(A1930, ""zh"", ""en"")"),"P2841A4 General Disclosure on Climate Change Policies for identifying and addressing significant climate-related issues that have or may have an impact on the issuer")</f>
        <v>P2841A4 General Disclosure on Climate Change Policies for identifying and addressing significant climate-related issues that have or may have an impact on the issuer</v>
      </c>
      <c r="B1930" s="1" t="str">
        <f ca="1">IFERROR(__xludf.DUMMYFUNCTION("GOOGLETRANSLATE(A1930, ""zh"", ""en"")"),"Addressing climate change")</f>
        <v>Addressing climate change</v>
      </c>
      <c r="C1930" s="1" t="str">
        <f ca="1">IFERROR(__xludf.DUMMYFUNCTION("GOOGLETRANSLATE(E1930, ""zh"", ""en"")"),"Qualitative text")</f>
        <v>Qualitative text</v>
      </c>
    </row>
    <row r="1931" spans="1:3" ht="13" x14ac:dyDescent="0.15">
      <c r="A1931" s="1" t="str">
        <f ca="1">IFERROR(__xludf.DUMMYFUNCTION("GOOGLETRANSLATE(A1931, ""zh"", ""en"")"),"In addition, Panxi Village, Yuxi Town, Daozhen Gelao and Miao Autonomous County, Guizhou Province is located in a dangerous place, and the road lighting equipment often malfunctions, posing a major safety hazard.")</f>
        <v>In addition, Panxi Village, Yuxi Town, Daozhen Gelao and Miao Autonomous County, Guizhou Province is located in a dangerous place, and the road lighting equipment often malfunctions, posing a major safety hazard.</v>
      </c>
      <c r="B1931" s="1" t="str">
        <f ca="1">IFERROR(__xludf.DUMMYFUNCTION("GOOGLETRANSLATE(A1931, ""zh"", ""en"")"),"irrelevant text")</f>
        <v>irrelevant text</v>
      </c>
      <c r="C1931" s="1" t="str">
        <f ca="1">IFERROR(__xludf.DUMMYFUNCTION("GOOGLETRANSLATE(E1931, ""zh"", ""en"")"),"irrelevant text")</f>
        <v>irrelevant text</v>
      </c>
    </row>
    <row r="1932" spans="1:3" ht="13" x14ac:dyDescent="0.15">
      <c r="A1932" s="1" t="str">
        <f ca="1">IFERROR(__xludf.DUMMYFUNCTION("GOOGLETRANSLATE(A1932, ""zh"", ""en"")"),"In the future, Haier Smart Home will continue to provide material and other assistance to the Hope Project through the Haier Education Foundation to improve the learning environment for children in poor areas.")</f>
        <v>In the future, Haier Smart Home will continue to provide material and other assistance to the Hope Project through the Haier Education Foundation to improve the learning environment for children in poor areas.</v>
      </c>
      <c r="B1932" s="1" t="str">
        <f ca="1">IFERROR(__xludf.DUMMYFUNCTION("GOOGLETRANSLATE(A1932, ""zh"", ""en"")"),"Public welfare and volunteer service")</f>
        <v>Public welfare and volunteer service</v>
      </c>
      <c r="C1932" s="1" t="str">
        <f ca="1">IFERROR(__xludf.DUMMYFUNCTION("GOOGLETRANSLATE(E1932, ""zh"", ""en"")"),"Qualitative text")</f>
        <v>Qualitative text</v>
      </c>
    </row>
    <row r="1933" spans="1:3" ht="13" x14ac:dyDescent="0.15">
      <c r="A1933" s="1" t="str">
        <f ca="1">IFERROR(__xludf.DUMMYFUNCTION("GOOGLETRANSLATE(A1933, ""zh"", ""en"")"),"New suppliers need to pass quality system audits and social responsibility audits, including business ethics, labor safety, occupational health, fire protection, environmental protection, hazardous waste management, etc.")</f>
        <v>New suppliers need to pass quality system audits and social responsibility audits, including business ethics, labor safety, occupational health, fire protection, environmental protection, hazardous waste management, etc.</v>
      </c>
      <c r="B1933" s="1" t="str">
        <f ca="1">IFERROR(__xludf.DUMMYFUNCTION("GOOGLETRANSLATE(A1933, ""zh"", ""en"")"),"supply chain management")</f>
        <v>supply chain management</v>
      </c>
      <c r="C1933" s="1" t="str">
        <f ca="1">IFERROR(__xludf.DUMMYFUNCTION("GOOGLETRANSLATE(E1933, ""zh"", ""en"")"),"Qualitative text")</f>
        <v>Qualitative text</v>
      </c>
    </row>
    <row r="1934" spans="1:3" ht="13" x14ac:dyDescent="0.15">
      <c r="A1934" s="1" t="str">
        <f ca="1">IFERROR(__xludf.DUMMYFUNCTION("GOOGLETRANSLATE(A1934, ""zh"", ""en"")"),"To improve employees' quality of life and their sense of pride in their work, the company provides employees with benefits such as housing discounts for their children's Haier school projects and discounts on home appliances purchased within the company.")</f>
        <v>To improve employees' quality of life and their sense of pride in their work, the company provides employees with benefits such as housing discounts for their children's Haier school projects and discounts on home appliances purchased within the company.</v>
      </c>
      <c r="B1934" s="1" t="str">
        <f ca="1">IFERROR(__xludf.DUMMYFUNCTION("GOOGLETRANSLATE(A1934, ""zh"", ""en"")"),"staff")</f>
        <v>staff</v>
      </c>
      <c r="C1934" s="1" t="str">
        <f ca="1">IFERROR(__xludf.DUMMYFUNCTION("GOOGLETRANSLATE(E1934, ""zh"", ""en"")"),"Qualitative text")</f>
        <v>Qualitative text</v>
      </c>
    </row>
    <row r="1935" spans="1:3" ht="13" x14ac:dyDescent="0.15">
      <c r="A1935" s="1" t="str">
        <f ca="1">IFERROR(__xludf.DUMMYFUNCTION("GOOGLETRANSLATE(A1935, ""zh"", ""en"")"),"The results of the 2022 Golden Intelligence Award for Financial Industry Listed Company Value Selection have been officially announced. Haier Smart Home has won the China Listed Company ESG Practice Excellence Award.")</f>
        <v>The results of the 2022 Golden Intelligence Award for Financial Industry Listed Company Value Selection have been officially announced. Haier Smart Home has won the China Listed Company ESG Practice Excellence Award.</v>
      </c>
      <c r="B1935" s="1" t="str">
        <f ca="1">IFERROR(__xludf.DUMMYFUNCTION("GOOGLETRANSLATE(A1935, ""zh"", ""en"")"),"Sustainable certification")</f>
        <v>Sustainable certification</v>
      </c>
      <c r="C1935" s="1" t="str">
        <f ca="1">IFERROR(__xludf.DUMMYFUNCTION("GOOGLETRANSLATE(E1935, ""zh"", ""en"")"),"Quantitative Text")</f>
        <v>Quantitative Text</v>
      </c>
    </row>
    <row r="1936" spans="1:3" ht="13" x14ac:dyDescent="0.15">
      <c r="A1936" s="1" t="str">
        <f ca="1">IFERROR(__xludf.DUMMYFUNCTION("GOOGLETRANSLATE(A1936, ""zh"", ""en"")"),"Since 2009, the company has launched five equity incentive plans and six employee stock ownership plans, with incentives covering 9,500 middle and senior management personnel.")</f>
        <v>Since 2009, the company has launched five equity incentive plans and six employee stock ownership plans, with incentives covering 9,500 middle and senior management personnel.</v>
      </c>
      <c r="B1936" s="1" t="str">
        <f ca="1">IFERROR(__xludf.DUMMYFUNCTION("GOOGLETRANSLATE(A1936, ""zh"", ""en"")"),"staff")</f>
        <v>staff</v>
      </c>
      <c r="C1936" s="1" t="str">
        <f ca="1">IFERROR(__xludf.DUMMYFUNCTION("GOOGLETRANSLATE(E1936, ""zh"", ""en"")"),"Quantitative Text")</f>
        <v>Quantitative Text</v>
      </c>
    </row>
    <row r="1937" spans="1:3" ht="13" x14ac:dyDescent="0.15">
      <c r="A1937" s="1" t="str">
        <f ca="1">IFERROR(__xludf.DUMMYFUNCTION("GOOGLETRANSLATE(A1937, ""zh"", ""en"")"),"The U.S. Environmental Protection Agency recognized GEA with the 2022 Champion Award for Responsible Appliance Disposal for its foam recycling capabilities.")</f>
        <v>The U.S. Environmental Protection Agency recognized GEA with the 2022 Champion Award for Responsible Appliance Disposal for its foam recycling capabilities.</v>
      </c>
      <c r="B1937" s="1" t="str">
        <f ca="1">IFERROR(__xludf.DUMMYFUNCTION("GOOGLETRANSLATE(A1937, ""zh"", ""en"")"),"Waste Management")</f>
        <v>Waste Management</v>
      </c>
      <c r="C1937" s="1" t="str">
        <f ca="1">IFERROR(__xludf.DUMMYFUNCTION("GOOGLETRANSLATE(E1937, ""zh"", ""en"")"),"Qualitative text")</f>
        <v>Qualitative text</v>
      </c>
    </row>
    <row r="1938" spans="1:3" ht="13" x14ac:dyDescent="0.15">
      <c r="A1938" s="1" t="str">
        <f ca="1">IFERROR(__xludf.DUMMYFUNCTION("GOOGLETRANSLATE(A1938, ""zh"", ""en"")"),"The company promises to take all reasonable measures to protect the identity information of whistleblowers and treat whistleblowers fairly in accordance with relevant systems to protect them from any retaliation.")</f>
        <v>The company promises to take all reasonable measures to protect the identity information of whistleblowers and treat whistleblowers fairly in accordance with relevant systems to protect them from any retaliation.</v>
      </c>
      <c r="B1938" s="1" t="str">
        <f ca="1">IFERROR(__xludf.DUMMYFUNCTION("GOOGLETRANSLATE(A1938, ""zh"", ""en"")"),"Reporting System")</f>
        <v>Reporting System</v>
      </c>
      <c r="C1938" s="1" t="str">
        <f ca="1">IFERROR(__xludf.DUMMYFUNCTION("GOOGLETRANSLATE(E1938, ""zh"", ""en"")"),"Qualitative text")</f>
        <v>Qualitative text</v>
      </c>
    </row>
    <row r="1939" spans="1:3" ht="13" x14ac:dyDescent="0.15">
      <c r="A1939" s="1" t="str">
        <f ca="1">IFERROR(__xludf.DUMMYFUNCTION("GOOGLETRANSLATE(A1939, ""zh"", ""en"")"),"Whistleblower protection: We have established whistleblower management regulations for the Haier Smart Home ecosystem platform and have made the online reporting platform and reporting mailbox public to all employees and suppliers.")</f>
        <v>Whistleblower protection: We have established whistleblower management regulations for the Haier Smart Home ecosystem platform and have made the online reporting platform and reporting mailbox public to all employees and suppliers.</v>
      </c>
      <c r="B1939" s="1" t="str">
        <f ca="1">IFERROR(__xludf.DUMMYFUNCTION("GOOGLETRANSLATE(A1939, ""zh"", ""en"")"),"Reporting System")</f>
        <v>Reporting System</v>
      </c>
      <c r="C1939" s="1" t="str">
        <f ca="1">IFERROR(__xludf.DUMMYFUNCTION("GOOGLETRANSLATE(E1939, ""zh"", ""en"")"),"Qualitative text")</f>
        <v>Qualitative text</v>
      </c>
    </row>
    <row r="1940" spans="1:3" ht="13" x14ac:dyDescent="0.15">
      <c r="A1940" s="1" t="str">
        <f ca="1">IFERROR(__xludf.DUMMYFUNCTION("GOOGLETRANSLATE(A1940, ""zh"", ""en"")"),"We require key personnel to sign a letter of commitment to integrity and self-discipline every quarter, and sign an integrity agreement with suppliers to urge employees and suppliers to strictly adhere to the bottom line of compliance.")</f>
        <v>We require key personnel to sign a letter of commitment to integrity and self-discipline every quarter, and sign an integrity agreement with suppliers to urge employees and suppliers to strictly adhere to the bottom line of compliance.</v>
      </c>
      <c r="B1940" s="1" t="str">
        <f ca="1">IFERROR(__xludf.DUMMYFUNCTION("GOOGLETRANSLATE(A1940, ""zh"", ""en"")"),"Anti-corruption and anti-money laundering")</f>
        <v>Anti-corruption and anti-money laundering</v>
      </c>
      <c r="C1940" s="1" t="str">
        <f ca="1">IFERROR(__xludf.DUMMYFUNCTION("GOOGLETRANSLATE(E1940, ""zh"", ""en"")"),"Qualitative text")</f>
        <v>Qualitative text</v>
      </c>
    </row>
    <row r="1941" spans="1:3" ht="13" x14ac:dyDescent="0.15">
      <c r="A1941" s="1" t="str">
        <f ca="1">IFERROR(__xludf.DUMMYFUNCTION("GOOGLETRANSLATE(A1941, ""zh"", ""en"")"),"We report on ESG issues based on the results of our materiality assessment. For details on our materiality assessment work, please refer to the Materiality Assessment section below.")</f>
        <v>We report on ESG issues based on the results of our materiality assessment. For details on our materiality assessment work, please refer to the Materiality Assessment section below.</v>
      </c>
      <c r="B1941" s="1" t="str">
        <f ca="1">IFERROR(__xludf.DUMMYFUNCTION("GOOGLETRANSLATE(A1941, ""zh"", ""en"")"),"irrelevant text")</f>
        <v>irrelevant text</v>
      </c>
      <c r="C1941" s="1" t="str">
        <f ca="1">IFERROR(__xludf.DUMMYFUNCTION("GOOGLETRANSLATE(E1941, ""zh"", ""en"")"),"irrelevant text")</f>
        <v>irrelevant text</v>
      </c>
    </row>
    <row r="1942" spans="1:3" ht="13" x14ac:dyDescent="0.15">
      <c r="A1942" s="1" t="str">
        <f ca="1">IFERROR(__xludf.DUMMYFUNCTION("GOOGLETRANSLATE(A1942, ""zh"", ""en"")"),"Some of the data in this report are extracted from Haier Smart Home Co., Ltd.'s 2022 Annual Report. Other data are from the company's internal system or manual records.")</f>
        <v>Some of the data in this report are extracted from Haier Smart Home Co., Ltd.'s 2022 Annual Report. Other data are from the company's internal system or manual records.</v>
      </c>
      <c r="B1942" s="1" t="str">
        <f ca="1">IFERROR(__xludf.DUMMYFUNCTION("GOOGLETRANSLATE(A1942, ""zh"", ""en"")"),"irrelevant text")</f>
        <v>irrelevant text</v>
      </c>
      <c r="C1942" s="1" t="str">
        <f ca="1">IFERROR(__xludf.DUMMYFUNCTION("GOOGLETRANSLATE(E1942, ""zh"", ""en"")"),"irrelevant text")</f>
        <v>irrelevant text</v>
      </c>
    </row>
    <row r="1943" spans="1:3" ht="13" x14ac:dyDescent="0.15">
      <c r="A1943" s="1" t="str">
        <f ca="1">IFERROR(__xludf.DUMMYFUNCTION("GOOGLETRANSLATE(A1943, ""zh"", ""en"")"),"In the planning and design of the overall area renewal, Dongyuan Zhixin intervened in the planning and design from an operational perspective and participated in the early project planning and function positioning stages.")</f>
        <v>In the planning and design of the overall area renewal, Dongyuan Zhixin intervened in the planning and design from an operational perspective and participated in the early project planning and function positioning stages.</v>
      </c>
      <c r="B1943" s="1" t="str">
        <f ca="1">IFERROR(__xludf.DUMMYFUNCTION("GOOGLETRANSLATE(A1943, ""zh"", ""en"")"),"Organizational structure and operations")</f>
        <v>Organizational structure and operations</v>
      </c>
      <c r="C1943" s="1" t="str">
        <f ca="1">IFERROR(__xludf.DUMMYFUNCTION("GOOGLETRANSLATE(E1943, ""zh"", ""en"")"),"Qualitative text")</f>
        <v>Qualitative text</v>
      </c>
    </row>
    <row r="1944" spans="1:3" ht="13" x14ac:dyDescent="0.15">
      <c r="A1944" s="1" t="str">
        <f ca="1">IFERROR(__xludf.DUMMYFUNCTION("GOOGLETRANSLATE(A1944, ""zh"", ""en"")"),"Carry out large-scale disinfection of the main traffic area of ​​the business owner, and focus on disinfection of relatively closed environments such as unit halls, corridors, elevators, etc. All disinfection work must be recorded")</f>
        <v>Carry out large-scale disinfection of the main traffic area of ​​the business owner, and focus on disinfection of relatively closed environments such as unit halls, corridors, elevators, etc. All disinfection work must be recorded</v>
      </c>
      <c r="B1944" s="1" t="str">
        <f ca="1">IFERROR(__xludf.DUMMYFUNCTION("GOOGLETRANSLATE(A1944, ""zh"", ""en"")"),"Fighting the epidemic")</f>
        <v>Fighting the epidemic</v>
      </c>
      <c r="C1944" s="1" t="str">
        <f ca="1">IFERROR(__xludf.DUMMYFUNCTION("GOOGLETRANSLATE(E1944, ""zh"", ""en"")"),"Qualitative text")</f>
        <v>Qualitative text</v>
      </c>
    </row>
    <row r="1945" spans="1:3" ht="13" x14ac:dyDescent="0.15">
      <c r="A1945" s="1" t="str">
        <f ca="1">IFERROR(__xludf.DUMMYFUNCTION("GOOGLETRANSLATE(A1945, ""zh"", ""en"")"),"We are willing to play a supporting role in the digital blue ocean and actively participate in the blue ocean of industrial digitalization, serving the government, cities and traditional industries in digital transformation, and promoting the development "&amp;"of the real economy.")</f>
        <v>We are willing to play a supporting role in the digital blue ocean and actively participate in the blue ocean of industrial digitalization, serving the government, cities and traditional industries in digital transformation, and promoting the development of the real economy.</v>
      </c>
      <c r="B1945" s="1" t="str">
        <f ca="1">IFERROR(__xludf.DUMMYFUNCTION("GOOGLETRANSLATE(A1945, ""zh"", ""en"")"),"Technological innovation")</f>
        <v>Technological innovation</v>
      </c>
      <c r="C1945" s="1" t="str">
        <f ca="1">IFERROR(__xludf.DUMMYFUNCTION("GOOGLETRANSLATE(E1945, ""zh"", ""en"")"),"Qualitative text")</f>
        <v>Qualitative text</v>
      </c>
    </row>
    <row r="1946" spans="1:3" ht="13" x14ac:dyDescent="0.15">
      <c r="A1946" s="1" t="str">
        <f ca="1">IFERROR(__xludf.DUMMYFUNCTION("GOOGLETRANSLATE(A1946, ""zh"", ""en"")"),"The company adopts three methods: distribution according to job responsibilities, distribution according to operating results, and distribution according to continuous value creation to ensure that its employee salaries are competitive in the industry.")</f>
        <v>The company adopts three methods: distribution according to job responsibilities, distribution according to operating results, and distribution according to continuous value creation to ensure that its employee salaries are competitive in the industry.</v>
      </c>
      <c r="B1946" s="1" t="str">
        <f ca="1">IFERROR(__xludf.DUMMYFUNCTION("GOOGLETRANSLATE(A1946, ""zh"", ""en"")"),"staff")</f>
        <v>staff</v>
      </c>
      <c r="C1946" s="1" t="str">
        <f ca="1">IFERROR(__xludf.DUMMYFUNCTION("GOOGLETRANSLATE(E1946, ""zh"", ""en"")"),"Qualitative text")</f>
        <v>Qualitative text</v>
      </c>
    </row>
    <row r="1947" spans="1:3" ht="13" x14ac:dyDescent="0.15">
      <c r="A1947" s="1" t="str">
        <f ca="1">IFERROR(__xludf.DUMMYFUNCTION("GOOGLETRANSLATE(A1947, ""zh"", ""en"")"),"At the same time, the company uses diversified forms such as online and offline comic posters, video training, and key festival promotions to continuously create a cultural atmosphere of integrity and honesty.")</f>
        <v>At the same time, the company uses diversified forms such as online and offline comic posters, video training, and key festival promotions to continuously create a cultural atmosphere of integrity and honesty.</v>
      </c>
      <c r="B1947" s="1" t="str">
        <f ca="1">IFERROR(__xludf.DUMMYFUNCTION("GOOGLETRANSLATE(A1947, ""zh"", ""en"")"),"Legal proceedings and external sanctions")</f>
        <v>Legal proceedings and external sanctions</v>
      </c>
      <c r="C1947" s="1" t="str">
        <f ca="1">IFERROR(__xludf.DUMMYFUNCTION("GOOGLETRANSLATE(E1947, ""zh"", ""en"")"),"Qualitative text")</f>
        <v>Qualitative text</v>
      </c>
    </row>
    <row r="1948" spans="1:3" ht="13" x14ac:dyDescent="0.15">
      <c r="A1948" s="1" t="str">
        <f ca="1">IFERROR(__xludf.DUMMYFUNCTION("GOOGLETRANSLATE(A1948, ""zh"", ""en"")"),"In August 2022, Hangzhou Nuojia organized employees to participate in fire training and escape drills to enhance employees' fire safety awareness and strengthen the company's fire safety management")</f>
        <v>In August 2022, Hangzhou Nuojia organized employees to participate in fire training and escape drills to enhance employees' fire safety awareness and strengthen the company's fire safety management</v>
      </c>
      <c r="B1948" s="1" t="str">
        <f ca="1">IFERROR(__xludf.DUMMYFUNCTION("GOOGLETRANSLATE(A1948, ""zh"", ""en"")"),"staff")</f>
        <v>staff</v>
      </c>
      <c r="C1948" s="1" t="str">
        <f ca="1">IFERROR(__xludf.DUMMYFUNCTION("GOOGLETRANSLATE(E1948, ""zh"", ""en"")"),"Qualitative text")</f>
        <v>Qualitative text</v>
      </c>
    </row>
    <row r="1949" spans="1:3" ht="13" x14ac:dyDescent="0.15">
      <c r="A1949" s="1" t="str">
        <f ca="1">IFERROR(__xludf.DUMMYFUNCTION("GOOGLETRANSLATE(A1949, ""zh"", ""en"")"),"A safety production leading group was established with the group general manager as the group leader and production managers at all levels as members to supervise and manage the entire process of safety production work.")</f>
        <v>A safety production leading group was established with the group general manager as the group leader and production managers at all levels as members to supervise and manage the entire process of safety production work.</v>
      </c>
      <c r="B1949" s="1" t="str">
        <f ca="1">IFERROR(__xludf.DUMMYFUNCTION("GOOGLETRANSLATE(A1949, ""zh"", ""en"")"),"staff")</f>
        <v>staff</v>
      </c>
      <c r="C1949" s="1" t="str">
        <f ca="1">IFERROR(__xludf.DUMMYFUNCTION("GOOGLETRANSLATE(E1949, ""zh"", ""en"")"),"Qualitative text")</f>
        <v>Qualitative text</v>
      </c>
    </row>
    <row r="1950" spans="1:3" ht="13" x14ac:dyDescent="0.15">
      <c r="A1950" s="1" t="str">
        <f ca="1">IFERROR(__xludf.DUMMYFUNCTION("GOOGLETRANSLATE(A1950, ""zh"", ""en"")"),"3. Continuous energy conservation and emission reduction During the reporting period, the company and its subsidiaries completed the task indicators assigned by the parent company and achieved the energy conservation and emission reduction work goals.")</f>
        <v>3. Continuous energy conservation and emission reduction During the reporting period, the company and its subsidiaries completed the task indicators assigned by the parent company and achieved the energy conservation and emission reduction work goals.</v>
      </c>
      <c r="B1950" s="1" t="str">
        <f ca="1">IFERROR(__xludf.DUMMYFUNCTION("GOOGLETRANSLATE(A1950, ""zh"", ""en"")"),"Energy and resource consumption")</f>
        <v>Energy and resource consumption</v>
      </c>
      <c r="C1950" s="1" t="str">
        <f ca="1">IFERROR(__xludf.DUMMYFUNCTION("GOOGLETRANSLATE(E1950, ""zh"", ""en"")"),"Qualitative text")</f>
        <v>Qualitative text</v>
      </c>
    </row>
    <row r="1951" spans="1:3" ht="13" x14ac:dyDescent="0.15">
      <c r="A1951" s="1" t="str">
        <f ca="1">IFERROR(__xludf.DUMMYFUNCTION("GOOGLETRANSLATE(A1951, ""zh"", ""en"")"),"We also work with local party organizations to accelerate the organic connection between poverty alleviation and rural revitalization to improve the living conditions of local people in many aspects.")</f>
        <v>We also work with local party organizations to accelerate the organic connection between poverty alleviation and rural revitalization to improve the living conditions of local people in many aspects.</v>
      </c>
      <c r="B1951" s="1" t="str">
        <f ca="1">IFERROR(__xludf.DUMMYFUNCTION("GOOGLETRANSLATE(A1951, ""zh"", ""en"")"),"Rural assistance")</f>
        <v>Rural assistance</v>
      </c>
      <c r="C1951" s="1" t="str">
        <f ca="1">IFERROR(__xludf.DUMMYFUNCTION("GOOGLETRANSLATE(E1951, ""zh"", ""en"")"),"Qualitative text")</f>
        <v>Qualitative text</v>
      </c>
    </row>
    <row r="1952" spans="1:3" ht="13" x14ac:dyDescent="0.15">
      <c r="A1952" s="1" t="str">
        <f ca="1">IFERROR(__xludf.DUMMYFUNCTION("GOOGLETRANSLATE(A1952, ""zh"", ""en"")"),"Shareholder rights protection, shareholder participation in corporate governance policies and mechanisms, corporate governance structure, the company continuously improves the corporate governance structure and standardizes corporate operations.")</f>
        <v>Shareholder rights protection, shareholder participation in corporate governance policies and mechanisms, corporate governance structure, the company continuously improves the corporate governance structure and standardizes corporate operations.</v>
      </c>
      <c r="B1952" s="1" t="str">
        <f ca="1">IFERROR(__xludf.DUMMYFUNCTION("GOOGLETRANSLATE(A1952, ""zh"", ""en"")"),"Shareholder and creditor rights")</f>
        <v>Shareholder and creditor rights</v>
      </c>
      <c r="C1952" s="1" t="str">
        <f ca="1">IFERROR(__xludf.DUMMYFUNCTION("GOOGLETRANSLATE(E1952, ""zh"", ""en"")"),"Qualitative text")</f>
        <v>Qualitative text</v>
      </c>
    </row>
    <row r="1953" spans="1:3" ht="13" x14ac:dyDescent="0.15">
      <c r="A1953" s="1" t="str">
        <f ca="1">IFERROR(__xludf.DUMMYFUNCTION("GOOGLETRANSLATE(A1953, ""zh"", ""en"")"),"A disclosure describing the review of recruitment practices and key performance indicators related to preventing forced or compulsory labor 84.1 Measures to avoid child labor and forced labor")</f>
        <v>A disclosure describing the review of recruitment practices and key performance indicators related to preventing forced or compulsory labor 84.1 Measures to avoid child labor and forced labor</v>
      </c>
      <c r="B1953" s="1" t="str">
        <f ca="1">IFERROR(__xludf.DUMMYFUNCTION("GOOGLETRANSLATE(A1953, ""zh"", ""en"")"),"staff")</f>
        <v>staff</v>
      </c>
      <c r="C1953" s="1" t="str">
        <f ca="1">IFERROR(__xludf.DUMMYFUNCTION("GOOGLETRANSLATE(E1953, ""zh"", ""en"")"),"Quantitative Text")</f>
        <v>Quantitative Text</v>
      </c>
    </row>
    <row r="1954" spans="1:3" ht="13" x14ac:dyDescent="0.15">
      <c r="A1954" s="1" t="str">
        <f ca="1">IFERROR(__xludf.DUMMYFUNCTION("GOOGLETRANSLATE(A1954, ""zh"", ""en"")"),"The standard is based on the national comprehensive emission standard for air pollutants and the emission standard for ammonia oxides and sulfur oxides in the air pollutants of the Group in 2022.")</f>
        <v>The standard is based on the national comprehensive emission standard for air pollutants and the emission standard for ammonia oxides and sulfur oxides in the air pollutants of the Group in 2022.</v>
      </c>
      <c r="B1954" s="1" t="str">
        <f ca="1">IFERROR(__xludf.DUMMYFUNCTION("GOOGLETRANSLATE(A1954, ""zh"", ""en"")"),"Waste Management")</f>
        <v>Waste Management</v>
      </c>
      <c r="C1954" s="1" t="str">
        <f ca="1">IFERROR(__xludf.DUMMYFUNCTION("GOOGLETRANSLATE(E1954, ""zh"", ""en"")"),"Qualitative text")</f>
        <v>Qualitative text</v>
      </c>
    </row>
    <row r="1955" spans="1:3" ht="13" x14ac:dyDescent="0.15">
      <c r="A1955" s="1" t="str">
        <f ca="1">IFERROR(__xludf.DUMMYFUNCTION("GOOGLETRANSLATE(A1955, ""zh"", ""en"")"),"In accordance with the requirements of the first person responsible for promoting the rule of law, conscientiously fulfill the leadership responsibility of popularizing the law, play a leading and exemplary role, and consciously set an example in the cons"&amp;"truction of the rule of law.")</f>
        <v>In accordance with the requirements of the first person responsible for promoting the rule of law, conscientiously fulfill the leadership responsibility of popularizing the law, play a leading and exemplary role, and consciously set an example in the construction of the rule of law.</v>
      </c>
      <c r="B1955" s="1" t="str">
        <f ca="1">IFERROR(__xludf.DUMMYFUNCTION("GOOGLETRANSLATE(A1955, ""zh"", ""en"")"),"Legal proceedings and external sanctions")</f>
        <v>Legal proceedings and external sanctions</v>
      </c>
      <c r="C1955" s="1" t="str">
        <f ca="1">IFERROR(__xludf.DUMMYFUNCTION("GOOGLETRANSLATE(E1955, ""zh"", ""en"")"),"Qualitative text")</f>
        <v>Qualitative text</v>
      </c>
    </row>
    <row r="1956" spans="1:3" ht="13" x14ac:dyDescent="0.15">
      <c r="A1956" s="1" t="str">
        <f ca="1">IFERROR(__xludf.DUMMYFUNCTION("GOOGLETRANSLATE(A1956, ""zh"", ""en"")"),"Informatization construction has made the leap from application integration to shared services. China Petroleum's digital and intelligent construction has promoted the digital transformation of enterprises and accelerated their intelligent development.")</f>
        <v>Informatization construction has made the leap from application integration to shared services. China Petroleum's digital and intelligent construction has promoted the digital transformation of enterprises and accelerated their intelligent development.</v>
      </c>
      <c r="B1956" s="1" t="str">
        <f ca="1">IFERROR(__xludf.DUMMYFUNCTION("GOOGLETRANSLATE(A1956, ""zh"", ""en"")"),"Technological innovation")</f>
        <v>Technological innovation</v>
      </c>
      <c r="C1956" s="1" t="str">
        <f ca="1">IFERROR(__xludf.DUMMYFUNCTION("GOOGLETRANSLATE(E1956, ""zh"", ""en"")"),"Qualitative text")</f>
        <v>Qualitative text</v>
      </c>
    </row>
    <row r="1957" spans="1:3" ht="13" x14ac:dyDescent="0.15">
      <c r="A1957" s="1" t="str">
        <f ca="1">IFERROR(__xludf.DUMMYFUNCTION("GOOGLETRANSLATE(A1957, ""zh"", ""en"")"),"During the year, a total of 35 project site openings and online live broadcasts were organized, with a total of 13,572 participants, covering approximately 55 customers awaiting delivery.")</f>
        <v>During the year, a total of 35 project site openings and online live broadcasts were organized, with a total of 13,572 participants, covering approximately 55 customers awaiting delivery.</v>
      </c>
      <c r="B1957" s="1" t="str">
        <f ca="1">IFERROR(__xludf.DUMMYFUNCTION("GOOGLETRANSLATE(A1957, ""zh"", ""en"")"),"Customers and Consumers")</f>
        <v>Customers and Consumers</v>
      </c>
      <c r="C1957" s="1" t="str">
        <f ca="1">IFERROR(__xludf.DUMMYFUNCTION("GOOGLETRANSLATE(E1957, ""zh"", ""en"")"),"Quantitative Text")</f>
        <v>Quantitative Text</v>
      </c>
    </row>
    <row r="1958" spans="1:3" ht="13" x14ac:dyDescent="0.15">
      <c r="A1958" s="1" t="str">
        <f ca="1">IFERROR(__xludf.DUMMYFUNCTION("GOOGLETRANSLATE(A1958, ""zh"", ""en"")"),"Quality control work will be particularly difficult in 2022 due to multiple factors.")</f>
        <v>Quality control work will be particularly difficult in 2022 due to multiple factors.</v>
      </c>
      <c r="B1958" s="1" t="str">
        <f ca="1">IFERROR(__xludf.DUMMYFUNCTION("GOOGLETRANSLATE(A1958, ""zh"", ""en"")"),"Product quality")</f>
        <v>Product quality</v>
      </c>
      <c r="C1958" s="1" t="str">
        <f ca="1">IFERROR(__xludf.DUMMYFUNCTION("GOOGLETRANSLATE(E1958, ""zh"", ""en"")"),"Qualitative text")</f>
        <v>Qualitative text</v>
      </c>
    </row>
    <row r="1959" spans="1:3" ht="13" x14ac:dyDescent="0.15">
      <c r="A1959" s="1" t="str">
        <f ca="1">IFERROR(__xludf.DUMMYFUNCTION("GOOGLETRANSLATE(A1959, ""zh"", ""en"")"),"At the same time, the company set up wildlife protection warning signs near the water source of the gazelle habitat to publicize it to the surrounding herdsmen and rely on well patrol personnel to provide protection.")</f>
        <v>At the same time, the company set up wildlife protection warning signs near the water source of the gazelle habitat to publicize it to the surrounding herdsmen and rely on well patrol personnel to provide protection.</v>
      </c>
      <c r="B1959" s="1" t="str">
        <f ca="1">IFERROR(__xludf.DUMMYFUNCTION("GOOGLETRANSLATE(A1959, ""zh"", ""en"")"),"biodiversity")</f>
        <v>biodiversity</v>
      </c>
      <c r="C1959" s="1" t="str">
        <f ca="1">IFERROR(__xludf.DUMMYFUNCTION("GOOGLETRANSLATE(E1959, ""zh"", ""en"")"),"Qualitative text")</f>
        <v>Qualitative text</v>
      </c>
    </row>
    <row r="1960" spans="1:3" ht="13" x14ac:dyDescent="0.15">
      <c r="A1960" s="1" t="str">
        <f ca="1">IFERROR(__xludf.DUMMYFUNCTION("GOOGLETRANSLATE(A1960, ""zh"", ""en"")"),"We have upgraded the Mommy's Room to provide female employees with a private, hygienic and safe resting place during pregnancy and breastfeeding.")</f>
        <v>We have upgraded the Mommy's Room to provide female employees with a private, hygienic and safe resting place during pregnancy and breastfeeding.</v>
      </c>
      <c r="B1960" s="1" t="str">
        <f ca="1">IFERROR(__xludf.DUMMYFUNCTION("GOOGLETRANSLATE(A1960, ""zh"", ""en"")"),"staff")</f>
        <v>staff</v>
      </c>
      <c r="C1960" s="1" t="str">
        <f ca="1">IFERROR(__xludf.DUMMYFUNCTION("GOOGLETRANSLATE(E1960, ""zh"", ""en"")"),"Qualitative text")</f>
        <v>Qualitative text</v>
      </c>
    </row>
    <row r="1961" spans="1:3" ht="13" x14ac:dyDescent="0.15">
      <c r="A1961" s="1" t="str">
        <f ca="1">IFERROR(__xludf.DUMMYFUNCTION("GOOGLETRANSLATE(A1961, ""zh"", ""en"")"),"The platform focuses on intelligent identification and proactive early warning of personnel violations in order to strengthen supervision, control risks, reduce costs, improve quality and increase efficiency.")</f>
        <v>The platform focuses on intelligent identification and proactive early warning of personnel violations in order to strengthen supervision, control risks, reduce costs, improve quality and increase efficiency.</v>
      </c>
      <c r="B1961" s="1" t="str">
        <f ca="1">IFERROR(__xludf.DUMMYFUNCTION("GOOGLETRANSLATE(A1961, ""zh"", ""en"")"),"Legal proceedings and external sanctions")</f>
        <v>Legal proceedings and external sanctions</v>
      </c>
      <c r="C1961" s="1" t="str">
        <f ca="1">IFERROR(__xludf.DUMMYFUNCTION("GOOGLETRANSLATE(E1961, ""zh"", ""en"")"),"Qualitative text")</f>
        <v>Qualitative text</v>
      </c>
    </row>
    <row r="1962" spans="1:3" ht="13" x14ac:dyDescent="0.15">
      <c r="A1962" s="1" t="str">
        <f ca="1">IFERROR(__xludf.DUMMYFUNCTION("GOOGLETRANSLATE(A1962, ""zh"", ""en"")"),"Volunteers worked with the children of Blue Harbor to make classic retro bags, fostering a close bond and encouraging them to step out of their own world and integrate into society as soon as possible.")</f>
        <v>Volunteers worked with the children of Blue Harbor to make classic retro bags, fostering a close bond and encouraging them to step out of their own world and integrate into society as soon as possible.</v>
      </c>
      <c r="B1962" s="1" t="str">
        <f ca="1">IFERROR(__xludf.DUMMYFUNCTION("GOOGLETRANSLATE(A1962, ""zh"", ""en"")"),"Public welfare and volunteer service")</f>
        <v>Public welfare and volunteer service</v>
      </c>
      <c r="C1962" s="1" t="str">
        <f ca="1">IFERROR(__xludf.DUMMYFUNCTION("GOOGLETRANSLATE(E1962, ""zh"", ""en"")"),"Qualitative text")</f>
        <v>Qualitative text</v>
      </c>
    </row>
    <row r="1963" spans="1:3" ht="13" x14ac:dyDescent="0.15">
      <c r="A1963" s="1" t="str">
        <f ca="1">IFERROR(__xludf.DUMMYFUNCTION("GOOGLETRANSLATE(A1963, ""zh"", ""en"")"),"Fully implement the term system and contractual management for management team members, promote the adjustment of the bottom-ranked management team and the exit of incompetent managers, and continuously improve and perfect the market-oriented employment m"&amp;"echanism.")</f>
        <v>Fully implement the term system and contractual management for management team members, promote the adjustment of the bottom-ranked management team and the exit of incompetent managers, and continuously improve and perfect the market-oriented employment mechanism.</v>
      </c>
      <c r="B1963" s="1" t="str">
        <f ca="1">IFERROR(__xludf.DUMMYFUNCTION("GOOGLETRANSLATE(A1963, ""zh"", ""en"")"),"staff")</f>
        <v>staff</v>
      </c>
      <c r="C1963" s="1" t="str">
        <f ca="1">IFERROR(__xludf.DUMMYFUNCTION("GOOGLETRANSLATE(E1963, ""zh"", ""en"")"),"Qualitative text")</f>
        <v>Qualitative text</v>
      </c>
    </row>
    <row r="1964" spans="1:3" ht="13" x14ac:dyDescent="0.15">
      <c r="A1964" s="1" t="str">
        <f ca="1">IFERROR(__xludf.DUMMYFUNCTION("GOOGLETRANSLATE(A1964, ""zh"", ""en"")"),"Strengthen strategic planning and business management system development for new energy businesses, and accelerate the expansion of new energy businesses such as geothermal, wind, solar, hydrogen, and charging and swapping stations.")</f>
        <v>Strengthen strategic planning and business management system development for new energy businesses, and accelerate the expansion of new energy businesses such as geothermal, wind, solar, hydrogen, and charging and swapping stations.</v>
      </c>
      <c r="B1964" s="1" t="str">
        <f ca="1">IFERROR(__xludf.DUMMYFUNCTION("GOOGLETRANSLATE(A1964, ""zh"", ""en"")"),"Energy and resource consumption")</f>
        <v>Energy and resource consumption</v>
      </c>
      <c r="C1964" s="1" t="str">
        <f ca="1">IFERROR(__xludf.DUMMYFUNCTION("GOOGLETRANSLATE(E1964, ""zh"", ""en"")"),"Qualitative text")</f>
        <v>Qualitative text</v>
      </c>
    </row>
    <row r="1965" spans="1:3" ht="13" x14ac:dyDescent="0.15">
      <c r="A1965" s="1" t="str">
        <f ca="1">IFERROR(__xludf.DUMMYFUNCTION("GOOGLETRANSLATE(A1965, ""zh"", ""en"")"),"SDIC UBS Fund Management conducted an annual customer service satisfaction survey via WeChat, with 3,327 customers participating in the survey and a customer satisfaction rate of 92.66%.")</f>
        <v>SDIC UBS Fund Management conducted an annual customer service satisfaction survey via WeChat, with 3,327 customers participating in the survey and a customer satisfaction rate of 92.66%.</v>
      </c>
      <c r="B1965" s="1" t="str">
        <f ca="1">IFERROR(__xludf.DUMMYFUNCTION("GOOGLETRANSLATE(A1965, ""zh"", ""en"")"),"Customers and Consumers")</f>
        <v>Customers and Consumers</v>
      </c>
      <c r="C1965" s="1" t="str">
        <f ca="1">IFERROR(__xludf.DUMMYFUNCTION("GOOGLETRANSLATE(E1965, ""zh"", ""en"")"),"Quantitative Text")</f>
        <v>Quantitative Text</v>
      </c>
    </row>
    <row r="1966" spans="1:3" ht="13" x14ac:dyDescent="0.15">
      <c r="A1966" s="1" t="str">
        <f ca="1">IFERROR(__xludf.DUMMYFUNCTION("GOOGLETRANSLATE(A1966, ""zh"", ""en"")"),"Talent Revitalization Case Study: Essence Securities empowers rural talent development. To further enhance rural revitalization, Essence Securities launched a volunteer teaching program in Xi County, Sichuan Province.")</f>
        <v>Talent Revitalization Case Study: Essence Securities empowers rural talent development. To further enhance rural revitalization, Essence Securities launched a volunteer teaching program in Xi County, Sichuan Province.</v>
      </c>
      <c r="B1966" s="1" t="str">
        <f ca="1">IFERROR(__xludf.DUMMYFUNCTION("GOOGLETRANSLATE(A1966, ""zh"", ""en"")"),"Public welfare and volunteer service")</f>
        <v>Public welfare and volunteer service</v>
      </c>
      <c r="C1966" s="1" t="str">
        <f ca="1">IFERROR(__xludf.DUMMYFUNCTION("GOOGLETRANSLATE(E1966, ""zh"", ""en"")"),"Qualitative text")</f>
        <v>Qualitative text</v>
      </c>
    </row>
    <row r="1967" spans="1:3" ht="13" x14ac:dyDescent="0.15">
      <c r="A1967" s="1" t="str">
        <f ca="1">IFERROR(__xludf.DUMMYFUNCTION("GOOGLETRANSLATE(A1967, ""zh"", ""en"")"),"We use a variety of training methods, including internal lecturers, learning from benchmark companies, external lecturers, technical exchange meetings, exhibitions, seminars, etc.")</f>
        <v>We use a variety of training methods, including internal lecturers, learning from benchmark companies, external lecturers, technical exchange meetings, exhibitions, seminars, etc.</v>
      </c>
      <c r="B1967" s="1" t="str">
        <f ca="1">IFERROR(__xludf.DUMMYFUNCTION("GOOGLETRANSLATE(A1967, ""zh"", ""en"")"),"staff")</f>
        <v>staff</v>
      </c>
      <c r="C1967" s="1" t="str">
        <f ca="1">IFERROR(__xludf.DUMMYFUNCTION("GOOGLETRANSLATE(E1967, ""zh"", ""en"")"),"Qualitative text")</f>
        <v>Qualitative text</v>
      </c>
    </row>
    <row r="1968" spans="1:3" ht="13" x14ac:dyDescent="0.15">
      <c r="A1968" s="1" t="str">
        <f ca="1">IFERROR(__xludf.DUMMYFUNCTION("GOOGLETRANSLATE(A1968, ""zh"", ""en"")"),"In 2022, the company will standardize the formulation, issuance, modification and abolition of company rules and regulations in accordance with the Rules and Regulations Management Measures, and improve the construction of the rules and regulations system"&amp;".")</f>
        <v>In 2022, the company will standardize the formulation, issuance, modification and abolition of company rules and regulations in accordance with the Rules and Regulations Management Measures, and improve the construction of the rules and regulations system.</v>
      </c>
      <c r="B1968" s="1" t="str">
        <f ca="1">IFERROR(__xludf.DUMMYFUNCTION("GOOGLETRANSLATE(A1968, ""zh"", ""en"")"),"Organizational structure and operations")</f>
        <v>Organizational structure and operations</v>
      </c>
      <c r="C1968" s="1" t="str">
        <f ca="1">IFERROR(__xludf.DUMMYFUNCTION("GOOGLETRANSLATE(E1968, ""zh"", ""en"")"),"Qualitative text")</f>
        <v>Qualitative text</v>
      </c>
    </row>
    <row r="1969" spans="1:3" ht="13" x14ac:dyDescent="0.15">
      <c r="A1969" s="1" t="str">
        <f ca="1">IFERROR(__xludf.DUMMYFUNCTION("GOOGLETRANSLATE(A1969, ""zh"", ""en"")"),"The US sales company has completed the integration with the group's SAP system, providing a foundation for improving business and supply chain efficiency in 2023 and beyond.")</f>
        <v>The US sales company has completed the integration with the group's SAP system, providing a foundation for improving business and supply chain efficiency in 2023 and beyond.</v>
      </c>
      <c r="B1969" s="1" t="str">
        <f ca="1">IFERROR(__xludf.DUMMYFUNCTION("GOOGLETRANSLATE(A1969, ""zh"", ""en"")"),"supply chain management")</f>
        <v>supply chain management</v>
      </c>
      <c r="C1969" s="1" t="str">
        <f ca="1">IFERROR(__xludf.DUMMYFUNCTION("GOOGLETRANSLATE(E1969, ""zh"", ""en"")"),"Qualitative text")</f>
        <v>Qualitative text</v>
      </c>
    </row>
    <row r="1970" spans="1:3" ht="13" x14ac:dyDescent="0.15">
      <c r="A1970" s="1" t="str">
        <f ca="1">IFERROR(__xludf.DUMMYFUNCTION("GOOGLETRANSLATE(A1970, ""zh"", ""en"")"),"Review employee safety policies, including background information collection, occupational health and safety physical examinations, employee safety hiring, personnel file systems, and three-level safety training processes.")</f>
        <v>Review employee safety policies, including background information collection, occupational health and safety physical examinations, employee safety hiring, personnel file systems, and three-level safety training processes.</v>
      </c>
      <c r="B1970" s="1" t="str">
        <f ca="1">IFERROR(__xludf.DUMMYFUNCTION("GOOGLETRANSLATE(A1970, ""zh"", ""en"")"),"staff")</f>
        <v>staff</v>
      </c>
      <c r="C1970" s="1" t="str">
        <f ca="1">IFERROR(__xludf.DUMMYFUNCTION("GOOGLETRANSLATE(E1970, ""zh"", ""en"")"),"Qualitative text")</f>
        <v>Qualitative text</v>
      </c>
    </row>
    <row r="1971" spans="1:3" ht="13" x14ac:dyDescent="0.15">
      <c r="A1971" s="1" t="str">
        <f ca="1">IFERROR(__xludf.DUMMYFUNCTION("GOOGLETRANSLATE(A1971, ""zh"", ""en"")"),"User service and user care: full-process scenario display and establishment of differentiated service and care mechanisms to achieve warmth, peace of mind and worry-free service values ​​of Hisense Video")</f>
        <v>User service and user care: full-process scenario display and establishment of differentiated service and care mechanisms to achieve warmth, peace of mind and worry-free service values ​​of Hisense Video</v>
      </c>
      <c r="B1971" s="1" t="str">
        <f ca="1">IFERROR(__xludf.DUMMYFUNCTION("GOOGLETRANSLATE(A1971, ""zh"", ""en"")"),"Customers and Consumers")</f>
        <v>Customers and Consumers</v>
      </c>
      <c r="C1971" s="1" t="str">
        <f ca="1">IFERROR(__xludf.DUMMYFUNCTION("GOOGLETRANSLATE(E1971, ""zh"", ""en"")"),"Qualitative text")</f>
        <v>Qualitative text</v>
      </c>
    </row>
    <row r="1972" spans="1:3" ht="13" x14ac:dyDescent="0.15">
      <c r="A1972" s="1" t="str">
        <f ca="1">IFERROR(__xludf.DUMMYFUNCTION("GOOGLETRANSLATE(A1972, ""zh"", ""en"")"),"The calculation markup is derived from the notice on strengthening the social responsibility of listed companies and issuing the Shanghai Stock Exchange's Guidelines for Environmental Information Disclosure of Listed Companies.")</f>
        <v>The calculation markup is derived from the notice on strengthening the social responsibility of listed companies and issuing the Shanghai Stock Exchange's Guidelines for Environmental Information Disclosure of Listed Companies.</v>
      </c>
      <c r="B1972" s="1" t="str">
        <f ca="1">IFERROR(__xludf.DUMMYFUNCTION("GOOGLETRANSLATE(A1972, ""zh"", ""en"")"),"Information Disclosure and Investor Communication")</f>
        <v>Information Disclosure and Investor Communication</v>
      </c>
      <c r="C1972" s="1" t="str">
        <f ca="1">IFERROR(__xludf.DUMMYFUNCTION("GOOGLETRANSLATE(E1972, ""zh"", ""en"")"),"Qualitative text")</f>
        <v>Qualitative text</v>
      </c>
    </row>
    <row r="1973" spans="1:3" ht="13" x14ac:dyDescent="0.15">
      <c r="A1973" s="1" t="str">
        <f ca="1">IFERROR(__xludf.DUMMYFUNCTION("GOOGLETRANSLATE(A1973, ""zh"", ""en"")"),"The intellectual property protection platform was launched in 2017 to disseminate relevant policies and information, and a unified infringement complaint portal was opened to help users improve their knowledge and ability to protect their rights.")</f>
        <v>The intellectual property protection platform was launched in 2017 to disseminate relevant policies and information, and a unified infringement complaint portal was opened to help users improve their knowledge and ability to protect their rights.</v>
      </c>
      <c r="B1973" s="1" t="str">
        <f ca="1">IFERROR(__xludf.DUMMYFUNCTION("GOOGLETRANSLATE(A1973, ""zh"", ""en"")"),"Intellectual Property Protection")</f>
        <v>Intellectual Property Protection</v>
      </c>
      <c r="C1973" s="1" t="str">
        <f ca="1">IFERROR(__xludf.DUMMYFUNCTION("GOOGLETRANSLATE(E1973, ""zh"", ""en"")"),"Qualitative text")</f>
        <v>Qualitative text</v>
      </c>
    </row>
    <row r="1974" spans="1:3" ht="13" x14ac:dyDescent="0.15">
      <c r="A1974" s="1" t="str">
        <f ca="1">IFERROR(__xludf.DUMMYFUNCTION("GOOGLETRANSLATE(A1974, ""zh"", ""en"")"),"In addition, the company actively provides mental health support to employees, including psychological counseling services and mental health training, to help employees relieve work stress and anxiety.")</f>
        <v>In addition, the company actively provides mental health support to employees, including psychological counseling services and mental health training, to help employees relieve work stress and anxiety.</v>
      </c>
      <c r="B1974" s="1" t="str">
        <f ca="1">IFERROR(__xludf.DUMMYFUNCTION("GOOGLETRANSLATE(A1974, ""zh"", ""en"")"),"staff")</f>
        <v>staff</v>
      </c>
      <c r="C1974" s="1" t="str">
        <f ca="1">IFERROR(__xludf.DUMMYFUNCTION("GOOGLETRANSLATE(E1974, ""zh"", ""en"")"),"Qualitative text")</f>
        <v>Qualitative text</v>
      </c>
    </row>
    <row r="1975" spans="1:3" ht="13" x14ac:dyDescent="0.15">
      <c r="A1975" s="1" t="str">
        <f ca="1">IFERROR(__xludf.DUMMYFUNCTION("GOOGLETRANSLATE(A1975, ""zh"", ""en"")"),"In the future, the company will continue to uphold the people-oriented concept, strengthen cultural construction, create a more harmonious and warm working environment for employees, and promote the sustainable development of the enterprise.")</f>
        <v>In the future, the company will continue to uphold the people-oriented concept, strengthen cultural construction, create a more harmonious and warm working environment for employees, and promote the sustainable development of the enterprise.</v>
      </c>
      <c r="B1975" s="1" t="str">
        <f ca="1">IFERROR(__xludf.DUMMYFUNCTION("GOOGLETRANSLATE(A1975, ""zh"", ""en"")"),"staff")</f>
        <v>staff</v>
      </c>
      <c r="C1975" s="1" t="str">
        <f ca="1">IFERROR(__xludf.DUMMYFUNCTION("GOOGLETRANSLATE(E1975, ""zh"", ""en"")"),"Qualitative text")</f>
        <v>Qualitative text</v>
      </c>
    </row>
    <row r="1976" spans="1:3" ht="13" x14ac:dyDescent="0.15">
      <c r="A1976" s="1" t="str">
        <f ca="1">IFERROR(__xludf.DUMMYFUNCTION("GOOGLETRANSLATE(A1976, ""zh"", ""en"")"),"Build multiple communication channels to enrich party member activities. In March 2022, group party member volunteers went to Jingyuanli Community, Jiufeng Street, Wuhan City to carry out volunteer activities.")</f>
        <v>Build multiple communication channels to enrich party member activities. In March 2022, group party member volunteers went to Jingyuanli Community, Jiufeng Street, Wuhan City to carry out volunteer activities.</v>
      </c>
      <c r="B1976" s="1" t="str">
        <f ca="1">IFERROR(__xludf.DUMMYFUNCTION("GOOGLETRANSLATE(A1976, ""zh"", ""en"")"),"Public welfare and volunteer service")</f>
        <v>Public welfare and volunteer service</v>
      </c>
      <c r="C1976" s="1" t="str">
        <f ca="1">IFERROR(__xludf.DUMMYFUNCTION("GOOGLETRANSLATE(E1976, ""zh"", ""en"")"),"Qualitative text")</f>
        <v>Qualitative text</v>
      </c>
    </row>
    <row r="1977" spans="1:3" ht="13" x14ac:dyDescent="0.15">
      <c r="A1977" s="1" t="str">
        <f ca="1">IFERROR(__xludf.DUMMYFUNCTION("GOOGLETRANSLATE(A1977, ""zh"", ""en"")"),"In addition, the company also regularly publishes corporate social responsibility reports to the public to more comprehensively disclose the company's governance and social responsibility practices and performance.")</f>
        <v>In addition, the company also regularly publishes corporate social responsibility reports to the public to more comprehensively disclose the company's governance and social responsibility practices and performance.</v>
      </c>
      <c r="B1977" s="1" t="str">
        <f ca="1">IFERROR(__xludf.DUMMYFUNCTION("GOOGLETRANSLATE(A1977, ""zh"", ""en"")"),"irrelevant text")</f>
        <v>irrelevant text</v>
      </c>
      <c r="C1977" s="1" t="str">
        <f ca="1">IFERROR(__xludf.DUMMYFUNCTION("GOOGLETRANSLATE(E1977, ""zh"", ""en"")"),"irrelevant text")</f>
        <v>irrelevant text</v>
      </c>
    </row>
    <row r="1978" spans="1:3" ht="13" x14ac:dyDescent="0.15">
      <c r="A1978" s="1" t="str">
        <f ca="1">IFERROR(__xludf.DUMMYFUNCTION("GOOGLETRANSLATE(A1978, ""zh"", ""en"")"),"The forward-looking statements in this report were made as of December 31, 2022. PetroChina has no obligation or responsibility to revise the forward-looking statements.")</f>
        <v>The forward-looking statements in this report were made as of December 31, 2022. PetroChina has no obligation or responsibility to revise the forward-looking statements.</v>
      </c>
      <c r="B1978" s="1" t="str">
        <f ca="1">IFERROR(__xludf.DUMMYFUNCTION("GOOGLETRANSLATE(A1978, ""zh"", ""en"")"),"irrelevant text")</f>
        <v>irrelevant text</v>
      </c>
      <c r="C1978" s="1" t="str">
        <f ca="1">IFERROR(__xludf.DUMMYFUNCTION("GOOGLETRANSLATE(E1978, ""zh"", ""en"")"),"irrelevant text")</f>
        <v>irrelevant text</v>
      </c>
    </row>
    <row r="1979" spans="1:3" ht="13" x14ac:dyDescent="0.15">
      <c r="A1979" s="1" t="str">
        <f ca="1">IFERROR(__xludf.DUMMYFUNCTION("GOOGLETRANSLATE(A1979, ""zh"", ""en"")"),"P495. Eliminate child labor, safeguard employee rights, strictly abide by the Labor Law of the People's Republic of China and other laws and regulations, and resolutely eliminate the employment of child labor in all regions.")</f>
        <v>P495. Eliminate child labor, safeguard employee rights, strictly abide by the Labor Law of the People's Republic of China and other laws and regulations, and resolutely eliminate the employment of child labor in all regions.</v>
      </c>
      <c r="B1979" s="1" t="str">
        <f ca="1">IFERROR(__xludf.DUMMYFUNCTION("GOOGLETRANSLATE(A1979, ""zh"", ""en"")"),"staff")</f>
        <v>staff</v>
      </c>
      <c r="C1979" s="1" t="str">
        <f ca="1">IFERROR(__xludf.DUMMYFUNCTION("GOOGLETRANSLATE(E1979, ""zh"", ""en"")"),"Qualitative text")</f>
        <v>Qualitative text</v>
      </c>
    </row>
    <row r="1980" spans="1:3" ht="13" x14ac:dyDescent="0.15">
      <c r="A1980" s="1" t="str">
        <f ca="1">IFERROR(__xludf.DUMMYFUNCTION("GOOGLETRANSLATE(A1980, ""zh"", ""en"")"),"COSL's business areas include geophysical exploration services, drilling services, oilfield technical services, and shipping services. They do not involve packaging materials, so this indicator is not applicable to this company.")</f>
        <v>COSL's business areas include geophysical exploration services, drilling services, oilfield technical services, and shipping services. They do not involve packaging materials, so this indicator is not applicable to this company.</v>
      </c>
      <c r="B1980" s="1" t="str">
        <f ca="1">IFERROR(__xludf.DUMMYFUNCTION("GOOGLETRANSLATE(A1980, ""zh"", ""en"")"),"raw materials")</f>
        <v>raw materials</v>
      </c>
      <c r="C1980" s="1" t="str">
        <f ca="1">IFERROR(__xludf.DUMMYFUNCTION("GOOGLETRANSLATE(E1980, ""zh"", ""en"")"),"Qualitative text")</f>
        <v>Qualitative text</v>
      </c>
    </row>
    <row r="1981" spans="1:3" ht="13" x14ac:dyDescent="0.15">
      <c r="A1981" s="1" t="str">
        <f ca="1">IFERROR(__xludf.DUMMYFUNCTION("GOOGLETRANSLATE(A1981, ""zh"", ""en"")"),"Statement of the Board of Directors The Board of Directors of the Company makes the following statement in accordance with the Environmental, Social and Governance Reporting Guidelines of the Hong Kong Stock Exchange (hereinafter referred to as the Hong K"&amp;"ong Stock Exchange)")</f>
        <v>Statement of the Board of Directors The Board of Directors of the Company makes the following statement in accordance with the Environmental, Social and Governance Reporting Guidelines of the Hong Kong Stock Exchange (hereinafter referred to as the Hong Kong Stock Exchange)</v>
      </c>
      <c r="B1981" s="1" t="str">
        <f ca="1">IFERROR(__xludf.DUMMYFUNCTION("GOOGLETRANSLATE(A1981, ""zh"", ""en"")"),"irrelevant text")</f>
        <v>irrelevant text</v>
      </c>
      <c r="C1981" s="1" t="str">
        <f ca="1">IFERROR(__xludf.DUMMYFUNCTION("GOOGLETRANSLATE(E1981, ""zh"", ""en"")"),"irrelevant text")</f>
        <v>irrelevant text</v>
      </c>
    </row>
    <row r="1982" spans="1:3" ht="13" x14ac:dyDescent="0.15">
      <c r="A1982" s="1" t="str">
        <f ca="1">IFERROR(__xludf.DUMMYFUNCTION("GOOGLETRANSLATE(A1982, ""zh"", ""en"")"),"In July, Yichang Renfu's RFUS144 injection was approved for clinical trials. This product is a new molecular entity drug independently developed by the company and is registered as a Class 1 chemical drug.")</f>
        <v>In July, Yichang Renfu's RFUS144 injection was approved for clinical trials. This product is a new molecular entity drug independently developed by the company and is registered as a Class 1 chemical drug.</v>
      </c>
      <c r="B1982" s="1" t="str">
        <f ca="1">IFERROR(__xludf.DUMMYFUNCTION("GOOGLETRANSLATE(A1982, ""zh"", ""en"")"),"Product quality")</f>
        <v>Product quality</v>
      </c>
      <c r="C1982" s="1" t="str">
        <f ca="1">IFERROR(__xludf.DUMMYFUNCTION("GOOGLETRANSLATE(E1982, ""zh"", ""en"")"),"Quantitative Text")</f>
        <v>Quantitative Text</v>
      </c>
    </row>
    <row r="1983" spans="1:3" ht="13" x14ac:dyDescent="0.15">
      <c r="A1983" s="1" t="str">
        <f ca="1">IFERROR(__xludf.DUMMYFUNCTION("GOOGLETRANSLATE(A1983, ""zh"", ""en"")"),"By compiling a compliance manual and conducting compliance management publicity and answering activities, we will strengthen the compliance management awareness of all employees and continuously improve the company's legal and compliant management level.")</f>
        <v>By compiling a compliance manual and conducting compliance management publicity and answering activities, we will strengthen the compliance management awareness of all employees and continuously improve the company's legal and compliant management level.</v>
      </c>
      <c r="B1983" s="1" t="str">
        <f ca="1">IFERROR(__xludf.DUMMYFUNCTION("GOOGLETRANSLATE(A1983, ""zh"", ""en"")"),"Legal proceedings and external sanctions")</f>
        <v>Legal proceedings and external sanctions</v>
      </c>
      <c r="C1983" s="1" t="str">
        <f ca="1">IFERROR(__xludf.DUMMYFUNCTION("GOOGLETRANSLATE(E1983, ""zh"", ""en"")"),"Qualitative text")</f>
        <v>Qualitative text</v>
      </c>
    </row>
    <row r="1984" spans="1:3" ht="13" x14ac:dyDescent="0.15">
      <c r="A1984" s="1" t="str">
        <f ca="1">IFERROR(__xludf.DUMMYFUNCTION("GOOGLETRANSLATE(A1984, ""zh"", ""en"")"),"In 2022, there will be zero group adverse reactions and deaths caused by zero reporting of adverse events by device companies due to drug quality defects.")</f>
        <v>In 2022, there will be zero group adverse reactions and deaths caused by zero reporting of adverse events by device companies due to drug quality defects.</v>
      </c>
      <c r="B1984" s="1" t="str">
        <f ca="1">IFERROR(__xludf.DUMMYFUNCTION("GOOGLETRANSLATE(A1984, ""zh"", ""en"")"),"Product quality")</f>
        <v>Product quality</v>
      </c>
      <c r="C1984" s="1" t="str">
        <f ca="1">IFERROR(__xludf.DUMMYFUNCTION("GOOGLETRANSLATE(E1984, ""zh"", ""en"")"),"Quantitative Text")</f>
        <v>Quantitative Text</v>
      </c>
    </row>
    <row r="1985" spans="1:3" ht="13" x14ac:dyDescent="0.15">
      <c r="A1985" s="1" t="str">
        <f ca="1">IFERROR(__xludf.DUMMYFUNCTION("GOOGLETRANSLATE(A1985, ""zh"", ""en"")"),"At the same time, we strengthened the attraction of scientific and technological talents, attracting a total of 1,085 scientific and technological talents from outside, a year-on-year increase of 14.1%, and gradually optimizing the structure of scientific"&amp;" and technological talents.")</f>
        <v>At the same time, we strengthened the attraction of scientific and technological talents, attracting a total of 1,085 scientific and technological talents from outside, a year-on-year increase of 14.1%, and gradually optimizing the structure of scientific and technological talents.</v>
      </c>
      <c r="B1985" s="1" t="str">
        <f ca="1">IFERROR(__xludf.DUMMYFUNCTION("GOOGLETRANSLATE(A1985, ""zh"", ""en"")"),"Technological innovation")</f>
        <v>Technological innovation</v>
      </c>
      <c r="C1985" s="1" t="str">
        <f ca="1">IFERROR(__xludf.DUMMYFUNCTION("GOOGLETRANSLATE(E1985, ""zh"", ""en"")"),"Quantitative Text")</f>
        <v>Quantitative Text</v>
      </c>
    </row>
    <row r="1986" spans="1:3" ht="13" x14ac:dyDescent="0.15">
      <c r="A1986" s="1" t="str">
        <f ca="1">IFERROR(__xludf.DUMMYFUNCTION("GOOGLETRANSLATE(A1986, ""zh"", ""en"")"),"In 2022, we completed the certification training for 2,511 domestic factory special operations personnel and trained 7,699 people for 146 types of dangerous equipment operators.")</f>
        <v>In 2022, we completed the certification training for 2,511 domestic factory special operations personnel and trained 7,699 people for 146 types of dangerous equipment operators.</v>
      </c>
      <c r="B1986" s="1" t="str">
        <f ca="1">IFERROR(__xludf.DUMMYFUNCTION("GOOGLETRANSLATE(A1986, ""zh"", ""en"")"),"staff")</f>
        <v>staff</v>
      </c>
      <c r="C1986" s="1" t="str">
        <f ca="1">IFERROR(__xludf.DUMMYFUNCTION("GOOGLETRANSLATE(E1986, ""zh"", ""en"")"),"Quantitative Text")</f>
        <v>Quantitative Text</v>
      </c>
    </row>
    <row r="1987" spans="1:3" ht="13" x14ac:dyDescent="0.15">
      <c r="A1987" s="1" t="str">
        <f ca="1">IFERROR(__xludf.DUMMYFUNCTION("GOOGLETRANSLATE(A1987, ""zh"", ""en"")"),"Haier Smart Home is committed to building a sustainable supply chain, ensuring timely fulfillment of procurement needs while actively promoting suppliers to improve their level of sustainable development.")</f>
        <v>Haier Smart Home is committed to building a sustainable supply chain, ensuring timely fulfillment of procurement needs while actively promoting suppliers to improve their level of sustainable development.</v>
      </c>
      <c r="B1987" s="1" t="str">
        <f ca="1">IFERROR(__xludf.DUMMYFUNCTION("GOOGLETRANSLATE(A1987, ""zh"", ""en"")"),"supply chain management")</f>
        <v>supply chain management</v>
      </c>
      <c r="C1987" s="1" t="str">
        <f ca="1">IFERROR(__xludf.DUMMYFUNCTION("GOOGLETRANSLATE(E1987, ""zh"", ""en"")"),"Qualitative text")</f>
        <v>Qualitative text</v>
      </c>
    </row>
    <row r="1988" spans="1:3" ht="13" x14ac:dyDescent="0.15">
      <c r="A1988" s="1" t="str">
        <f ca="1">IFERROR(__xludf.DUMMYFUNCTION("GOOGLETRANSLATE(A1988, ""zh"", ""en"")"),"The Board of Directors assessed that Haier Smart Home's internal control system is sound and effectively implemented, and found no major deficiencies in the design or implementation of the Company's internal controls.")</f>
        <v>The Board of Directors assessed that Haier Smart Home's internal control system is sound and effectively implemented, and found no major deficiencies in the design or implementation of the Company's internal controls.</v>
      </c>
      <c r="B1988" s="1" t="str">
        <f ca="1">IFERROR(__xludf.DUMMYFUNCTION("GOOGLETRANSLATE(A1988, ""zh"", ""en"")"),"Organizational structure and operations")</f>
        <v>Organizational structure and operations</v>
      </c>
      <c r="C1988" s="1" t="str">
        <f ca="1">IFERROR(__xludf.DUMMYFUNCTION("GOOGLETRANSLATE(E1988, ""zh"", ""en"")"),"Quantitative Text")</f>
        <v>Quantitative Text</v>
      </c>
    </row>
    <row r="1989" spans="1:3" ht="13" x14ac:dyDescent="0.15">
      <c r="A1989" s="1" t="str">
        <f ca="1">IFERROR(__xludf.DUMMYFUNCTION("GOOGLETRANSLATE(A1989, ""zh"", ""en"")"),"When the company receives a report, the internal control and internal audit department will conduct a preliminary screening and investigation. Any suspected criminal behavior will be handed over to the judicial authorities for handling.")</f>
        <v>When the company receives a report, the internal control and internal audit department will conduct a preliminary screening and investigation. Any suspected criminal behavior will be handed over to the judicial authorities for handling.</v>
      </c>
      <c r="B1989" s="1" t="str">
        <f ca="1">IFERROR(__xludf.DUMMYFUNCTION("GOOGLETRANSLATE(A1989, ""zh"", ""en"")"),"Reporting System")</f>
        <v>Reporting System</v>
      </c>
      <c r="C1989" s="1" t="str">
        <f ca="1">IFERROR(__xludf.DUMMYFUNCTION("GOOGLETRANSLATE(E1989, ""zh"", ""en"")"),"Qualitative text")</f>
        <v>Qualitative text</v>
      </c>
    </row>
    <row r="1990" spans="1:3" ht="13" x14ac:dyDescent="0.15">
      <c r="A1990" s="1" t="str">
        <f ca="1">IFERROR(__xludf.DUMMYFUNCTION("GOOGLETRANSLATE(A1990, ""zh"", ""en"")"),"Clarify the responsibilities of all levels, implement all safety production management systems, and conduct regular inspections and assessments on the implementation of each unit's safety responsibility targets.")</f>
        <v>Clarify the responsibilities of all levels, implement all safety production management systems, and conduct regular inspections and assessments on the implementation of each unit's safety responsibility targets.</v>
      </c>
      <c r="B1990" s="1" t="str">
        <f ca="1">IFERROR(__xludf.DUMMYFUNCTION("GOOGLETRANSLATE(A1990, ""zh"", ""en"")"),"staff")</f>
        <v>staff</v>
      </c>
      <c r="C1990" s="1" t="str">
        <f ca="1">IFERROR(__xludf.DUMMYFUNCTION("GOOGLETRANSLATE(E1990, ""zh"", ""en"")"),"Qualitative text")</f>
        <v>Qualitative text</v>
      </c>
    </row>
    <row r="1991" spans="1:3" ht="13" x14ac:dyDescent="0.15">
      <c r="A1991" s="1" t="str">
        <f ca="1">IFERROR(__xludf.DUMMYFUNCTION("GOOGLETRANSLATE(A1991, ""zh"", ""en"")"),"The company organizes training courses on environmental protection laws and regulations, emergency response to environmental incidents, etc., which effectively enhance employees' awareness of the country's new environmental protection policies and technol"&amp;"ogies.")</f>
        <v>The company organizes training courses on environmental protection laws and regulations, emergency response to environmental incidents, etc., which effectively enhance employees' awareness of the country's new environmental protection policies and technologies.</v>
      </c>
      <c r="B1991" s="1" t="str">
        <f ca="1">IFERROR(__xludf.DUMMYFUNCTION("GOOGLETRANSLATE(A1991, ""zh"", ""en"")"),"Environmental Policy")</f>
        <v>Environmental Policy</v>
      </c>
      <c r="C1991" s="1" t="str">
        <f ca="1">IFERROR(__xludf.DUMMYFUNCTION("GOOGLETRANSLATE(E1991, ""zh"", ""en"")"),"Qualitative text")</f>
        <v>Qualitative text</v>
      </c>
    </row>
    <row r="1992" spans="1:3" ht="13" x14ac:dyDescent="0.15">
      <c r="A1992" s="1" t="str">
        <f ca="1">IFERROR(__xludf.DUMMYFUNCTION("GOOGLETRANSLATE(A1992, ""zh"", ""en"")"),"Our subsidiary, Wuchan Zhongda Logistics Ningbo Co., Ltd., was named one of the top ten service enterprises in Zhenhai District by the CPC Ningbo Zhenhai District Committee and the Ningbo Zhenhai District People's Government.")</f>
        <v>Our subsidiary, Wuchan Zhongda Logistics Ningbo Co., Ltd., was named one of the top ten service enterprises in Zhenhai District by the CPC Ningbo Zhenhai District Committee and the Ningbo Zhenhai District People's Government.</v>
      </c>
      <c r="B1992" s="1" t="str">
        <f ca="1">IFERROR(__xludf.DUMMYFUNCTION("GOOGLETRANSLATE(A1992, ""zh"", ""en"")"),"Legal proceedings and external sanctions")</f>
        <v>Legal proceedings and external sanctions</v>
      </c>
      <c r="C1992" s="1" t="str">
        <f ca="1">IFERROR(__xludf.DUMMYFUNCTION("GOOGLETRANSLATE(E1992, ""zh"", ""en"")"),"Quantitative Text")</f>
        <v>Quantitative Text</v>
      </c>
    </row>
    <row r="1993" spans="1:3" ht="13" x14ac:dyDescent="0.15">
      <c r="A1993" s="1" t="str">
        <f ca="1">IFERROR(__xludf.DUMMYFUNCTION("GOOGLETRANSLATE(A1993, ""zh"", ""en"")"),"Projects that require approval according to law can only be carried out after approval by relevant departments. Specific business projects are subject to the approval documents or licenses of relevant departments.")</f>
        <v>Projects that require approval according to law can only be carried out after approval by relevant departments. Specific business projects are subject to the approval documents or licenses of relevant departments.</v>
      </c>
      <c r="B1993" s="1" t="str">
        <f ca="1">IFERROR(__xludf.DUMMYFUNCTION("GOOGLETRANSLATE(A1993, ""zh"", ""en"")"),"irrelevant text")</f>
        <v>irrelevant text</v>
      </c>
      <c r="C1993" s="1" t="str">
        <f ca="1">IFERROR(__xludf.DUMMYFUNCTION("GOOGLETRANSLATE(E1993, ""zh"", ""en"")"),"irrelevant text")</f>
        <v>irrelevant text</v>
      </c>
    </row>
    <row r="1994" spans="1:3" ht="13" x14ac:dyDescent="0.15">
      <c r="A1994" s="1" t="str">
        <f ca="1">IFERROR(__xludf.DUMMYFUNCTION("GOOGLETRANSLATE(A1994, ""zh"", ""en"")"),"With its rich brand channel resources and outstanding digital supply chain service capabilities, Yunshang Company was successfully selected into the Digital Trade Top 100 List and the Top 10 Cross-border E-commerce List.")</f>
        <v>With its rich brand channel resources and outstanding digital supply chain service capabilities, Yunshang Company was successfully selected into the Digital Trade Top 100 List and the Top 10 Cross-border E-commerce List.</v>
      </c>
      <c r="B1994" s="1" t="str">
        <f ca="1">IFERROR(__xludf.DUMMYFUNCTION("GOOGLETRANSLATE(A1994, ""zh"", ""en"")"),"supply chain management")</f>
        <v>supply chain management</v>
      </c>
      <c r="C1994" s="1" t="str">
        <f ca="1">IFERROR(__xludf.DUMMYFUNCTION("GOOGLETRANSLATE(E1994, ""zh"", ""en"")"),"Qualitative text")</f>
        <v>Qualitative text</v>
      </c>
    </row>
    <row r="1995" spans="1:3" ht="13" x14ac:dyDescent="0.15">
      <c r="A1995" s="1" t="str">
        <f ca="1">IFERROR(__xludf.DUMMYFUNCTION("GOOGLETRANSLATE(A1995, ""zh"", ""en"")"),"The effectiveness of the technical middle platform construction has saved about 900,000 yuan in R&amp;D costs each year, shortened the demand implementation cycle by more than 50%, and improved the overall performance of the system by more than 30%.")</f>
        <v>The effectiveness of the technical middle platform construction has saved about 900,000 yuan in R&amp;D costs each year, shortened the demand implementation cycle by more than 50%, and improved the overall performance of the system by more than 30%.</v>
      </c>
      <c r="B1995" s="1" t="str">
        <f ca="1">IFERROR(__xludf.DUMMYFUNCTION("GOOGLETRANSLATE(A1995, ""zh"", ""en"")"),"Technological innovation")</f>
        <v>Technological innovation</v>
      </c>
      <c r="C1995" s="1" t="str">
        <f ca="1">IFERROR(__xludf.DUMMYFUNCTION("GOOGLETRANSLATE(E1995, ""zh"", ""en"")"),"Quantitative Text")</f>
        <v>Quantitative Text</v>
      </c>
    </row>
    <row r="1996" spans="1:3" ht="13" x14ac:dyDescent="0.15">
      <c r="A1996" s="1" t="str">
        <f ca="1">IFERROR(__xludf.DUMMYFUNCTION("GOOGLETRANSLATE(A1996, ""zh"", ""en"")"),"The two parties will take this signing as an opportunity to integrate their advantageous resources, deepen all-round business cooperation, and strive to build a deeper cooperation between banks and enterprises to promote the high-quality development of th"&amp;"e group.")</f>
        <v>The two parties will take this signing as an opportunity to integrate their advantageous resources, deepen all-round business cooperation, and strive to build a deeper cooperation between banks and enterprises to promote the high-quality development of the group.</v>
      </c>
      <c r="B1996" s="1" t="str">
        <f ca="1">IFERROR(__xludf.DUMMYFUNCTION("GOOGLETRANSLATE(A1996, ""zh"", ""en"")"),"Technological innovation")</f>
        <v>Technological innovation</v>
      </c>
      <c r="C1996" s="1" t="str">
        <f ca="1">IFERROR(__xludf.DUMMYFUNCTION("GOOGLETRANSLATE(E1996, ""zh"", ""en"")"),"Qualitative text")</f>
        <v>Qualitative text</v>
      </c>
    </row>
    <row r="1997" spans="1:3" ht="13" x14ac:dyDescent="0.15">
      <c r="A1997" s="1" t="str">
        <f ca="1">IFERROR(__xludf.DUMMYFUNCTION("GOOGLETRANSLATE(A1997, ""zh"", ""en"")"),"In 2020, the Group organized a special inspection team to inspect the implementation of the rectification of project bidding and bulk material procurement in the previous year, as well as the construction of a long-term mechanism.")</f>
        <v>In 2020, the Group organized a special inspection team to inspect the implementation of the rectification of project bidding and bulk material procurement in the previous year, as well as the construction of a long-term mechanism.</v>
      </c>
      <c r="B1997" s="1" t="str">
        <f ca="1">IFERROR(__xludf.DUMMYFUNCTION("GOOGLETRANSLATE(A1997, ""zh"", ""en"")"),"Organizational structure and operations")</f>
        <v>Organizational structure and operations</v>
      </c>
      <c r="C1997" s="1" t="str">
        <f ca="1">IFERROR(__xludf.DUMMYFUNCTION("GOOGLETRANSLATE(E1997, ""zh"", ""en"")"),"Qualitative text")</f>
        <v>Qualitative text</v>
      </c>
    </row>
    <row r="1998" spans="1:3" ht="13" x14ac:dyDescent="0.15">
      <c r="A1998" s="1" t="str">
        <f ca="1">IFERROR(__xludf.DUMMYFUNCTION("GOOGLETRANSLATE(A1998, ""zh"", ""en"")"),"Completed 5 small and micro innovation projects and obtained 1 utility model patent. 3 new patents were applied for and accepted, including 2 invention patents and 1 utility model patent.")</f>
        <v>Completed 5 small and micro innovation projects and obtained 1 utility model patent. 3 new patents were applied for and accepted, including 2 invention patents and 1 utility model patent.</v>
      </c>
      <c r="B1998" s="1" t="str">
        <f ca="1">IFERROR(__xludf.DUMMYFUNCTION("GOOGLETRANSLATE(A1998, ""zh"", ""en"")"),"Intellectual Property Protection")</f>
        <v>Intellectual Property Protection</v>
      </c>
      <c r="C1998" s="1" t="str">
        <f ca="1">IFERROR(__xludf.DUMMYFUNCTION("GOOGLETRANSLATE(E1998, ""zh"", ""en"")"),"Quantitative Text")</f>
        <v>Quantitative Text</v>
      </c>
    </row>
    <row r="1999" spans="1:3" ht="13" x14ac:dyDescent="0.15">
      <c r="A1999" s="1" t="str">
        <f ca="1">IFERROR(__xludf.DUMMYFUNCTION("GOOGLETRANSLATE(A1999, ""zh"", ""en"")"),"In response to the difficulties faced by the asset management company, with the personal care and support of the group's main leaders, a new shareholder professional team was introduced to effectively change the company's development outlook.")</f>
        <v>In response to the difficulties faced by the asset management company, with the personal care and support of the group's main leaders, a new shareholder professional team was introduced to effectively change the company's development outlook.</v>
      </c>
      <c r="B1999" s="1" t="str">
        <f ca="1">IFERROR(__xludf.DUMMYFUNCTION("GOOGLETRANSLATE(A1999, ""zh"", ""en"")"),"Organizational structure and operations")</f>
        <v>Organizational structure and operations</v>
      </c>
      <c r="C1999" s="1" t="str">
        <f ca="1">IFERROR(__xludf.DUMMYFUNCTION("GOOGLETRANSLATE(E1999, ""zh"", ""en"")"),"Qualitative text")</f>
        <v>Qualitative text</v>
      </c>
    </row>
    <row r="2000" spans="1:3" ht="13" x14ac:dyDescent="0.15">
      <c r="A2000" s="1" t="str">
        <f ca="1">IFERROR(__xludf.DUMMYFUNCTION("GOOGLETRANSLATE(A2000, ""zh"", ""en"")"),"Selected 6 suitable employees to participate in external professional training, and one of them successfully passed the Huawei certified HCIP cloud computing senior engineer exam")</f>
        <v>Selected 6 suitable employees to participate in external professional training, and one of them successfully passed the Huawei certified HCIP cloud computing senior engineer exam</v>
      </c>
      <c r="B2000" s="1" t="str">
        <f ca="1">IFERROR(__xludf.DUMMYFUNCTION("GOOGLETRANSLATE(A2000, ""zh"", ""en"")"),"staff")</f>
        <v>staff</v>
      </c>
      <c r="C2000" s="1" t="str">
        <f ca="1">IFERROR(__xludf.DUMMYFUNCTION("GOOGLETRANSLATE(E2000, ""zh"", ""en"")"),"Quantitative Text")</f>
        <v>Quantitative Text</v>
      </c>
    </row>
    <row r="2001" spans="1:3" ht="13" x14ac:dyDescent="0.15">
      <c r="A2001" s="1" t="str">
        <f ca="1">IFERROR(__xludf.DUMMYFUNCTION("GOOGLETRANSLATE(A2001, ""zh"", ""en"")"),"We expect Haier Smart Home to collaborate with the industry chain to achieve low-carbon green transformation, actively fulfill social responsibilities and continuously promote the high-quality development of China's home appliance industry.")</f>
        <v>We expect Haier Smart Home to collaborate with the industry chain to achieve low-carbon green transformation, actively fulfill social responsibilities and continuously promote the high-quality development of China's home appliance industry.</v>
      </c>
      <c r="B2001" s="1" t="str">
        <f ca="1">IFERROR(__xludf.DUMMYFUNCTION("GOOGLETRANSLATE(A2001, ""zh"", ""en"")"),"carbon emissions")</f>
        <v>carbon emissions</v>
      </c>
      <c r="C2001" s="1" t="str">
        <f ca="1">IFERROR(__xludf.DUMMYFUNCTION("GOOGLETRANSLATE(E2001, ""zh"", ""en"")"),"Qualitative text")</f>
        <v>Qualitative text</v>
      </c>
    </row>
    <row r="2002" spans="1:3" ht="13" x14ac:dyDescent="0.15">
      <c r="A2002" s="1" t="str">
        <f ca="1">IFERROR(__xludf.DUMMYFUNCTION("GOOGLETRANSLATE(A2002, ""zh"", ""en"")"),"The failure rate of the instrument was optimized, the accuracy of the instrument was improved, the data was more representative of the operating environment of the instrument, and the actual water discharge of Erye Pharmaceutical was guaranteed.")</f>
        <v>The failure rate of the instrument was optimized, the accuracy of the instrument was improved, the data was more representative of the operating environment of the instrument, and the actual water discharge of Erye Pharmaceutical was guaranteed.</v>
      </c>
      <c r="B2002" s="1" t="str">
        <f ca="1">IFERROR(__xludf.DUMMYFUNCTION("GOOGLETRANSLATE(A2002, ""zh"", ""en"")"),"Water resources")</f>
        <v>Water resources</v>
      </c>
      <c r="C2002" s="1" t="str">
        <f ca="1">IFERROR(__xludf.DUMMYFUNCTION("GOOGLETRANSLATE(E2002, ""zh"", ""en"")"),"Qualitative text")</f>
        <v>Qualitative text</v>
      </c>
    </row>
    <row r="2003" spans="1:3" ht="13" x14ac:dyDescent="0.15">
      <c r="A2003" s="1" t="str">
        <f ca="1">IFERROR(__xludf.DUMMYFUNCTION("GOOGLETRANSLATE(A2003, ""zh"", ""en"")"),"In 2022, we will establish a patent asset evaluation and maintenance management platform to identify and market existing patents to optimize the patent quality platform.")</f>
        <v>In 2022, we will establish a patent asset evaluation and maintenance management platform to identify and market existing patents to optimize the patent quality platform.</v>
      </c>
      <c r="B2003" s="1" t="str">
        <f ca="1">IFERROR(__xludf.DUMMYFUNCTION("GOOGLETRANSLATE(A2003, ""zh"", ""en"")"),"Intellectual Property Protection")</f>
        <v>Intellectual Property Protection</v>
      </c>
      <c r="C2003" s="1" t="str">
        <f ca="1">IFERROR(__xludf.DUMMYFUNCTION("GOOGLETRANSLATE(E2003, ""zh"", ""en"")"),"Qualitative text")</f>
        <v>Qualitative text</v>
      </c>
    </row>
    <row r="2004" spans="1:3" ht="13" x14ac:dyDescent="0.15">
      <c r="A2004" s="1" t="str">
        <f ca="1">IFERROR(__xludf.DUMMYFUNCTION("GOOGLETRANSLATE(A2004, ""zh"", ""en"")"),"At the same time, Fosun Pharma Group actively uses the partnership mechanism to create value and share development with the team.")</f>
        <v>At the same time, Fosun Pharma Group actively uses the partnership mechanism to create value and share development with the team.</v>
      </c>
      <c r="B2004" s="1" t="str">
        <f ca="1">IFERROR(__xludf.DUMMYFUNCTION("GOOGLETRANSLATE(A2004, ""zh"", ""en"")"),"staff")</f>
        <v>staff</v>
      </c>
      <c r="C2004" s="1" t="str">
        <f ca="1">IFERROR(__xludf.DUMMYFUNCTION("GOOGLETRANSLATE(E2004, ""zh"", ""en"")"),"Qualitative text")</f>
        <v>Qualitative text</v>
      </c>
    </row>
    <row r="2005" spans="1:3" ht="13" x14ac:dyDescent="0.15">
      <c r="A2005" s="1" t="str">
        <f ca="1">IFERROR(__xludf.DUMMYFUNCTION("GOOGLETRANSLATE(A2005, ""zh"", ""en"")"),"The Group always adheres to the principle of fairness and opposes discrimination, ensuring equal starting salaries for employees of the same gender, complying with equal minimum wages, and proactively investing in the health of its employees.")</f>
        <v>The Group always adheres to the principle of fairness and opposes discrimination, ensuring equal starting salaries for employees of the same gender, complying with equal minimum wages, and proactively investing in the health of its employees.</v>
      </c>
      <c r="B2005" s="1" t="str">
        <f ca="1">IFERROR(__xludf.DUMMYFUNCTION("GOOGLETRANSLATE(A2005, ""zh"", ""en"")"),"staff")</f>
        <v>staff</v>
      </c>
      <c r="C2005" s="1" t="str">
        <f ca="1">IFERROR(__xludf.DUMMYFUNCTION("GOOGLETRANSLATE(E2005, ""zh"", ""en"")"),"Qualitative text")</f>
        <v>Qualitative text</v>
      </c>
    </row>
    <row r="2006" spans="1:3" ht="13" x14ac:dyDescent="0.15">
      <c r="A2006" s="1" t="str">
        <f ca="1">IFERROR(__xludf.DUMMYFUNCTION("GOOGLETRANSLATE(A2006, ""zh"", ""en"")"),"The company has jointly released three research reports on plastic recycling with Tsinghua University and Tongji University, proposing solutions for plastic pollution control from different perspectives.")</f>
        <v>The company has jointly released three research reports on plastic recycling with Tsinghua University and Tongji University, proposing solutions for plastic pollution control from different perspectives.</v>
      </c>
      <c r="B2006" s="1" t="str">
        <f ca="1">IFERROR(__xludf.DUMMYFUNCTION("GOOGLETRANSLATE(A2006, ""zh"", ""en"")"),"Waste Management")</f>
        <v>Waste Management</v>
      </c>
      <c r="C2006" s="1" t="str">
        <f ca="1">IFERROR(__xludf.DUMMYFUNCTION("GOOGLETRANSLATE(E2006, ""zh"", ""en"")"),"Qualitative text")</f>
        <v>Qualitative text</v>
      </c>
    </row>
    <row r="2007" spans="1:3" ht="13" x14ac:dyDescent="0.15">
      <c r="A2007" s="1" t="str">
        <f ca="1">IFERROR(__xludf.DUMMYFUNCTION("GOOGLETRANSLATE(A2007, ""zh"", ""en"")"),"China Construction Bank has formulated the key points of its 2022 grassroots branch employee care project, proposing 23 key measures, including empowering employees to care for their physical and mental health at work.")</f>
        <v>China Construction Bank has formulated the key points of its 2022 grassroots branch employee care project, proposing 23 key measures, including empowering employees to care for their physical and mental health at work.</v>
      </c>
      <c r="B2007" s="1" t="str">
        <f ca="1">IFERROR(__xludf.DUMMYFUNCTION("GOOGLETRANSLATE(A2007, ""zh"", ""en"")"),"staff")</f>
        <v>staff</v>
      </c>
      <c r="C2007" s="1" t="str">
        <f ca="1">IFERROR(__xludf.DUMMYFUNCTION("GOOGLETRANSLATE(E2007, ""zh"", ""en"")"),"Quantitative Text")</f>
        <v>Quantitative Text</v>
      </c>
    </row>
    <row r="2008" spans="1:3" ht="13" x14ac:dyDescent="0.15">
      <c r="A2008" s="1" t="str">
        <f ca="1">IFERROR(__xludf.DUMMYFUNCTION("GOOGLETRANSLATE(A2008, ""zh"", ""en"")"),"In 2022, the company increased its offline marketing efforts and held charity live broadcasts to sell Dongxiang quinoa for over RMB 70 million.")</f>
        <v>In 2022, the company increased its offline marketing efforts and held charity live broadcasts to sell Dongxiang quinoa for over RMB 70 million.</v>
      </c>
      <c r="B2008" s="1" t="str">
        <f ca="1">IFERROR(__xludf.DUMMYFUNCTION("GOOGLETRANSLATE(A2008, ""zh"", ""en"")"),"Public welfare and volunteer service")</f>
        <v>Public welfare and volunteer service</v>
      </c>
      <c r="C2008" s="1" t="str">
        <f ca="1">IFERROR(__xludf.DUMMYFUNCTION("GOOGLETRANSLATE(E2008, ""zh"", ""en"")"),"Quantitative Text")</f>
        <v>Quantitative Text</v>
      </c>
    </row>
    <row r="2009" spans="1:3" ht="13" x14ac:dyDescent="0.15">
      <c r="A2009" s="1" t="str">
        <f ca="1">IFERROR(__xludf.DUMMYFUNCTION("GOOGLETRANSLATE(A2009, ""zh"", ""en"")"),"Suppliers must sign a letter of responsibility for honest work, committing to strictly abide by anti-corruption and anti-bribery laws and regulations as well as the honest work regulations of both companies.")</f>
        <v>Suppliers must sign a letter of responsibility for honest work, committing to strictly abide by anti-corruption and anti-bribery laws and regulations as well as the honest work regulations of both companies.</v>
      </c>
      <c r="B2009" s="1" t="str">
        <f ca="1">IFERROR(__xludf.DUMMYFUNCTION("GOOGLETRANSLATE(A2009, ""zh"", ""en"")"),"Anti-corruption and anti-money laundering")</f>
        <v>Anti-corruption and anti-money laundering</v>
      </c>
      <c r="C2009" s="1" t="str">
        <f ca="1">IFERROR(__xludf.DUMMYFUNCTION("GOOGLETRANSLATE(E2009, ""zh"", ""en"")"),"Qualitative text")</f>
        <v>Qualitative text</v>
      </c>
    </row>
    <row r="2010" spans="1:3" ht="13" x14ac:dyDescent="0.15">
      <c r="A2010" s="1" t="str">
        <f ca="1">IFERROR(__xludf.DUMMYFUNCTION("GOOGLETRANSLATE(A2010, ""zh"", ""en"")"),"New features such as account management, electronic reconciliation, merchant payment collection, wealth management, fund branch services, and digital RMB are newly deployed to provide customers with more convenient accompanying services.")</f>
        <v>New features such as account management, electronic reconciliation, merchant payment collection, wealth management, fund branch services, and digital RMB are newly deployed to provide customers with more convenient accompanying services.</v>
      </c>
      <c r="B2010" s="1" t="str">
        <f ca="1">IFERROR(__xludf.DUMMYFUNCTION("GOOGLETRANSLATE(A2010, ""zh"", ""en"")"),"Customers and Consumers")</f>
        <v>Customers and Consumers</v>
      </c>
      <c r="C2010" s="1" t="str">
        <f ca="1">IFERROR(__xludf.DUMMYFUNCTION("GOOGLETRANSLATE(E2010, ""zh"", ""en"")"),"Qualitative text")</f>
        <v>Qualitative text</v>
      </c>
    </row>
    <row r="2011" spans="1:3" ht="13" x14ac:dyDescent="0.15">
      <c r="A2011" s="1" t="str">
        <f ca="1">IFERROR(__xludf.DUMMYFUNCTION("GOOGLETRANSLATE(A2011, ""zh"", ""en"")"),"At the same time, we encourage employees to participate in public welfare and charity activities, initiate internal fundraising, and actively participate in social welfare undertakings together with employees through cash matching donations.")</f>
        <v>At the same time, we encourage employees to participate in public welfare and charity activities, initiate internal fundraising, and actively participate in social welfare undertakings together with employees through cash matching donations.</v>
      </c>
      <c r="B2011" s="1" t="str">
        <f ca="1">IFERROR(__xludf.DUMMYFUNCTION("GOOGLETRANSLATE(A2011, ""zh"", ""en"")"),"Public welfare and volunteer service")</f>
        <v>Public welfare and volunteer service</v>
      </c>
      <c r="C2011" s="1" t="str">
        <f ca="1">IFERROR(__xludf.DUMMYFUNCTION("GOOGLETRANSLATE(E2011, ""zh"", ""en"")"),"Qualitative text")</f>
        <v>Qualitative text</v>
      </c>
    </row>
    <row r="2012" spans="1:3" ht="13" x14ac:dyDescent="0.15">
      <c r="A2012" s="1" t="str">
        <f ca="1">IFERROR(__xludf.DUMMYFUNCTION("GOOGLETRANSLATE(A2012, ""zh"", ""en"")"),"Guangzhou Petrochemical uses the low-temperature heat of the SZorb unit as energy to drive a new lithium bromide refrigeration energy-saving system that uses waste hot water and lithium bromide water for heat exchange.")</f>
        <v>Guangzhou Petrochemical uses the low-temperature heat of the SZorb unit as energy to drive a new lithium bromide refrigeration energy-saving system that uses waste hot water and lithium bromide water for heat exchange.</v>
      </c>
      <c r="B2012" s="1" t="str">
        <f ca="1">IFERROR(__xludf.DUMMYFUNCTION("GOOGLETRANSLATE(A2012, ""zh"", ""en"")"),"Energy and resource consumption")</f>
        <v>Energy and resource consumption</v>
      </c>
      <c r="C2012" s="1" t="str">
        <f ca="1">IFERROR(__xludf.DUMMYFUNCTION("GOOGLETRANSLATE(E2012, ""zh"", ""en"")"),"Qualitative text")</f>
        <v>Qualitative text</v>
      </c>
    </row>
    <row r="2013" spans="1:3" ht="13" x14ac:dyDescent="0.15">
      <c r="A2013" s="1" t="str">
        <f ca="1">IFERROR(__xludf.DUMMYFUNCTION("GOOGLETRANSLATE(A2013, ""zh"", ""en"")"),"The company has formulated the headquarters internal control manual and the enterprise internal control manual framework. The affiliated enterprises formulate internal control implementation rules according to the headquarters framework requirements and t"&amp;"heir own actual conditions.")</f>
        <v>The company has formulated the headquarters internal control manual and the enterprise internal control manual framework. The affiliated enterprises formulate internal control implementation rules according to the headquarters framework requirements and their own actual conditions.</v>
      </c>
      <c r="B2013" s="1" t="str">
        <f ca="1">IFERROR(__xludf.DUMMYFUNCTION("GOOGLETRANSLATE(A2013, ""zh"", ""en"")"),"Organizational structure and operations")</f>
        <v>Organizational structure and operations</v>
      </c>
      <c r="C2013" s="1" t="str">
        <f ca="1">IFERROR(__xludf.DUMMYFUNCTION("GOOGLETRANSLATE(E2013, ""zh"", ""en"")"),"Qualitative text")</f>
        <v>Qualitative text</v>
      </c>
    </row>
    <row r="2014" spans="1:3" ht="13" x14ac:dyDescent="0.15">
      <c r="A2014" s="1" t="str">
        <f ca="1">IFERROR(__xludf.DUMMYFUNCTION("GOOGLETRANSLATE(A2014, ""zh"", ""en"")"),"The platform builds a targeted digital learning zone for employees, provides them with a wealth of career development training resources, and guides them to actively learn and engage in lifelong learning.")</f>
        <v>The platform builds a targeted digital learning zone for employees, provides them with a wealth of career development training resources, and guides them to actively learn and engage in lifelong learning.</v>
      </c>
      <c r="B2014" s="1" t="str">
        <f ca="1">IFERROR(__xludf.DUMMYFUNCTION("GOOGLETRANSLATE(A2014, ""zh"", ""en"")"),"staff")</f>
        <v>staff</v>
      </c>
      <c r="C2014" s="1" t="str">
        <f ca="1">IFERROR(__xludf.DUMMYFUNCTION("GOOGLETRANSLATE(E2014, ""zh"", ""en"")"),"Qualitative text")</f>
        <v>Qualitative text</v>
      </c>
    </row>
    <row r="2015" spans="1:3" ht="13" x14ac:dyDescent="0.15">
      <c r="A2015" s="1" t="str">
        <f ca="1">IFERROR(__xludf.DUMMYFUNCTION("GOOGLETRANSLATE(A2015, ""zh"", ""en"")"),"The Yangtze River Delta refers to the following areas where the first-tier branches and audit institutions of China Construction Bank are located: Shanghai, Jiangsu, Zhejiang, Ningbo, and Suzhou.")</f>
        <v>The Yangtze River Delta refers to the following areas where the first-tier branches and audit institutions of China Construction Bank are located: Shanghai, Jiangsu, Zhejiang, Ningbo, and Suzhou.</v>
      </c>
      <c r="B2015" s="1" t="str">
        <f ca="1">IFERROR(__xludf.DUMMYFUNCTION("GOOGLETRANSLATE(A2015, ""zh"", ""en"")"),"Audit work")</f>
        <v>Audit work</v>
      </c>
      <c r="C2015" s="1" t="str">
        <f ca="1">IFERROR(__xludf.DUMMYFUNCTION("GOOGLETRANSLATE(E2015, ""zh"", ""en"")"),"Qualitative text")</f>
        <v>Qualitative text</v>
      </c>
    </row>
    <row r="2016" spans="1:3" ht="13" x14ac:dyDescent="0.15">
      <c r="A2016" s="1" t="str">
        <f ca="1">IFERROR(__xludf.DUMMYFUNCTION("GOOGLETRANSLATE(A2016, ""zh"", ""en"")"),"Conduct post-environmental impact assessments as required, carry out ecological restoration work based on the assessment results, and continuously improve the environmental management level of construction projects throughout their life cycle.")</f>
        <v>Conduct post-environmental impact assessments as required, carry out ecological restoration work based on the assessment results, and continuously improve the environmental management level of construction projects throughout their life cycle.</v>
      </c>
      <c r="B2016" s="1" t="str">
        <f ca="1">IFERROR(__xludf.DUMMYFUNCTION("GOOGLETRANSLATE(A2016, ""zh"", ""en"")"),"Water resources")</f>
        <v>Water resources</v>
      </c>
      <c r="C2016" s="1" t="str">
        <f ca="1">IFERROR(__xludf.DUMMYFUNCTION("GOOGLETRANSLATE(E2016, ""zh"", ""en"")"),"Qualitative text")</f>
        <v>Qualitative text</v>
      </c>
    </row>
    <row r="2017" spans="1:3" ht="13" x14ac:dyDescent="0.15">
      <c r="A2017" s="1" t="str">
        <f ca="1">IFERROR(__xludf.DUMMYFUNCTION("GOOGLETRANSLATE(A2017, ""zh"", ""en"")"),"Contractors and suppliers manage the release of fish and shrimp to replenish and restore aquatic biological resource groups, improve the water environment, and optimize the fishery resource community structure.")</f>
        <v>Contractors and suppliers manage the release of fish and shrimp to replenish and restore aquatic biological resource groups, improve the water environment, and optimize the fishery resource community structure.</v>
      </c>
      <c r="B2017" s="1" t="str">
        <f ca="1">IFERROR(__xludf.DUMMYFUNCTION("GOOGLETRANSLATE(A2017, ""zh"", ""en"")"),"biodiversity")</f>
        <v>biodiversity</v>
      </c>
      <c r="C2017" s="1" t="str">
        <f ca="1">IFERROR(__xludf.DUMMYFUNCTION("GOOGLETRANSLATE(E2017, ""zh"", ""en"")"),"Qualitative text")</f>
        <v>Qualitative text</v>
      </c>
    </row>
    <row r="2018" spans="1:3" ht="13" x14ac:dyDescent="0.15">
      <c r="A2018" s="1" t="str">
        <f ca="1">IFERROR(__xludf.DUMMYFUNCTION("GOOGLETRANSLATE(A2018, ""zh"", ""en"")"),"The company incorporates biodiversity conservation into its annual energy and environmental performance assessment. No incidents of biodiversity damage occurred in any of its subsidiaries in 2022.")</f>
        <v>The company incorporates biodiversity conservation into its annual energy and environmental performance assessment. No incidents of biodiversity damage occurred in any of its subsidiaries in 2022.</v>
      </c>
      <c r="B2018" s="1" t="str">
        <f ca="1">IFERROR(__xludf.DUMMYFUNCTION("GOOGLETRANSLATE(A2018, ""zh"", ""en"")"),"biodiversity")</f>
        <v>biodiversity</v>
      </c>
      <c r="C2018" s="1" t="str">
        <f ca="1">IFERROR(__xludf.DUMMYFUNCTION("GOOGLETRANSLATE(E2018, ""zh"", ""en"")"),"Quantitative Text")</f>
        <v>Quantitative Text</v>
      </c>
    </row>
    <row r="2019" spans="1:3" ht="13" x14ac:dyDescent="0.15">
      <c r="A2019" s="1" t="str">
        <f ca="1">IFERROR(__xludf.DUMMYFUNCTION("GOOGLETRANSLATE(A2019, ""zh"", ""en"")"),"In countries implementing the Extractive Industries Transparency Initiative (EITI), we disclose our tax information to the public on time, exceeding the EITI minimum disclosure requirements.")</f>
        <v>In countries implementing the Extractive Industries Transparency Initiative (EITI), we disclose our tax information to the public on time, exceeding the EITI minimum disclosure requirements.</v>
      </c>
      <c r="B2019" s="1" t="str">
        <f ca="1">IFERROR(__xludf.DUMMYFUNCTION("GOOGLETRANSLATE(A2019, ""zh"", ""en"")"),"Tax transparency")</f>
        <v>Tax transparency</v>
      </c>
      <c r="C2019" s="1" t="str">
        <f ca="1">IFERROR(__xludf.DUMMYFUNCTION("GOOGLETRANSLATE(E2019, ""zh"", ""en"")"),"Qualitative text")</f>
        <v>Qualitative text</v>
      </c>
    </row>
    <row r="2020" spans="1:3" ht="13" x14ac:dyDescent="0.15">
      <c r="A2020" s="1" t="str">
        <f ca="1">IFERROR(__xludf.DUMMYFUNCTION("GOOGLETRANSLATE(A2020, ""zh"", ""en"")"),"In 2022, the company's labor union donated RMB 5 million to the Peking Union Medical College Education Foundation to support the development of Peking Union Medical College's education and scientific research.")</f>
        <v>In 2022, the company's labor union donated RMB 5 million to the Peking Union Medical College Education Foundation to support the development of Peking Union Medical College's education and scientific research.</v>
      </c>
      <c r="B2020" s="1" t="str">
        <f ca="1">IFERROR(__xludf.DUMMYFUNCTION("GOOGLETRANSLATE(A2020, ""zh"", ""en"")"),"Public welfare and volunteer service")</f>
        <v>Public welfare and volunteer service</v>
      </c>
      <c r="C2020" s="1" t="str">
        <f ca="1">IFERROR(__xludf.DUMMYFUNCTION("GOOGLETRANSLATE(E2020, ""zh"", ""en"")"),"Quantitative Text")</f>
        <v>Quantitative Text</v>
      </c>
    </row>
    <row r="2021" spans="1:3" ht="13" x14ac:dyDescent="0.15">
      <c r="A2021" s="1" t="str">
        <f ca="1">IFERROR(__xludf.DUMMYFUNCTION("GOOGLETRANSLATE(A2021, ""zh"", ""en"")"),"The company has partnered with the China Rural Development Foundation to establish the CITIC Securities Charity Fund. Employee donations can be directly donated to the fund to ensure that funds are earmarked for specific purposes.")</f>
        <v>The company has partnered with the China Rural Development Foundation to establish the CITIC Securities Charity Fund. Employee donations can be directly donated to the fund to ensure that funds are earmarked for specific purposes.</v>
      </c>
      <c r="B2021" s="1" t="str">
        <f ca="1">IFERROR(__xludf.DUMMYFUNCTION("GOOGLETRANSLATE(A2021, ""zh"", ""en"")"),"Public welfare and volunteer service")</f>
        <v>Public welfare and volunteer service</v>
      </c>
      <c r="C2021" s="1" t="str">
        <f ca="1">IFERROR(__xludf.DUMMYFUNCTION("GOOGLETRANSLATE(E2021, ""zh"", ""en"")"),"Qualitative text")</f>
        <v>Qualitative text</v>
      </c>
    </row>
    <row r="2022" spans="1:3" ht="13" x14ac:dyDescent="0.15">
      <c r="A2022" s="1" t="str">
        <f ca="1">IFERROR(__xludf.DUMMYFUNCTION("GOOGLETRANSLATE(A2022, ""zh"", ""en"")"),"At the same time, we have set up full-time intellectual property personnel positions to build an intellectual property talent team, improve professional management level and ensure the orderly development of intellectual property work.")</f>
        <v>At the same time, we have set up full-time intellectual property personnel positions to build an intellectual property talent team, improve professional management level and ensure the orderly development of intellectual property work.</v>
      </c>
      <c r="B2022" s="1" t="str">
        <f ca="1">IFERROR(__xludf.DUMMYFUNCTION("GOOGLETRANSLATE(A2022, ""zh"", ""en"")"),"Intellectual Property Protection")</f>
        <v>Intellectual Property Protection</v>
      </c>
      <c r="C2022" s="1" t="str">
        <f ca="1">IFERROR(__xludf.DUMMYFUNCTION("GOOGLETRANSLATE(E2022, ""zh"", ""en"")"),"Qualitative text")</f>
        <v>Qualitative text</v>
      </c>
    </row>
    <row r="2023" spans="1:3" ht="13" x14ac:dyDescent="0.15">
      <c r="A2023" s="1" t="str">
        <f ca="1">IFERROR(__xludf.DUMMYFUNCTION("GOOGLETRANSLATE(A2023, ""zh"", ""en"")"),"We focus on the training of junior employees and cultivate a performance-driven learning model for mature employees to create a learning and professional organizational culture atmosphere.")</f>
        <v>We focus on the training of junior employees and cultivate a performance-driven learning model for mature employees to create a learning and professional organizational culture atmosphere.</v>
      </c>
      <c r="B2023" s="1" t="str">
        <f ca="1">IFERROR(__xludf.DUMMYFUNCTION("GOOGLETRANSLATE(A2023, ""zh"", ""en"")"),"staff")</f>
        <v>staff</v>
      </c>
      <c r="C2023" s="1" t="str">
        <f ca="1">IFERROR(__xludf.DUMMYFUNCTION("GOOGLETRANSLATE(E2023, ""zh"", ""en"")"),"Qualitative text")</f>
        <v>Qualitative text</v>
      </c>
    </row>
    <row r="2024" spans="1:3" ht="13" x14ac:dyDescent="0.15">
      <c r="A2024" s="1" t="str">
        <f ca="1">IFERROR(__xludf.DUMMYFUNCTION("GOOGLETRANSLATE(A2024, ""zh"", ""en"")"),"CITIC Securities is committed to providing employees with a fair, efficient and equal complaint handling mechanism to help them promptly understand their demands and grasp any problems in the company's management.")</f>
        <v>CITIC Securities is committed to providing employees with a fair, efficient and equal complaint handling mechanism to help them promptly understand their demands and grasp any problems in the company's management.</v>
      </c>
      <c r="B2024" s="1" t="str">
        <f ca="1">IFERROR(__xludf.DUMMYFUNCTION("GOOGLETRANSLATE(A2024, ""zh"", ""en"")"),"Reporting System")</f>
        <v>Reporting System</v>
      </c>
      <c r="C2024" s="1" t="str">
        <f ca="1">IFERROR(__xludf.DUMMYFUNCTION("GOOGLETRANSLATE(E2024, ""zh"", ""en"")"),"Qualitative text")</f>
        <v>Qualitative text</v>
      </c>
    </row>
    <row r="2025" spans="1:3" ht="13" x14ac:dyDescent="0.15">
      <c r="A2025" s="1" t="str">
        <f ca="1">IFERROR(__xludf.DUMMYFUNCTION("GOOGLETRANSLATE(A2025, ""zh"", ""en"")"),"Shanghai Electric also listened to the voices of all stakeholders through this special exchange and took it as an important driving force to move forward and live up to everyone's trust and expectations.")</f>
        <v>Shanghai Electric also listened to the voices of all stakeholders through this special exchange and took it as an important driving force to move forward and live up to everyone's trust and expectations.</v>
      </c>
      <c r="B2025" s="1" t="str">
        <f ca="1">IFERROR(__xludf.DUMMYFUNCTION("GOOGLETRANSLATE(A2025, ""zh"", ""en"")"),"irrelevant text")</f>
        <v>irrelevant text</v>
      </c>
      <c r="C2025" s="1" t="str">
        <f ca="1">IFERROR(__xludf.DUMMYFUNCTION("GOOGLETRANSLATE(E2025, ""zh"", ""en"")"),"irrelevant text")</f>
        <v>irrelevant text</v>
      </c>
    </row>
    <row r="2026" spans="1:3" ht="13" x14ac:dyDescent="0.15">
      <c r="A2026" s="1" t="str">
        <f ca="1">IFERROR(__xludf.DUMMYFUNCTION("GOOGLETRANSLATE(A2026, ""zh"", ""en"")"),"The company will seriously investigate the responsibilities of relevant personnel for any acts of retaliation against whistleblowers to safeguard the legitimate rights and interests of whistleblowers and further open up supervision and reporting channels.")</f>
        <v>The company will seriously investigate the responsibilities of relevant personnel for any acts of retaliation against whistleblowers to safeguard the legitimate rights and interests of whistleblowers and further open up supervision and reporting channels.</v>
      </c>
      <c r="B2026" s="1" t="str">
        <f ca="1">IFERROR(__xludf.DUMMYFUNCTION("GOOGLETRANSLATE(A2026, ""zh"", ""en"")"),"Reporting System")</f>
        <v>Reporting System</v>
      </c>
      <c r="C2026" s="1" t="str">
        <f ca="1">IFERROR(__xludf.DUMMYFUNCTION("GOOGLETRANSLATE(E2026, ""zh"", ""en"")"),"Qualitative text")</f>
        <v>Qualitative text</v>
      </c>
    </row>
    <row r="2027" spans="1:3" ht="13" x14ac:dyDescent="0.15">
      <c r="A2027" s="1" t="str">
        <f ca="1">IFERROR(__xludf.DUMMYFUNCTION("GOOGLETRANSLATE(A2027, ""zh"", ""en"")"),"05 Supporting Employee Growth - A Diverse and Inclusive Workplace B1.1 Total number of employees by gender, employment type (full-time or part-time), age group, and region")</f>
        <v>05 Supporting Employee Growth - A Diverse and Inclusive Workplace B1.1 Total number of employees by gender, employment type (full-time or part-time), age group, and region</v>
      </c>
      <c r="B2027" s="1" t="str">
        <f ca="1">IFERROR(__xludf.DUMMYFUNCTION("GOOGLETRANSLATE(A2027, ""zh"", ""en"")"),"staff")</f>
        <v>staff</v>
      </c>
      <c r="C2027" s="1" t="str">
        <f ca="1">IFERROR(__xludf.DUMMYFUNCTION("GOOGLETRANSLATE(E2027, ""zh"", ""en"")"),"Qualitative text")</f>
        <v>Qualitative text</v>
      </c>
    </row>
    <row r="2028" spans="1:3" ht="13" x14ac:dyDescent="0.15">
      <c r="A2028" s="1" t="str">
        <f ca="1">IFERROR(__xludf.DUMMYFUNCTION("GOOGLETRANSLATE(A2028, ""zh"", ""en"")"),"Appendix 1 Key Performance Indicator Table A1.4 Total amount of non-hazardous waste generated in tons and, if applicable, density per unit of production per facility")</f>
        <v>Appendix 1 Key Performance Indicator Table A1.4 Total amount of non-hazardous waste generated in tons and, if applicable, density per unit of production per facility</v>
      </c>
      <c r="B2028" s="1" t="str">
        <f ca="1">IFERROR(__xludf.DUMMYFUNCTION("GOOGLETRANSLATE(A2028, ""zh"", ""en"")"),"Waste Management")</f>
        <v>Waste Management</v>
      </c>
      <c r="C2028" s="1" t="str">
        <f ca="1">IFERROR(__xludf.DUMMYFUNCTION("GOOGLETRANSLATE(E2028, ""zh"", ""en"")"),"Quantitative Text")</f>
        <v>Quantitative Text</v>
      </c>
    </row>
    <row r="2029" spans="1:3" ht="13" x14ac:dyDescent="0.15">
      <c r="A2029" s="1" t="str">
        <f ca="1">IFERROR(__xludf.DUMMYFUNCTION("GOOGLETRANSLATE(A2029, ""zh"", ""en"")"),"Appendix 1 Key Performance Indicator Table A1.3 Total amount of hazardous waste generated in tons and, if applicable, density per unit of production per facility")</f>
        <v>Appendix 1 Key Performance Indicator Table A1.3 Total amount of hazardous waste generated in tons and, if applicable, density per unit of production per facility</v>
      </c>
      <c r="B2029" s="1" t="str">
        <f ca="1">IFERROR(__xludf.DUMMYFUNCTION("GOOGLETRANSLATE(A2029, ""zh"", ""en"")"),"Waste Management")</f>
        <v>Waste Management</v>
      </c>
      <c r="C2029" s="1" t="str">
        <f ca="1">IFERROR(__xludf.DUMMYFUNCTION("GOOGLETRANSLATE(E2029, ""zh"", ""en"")"),"Qualitative text")</f>
        <v>Qualitative text</v>
      </c>
    </row>
    <row r="2030" spans="1:3" ht="13" x14ac:dyDescent="0.15">
      <c r="A2030" s="1" t="str">
        <f ca="1">IFERROR(__xludf.DUMMYFUNCTION("GOOGLETRANSLATE(A2030, ""zh"", ""en"")"),"5658 Level A4 Climate Change General Disclosure Policies for identifying and addressing significant climate-related issues that have or may have an impact on the issuer")</f>
        <v>5658 Level A4 Climate Change General Disclosure Policies for identifying and addressing significant climate-related issues that have or may have an impact on the issuer</v>
      </c>
      <c r="B2030" s="1" t="str">
        <f ca="1">IFERROR(__xludf.DUMMYFUNCTION("GOOGLETRANSLATE(A2030, ""zh"", ""en"")"),"Addressing climate change")</f>
        <v>Addressing climate change</v>
      </c>
      <c r="C2030" s="1" t="str">
        <f ca="1">IFERROR(__xludf.DUMMYFUNCTION("GOOGLETRANSLATE(E2030, ""zh"", ""en"")"),"Qualitative text")</f>
        <v>Qualitative text</v>
      </c>
    </row>
    <row r="2031" spans="1:3" ht="13" x14ac:dyDescent="0.15">
      <c r="A2031" s="1" t="str">
        <f ca="1">IFERROR(__xludf.DUMMYFUNCTION("GOOGLETRANSLATE(A2031, ""zh"", ""en"")"),"The company's employees' ethnicity, gender, age, skills, educational background and industry experience are diverse and complementary, laying the foundation for building a diverse and inclusive corporate culture.")</f>
        <v>The company's employees' ethnicity, gender, age, skills, educational background and industry experience are diverse and complementary, laying the foundation for building a diverse and inclusive corporate culture.</v>
      </c>
      <c r="B2031" s="1" t="str">
        <f ca="1">IFERROR(__xludf.DUMMYFUNCTION("GOOGLETRANSLATE(A2031, ""zh"", ""en"")"),"staff")</f>
        <v>staff</v>
      </c>
      <c r="C2031" s="1" t="str">
        <f ca="1">IFERROR(__xludf.DUMMYFUNCTION("GOOGLETRANSLATE(E2031, ""zh"", ""en"")"),"Qualitative text")</f>
        <v>Qualitative text</v>
      </c>
    </row>
    <row r="2032" spans="1:3" ht="13" x14ac:dyDescent="0.15">
      <c r="A2032" s="1" t="str">
        <f ca="1">IFERROR(__xludf.DUMMYFUNCTION("GOOGLETRANSLATE(A2032, ""zh"", ""en"")"),"At the same time, the company continues to expand campus recruitment publicity channels and organizes many school activities to help college students understand the securities industry and strengthen high-quality talent reserves.")</f>
        <v>At the same time, the company continues to expand campus recruitment publicity channels and organizes many school activities to help college students understand the securities industry and strengthen high-quality talent reserves.</v>
      </c>
      <c r="B2032" s="1" t="str">
        <f ca="1">IFERROR(__xludf.DUMMYFUNCTION("GOOGLETRANSLATE(A2032, ""zh"", ""en"")"),"Promoting employment")</f>
        <v>Promoting employment</v>
      </c>
      <c r="C2032" s="1" t="str">
        <f ca="1">IFERROR(__xludf.DUMMYFUNCTION("GOOGLETRANSLATE(E2032, ""zh"", ""en"")"),"Qualitative text")</f>
        <v>Qualitative text</v>
      </c>
    </row>
    <row r="2033" spans="1:3" ht="13" x14ac:dyDescent="0.15">
      <c r="A2033" s="1" t="str">
        <f ca="1">IFERROR(__xludf.DUMMYFUNCTION("GOOGLETRANSLATE(A2033, ""zh"", ""en"")"),"From top-level design to grassroots implementation, we have formed a comprehensive and rigorous governance model to further promote the steady development of the company's sustainable development.")</f>
        <v>From top-level design to grassroots implementation, we have formed a comprehensive and rigorous governance model to further promote the steady development of the company's sustainable development.</v>
      </c>
      <c r="B2033" s="1" t="str">
        <f ca="1">IFERROR(__xludf.DUMMYFUNCTION("GOOGLETRANSLATE(A2033, ""zh"", ""en"")"),"Organizational structure and operations")</f>
        <v>Organizational structure and operations</v>
      </c>
      <c r="C2033" s="1" t="str">
        <f ca="1">IFERROR(__xludf.DUMMYFUNCTION("GOOGLETRANSLATE(E2033, ""zh"", ""en"")"),"Qualitative text")</f>
        <v>Qualitative text</v>
      </c>
    </row>
    <row r="2034" spans="1:3" ht="13" x14ac:dyDescent="0.15">
      <c r="A2034" s="1" t="str">
        <f ca="1">IFERROR(__xludf.DUMMYFUNCTION("GOOGLETRANSLATE(A2034, ""zh"", ""en"")"),"On December 6, Shanghai Electric held an expanded meeting of the Party Committee's Theoretical Study Center Group and an electrical lecture hall focusing on carbon peak and carbon neutrality to carry out special learning activities.")</f>
        <v>On December 6, Shanghai Electric held an expanded meeting of the Party Committee's Theoretical Study Center Group and an electrical lecture hall focusing on carbon peak and carbon neutrality to carry out special learning activities.</v>
      </c>
      <c r="B2034" s="1" t="str">
        <f ca="1">IFERROR(__xludf.DUMMYFUNCTION("GOOGLETRANSLATE(A2034, ""zh"", ""en"")"),"carbon emissions")</f>
        <v>carbon emissions</v>
      </c>
      <c r="C2034" s="1" t="str">
        <f ca="1">IFERROR(__xludf.DUMMYFUNCTION("GOOGLETRANSLATE(E2034, ""zh"", ""en"")"),"Qualitative text")</f>
        <v>Qualitative text</v>
      </c>
    </row>
    <row r="2035" spans="1:3" ht="13" x14ac:dyDescent="0.15">
      <c r="A2035" s="1" t="str">
        <f ca="1">IFERROR(__xludf.DUMMYFUNCTION("GOOGLETRANSLATE(A2035, ""zh"", ""en"")"),"In addition, independent directors are also granted a series of special powers, such as making specific requirements for audit work, participating in the change of external audit institutions, proposing the convening of board meetings, etc.")</f>
        <v>In addition, independent directors are also granted a series of special powers, such as making specific requirements for audit work, participating in the change of external audit institutions, proposing the convening of board meetings, etc.</v>
      </c>
      <c r="B2035" s="1" t="str">
        <f ca="1">IFERROR(__xludf.DUMMYFUNCTION("GOOGLETRANSLATE(A2035, ""zh"", ""en"")"),"Audit work")</f>
        <v>Audit work</v>
      </c>
      <c r="C2035" s="1" t="str">
        <f ca="1">IFERROR(__xludf.DUMMYFUNCTION("GOOGLETRANSLATE(E2035, ""zh"", ""en"")"),"Qualitative text")</f>
        <v>Qualitative text</v>
      </c>
    </row>
    <row r="2036" spans="1:3" ht="13" x14ac:dyDescent="0.15">
      <c r="A2036" s="1" t="str">
        <f ca="1">IFERROR(__xludf.DUMMYFUNCTION("GOOGLETRANSLATE(A2036, ""zh"", ""en"")"),"In 2022, we audited 3 H-level, 27 M-level and 3 L-level suppliers in accordance with this year's supplier audit plan.")</f>
        <v>In 2022, we audited 3 H-level, 27 M-level and 3 L-level suppliers in accordance with this year's supplier audit plan.</v>
      </c>
      <c r="B2036" s="1" t="str">
        <f ca="1">IFERROR(__xludf.DUMMYFUNCTION("GOOGLETRANSLATE(A2036, ""zh"", ""en"")"),"Audit work")</f>
        <v>Audit work</v>
      </c>
      <c r="C2036" s="1" t="str">
        <f ca="1">IFERROR(__xludf.DUMMYFUNCTION("GOOGLETRANSLATE(E2036, ""zh"", ""en"")"),"Quantitative Text")</f>
        <v>Quantitative Text</v>
      </c>
    </row>
    <row r="2037" spans="1:3" ht="13" x14ac:dyDescent="0.15">
      <c r="A2037" s="1" t="str">
        <f ca="1">IFERROR(__xludf.DUMMYFUNCTION("GOOGLETRANSLATE(A2037, ""zh"", ""en"")"),"This department oversees and guides management in assessing and effectively controlling risks, planning and formulating relevant audit strategies, and ensuring consistency in risk management approaches.")</f>
        <v>This department oversees and guides management in assessing and effectively controlling risks, planning and formulating relevant audit strategies, and ensuring consistency in risk management approaches.</v>
      </c>
      <c r="B2037" s="1" t="str">
        <f ca="1">IFERROR(__xludf.DUMMYFUNCTION("GOOGLETRANSLATE(A2037, ""zh"", ""en"")"),"Audit work")</f>
        <v>Audit work</v>
      </c>
      <c r="C2037" s="1" t="str">
        <f ca="1">IFERROR(__xludf.DUMMYFUNCTION("GOOGLETRANSLATE(E2037, ""zh"", ""en"")"),"Qualitative text")</f>
        <v>Qualitative text</v>
      </c>
    </row>
    <row r="2038" spans="1:3" ht="13" x14ac:dyDescent="0.15">
      <c r="A2038" s="1" t="str">
        <f ca="1">IFERROR(__xludf.DUMMYFUNCTION("GOOGLETRANSLATE(A2038, ""zh"", ""en"")"),"By combining production and research with comparison and application of cutting-edge salt lake lithium extraction processes and technologies, we expect to significantly improve the efficiency and recovery rate of lithium resource extraction.")</f>
        <v>By combining production and research with comparison and application of cutting-edge salt lake lithium extraction processes and technologies, we expect to significantly improve the efficiency and recovery rate of lithium resource extraction.</v>
      </c>
      <c r="B2038" s="1" t="str">
        <f ca="1">IFERROR(__xludf.DUMMYFUNCTION("GOOGLETRANSLATE(A2038, ""zh"", ""en"")"),"raw materials")</f>
        <v>raw materials</v>
      </c>
      <c r="C2038" s="1" t="str">
        <f ca="1">IFERROR(__xludf.DUMMYFUNCTION("GOOGLETRANSLATE(E2038, ""zh"", ""en"")"),"Qualitative text")</f>
        <v>Qualitative text</v>
      </c>
    </row>
    <row r="2039" spans="1:3" ht="13" x14ac:dyDescent="0.15">
      <c r="A2039" s="1" t="str">
        <f ca="1">IFERROR(__xludf.DUMMYFUNCTION("GOOGLETRANSLATE(A2039, ""zh"", ""en"")"),"With the continuous advancement of the Belt and Road Initiative, Tibet's Mount Everest is deeply integrated into the local economic construction and development, and the demand for local talents is increasing.")</f>
        <v>With the continuous advancement of the Belt and Road Initiative, Tibet's Mount Everest is deeply integrated into the local economic construction and development, and the demand for local talents is increasing.</v>
      </c>
      <c r="B2039" s="1" t="str">
        <f ca="1">IFERROR(__xludf.DUMMYFUNCTION("GOOGLETRANSLATE(A2039, ""zh"", ""en"")"),"Promoting employment")</f>
        <v>Promoting employment</v>
      </c>
      <c r="C2039" s="1" t="str">
        <f ca="1">IFERROR(__xludf.DUMMYFUNCTION("GOOGLETRANSLATE(E2039, ""zh"", ""en"")"),"Qualitative text")</f>
        <v>Qualitative text</v>
      </c>
    </row>
    <row r="2040" spans="1:3" ht="13" x14ac:dyDescent="0.15">
      <c r="A2040" s="1" t="str">
        <f ca="1">IFERROR(__xludf.DUMMYFUNCTION("GOOGLETRANSLATE(A2040, ""zh"", ""en"")"),"In order to test the learning status of employees in this management training, we also provided an examination. The pass rates of the two courses were 88% and 95% respectively.")</f>
        <v>In order to test the learning status of employees in this management training, we also provided an examination. The pass rates of the two courses were 88% and 95% respectively.</v>
      </c>
      <c r="B2040" s="1" t="str">
        <f ca="1">IFERROR(__xludf.DUMMYFUNCTION("GOOGLETRANSLATE(A2040, ""zh"", ""en"")"),"staff")</f>
        <v>staff</v>
      </c>
      <c r="C2040" s="1" t="str">
        <f ca="1">IFERROR(__xludf.DUMMYFUNCTION("GOOGLETRANSLATE(E2040, ""zh"", ""en"")"),"Quantitative Text")</f>
        <v>Quantitative Text</v>
      </c>
    </row>
    <row r="2041" spans="1:3" ht="13" x14ac:dyDescent="0.15">
      <c r="A2041" s="1" t="str">
        <f ca="1">IFERROR(__xludf.DUMMYFUNCTION("GOOGLETRANSLATE(A2041, ""zh"", ""en"")"),"The Sustainability Committee will hold at least one meeting per year and may hold ad hoc meetings when necessary to communicate with the Board of Directors on ESG-related issues in a timely manner.")</f>
        <v>The Sustainability Committee will hold at least one meeting per year and may hold ad hoc meetings when necessary to communicate with the Board of Directors on ESG-related issues in a timely manner.</v>
      </c>
      <c r="B2041" s="1" t="str">
        <f ca="1">IFERROR(__xludf.DUMMYFUNCTION("GOOGLETRANSLATE(A2041, ""zh"", ""en"")"),"Organizational structure and operations")</f>
        <v>Organizational structure and operations</v>
      </c>
      <c r="C2041" s="1" t="str">
        <f ca="1">IFERROR(__xludf.DUMMYFUNCTION("GOOGLETRANSLATE(E2041, ""zh"", ""en"")"),"Qualitative text")</f>
        <v>Qualitative text</v>
      </c>
    </row>
    <row r="2042" spans="1:3" ht="13" x14ac:dyDescent="0.15">
      <c r="A2042" s="1" t="str">
        <f ca="1">IFERROR(__xludf.DUMMYFUNCTION("GOOGLETRANSLATE(A2042, ""zh"", ""en"")"),"Actively advocate green procurement, responsible procurement, and work together with suppliers to fulfill their responsibilities. Maintain a 100% percentage of contractors passing occupational health and safety management system certification.")</f>
        <v>Actively advocate green procurement, responsible procurement, and work together with suppliers to fulfill their responsibilities. Maintain a 100% percentage of contractors passing occupational health and safety management system certification.</v>
      </c>
      <c r="B2042" s="1" t="str">
        <f ca="1">IFERROR(__xludf.DUMMYFUNCTION("GOOGLETRANSLATE(A2042, ""zh"", ""en"")"),"supply chain management")</f>
        <v>supply chain management</v>
      </c>
      <c r="C2042" s="1" t="str">
        <f ca="1">IFERROR(__xludf.DUMMYFUNCTION("GOOGLETRANSLATE(E2042, ""zh"", ""en"")"),"Quantitative Text")</f>
        <v>Quantitative Text</v>
      </c>
    </row>
    <row r="2043" spans="1:3" ht="13" x14ac:dyDescent="0.15">
      <c r="A2043" s="1" t="str">
        <f ca="1">IFERROR(__xludf.DUMMYFUNCTION("GOOGLETRANSLATE(A2043, ""zh"", ""en"")"),"At the same time, we encourage employees to use their spare time to study and obtain professional qualifications related to their positions to improve their professional skills and better achieve career development.")</f>
        <v>At the same time, we encourage employees to use their spare time to study and obtain professional qualifications related to their positions to improve their professional skills and better achieve career development.</v>
      </c>
      <c r="B2043" s="1" t="str">
        <f ca="1">IFERROR(__xludf.DUMMYFUNCTION("GOOGLETRANSLATE(A2043, ""zh"", ""en"")"),"staff")</f>
        <v>staff</v>
      </c>
      <c r="C2043" s="1" t="str">
        <f ca="1">IFERROR(__xludf.DUMMYFUNCTION("GOOGLETRANSLATE(E2043, ""zh"", ""en"")"),"Qualitative text")</f>
        <v>Qualitative text</v>
      </c>
    </row>
    <row r="2044" spans="1:3" ht="13" x14ac:dyDescent="0.15">
      <c r="A2044" s="1" t="str">
        <f ca="1">IFERROR(__xludf.DUMMYFUNCTION("GOOGLETRANSLATE(A2044, ""zh"", ""en"")"),"Zinc is a metal with good properties. It has the characteristics of calenderability, wear resistance, corrosion resistance and castability. It can be used to make a variety of alloys with excellent properties.")</f>
        <v>Zinc is a metal with good properties. It has the characteristics of calenderability, wear resistance, corrosion resistance and castability. It can be used to make a variety of alloys with excellent properties.</v>
      </c>
      <c r="B2044" s="1" t="str">
        <f ca="1">IFERROR(__xludf.DUMMYFUNCTION("GOOGLETRANSLATE(A2044, ""zh"", ""en"")"),"raw materials")</f>
        <v>raw materials</v>
      </c>
      <c r="C2044" s="1" t="str">
        <f ca="1">IFERROR(__xludf.DUMMYFUNCTION("GOOGLETRANSLATE(E2044, ""zh"", ""en"")"),"Qualitative text")</f>
        <v>Qualitative text</v>
      </c>
    </row>
    <row r="2045" spans="1:3" ht="13" x14ac:dyDescent="0.15">
      <c r="A2045" s="1" t="str">
        <f ca="1">IFERROR(__xludf.DUMMYFUNCTION("GOOGLETRANSLATE(A2045, ""zh"", ""en"")"),"In the future, Dima Co., Ltd. will continue to fulfill its corporate mission of serving the city and people in a way that keeps pace with the times, and work hand in hand with every person who lives seriously to create a safe and happy future.")</f>
        <v>In the future, Dima Co., Ltd. will continue to fulfill its corporate mission of serving the city and people in a way that keeps pace with the times, and work hand in hand with every person who lives seriously to create a safe and happy future.</v>
      </c>
      <c r="B2045" s="1" t="str">
        <f ca="1">IFERROR(__xludf.DUMMYFUNCTION("GOOGLETRANSLATE(A2045, ""zh"", ""en"")"),"irrelevant text")</f>
        <v>irrelevant text</v>
      </c>
      <c r="C2045" s="1" t="str">
        <f ca="1">IFERROR(__xludf.DUMMYFUNCTION("GOOGLETRANSLATE(E2045, ""zh"", ""en"")"),"irrelevant text")</f>
        <v>irrelevant text</v>
      </c>
    </row>
    <row r="2046" spans="1:3" ht="13" x14ac:dyDescent="0.15">
      <c r="A2046" s="1" t="str">
        <f ca="1">IFERROR(__xludf.DUMMYFUNCTION("GOOGLETRANSLATE(A2046, ""zh"", ""en"")"),"The report discloses in detail the practices and performance of Dima Group in the areas of governance, environment, society and other responsibilities in 2022 based on the principles of objectivity, standardization, transparency and comprehensiveness.")</f>
        <v>The report discloses in detail the practices and performance of Dima Group in the areas of governance, environment, society and other responsibilities in 2022 based on the principles of objectivity, standardization, transparency and comprehensiveness.</v>
      </c>
      <c r="B2046" s="1" t="str">
        <f ca="1">IFERROR(__xludf.DUMMYFUNCTION("GOOGLETRANSLATE(A2046, ""zh"", ""en"")"),"irrelevant text")</f>
        <v>irrelevant text</v>
      </c>
      <c r="C2046" s="1" t="str">
        <f ca="1">IFERROR(__xludf.DUMMYFUNCTION("GOOGLETRANSLATE(E2046, ""zh"", ""en"")"),"irrelevant text")</f>
        <v>irrelevant text</v>
      </c>
    </row>
    <row r="2047" spans="1:3" ht="13" x14ac:dyDescent="0.15">
      <c r="A2047" s="1" t="str">
        <f ca="1">IFERROR(__xludf.DUMMYFUNCTION("GOOGLETRANSLATE(A2047, ""zh"", ""en"")"),"Formulate reward measures to intercept, resist and report illegal and irregular behaviors to encourage proactive reporting of illegal and irregular clues and keep the personal information of whistleblowers confidential.")</f>
        <v>Formulate reward measures to intercept, resist and report illegal and irregular behaviors to encourage proactive reporting of illegal and irregular clues and keep the personal information of whistleblowers confidential.</v>
      </c>
      <c r="B2047" s="1" t="str">
        <f ca="1">IFERROR(__xludf.DUMMYFUNCTION("GOOGLETRANSLATE(A2047, ""zh"", ""en"")"),"Reporting System")</f>
        <v>Reporting System</v>
      </c>
      <c r="C2047" s="1" t="str">
        <f ca="1">IFERROR(__xludf.DUMMYFUNCTION("GOOGLETRANSLATE(E2047, ""zh"", ""en"")"),"Qualitative text")</f>
        <v>Qualitative text</v>
      </c>
    </row>
    <row r="2048" spans="1:3" ht="13" x14ac:dyDescent="0.15">
      <c r="A2048" s="1" t="str">
        <f ca="1">IFERROR(__xludf.DUMMYFUNCTION("GOOGLETRANSLATE(A2048, ""zh"", ""en"")"),"The Group's management of experimental animals includes the protection of biodiversity, active attention to the local government, experimental animals, animal experiments and facility operations.")</f>
        <v>The Group's management of experimental animals includes the protection of biodiversity, active attention to the local government, experimental animals, animal experiments and facility operations.</v>
      </c>
      <c r="B2048" s="1" t="str">
        <f ca="1">IFERROR(__xludf.DUMMYFUNCTION("GOOGLETRANSLATE(A2048, ""zh"", ""en"")"),"biodiversity")</f>
        <v>biodiversity</v>
      </c>
      <c r="C2048" s="1" t="str">
        <f ca="1">IFERROR(__xludf.DUMMYFUNCTION("GOOGLETRANSLATE(E2048, ""zh"", ""en"")"),"Qualitative text")</f>
        <v>Qualitative text</v>
      </c>
    </row>
    <row r="2049" spans="1:3" ht="13" x14ac:dyDescent="0.15">
      <c r="A2049" s="1" t="str">
        <f ca="1">IFERROR(__xludf.DUMMYFUNCTION("GOOGLETRANSLATE(A2049, ""zh"", ""en"")"),"Fully implement the spirit of the 20th CPC National Congress, thoroughly implement General Secretary Xi Jinping's important thoughts on agriculture, rural areas and farmers, and solidly promote the construction of livable, workable and beautiful villages.")</f>
        <v>Fully implement the spirit of the 20th CPC National Congress, thoroughly implement General Secretary Xi Jinping's important thoughts on agriculture, rural areas and farmers, and solidly promote the construction of livable, workable and beautiful villages.</v>
      </c>
      <c r="B2049" s="1" t="str">
        <f ca="1">IFERROR(__xludf.DUMMYFUNCTION("GOOGLETRANSLATE(A2049, ""zh"", ""en"")"),"Rural assistance")</f>
        <v>Rural assistance</v>
      </c>
      <c r="C2049" s="1" t="str">
        <f ca="1">IFERROR(__xludf.DUMMYFUNCTION("GOOGLETRANSLATE(E2049, ""zh"", ""en"")"),"Qualitative text")</f>
        <v>Qualitative text</v>
      </c>
    </row>
    <row r="2050" spans="1:3" ht="13" x14ac:dyDescent="0.15">
      <c r="A2050" s="1" t="str">
        <f ca="1">IFERROR(__xludf.DUMMYFUNCTION("GOOGLETRANSLATE(A2050, ""zh"", ""en"")"),"During the reporting period, the company's legal affairs department was selected by Asian Legal Business Law Magazine as the Outstanding Legal Team in the Healthcare and Life Sciences Industry in 2021-2022.")</f>
        <v>During the reporting period, the company's legal affairs department was selected by Asian Legal Business Law Magazine as the Outstanding Legal Team in the Healthcare and Life Sciences Industry in 2021-2022.</v>
      </c>
      <c r="B2050" s="1" t="str">
        <f ca="1">IFERROR(__xludf.DUMMYFUNCTION("GOOGLETRANSLATE(A2050, ""zh"", ""en"")"),"Legal proceedings and external sanctions")</f>
        <v>Legal proceedings and external sanctions</v>
      </c>
      <c r="C2050" s="1" t="str">
        <f ca="1">IFERROR(__xludf.DUMMYFUNCTION("GOOGLETRANSLATE(E2050, ""zh"", ""en"")"),"Quantitative Text")</f>
        <v>Quantitative Text</v>
      </c>
    </row>
    <row r="2051" spans="1:3" ht="13" x14ac:dyDescent="0.15">
      <c r="A2051" s="1" t="str">
        <f ca="1">IFERROR(__xludf.DUMMYFUNCTION("GOOGLETRANSLATE(A2051, ""zh"", ""en"")"),"Many member companies use a multi-step training method such as accident case study, safety on-site explanation, and post-operation summary to solidly improve the quality of contractor management and control work.")</f>
        <v>Many member companies use a multi-step training method such as accident case study, safety on-site explanation, and post-operation summary to solidly improve the quality of contractor management and control work.</v>
      </c>
      <c r="B2051" s="1" t="str">
        <f ca="1">IFERROR(__xludf.DUMMYFUNCTION("GOOGLETRANSLATE(A2051, ""zh"", ""en"")"),"staff")</f>
        <v>staff</v>
      </c>
      <c r="C2051" s="1" t="str">
        <f ca="1">IFERROR(__xludf.DUMMYFUNCTION("GOOGLETRANSLATE(E2051, ""zh"", ""en"")"),"Qualitative text")</f>
        <v>Qualitative text</v>
      </c>
    </row>
    <row r="2052" spans="1:3" ht="13" x14ac:dyDescent="0.15">
      <c r="A2052" s="1" t="str">
        <f ca="1">IFERROR(__xludf.DUMMYFUNCTION("GOOGLETRANSLATE(A2052, ""zh"", ""en"")"),"This report is the first year that the Group’s carbon emissions from other indirect emission sources in Scope 3 will be included in this report’s other indirect emission sources in Scope 3.")</f>
        <v>This report is the first year that the Group’s carbon emissions from other indirect emission sources in Scope 3 will be included in this report’s other indirect emission sources in Scope 3.</v>
      </c>
      <c r="B2052" s="1" t="str">
        <f ca="1">IFERROR(__xludf.DUMMYFUNCTION("GOOGLETRANSLATE(A2052, ""zh"", ""en"")"),"carbon emissions")</f>
        <v>carbon emissions</v>
      </c>
      <c r="C2052" s="1" t="str">
        <f ca="1">IFERROR(__xludf.DUMMYFUNCTION("GOOGLETRANSLATE(E2052, ""zh"", ""en"")"),"Qualitative text")</f>
        <v>Qualitative text</v>
      </c>
    </row>
    <row r="2053" spans="1:3" ht="13" x14ac:dyDescent="0.15">
      <c r="A2053" s="1" t="str">
        <f ca="1">IFERROR(__xludf.DUMMYFUNCTION("GOOGLETRANSLATE(A2053, ""zh"", ""en"")"),"Two-thirds of the safe and effective clinical products provide bedside doctors with more high-quality and affordable medication options, and have now been recognized by doctors, patients and the industry.")</f>
        <v>Two-thirds of the safe and effective clinical products provide bedside doctors with more high-quality and affordable medication options, and have now been recognized by doctors, patients and the industry.</v>
      </c>
      <c r="B2053" s="1" t="str">
        <f ca="1">IFERROR(__xludf.DUMMYFUNCTION("GOOGLETRANSLATE(A2053, ""zh"", ""en"")"),"Product quality")</f>
        <v>Product quality</v>
      </c>
      <c r="C2053" s="1" t="str">
        <f ca="1">IFERROR(__xludf.DUMMYFUNCTION("GOOGLETRANSLATE(E2053, ""zh"", ""en"")"),"Qualitative text")</f>
        <v>Qualitative text</v>
      </c>
    </row>
    <row r="2054" spans="1:3" ht="13" x14ac:dyDescent="0.15">
      <c r="A2054" s="1" t="str">
        <f ca="1">IFERROR(__xludf.DUMMYFUNCTION("GOOGLETRANSLATE(A2054, ""zh"", ""en"")"),"Approved for marketing over three years, Hanlikang Lixinmab Injection has benefited over 130,000 Chinese patients with its superior product quality.")</f>
        <v>Approved for marketing over three years, Hanlikang Lixinmab Injection has benefited over 130,000 Chinese patients with its superior product quality.</v>
      </c>
      <c r="B2054" s="1" t="str">
        <f ca="1">IFERROR(__xludf.DUMMYFUNCTION("GOOGLETRANSLATE(A2054, ""zh"", ""en"")"),"Product quality")</f>
        <v>Product quality</v>
      </c>
      <c r="C2054" s="1" t="str">
        <f ca="1">IFERROR(__xludf.DUMMYFUNCTION("GOOGLETRANSLATE(E2054, ""zh"", ""en"")"),"Quantitative Text")</f>
        <v>Quantitative Text</v>
      </c>
    </row>
    <row r="2055" spans="1:3" ht="13" x14ac:dyDescent="0.15">
      <c r="A2055" s="1" t="str">
        <f ca="1">IFERROR(__xludf.DUMMYFUNCTION("GOOGLETRANSLATE(A2055, ""zh"", ""en"")"),"Comprehensive security technologies such as management and control are used to ensure the compliance with the storage and use of customer information. No customer information is provided in violation of regulations to protect user privacy.")</f>
        <v>Comprehensive security technologies such as management and control are used to ensure the compliance with the storage and use of customer information. No customer information is provided in violation of regulations to protect user privacy.</v>
      </c>
      <c r="B2055" s="1" t="str">
        <f ca="1">IFERROR(__xludf.DUMMYFUNCTION("GOOGLETRANSLATE(A2055, ""zh"", ""en"")"),"Data security")</f>
        <v>Data security</v>
      </c>
      <c r="C2055" s="1" t="str">
        <f ca="1">IFERROR(__xludf.DUMMYFUNCTION("GOOGLETRANSLATE(E2055, ""zh"", ""en"")"),"Qualitative text")</f>
        <v>Qualitative text</v>
      </c>
    </row>
    <row r="2056" spans="1:3" ht="13" x14ac:dyDescent="0.15">
      <c r="A2056" s="1" t="str">
        <f ca="1">IFERROR(__xludf.DUMMYFUNCTION("GOOGLETRANSLATE(A2056, ""zh"", ""en"")"),"The company always adheres to the service commitment of ""One day's commitment, one hundred years of trust"" and strengthens the customer-first business philosophy in the service process to continuously enhance the company's core competitiveness.")</f>
        <v>The company always adheres to the service commitment of "One day's commitment, one hundred years of trust" and strengthens the customer-first business philosophy in the service process to continuously enhance the company's core competitiveness.</v>
      </c>
      <c r="B2056" s="1" t="str">
        <f ca="1">IFERROR(__xludf.DUMMYFUNCTION("GOOGLETRANSLATE(A2056, ""zh"", ""en"")"),"Customers and Consumers")</f>
        <v>Customers and Consumers</v>
      </c>
      <c r="C2056" s="1" t="str">
        <f ca="1">IFERROR(__xludf.DUMMYFUNCTION("GOOGLETRANSLATE(E2056, ""zh"", ""en"")"),"Qualitative text")</f>
        <v>Qualitative text</v>
      </c>
    </row>
    <row r="2057" spans="1:3" ht="13" x14ac:dyDescent="0.15">
      <c r="A2057" s="1" t="str">
        <f ca="1">IFERROR(__xludf.DUMMYFUNCTION("GOOGLETRANSLATE(A2057, ""zh"", ""en"")"),"Establish a corporate compliance management system, formulate integrity guidelines, cultivate an integrity culture, enhance the integrity awareness of corporate management and employees, and resolutely resist commercial bribery.")</f>
        <v>Establish a corporate compliance management system, formulate integrity guidelines, cultivate an integrity culture, enhance the integrity awareness of corporate management and employees, and resolutely resist commercial bribery.</v>
      </c>
      <c r="B2057" s="1" t="str">
        <f ca="1">IFERROR(__xludf.DUMMYFUNCTION("GOOGLETRANSLATE(A2057, ""zh"", ""en"")"),"Anti-corruption and anti-money laundering")</f>
        <v>Anti-corruption and anti-money laundering</v>
      </c>
      <c r="C2057" s="1" t="str">
        <f ca="1">IFERROR(__xludf.DUMMYFUNCTION("GOOGLETRANSLATE(E2057, ""zh"", ""en"")"),"Qualitative text")</f>
        <v>Qualitative text</v>
      </c>
    </row>
    <row r="2058" spans="1:3" ht="13" x14ac:dyDescent="0.15">
      <c r="A2058" s="1" t="str">
        <f ca="1">IFERROR(__xludf.DUMMYFUNCTION("GOOGLETRANSLATE(A2058, ""zh"", ""en"")"),"Innovative volunteer activities are being carried out to launch the Seeding Plan, sowing the seeds of ecological civilization in the hearts of children and young people, and demonstrating new achievements in promoting green and low-carbon development.")</f>
        <v>Innovative volunteer activities are being carried out to launch the Seeding Plan, sowing the seeds of ecological civilization in the hearts of children and young people, and demonstrating new achievements in promoting green and low-carbon development.</v>
      </c>
      <c r="B2058" s="1" t="str">
        <f ca="1">IFERROR(__xludf.DUMMYFUNCTION("GOOGLETRANSLATE(A2058, ""zh"", ""en"")"),"Public welfare and volunteer service")</f>
        <v>Public welfare and volunteer service</v>
      </c>
      <c r="C2058" s="1" t="str">
        <f ca="1">IFERROR(__xludf.DUMMYFUNCTION("GOOGLETRANSLATE(E2058, ""zh"", ""en"")"),"Qualitative text")</f>
        <v>Qualitative text</v>
      </c>
    </row>
    <row r="2059" spans="1:3" ht="13" x14ac:dyDescent="0.15">
      <c r="A2059" s="1" t="str">
        <f ca="1">IFERROR(__xludf.DUMMYFUNCTION("GOOGLETRANSLATE(A2059, ""zh"", ""en"")"),"Among them, the China Investment UBS Stable Retirement Target One-Year Holding Period Hybrid Fund FOF is one of the earliest established retirement FOF funds in the market.")</f>
        <v>Among them, the China Investment UBS Stable Retirement Target One-Year Holding Period Hybrid Fund FOF is one of the earliest established retirement FOF funds in the market.</v>
      </c>
      <c r="B2059" s="1" t="str">
        <f ca="1">IFERROR(__xludf.DUMMYFUNCTION("GOOGLETRANSLATE(A2059, ""zh"", ""en"")"),"irrelevant text")</f>
        <v>irrelevant text</v>
      </c>
      <c r="C2059" s="1" t="str">
        <f ca="1">IFERROR(__xludf.DUMMYFUNCTION("GOOGLETRANSLATE(E2059, ""zh"", ""en"")"),"irrelevant text")</f>
        <v>irrelevant text</v>
      </c>
    </row>
    <row r="2060" spans="1:3" ht="13" x14ac:dyDescent="0.15">
      <c r="A2060" s="1" t="str">
        <f ca="1">IFERROR(__xludf.DUMMYFUNCTION("GOOGLETRANSLATE(A2060, ""zh"", ""en"")"),"We provide ESG due diligence training to relevant business personnel and risk management personnel to enhance their awareness and management capabilities of ESG risks.")</f>
        <v>We provide ESG due diligence training to relevant business personnel and risk management personnel to enhance their awareness and management capabilities of ESG risks.</v>
      </c>
      <c r="B2060" s="1" t="str">
        <f ca="1">IFERROR(__xludf.DUMMYFUNCTION("GOOGLETRANSLATE(A2060, ""zh"", ""en"")"),"staff")</f>
        <v>staff</v>
      </c>
      <c r="C2060" s="1" t="str">
        <f ca="1">IFERROR(__xludf.DUMMYFUNCTION("GOOGLETRANSLATE(E2060, ""zh"", ""en"")"),"Qualitative text")</f>
        <v>Qualitative text</v>
      </c>
    </row>
    <row r="2061" spans="1:3" ht="13" x14ac:dyDescent="0.15">
      <c r="A2061" s="1" t="str">
        <f ca="1">IFERROR(__xludf.DUMMYFUNCTION("GOOGLETRANSLATE(A2061, ""zh"", ""en"")"),"Bai Tinghui, Party Secretary and Director of the Municipal State-owned Assets Supervision and Administration Commission, and Chen Huawen, Deputy Secretary of the Minhang District Committee and District Mayor, attended the event. Leng Weiqing, Party Secret"&amp;"ary and Chairman of Shanghai Electric Group, delivered a speech.")</f>
        <v>Bai Tinghui, Party Secretary and Director of the Municipal State-owned Assets Supervision and Administration Commission, and Chen Huawen, Deputy Secretary of the Minhang District Committee and District Mayor, attended the event. Leng Weiqing, Party Secretary and Chairman of Shanghai Electric Group, delivered a speech.</v>
      </c>
      <c r="B2061" s="1" t="str">
        <f ca="1">IFERROR(__xludf.DUMMYFUNCTION("GOOGLETRANSLATE(A2061, ""zh"", ""en"")"),"Organizational structure and operations")</f>
        <v>Organizational structure and operations</v>
      </c>
      <c r="C2061" s="1" t="str">
        <f ca="1">IFERROR(__xludf.DUMMYFUNCTION("GOOGLETRANSLATE(E2061, ""zh"", ""en"")"),"Qualitative text")</f>
        <v>Qualitative text</v>
      </c>
    </row>
    <row r="2062" spans="1:3" ht="13" x14ac:dyDescent="0.15">
      <c r="A2062" s="1" t="str">
        <f ca="1">IFERROR(__xludf.DUMMYFUNCTION("GOOGLETRANSLATE(A2062, ""zh"", ""en"")"),"Leng Weiqing, Party Secretary and Chairman of Shanghai Electric, presided over the meeting and exchanged learning experiences. Liu Ping, Deputy Party Secretary and President of Shanghai Electric, and Cai Xiaoqing, Chairman of the Supervisory Board, partic"&amp;"ipated in the study session.")</f>
        <v>Leng Weiqing, Party Secretary and Chairman of Shanghai Electric, presided over the meeting and exchanged learning experiences. Liu Ping, Deputy Party Secretary and President of Shanghai Electric, and Cai Xiaoqing, Chairman of the Supervisory Board, participated in the study session.</v>
      </c>
      <c r="B2062" s="1" t="str">
        <f ca="1">IFERROR(__xludf.DUMMYFUNCTION("GOOGLETRANSLATE(A2062, ""zh"", ""en"")"),"Organizational structure and operations")</f>
        <v>Organizational structure and operations</v>
      </c>
      <c r="C2062" s="1" t="str">
        <f ca="1">IFERROR(__xludf.DUMMYFUNCTION("GOOGLETRANSLATE(E2062, ""zh"", ""en"")"),"Qualitative text")</f>
        <v>Qualitative text</v>
      </c>
    </row>
    <row r="2063" spans="1:3" ht="13" x14ac:dyDescent="0.15">
      <c r="A2063" s="1" t="str">
        <f ca="1">IFERROR(__xludf.DUMMYFUNCTION("GOOGLETRANSLATE(A2063, ""zh"", ""en"")"),"To reduce employee turnover, the Group actively implements talent retention programs, attaches great importance to the growth and development of employees, and provides a platform for employees to discover their value and improve themselves.")</f>
        <v>To reduce employee turnover, the Group actively implements talent retention programs, attaches great importance to the growth and development of employees, and provides a platform for employees to discover their value and improve themselves.</v>
      </c>
      <c r="B2063" s="1" t="str">
        <f ca="1">IFERROR(__xludf.DUMMYFUNCTION("GOOGLETRANSLATE(A2063, ""zh"", ""en"")"),"staff")</f>
        <v>staff</v>
      </c>
      <c r="C2063" s="1" t="str">
        <f ca="1">IFERROR(__xludf.DUMMYFUNCTION("GOOGLETRANSLATE(E2063, ""zh"", ""en"")"),"Qualitative text")</f>
        <v>Qualitative text</v>
      </c>
    </row>
    <row r="2064" spans="1:3" ht="13" x14ac:dyDescent="0.15">
      <c r="A2064" s="1" t="str">
        <f ca="1">IFERROR(__xludf.DUMMYFUNCTION("GOOGLETRANSLATE(A2064, ""zh"", ""en"")"),"The company continues to conduct customer satisfaction surveys to collect customer feedback, identify key issues and formulate improvement plans to further supervise and promote the improvement of service levels.")</f>
        <v>The company continues to conduct customer satisfaction surveys to collect customer feedback, identify key issues and formulate improvement plans to further supervise and promote the improvement of service levels.</v>
      </c>
      <c r="B2064" s="1" t="str">
        <f ca="1">IFERROR(__xludf.DUMMYFUNCTION("GOOGLETRANSLATE(A2064, ""zh"", ""en"")"),"Customers and Consumers")</f>
        <v>Customers and Consumers</v>
      </c>
      <c r="C2064" s="1" t="str">
        <f ca="1">IFERROR(__xludf.DUMMYFUNCTION("GOOGLETRANSLATE(E2064, ""zh"", ""en"")"),"Qualitative text")</f>
        <v>Qualitative text</v>
      </c>
    </row>
    <row r="2065" spans="1:3" ht="13" x14ac:dyDescent="0.15">
      <c r="A2065" s="1" t="str">
        <f ca="1">IFERROR(__xludf.DUMMYFUNCTION("GOOGLETRANSLATE(A2065, ""zh"", ""en"")"),"The company continues to conduct self-inspections of branch suitability management, requiring each branch to submit self-inspection reports and implement rectification measures to fully protect the legitimate rights and interests of investors.")</f>
        <v>The company continues to conduct self-inspections of branch suitability management, requiring each branch to submit self-inspection reports and implement rectification measures to fully protect the legitimate rights and interests of investors.</v>
      </c>
      <c r="B2065" s="1" t="str">
        <f ca="1">IFERROR(__xludf.DUMMYFUNCTION("GOOGLETRANSLATE(A2065, ""zh"", ""en"")"),"Organizational structure and operations")</f>
        <v>Organizational structure and operations</v>
      </c>
      <c r="C2065" s="1" t="str">
        <f ca="1">IFERROR(__xludf.DUMMYFUNCTION("GOOGLETRANSLATE(E2065, ""zh"", ""en"")"),"Qualitative text")</f>
        <v>Qualitative text</v>
      </c>
    </row>
    <row r="2066" spans="1:3" ht="13" x14ac:dyDescent="0.15">
      <c r="A2066" s="1" t="str">
        <f ca="1">IFERROR(__xludf.DUMMYFUNCTION("GOOGLETRANSLATE(A2066, ""zh"", ""en"")"),"05 Helping employees grow - A diverse and inclusive workplace B3 Development and Training General Disclosure Policies related to improving employees' knowledge and skills in performing their job duties")</f>
        <v>05 Helping employees grow - A diverse and inclusive workplace B3 Development and Training General Disclosure Policies related to improving employees' knowledge and skills in performing their job duties</v>
      </c>
      <c r="B2066" s="1" t="str">
        <f ca="1">IFERROR(__xludf.DUMMYFUNCTION("GOOGLETRANSLATE(A2066, ""zh"", ""en"")"),"staff")</f>
        <v>staff</v>
      </c>
      <c r="C2066" s="1" t="str">
        <f ca="1">IFERROR(__xludf.DUMMYFUNCTION("GOOGLETRANSLATE(E2066, ""zh"", ""en"")"),"Qualitative text")</f>
        <v>Qualitative text</v>
      </c>
    </row>
    <row r="2067" spans="1:3" ht="13" x14ac:dyDescent="0.15">
      <c r="A2067" s="1" t="str">
        <f ca="1">IFERROR(__xludf.DUMMYFUNCTION("GOOGLETRANSLATE(A2067, ""zh"", ""en"")"),"In 2022, we expanded the scope of data statistics to include statistics on purchased thermal energy consumption, resulting in a significant increase in energy-related indicators compared to previous years.")</f>
        <v>In 2022, we expanded the scope of data statistics to include statistics on purchased thermal energy consumption, resulting in a significant increase in energy-related indicators compared to previous years.</v>
      </c>
      <c r="B2067" s="1" t="str">
        <f ca="1">IFERROR(__xludf.DUMMYFUNCTION("GOOGLETRANSLATE(A2067, ""zh"", ""en"")"),"Energy and resource consumption")</f>
        <v>Energy and resource consumption</v>
      </c>
      <c r="C2067" s="1" t="str">
        <f ca="1">IFERROR(__xludf.DUMMYFUNCTION("GOOGLETRANSLATE(E2067, ""zh"", ""en"")"),"Qualitative text")</f>
        <v>Qualitative text</v>
      </c>
    </row>
    <row r="2068" spans="1:3" ht="13" x14ac:dyDescent="0.15">
      <c r="A2068" s="1" t="str">
        <f ca="1">IFERROR(__xludf.DUMMYFUNCTION("GOOGLETRANSLATE(A2068, ""zh"", ""en"")"),"61 CITIC Securities 2022 Annual Social Responsibility Report CITIC Securities actively assumes social responsibility and widely participates in a number of social welfare activities, demonstrating corporate responsibility")</f>
        <v>61 CITIC Securities 2022 Annual Social Responsibility Report CITIC Securities actively assumes social responsibility and widely participates in a number of social welfare activities, demonstrating corporate responsibility</v>
      </c>
      <c r="B2068" s="1" t="str">
        <f ca="1">IFERROR(__xludf.DUMMYFUNCTION("GOOGLETRANSLATE(A2068, ""zh"", ""en"")"),"Public welfare and volunteer service")</f>
        <v>Public welfare and volunteer service</v>
      </c>
      <c r="C2068" s="1" t="str">
        <f ca="1">IFERROR(__xludf.DUMMYFUNCTION("GOOGLETRANSLATE(E2068, ""zh"", ""en"")"),"Qualitative text")</f>
        <v>Qualitative text</v>
      </c>
    </row>
    <row r="2069" spans="1:3" ht="13" x14ac:dyDescent="0.15">
      <c r="A2069" s="1" t="str">
        <f ca="1">IFERROR(__xludf.DUMMYFUNCTION("GOOGLETRANSLATE(A2069, ""zh"", ""en"")"),"CITIC Securities Charity Fund has invested a total of RMB 2.91 million in the teacher development program in Jishishan County, Gansu Province, with plans to gradually expand to other designated counties.")</f>
        <v>CITIC Securities Charity Fund has invested a total of RMB 2.91 million in the teacher development program in Jishishan County, Gansu Province, with plans to gradually expand to other designated counties.</v>
      </c>
      <c r="B2069" s="1" t="str">
        <f ca="1">IFERROR(__xludf.DUMMYFUNCTION("GOOGLETRANSLATE(A2069, ""zh"", ""en"")"),"Public welfare and volunteer service")</f>
        <v>Public welfare and volunteer service</v>
      </c>
      <c r="C2069" s="1" t="str">
        <f ca="1">IFERROR(__xludf.DUMMYFUNCTION("GOOGLETRANSLATE(E2069, ""zh"", ""en"")"),"Quantitative Text")</f>
        <v>Quantitative Text</v>
      </c>
    </row>
    <row r="2070" spans="1:3" ht="13" x14ac:dyDescent="0.15">
      <c r="A2070" s="1" t="str">
        <f ca="1">IFERROR(__xludf.DUMMYFUNCTION("GOOGLETRANSLATE(A2070, ""zh"", ""en"")"),"Various types of leave include national statutory holidays, paid annual leave, personal leave, sick leave, work injury leave, marriage leave, bereavement leave, maternity leave, childbirth bonus leave, paternity leave, family planning leave and breastfeed"&amp;"ing leave.")</f>
        <v>Various types of leave include national statutory holidays, paid annual leave, personal leave, sick leave, work injury leave, marriage leave, bereavement leave, maternity leave, childbirth bonus leave, paternity leave, family planning leave and breastfeeding leave.</v>
      </c>
      <c r="B2070" s="1" t="str">
        <f ca="1">IFERROR(__xludf.DUMMYFUNCTION("GOOGLETRANSLATE(A2070, ""zh"", ""en"")"),"staff")</f>
        <v>staff</v>
      </c>
      <c r="C2070" s="1" t="str">
        <f ca="1">IFERROR(__xludf.DUMMYFUNCTION("GOOGLETRANSLATE(E2070, ""zh"", ""en"")"),"Qualitative text")</f>
        <v>Qualitative text</v>
      </c>
    </row>
    <row r="2071" spans="1:3" ht="13" x14ac:dyDescent="0.15">
      <c r="A2071" s="1" t="str">
        <f ca="1">IFERROR(__xludf.DUMMYFUNCTION("GOOGLETRANSLATE(A2071, ""zh"", ""en"")"),"For the convenience of description and reading, the company referred to in this report as Tibet Qomolangma is Tibet Qomolangma Resources Co., Ltd. and its subsidiaries.")</f>
        <v>For the convenience of description and reading, the company referred to in this report as Tibet Qomolangma is Tibet Qomolangma Resources Co., Ltd. and its subsidiaries.</v>
      </c>
      <c r="B2071" s="1" t="str">
        <f ca="1">IFERROR(__xludf.DUMMYFUNCTION("GOOGLETRANSLATE(A2071, ""zh"", ""en"")"),"irrelevant text")</f>
        <v>irrelevant text</v>
      </c>
      <c r="C2071" s="1" t="str">
        <f ca="1">IFERROR(__xludf.DUMMYFUNCTION("GOOGLETRANSLATE(E2071, ""zh"", ""en"")"),"irrelevant text")</f>
        <v>irrelevant text</v>
      </c>
    </row>
    <row r="2072" spans="1:3" ht="13" x14ac:dyDescent="0.15">
      <c r="A2072" s="1" t="str">
        <f ca="1">IFERROR(__xludf.DUMMYFUNCTION("GOOGLETRANSLATE(A2072, ""zh"", ""en"")"),"The company strictly abides by the Securities Law, Consumer Rights Protection Law, Cybersecurity Law and other relevant laws and regulations. The above laws and regulations have clear requirements for customer privacy protection.")</f>
        <v>The company strictly abides by the Securities Law, Consumer Rights Protection Law, Cybersecurity Law and other relevant laws and regulations. The above laws and regulations have clear requirements for customer privacy protection.</v>
      </c>
      <c r="B2072" s="1" t="str">
        <f ca="1">IFERROR(__xludf.DUMMYFUNCTION("GOOGLETRANSLATE(A2072, ""zh"", ""en"")"),"Customers and Consumers")</f>
        <v>Customers and Consumers</v>
      </c>
      <c r="C2072" s="1" t="str">
        <f ca="1">IFERROR(__xludf.DUMMYFUNCTION("GOOGLETRANSLATE(E2072, ""zh"", ""en"")"),"Qualitative text")</f>
        <v>Qualitative text</v>
      </c>
    </row>
    <row r="2073" spans="1:3" ht="13" x14ac:dyDescent="0.15">
      <c r="A2073" s="1" t="str">
        <f ca="1">IFERROR(__xludf.DUMMYFUNCTION("GOOGLETRANSLATE(A2073, ""zh"", ""en"")"),"At the same time, we are customer-centric, safeguarding customer rights and interests, broadening customer communication channels, improving customer service quality, deepening investor education, and continuously improving customer satisfaction.")</f>
        <v>At the same time, we are customer-centric, safeguarding customer rights and interests, broadening customer communication channels, improving customer service quality, deepening investor education, and continuously improving customer satisfaction.</v>
      </c>
      <c r="B2073" s="1" t="str">
        <f ca="1">IFERROR(__xludf.DUMMYFUNCTION("GOOGLETRANSLATE(A2073, ""zh"", ""en"")"),"Customers and Consumers")</f>
        <v>Customers and Consumers</v>
      </c>
      <c r="C2073" s="1" t="str">
        <f ca="1">IFERROR(__xludf.DUMMYFUNCTION("GOOGLETRANSLATE(E2073, ""zh"", ""en"")"),"Qualitative text")</f>
        <v>Qualitative text</v>
      </c>
    </row>
    <row r="2074" spans="1:3" ht="13" x14ac:dyDescent="0.15">
      <c r="A2074" s="1" t="str">
        <f ca="1">IFERROR(__xludf.DUMMYFUNCTION("GOOGLETRANSLATE(A2074, ""zh"", ""en"")"),"In the report released in 2022, we focused on value delivery and presented Shanghai Electric's ESG value and story to stakeholders from multiple dimensions and angles.")</f>
        <v>In the report released in 2022, we focused on value delivery and presented Shanghai Electric's ESG value and story to stakeholders from multiple dimensions and angles.</v>
      </c>
      <c r="B2074" s="1" t="str">
        <f ca="1">IFERROR(__xludf.DUMMYFUNCTION("GOOGLETRANSLATE(A2074, ""zh"", ""en"")"),"irrelevant text")</f>
        <v>irrelevant text</v>
      </c>
      <c r="C2074" s="1" t="str">
        <f ca="1">IFERROR(__xludf.DUMMYFUNCTION("GOOGLETRANSLATE(E2074, ""zh"", ""en"")"),"irrelevant text")</f>
        <v>irrelevant text</v>
      </c>
    </row>
    <row r="2075" spans="1:3" ht="13" x14ac:dyDescent="0.15">
      <c r="A2075" s="1" t="str">
        <f ca="1">IFERROR(__xludf.DUMMYFUNCTION("GOOGLETRANSLATE(A2075, ""zh"", ""en"")"),"The company has added integrity and anti-commercial bribery clauses to important contracts to effectively prevent related legal risks and regulate the management of third-party service providers.")</f>
        <v>The company has added integrity and anti-commercial bribery clauses to important contracts to effectively prevent related legal risks and regulate the management of third-party service providers.</v>
      </c>
      <c r="B2075" s="1" t="str">
        <f ca="1">IFERROR(__xludf.DUMMYFUNCTION("GOOGLETRANSLATE(A2075, ""zh"", ""en"")"),"Anti-corruption and anti-money laundering")</f>
        <v>Anti-corruption and anti-money laundering</v>
      </c>
      <c r="C2075" s="1" t="str">
        <f ca="1">IFERROR(__xludf.DUMMYFUNCTION("GOOGLETRANSLATE(E2075, ""zh"", ""en"")"),"Qualitative text")</f>
        <v>Qualitative text</v>
      </c>
    </row>
    <row r="2076" spans="1:3" ht="13" x14ac:dyDescent="0.15">
      <c r="A2076" s="1" t="str">
        <f ca="1">IFERROR(__xludf.DUMMYFUNCTION("GOOGLETRANSLATE(A2076, ""zh"", ""en"")"),"At the same time, the company actively carries out market benchmarking of salary and performance, deepens the application of benchmarking results, improves the salary competitiveness of key core talents, and builds a reasonable salary distribution relatio"&amp;"nship.")</f>
        <v>At the same time, the company actively carries out market benchmarking of salary and performance, deepens the application of benchmarking results, improves the salary competitiveness of key core talents, and builds a reasonable salary distribution relationship.</v>
      </c>
      <c r="B2076" s="1" t="str">
        <f ca="1">IFERROR(__xludf.DUMMYFUNCTION("GOOGLETRANSLATE(A2076, ""zh"", ""en"")"),"staff")</f>
        <v>staff</v>
      </c>
      <c r="C2076" s="1" t="str">
        <f ca="1">IFERROR(__xludf.DUMMYFUNCTION("GOOGLETRANSLATE(E2076, ""zh"", ""en"")"),"Qualitative text")</f>
        <v>Qualitative text</v>
      </c>
    </row>
    <row r="2077" spans="1:3" ht="13" x14ac:dyDescent="0.15">
      <c r="A2077" s="1" t="str">
        <f ca="1">IFERROR(__xludf.DUMMYFUNCTION("GOOGLETRANSLATE(A2077, ""zh"", ""en"")"),"Build a multi-dimensional and multi-level salary distribution system based on job value, ability level, performance contribution, etc., covering basic salary, performance bonus, mid- and long-term incentives, etc.")</f>
        <v>Build a multi-dimensional and multi-level salary distribution system based on job value, ability level, performance contribution, etc., covering basic salary, performance bonus, mid- and long-term incentives, etc.</v>
      </c>
      <c r="B2077" s="1" t="str">
        <f ca="1">IFERROR(__xludf.DUMMYFUNCTION("GOOGLETRANSLATE(A2077, ""zh"", ""en"")"),"staff")</f>
        <v>staff</v>
      </c>
      <c r="C2077" s="1" t="str">
        <f ca="1">IFERROR(__xludf.DUMMYFUNCTION("GOOGLETRANSLATE(E2077, ""zh"", ""en"")"),"Qualitative text")</f>
        <v>Qualitative text</v>
      </c>
    </row>
    <row r="2078" spans="1:3" ht="13" x14ac:dyDescent="0.15">
      <c r="A2078" s="1" t="str">
        <f ca="1">IFERROR(__xludf.DUMMYFUNCTION("GOOGLETRANSLATE(A2078, ""zh"", ""en"")"),"Prepare for the construction of overseas security operation sub-centers and gradually build a normalized network security protection system to prevent and reduce the risk of business interruption caused by network security incidents")</f>
        <v>Prepare for the construction of overseas security operation sub-centers and gradually build a normalized network security protection system to prevent and reduce the risk of business interruption caused by network security incidents</v>
      </c>
      <c r="B2078" s="1" t="str">
        <f ca="1">IFERROR(__xludf.DUMMYFUNCTION("GOOGLETRANSLATE(A2078, ""zh"", ""en"")"),"Data security")</f>
        <v>Data security</v>
      </c>
      <c r="C2078" s="1" t="str">
        <f ca="1">IFERROR(__xludf.DUMMYFUNCTION("GOOGLETRANSLATE(E2078, ""zh"", ""en"")"),"Qualitative text")</f>
        <v>Qualitative text</v>
      </c>
    </row>
    <row r="2079" spans="1:3" ht="13" x14ac:dyDescent="0.15">
      <c r="A2079" s="1" t="str">
        <f ca="1">IFERROR(__xludf.DUMMYFUNCTION("GOOGLETRANSLATE(A2079, ""zh"", ""en"")"),"Faced with an extremely severe production safety situation, the company took decisive measures to strengthen the investigation and rectification of risk hazards and strengthen the supervision of key links to reverse the passive situation.")</f>
        <v>Faced with an extremely severe production safety situation, the company took decisive measures to strengthen the investigation and rectification of risk hazards and strengthen the supervision of key links to reverse the passive situation.</v>
      </c>
      <c r="B2079" s="1" t="str">
        <f ca="1">IFERROR(__xludf.DUMMYFUNCTION("GOOGLETRANSLATE(A2079, ""zh"", ""en"")"),"staff")</f>
        <v>staff</v>
      </c>
      <c r="C2079" s="1" t="str">
        <f ca="1">IFERROR(__xludf.DUMMYFUNCTION("GOOGLETRANSLATE(E2079, ""zh"", ""en"")"),"Qualitative text")</f>
        <v>Qualitative text</v>
      </c>
    </row>
    <row r="2080" spans="1:3" ht="13" x14ac:dyDescent="0.15">
      <c r="A2080" s="1" t="str">
        <f ca="1">IFERROR(__xludf.DUMMYFUNCTION("GOOGLETRANSLATE(A2080, ""zh"", ""en"")"),"At the same time, we continue to implement talent succession plans at different levels to promote and train employees with strong comprehensive and professional abilities to build a good talent reserve for the company.")</f>
        <v>At the same time, we continue to implement talent succession plans at different levels to promote and train employees with strong comprehensive and professional abilities to build a good talent reserve for the company.</v>
      </c>
      <c r="B2080" s="1" t="str">
        <f ca="1">IFERROR(__xludf.DUMMYFUNCTION("GOOGLETRANSLATE(A2080, ""zh"", ""en"")"),"staff")</f>
        <v>staff</v>
      </c>
      <c r="C2080" s="1" t="str">
        <f ca="1">IFERROR(__xludf.DUMMYFUNCTION("GOOGLETRANSLATE(E2080, ""zh"", ""en"")"),"Qualitative text")</f>
        <v>Qualitative text</v>
      </c>
    </row>
    <row r="2081" spans="1:3" ht="13" x14ac:dyDescent="0.15">
      <c r="A2081" s="1" t="str">
        <f ca="1">IFERROR(__xludf.DUMMYFUNCTION("GOOGLETRANSLATE(A2081, ""zh"", ""en"")"),"Research and review the remuneration policies and plans for directors, supervisors and senior management personnel. Study the evaluation criteria for directors and senior management personnel, conduct evaluations and make recommendations.")</f>
        <v>Research and review the remuneration policies and plans for directors, supervisors and senior management personnel. Study the evaluation criteria for directors and senior management personnel, conduct evaluations and make recommendations.</v>
      </c>
      <c r="B2081" s="1" t="str">
        <f ca="1">IFERROR(__xludf.DUMMYFUNCTION("GOOGLETRANSLATE(A2081, ""zh"", ""en"")"),"Organizational structure and operations")</f>
        <v>Organizational structure and operations</v>
      </c>
      <c r="C2081" s="1" t="str">
        <f ca="1">IFERROR(__xludf.DUMMYFUNCTION("GOOGLETRANSLATE(E2081, ""zh"", ""en"")"),"Qualitative text")</f>
        <v>Qualitative text</v>
      </c>
    </row>
    <row r="2082" spans="1:3" ht="13" x14ac:dyDescent="0.15">
      <c r="A2082" s="1" t="str">
        <f ca="1">IFERROR(__xludf.DUMMYFUNCTION("GOOGLETRANSLATE(A2082, ""zh"", ""en"")"),"60104 Key Performance Indicator A1.4 Total amount of non-hazardous waste generated, calculated in tons and, if applicable, density, calculated per unit of production per facility")</f>
        <v>60104 Key Performance Indicator A1.4 Total amount of non-hazardous waste generated, calculated in tons and, if applicable, density, calculated per unit of production per facility</v>
      </c>
      <c r="B2082" s="1" t="str">
        <f ca="1">IFERROR(__xludf.DUMMYFUNCTION("GOOGLETRANSLATE(A2082, ""zh"", ""en"")"),"Waste Management")</f>
        <v>Waste Management</v>
      </c>
      <c r="C2082" s="1" t="str">
        <f ca="1">IFERROR(__xludf.DUMMYFUNCTION("GOOGLETRANSLATE(E2082, ""zh"", ""en"")"),"Quantitative Text")</f>
        <v>Quantitative Text</v>
      </c>
    </row>
    <row r="2083" spans="1:3" ht="13" x14ac:dyDescent="0.15">
      <c r="A2083" s="1" t="str">
        <f ca="1">IFERROR(__xludf.DUMMYFUNCTION("GOOGLETRANSLATE(A2083, ""zh"", ""en"")"),"At the same time, in order to comprehensively review the company's carbon management level in 2022, several production subsidiaries of the group took the initiative to carry out carbon verification work and actively promote the green development of the co"&amp;"mpany.")</f>
        <v>At the same time, in order to comprehensively review the company's carbon management level in 2022, several production subsidiaries of the group took the initiative to carry out carbon verification work and actively promote the green development of the company.</v>
      </c>
      <c r="B2083" s="1" t="str">
        <f ca="1">IFERROR(__xludf.DUMMYFUNCTION("GOOGLETRANSLATE(A2083, ""zh"", ""en"")"),"carbon emissions")</f>
        <v>carbon emissions</v>
      </c>
      <c r="C2083" s="1" t="str">
        <f ca="1">IFERROR(__xludf.DUMMYFUNCTION("GOOGLETRANSLATE(E2083, ""zh"", ""en"")"),"Qualitative text")</f>
        <v>Qualitative text</v>
      </c>
    </row>
    <row r="2084" spans="1:3" ht="13" x14ac:dyDescent="0.15">
      <c r="A2084" s="1" t="str">
        <f ca="1">IFERROR(__xludf.DUMMYFUNCTION("GOOGLETRANSLATE(A2084, ""zh"", ""en"")"),"1722 Key Performance Indicator B7.1 Number of concluded legal cases on corruption filed against the issuer or its employees during the reporting period and their outcomes")</f>
        <v>1722 Key Performance Indicator B7.1 Number of concluded legal cases on corruption filed against the issuer or its employees during the reporting period and their outcomes</v>
      </c>
      <c r="B2084" s="1" t="str">
        <f ca="1">IFERROR(__xludf.DUMMYFUNCTION("GOOGLETRANSLATE(A2084, ""zh"", ""en"")"),"Legal proceedings and external sanctions")</f>
        <v>Legal proceedings and external sanctions</v>
      </c>
      <c r="C2084" s="1" t="str">
        <f ca="1">IFERROR(__xludf.DUMMYFUNCTION("GOOGLETRANSLATE(E2084, ""zh"", ""en"")"),"Quantitative Text")</f>
        <v>Quantitative Text</v>
      </c>
    </row>
    <row r="2085" spans="1:3" ht="13" x14ac:dyDescent="0.15">
      <c r="A2085" s="1" t="str">
        <f ca="1">IFERROR(__xludf.DUMMYFUNCTION("GOOGLETRANSLATE(A2085, ""zh"", ""en"")"),"The company adheres to the ""Four No-Leaving"" principle in safety rectification and strives to leave no blind spots, no dead ends, no gaps, no hidden dangers, and clearly identify responsible persons to improve the effectiveness of rectification.")</f>
        <v>The company adheres to the "Four No-Leaving" principle in safety rectification and strives to leave no blind spots, no dead ends, no gaps, no hidden dangers, and clearly identify responsible persons to improve the effectiveness of rectification.</v>
      </c>
      <c r="B2085" s="1" t="str">
        <f ca="1">IFERROR(__xludf.DUMMYFUNCTION("GOOGLETRANSLATE(A2085, ""zh"", ""en"")"),"Legal proceedings and external sanctions")</f>
        <v>Legal proceedings and external sanctions</v>
      </c>
      <c r="C2085" s="1" t="str">
        <f ca="1">IFERROR(__xludf.DUMMYFUNCTION("GOOGLETRANSLATE(E2085, ""zh"", ""en"")"),"Qualitative text")</f>
        <v>Qualitative text</v>
      </c>
    </row>
    <row r="2086" spans="1:3" ht="13" x14ac:dyDescent="0.15">
      <c r="A2086" s="1" t="str">
        <f ca="1">IFERROR(__xludf.DUMMYFUNCTION("GOOGLETRANSLATE(A2086, ""zh"", ""en"")"),"The alliance will play a leading role in technology and strive to build multiple special work platforms for the modern industrial chain to help my country's nuclear power industry reach a higher level during the 14th Five-Year Plan period.")</f>
        <v>The alliance will play a leading role in technology and strive to build multiple special work platforms for the modern industrial chain to help my country's nuclear power industry reach a higher level during the 14th Five-Year Plan period.</v>
      </c>
      <c r="B2086" s="1" t="str">
        <f ca="1">IFERROR(__xludf.DUMMYFUNCTION("GOOGLETRANSLATE(A2086, ""zh"", ""en"")"),"Technological innovation")</f>
        <v>Technological innovation</v>
      </c>
      <c r="C2086" s="1" t="str">
        <f ca="1">IFERROR(__xludf.DUMMYFUNCTION("GOOGLETRANSLATE(E2086, ""zh"", ""en"")"),"Qualitative text")</f>
        <v>Qualitative text</v>
      </c>
    </row>
    <row r="2087" spans="1:3" ht="13" x14ac:dyDescent="0.15">
      <c r="A2087" s="1" t="str">
        <f ca="1">IFERROR(__xludf.DUMMYFUNCTION("GOOGLETRANSLATE(A2087, ""zh"", ""en"")"),"4 Organized subordinate units to study and publicize the 15 hard measures for safe production and carried out 786 related publicity and learning activities with 33,434 participants")</f>
        <v>4 Organized subordinate units to study and publicize the 15 hard measures for safe production and carried out 786 related publicity and learning activities with 33,434 participants</v>
      </c>
      <c r="B2087" s="1" t="str">
        <f ca="1">IFERROR(__xludf.DUMMYFUNCTION("GOOGLETRANSLATE(A2087, ""zh"", ""en"")"),"staff")</f>
        <v>staff</v>
      </c>
      <c r="C2087" s="1" t="str">
        <f ca="1">IFERROR(__xludf.DUMMYFUNCTION("GOOGLETRANSLATE(E2087, ""zh"", ""en"")"),"Quantitative Text")</f>
        <v>Quantitative Text</v>
      </c>
    </row>
    <row r="2088" spans="1:3" ht="13" x14ac:dyDescent="0.15">
      <c r="A2088" s="1" t="str">
        <f ca="1">IFERROR(__xludf.DUMMYFUNCTION("GOOGLETRANSLATE(A2088, ""zh"", ""en"")"),"This marks a new milestone for Shanghai Electric in expanding its full life cycle services for power plant projects in the Iraqi market, following its EPC engineering operation and maintenance services.")</f>
        <v>This marks a new milestone for Shanghai Electric in expanding its full life cycle services for power plant projects in the Iraqi market, following its EPC engineering operation and maintenance services.</v>
      </c>
      <c r="B2088" s="1" t="str">
        <f ca="1">IFERROR(__xludf.DUMMYFUNCTION("GOOGLETRANSLATE(A2088, ""zh"", ""en"")"),"Technological innovation")</f>
        <v>Technological innovation</v>
      </c>
      <c r="C2088" s="1" t="str">
        <f ca="1">IFERROR(__xludf.DUMMYFUNCTION("GOOGLETRANSLATE(E2088, ""zh"", ""en"")"),"Qualitative text")</f>
        <v>Qualitative text</v>
      </c>
    </row>
    <row r="2089" spans="1:3" ht="13" x14ac:dyDescent="0.15">
      <c r="A2089" s="1" t="str">
        <f ca="1">IFERROR(__xludf.DUMMYFUNCTION("GOOGLETRANSLATE(A2089, ""zh"", ""en"")"),"Based on the survey results, we ranked the topics based on their impact on the company's business development and their importance to stakeholders.")</f>
        <v>Based on the survey results, we ranked the topics based on their impact on the company's business development and their importance to stakeholders.</v>
      </c>
      <c r="B2089" s="1" t="str">
        <f ca="1">IFERROR(__xludf.DUMMYFUNCTION("GOOGLETRANSLATE(A2089, ""zh"", ""en"")"),"irrelevant text")</f>
        <v>irrelevant text</v>
      </c>
      <c r="C2089" s="1" t="str">
        <f ca="1">IFERROR(__xludf.DUMMYFUNCTION("GOOGLETRANSLATE(E2089, ""zh"", ""en"")"),"irrelevant text")</f>
        <v>irrelevant text</v>
      </c>
    </row>
    <row r="2090" spans="1:3" ht="13" x14ac:dyDescent="0.15">
      <c r="A2090" s="1" t="str">
        <f ca="1">IFERROR(__xludf.DUMMYFUNCTION("GOOGLETRANSLATE(A2090, ""zh"", ""en"")"),"The company adheres to the principle of fairness in employee promotion and provides equal promotion opportunities to people of different genders and races to prevent the occurrence of unfair competition in employee development.")</f>
        <v>The company adheres to the principle of fairness in employee promotion and provides equal promotion opportunities to people of different genders and races to prevent the occurrence of unfair competition in employee development.</v>
      </c>
      <c r="B2090" s="1" t="str">
        <f ca="1">IFERROR(__xludf.DUMMYFUNCTION("GOOGLETRANSLATE(A2090, ""zh"", ""en"")"),"staff")</f>
        <v>staff</v>
      </c>
      <c r="C2090" s="1" t="str">
        <f ca="1">IFERROR(__xludf.DUMMYFUNCTION("GOOGLETRANSLATE(E2090, ""zh"", ""en"")"),"Qualitative text")</f>
        <v>Qualitative text</v>
      </c>
    </row>
    <row r="2091" spans="1:3" ht="13" x14ac:dyDescent="0.15">
      <c r="A2091" s="1" t="str">
        <f ca="1">IFERROR(__xludf.DUMMYFUNCTION("GOOGLETRANSLATE(A2091, ""zh"", ""en"")"),"The company has established a salary assessment management system to formulate different development plans for employees of different types and positions, give full play to the personal value of employees and clarify promotion channels.")</f>
        <v>The company has established a salary assessment management system to formulate different development plans for employees of different types and positions, give full play to the personal value of employees and clarify promotion channels.</v>
      </c>
      <c r="B2091" s="1" t="str">
        <f ca="1">IFERROR(__xludf.DUMMYFUNCTION("GOOGLETRANSLATE(A2091, ""zh"", ""en"")"),"staff")</f>
        <v>staff</v>
      </c>
      <c r="C2091" s="1" t="str">
        <f ca="1">IFERROR(__xludf.DUMMYFUNCTION("GOOGLETRANSLATE(E2091, ""zh"", ""en"")"),"Qualitative text")</f>
        <v>Qualitative text</v>
      </c>
    </row>
    <row r="2092" spans="1:3" ht="13" x14ac:dyDescent="0.15">
      <c r="A2092" s="1" t="str">
        <f ca="1">IFERROR(__xludf.DUMMYFUNCTION("GOOGLETRANSLATE(A2092, ""zh"", ""en"")"),"By implementing these rules and regulations, Tibet Everest is committed to improving employees' job satisfaction, enhancing their sense of belonging, and further promoting the company's development and stability.")</f>
        <v>By implementing these rules and regulations, Tibet Everest is committed to improving employees' job satisfaction, enhancing their sense of belonging, and further promoting the company's development and stability.</v>
      </c>
      <c r="B2092" s="1" t="str">
        <f ca="1">IFERROR(__xludf.DUMMYFUNCTION("GOOGLETRANSLATE(A2092, ""zh"", ""en"")"),"staff")</f>
        <v>staff</v>
      </c>
      <c r="C2092" s="1" t="str">
        <f ca="1">IFERROR(__xludf.DUMMYFUNCTION("GOOGLETRANSLATE(E2092, ""zh"", ""en"")"),"Qualitative text")</f>
        <v>Qualitative text</v>
      </c>
    </row>
    <row r="2093" spans="1:3" ht="13" x14ac:dyDescent="0.15">
      <c r="A2093" s="1" t="str">
        <f ca="1">IFERROR(__xludf.DUMMYFUNCTION("GOOGLETRANSLATE(A2093, ""zh"", ""en"")"),"In terms of hiring, the company adheres to the basic principles of morality, ability, diligence, performance and integrity, attaches importance to the training of new employees and allows them to participate more in the specific affairs of the company's o"&amp;"perations.")</f>
        <v>In terms of hiring, the company adheres to the basic principles of morality, ability, diligence, performance and integrity, attaches importance to the training of new employees and allows them to participate more in the specific affairs of the company's operations.</v>
      </c>
      <c r="B2093" s="1" t="str">
        <f ca="1">IFERROR(__xludf.DUMMYFUNCTION("GOOGLETRANSLATE(A2093, ""zh"", ""en"")"),"staff")</f>
        <v>staff</v>
      </c>
      <c r="C2093" s="1" t="str">
        <f ca="1">IFERROR(__xludf.DUMMYFUNCTION("GOOGLETRANSLATE(E2093, ""zh"", ""en"")"),"Qualitative text")</f>
        <v>Qualitative text</v>
      </c>
    </row>
    <row r="2094" spans="1:3" ht="13" x14ac:dyDescent="0.15">
      <c r="A2094" s="1" t="str">
        <f ca="1">IFERROR(__xludf.DUMMYFUNCTION("GOOGLETRANSLATE(A2094, ""zh"", ""en"")"),"3.2 Energy Conservation and Efficiency Improvement, Green Development Aspects A3 Environment and Natural Resources General Disclosure Policies to Minimize the Issuer’s Significant Impact on the Environment and Natural Resources")</f>
        <v>3.2 Energy Conservation and Efficiency Improvement, Green Development Aspects A3 Environment and Natural Resources General Disclosure Policies to Minimize the Issuer’s Significant Impact on the Environment and Natural Resources</v>
      </c>
      <c r="B2094" s="1" t="str">
        <f ca="1">IFERROR(__xludf.DUMMYFUNCTION("GOOGLETRANSLATE(A2094, ""zh"", ""en"")"),"Environmental Policy")</f>
        <v>Environmental Policy</v>
      </c>
      <c r="C2094" s="1" t="str">
        <f ca="1">IFERROR(__xludf.DUMMYFUNCTION("GOOGLETRANSLATE(E2094, ""zh"", ""en"")"),"Qualitative text")</f>
        <v>Qualitative text</v>
      </c>
    </row>
    <row r="2095" spans="1:3" ht="13" x14ac:dyDescent="0.15">
      <c r="A2095" s="1" t="str">
        <f ca="1">IFERROR(__xludf.DUMMYFUNCTION("GOOGLETRANSLATE(A2095, ""zh"", ""en"")"),"In order to protect the biodiversity of this area, we have developed a variety of biodiversity conservation projects and strengthened publicity and education related to wildlife protection.")</f>
        <v>In order to protect the biodiversity of this area, we have developed a variety of biodiversity conservation projects and strengthened publicity and education related to wildlife protection.</v>
      </c>
      <c r="B2095" s="1" t="str">
        <f ca="1">IFERROR(__xludf.DUMMYFUNCTION("GOOGLETRANSLATE(A2095, ""zh"", ""en"")"),"biodiversity")</f>
        <v>biodiversity</v>
      </c>
      <c r="C2095" s="1" t="str">
        <f ca="1">IFERROR(__xludf.DUMMYFUNCTION("GOOGLETRANSLATE(E2095, ""zh"", ""en"")"),"Qualitative text")</f>
        <v>Qualitative text</v>
      </c>
    </row>
    <row r="2096" spans="1:3" ht="13" x14ac:dyDescent="0.15">
      <c r="A2096" s="1" t="str">
        <f ca="1">IFERROR(__xludf.DUMMYFUNCTION("GOOGLETRANSLATE(A2096, ""zh"", ""en"")"),"The office strengthens the protection of female employees and encourages the majority of operation team employees to stay at the front line and do their jobs well, better reflecting the guiding and incentive role of salary and benefits")</f>
        <v>The office strengthens the protection of female employees and encourages the majority of operation team employees to stay at the front line and do their jobs well, better reflecting the guiding and incentive role of salary and benefits</v>
      </c>
      <c r="B2096" s="1" t="str">
        <f ca="1">IFERROR(__xludf.DUMMYFUNCTION("GOOGLETRANSLATE(A2096, ""zh"", ""en"")"),"staff")</f>
        <v>staff</v>
      </c>
      <c r="C2096" s="1" t="str">
        <f ca="1">IFERROR(__xludf.DUMMYFUNCTION("GOOGLETRANSLATE(E2096, ""zh"", ""en"")"),"Qualitative text")</f>
        <v>Qualitative text</v>
      </c>
    </row>
    <row r="2097" spans="1:3" ht="13" x14ac:dyDescent="0.15">
      <c r="A2097" s="1" t="str">
        <f ca="1">IFERROR(__xludf.DUMMYFUNCTION("GOOGLETRANSLATE(A2097, ""zh"", ""en"")"),"Shenma Co., Ltd. investigated 1,813 safety and fire safety issues and completed all rectifications. 596 cases were investigated and fined a total of 327,455 yuan.")</f>
        <v>Shenma Co., Ltd. investigated 1,813 safety and fire safety issues and completed all rectifications. 596 cases were investigated and fined a total of 327,455 yuan.</v>
      </c>
      <c r="B2097" s="1" t="str">
        <f ca="1">IFERROR(__xludf.DUMMYFUNCTION("GOOGLETRANSLATE(A2097, ""zh"", ""en"")"),"Environmental penalties")</f>
        <v>Environmental penalties</v>
      </c>
      <c r="C2097" s="1" t="str">
        <f ca="1">IFERROR(__xludf.DUMMYFUNCTION("GOOGLETRANSLATE(E2097, ""zh"", ""en"")"),"Quantitative Text")</f>
        <v>Quantitative Text</v>
      </c>
    </row>
    <row r="2098" spans="1:3" ht="13" x14ac:dyDescent="0.15">
      <c r="A2098" s="1" t="str">
        <f ca="1">IFERROR(__xludf.DUMMYFUNCTION("GOOGLETRANSLATE(A2098, ""zh"", ""en"")"),"We have been committed to poverty alleviation in impoverished areas for a long time, providing targeted assistance to impoverished counties through regular donations and large-scale purchases of local agricultural and sideline products.")</f>
        <v>We have been committed to poverty alleviation in impoverished areas for a long time, providing targeted assistance to impoverished counties through regular donations and large-scale purchases of local agricultural and sideline products.</v>
      </c>
      <c r="B2098" s="1" t="str">
        <f ca="1">IFERROR(__xludf.DUMMYFUNCTION("GOOGLETRANSLATE(A2098, ""zh"", ""en"")"),"Rural assistance")</f>
        <v>Rural assistance</v>
      </c>
      <c r="C2098" s="1" t="str">
        <f ca="1">IFERROR(__xludf.DUMMYFUNCTION("GOOGLETRANSLATE(E2098, ""zh"", ""en"")"),"Qualitative text")</f>
        <v>Qualitative text</v>
      </c>
    </row>
    <row r="2099" spans="1:3" ht="13" x14ac:dyDescent="0.15">
      <c r="A2099" s="1" t="str">
        <f ca="1">IFERROR(__xludf.DUMMYFUNCTION("GOOGLETRANSLATE(A2099, ""zh"", ""en"")"),"The project aims to strengthen the construction of anesthesia discipline and enhance academic exchanges among anesthesiologists, and is committed to promoting the development of anesthesia discipline and the construction and training of young talent teams"&amp;".")</f>
        <v>The project aims to strengthen the construction of anesthesia discipline and enhance academic exchanges among anesthesiologists, and is committed to promoting the development of anesthesia discipline and the construction and training of young talent teams.</v>
      </c>
      <c r="B2099" s="1" t="str">
        <f ca="1">IFERROR(__xludf.DUMMYFUNCTION("GOOGLETRANSLATE(A2099, ""zh"", ""en"")"),"Technological innovation")</f>
        <v>Technological innovation</v>
      </c>
      <c r="C2099" s="1" t="str">
        <f ca="1">IFERROR(__xludf.DUMMYFUNCTION("GOOGLETRANSLATE(E2099, ""zh"", ""en"")"),"Qualitative text")</f>
        <v>Qualitative text</v>
      </c>
    </row>
    <row r="2100" spans="1:3" ht="13" x14ac:dyDescent="0.15">
      <c r="A2100" s="1" t="str">
        <f ca="1">IFERROR(__xludf.DUMMYFUNCTION("GOOGLETRANSLATE(A2100, ""zh"", ""en"")"),"We strive to build a clean and honest business environment and take pride in integrity. We have two typical cases where we take pride in integrity. We have not learned lessons from them, but have identified our own problems and shortcomings and built a st"&amp;"rong ideological defense line.")</f>
        <v>We strive to build a clean and honest business environment and take pride in integrity. We have two typical cases where we take pride in integrity. We have not learned lessons from them, but have identified our own problems and shortcomings and built a strong ideological defense line.</v>
      </c>
      <c r="B2100" s="1" t="str">
        <f ca="1">IFERROR(__xludf.DUMMYFUNCTION("GOOGLETRANSLATE(A2100, ""zh"", ""en"")"),"Anti-corruption and anti-money laundering")</f>
        <v>Anti-corruption and anti-money laundering</v>
      </c>
      <c r="C2100" s="1" t="str">
        <f ca="1">IFERROR(__xludf.DUMMYFUNCTION("GOOGLETRANSLATE(E2100, ""zh"", ""en"")"),"Qualitative text")</f>
        <v>Qualitative text</v>
      </c>
    </row>
    <row r="2101" spans="1:3" ht="13" x14ac:dyDescent="0.15">
      <c r="A2101" s="1" t="str">
        <f ca="1">IFERROR(__xludf.DUMMYFUNCTION("GOOGLETRANSLATE(A2101, ""zh"", ""en"")"),"Case Study: In March 2022, Yichang Renfu's innovative anesthetic research and development won the first prize of Sichuan Science and Technology Progress in 2021.")</f>
        <v>Case Study: In March 2022, Yichang Renfu's innovative anesthetic research and development won the first prize of Sichuan Science and Technology Progress in 2021.</v>
      </c>
      <c r="B2101" s="1" t="str">
        <f ca="1">IFERROR(__xludf.DUMMYFUNCTION("GOOGLETRANSLATE(A2101, ""zh"", ""en"")"),"Technological innovation")</f>
        <v>Technological innovation</v>
      </c>
      <c r="C2101" s="1" t="str">
        <f ca="1">IFERROR(__xludf.DUMMYFUNCTION("GOOGLETRANSLATE(E2101, ""zh"", ""en"")"),"Quantitative Text")</f>
        <v>Quantitative Text</v>
      </c>
    </row>
    <row r="2102" spans="1:3" ht="13" x14ac:dyDescent="0.15">
      <c r="A2102" s="1" t="str">
        <f ca="1">IFERROR(__xludf.DUMMYFUNCTION("GOOGLETRANSLATE(A2102, ""zh"", ""en"")"),"Renfu Pharmaceuticals has established a code of conduct for all employees, emphasizing integrity, frugality, dedication and progress, requiring all employees to uphold integrity and honesty in production and business operations and prohibit corruption and"&amp;" bribery.")</f>
        <v>Renfu Pharmaceuticals has established a code of conduct for all employees, emphasizing integrity, frugality, dedication and progress, requiring all employees to uphold integrity and honesty in production and business operations and prohibit corruption and bribery.</v>
      </c>
      <c r="B2102" s="1" t="str">
        <f ca="1">IFERROR(__xludf.DUMMYFUNCTION("GOOGLETRANSLATE(A2102, ""zh"", ""en"")"),"Anti-corruption and anti-money laundering")</f>
        <v>Anti-corruption and anti-money laundering</v>
      </c>
      <c r="C2102" s="1" t="str">
        <f ca="1">IFERROR(__xludf.DUMMYFUNCTION("GOOGLETRANSLATE(E2102, ""zh"", ""en"")"),"Qualitative text")</f>
        <v>Qualitative text</v>
      </c>
    </row>
    <row r="2103" spans="1:3" ht="13" x14ac:dyDescent="0.15">
      <c r="A2103" s="1" t="str">
        <f ca="1">IFERROR(__xludf.DUMMYFUNCTION("GOOGLETRANSLATE(A2103, ""zh"", ""en"")"),"Renfu Africa has a local employment rate of over 95%. Its long-term operation in the region has not only improved the accessibility of medicines in Africa, but also promoted the development of the local pharmaceutical industry.")</f>
        <v>Renfu Africa has a local employment rate of over 95%. Its long-term operation in the region has not only improved the accessibility of medicines in Africa, but also promoted the development of the local pharmaceutical industry.</v>
      </c>
      <c r="B2103" s="1" t="str">
        <f ca="1">IFERROR(__xludf.DUMMYFUNCTION("GOOGLETRANSLATE(A2103, ""zh"", ""en"")"),"Promoting employment")</f>
        <v>Promoting employment</v>
      </c>
      <c r="C2103" s="1" t="str">
        <f ca="1">IFERROR(__xludf.DUMMYFUNCTION("GOOGLETRANSLATE(E2103, ""zh"", ""en"")"),"Qualitative text")</f>
        <v>Qualitative text</v>
      </c>
    </row>
    <row r="2104" spans="1:3" ht="13" x14ac:dyDescent="0.15">
      <c r="A2104" s="1" t="str">
        <f ca="1">IFERROR(__xludf.DUMMYFUNCTION("GOOGLETRANSLATE(A2104, ""zh"", ""en"")"),"In 2022, Haier Smart Home will integrate university resources and launch a joint training program with Ocean University of China to customize the training of applied master's talents in the field of computer science.")</f>
        <v>In 2022, Haier Smart Home will integrate university resources and launch a joint training program with Ocean University of China to customize the training of applied master's talents in the field of computer science.</v>
      </c>
      <c r="B2104" s="1" t="str">
        <f ca="1">IFERROR(__xludf.DUMMYFUNCTION("GOOGLETRANSLATE(A2104, ""zh"", ""en"")"),"Technological innovation")</f>
        <v>Technological innovation</v>
      </c>
      <c r="C2104" s="1" t="str">
        <f ca="1">IFERROR(__xludf.DUMMYFUNCTION("GOOGLETRANSLATE(E2104, ""zh"", ""en"")"),"Qualitative text")</f>
        <v>Qualitative text</v>
      </c>
    </row>
    <row r="2105" spans="1:3" ht="13" x14ac:dyDescent="0.15">
      <c r="A2105" s="1" t="str">
        <f ca="1">IFERROR(__xludf.DUMMYFUNCTION("GOOGLETRANSLATE(A2105, ""zh"", ""en"")"),"At the same time, Changqing Oilfield uses its own corporate advantages to utilize surplus raw materials from production and life to continuously improve the teaching environment of the school and replace the heating network to ensure winter heating.")</f>
        <v>At the same time, Changqing Oilfield uses its own corporate advantages to utilize surplus raw materials from production and life to continuously improve the teaching environment of the school and replace the heating network to ensure winter heating.</v>
      </c>
      <c r="B2105" s="1" t="str">
        <f ca="1">IFERROR(__xludf.DUMMYFUNCTION("GOOGLETRANSLATE(A2105, ""zh"", ""en"")"),"raw materials")</f>
        <v>raw materials</v>
      </c>
      <c r="C2105" s="1" t="str">
        <f ca="1">IFERROR(__xludf.DUMMYFUNCTION("GOOGLETRANSLATE(E2105, ""zh"", ""en"")"),"Qualitative text")</f>
        <v>Qualitative text</v>
      </c>
    </row>
    <row r="2106" spans="1:3" ht="13" x14ac:dyDescent="0.15">
      <c r="A2106" s="1" t="str">
        <f ca="1">IFERROR(__xludf.DUMMYFUNCTION("GOOGLETRANSLATE(A2106, ""zh"", ""en"")"),"At the same time, the company launched a standard privacy vulnerability handling service function on the APP download page to facilitate developers to understand the process solutions after privacy vulnerabilities.")</f>
        <v>At the same time, the company launched a standard privacy vulnerability handling service function on the APP download page to facilitate developers to understand the process solutions after privacy vulnerabilities.</v>
      </c>
      <c r="B2106" s="1" t="str">
        <f ca="1">IFERROR(__xludf.DUMMYFUNCTION("GOOGLETRANSLATE(A2106, ""zh"", ""en"")"),"Data security")</f>
        <v>Data security</v>
      </c>
      <c r="C2106" s="1" t="str">
        <f ca="1">IFERROR(__xludf.DUMMYFUNCTION("GOOGLETRANSLATE(E2106, ""zh"", ""en"")"),"Qualitative text")</f>
        <v>Qualitative text</v>
      </c>
    </row>
    <row r="2107" spans="1:3" ht="13" x14ac:dyDescent="0.15">
      <c r="A2107" s="1" t="str">
        <f ca="1">IFERROR(__xludf.DUMMYFUNCTION("GOOGLETRANSLATE(A2107, ""zh"", ""en"")"),"The digital project, Qingxuetang online training platform, provides employees with rich learning content, high-quality learning services and experience to accelerate their learning, growth and development.")</f>
        <v>The digital project, Qingxuetang online training platform, provides employees with rich learning content, high-quality learning services and experience to accelerate their learning, growth and development.</v>
      </c>
      <c r="B2107" s="1" t="str">
        <f ca="1">IFERROR(__xludf.DUMMYFUNCTION("GOOGLETRANSLATE(A2107, ""zh"", ""en"")"),"staff")</f>
        <v>staff</v>
      </c>
      <c r="C2107" s="1" t="str">
        <f ca="1">IFERROR(__xludf.DUMMYFUNCTION("GOOGLETRANSLATE(E2107, ""zh"", ""en"")"),"Qualitative text")</f>
        <v>Qualitative text</v>
      </c>
    </row>
    <row r="2108" spans="1:3" ht="13" x14ac:dyDescent="0.15">
      <c r="A2108" s="1" t="str">
        <f ca="1">IFERROR(__xludf.DUMMYFUNCTION("GOOGLETRANSLATE(A2108, ""zh"", ""en"")"),"In response to the uneven development of education in poverty-stricken areas, the company has been carrying out teacher training for eight consecutive years to improve the quality of teachers in the targeted poverty alleviation areas.")</f>
        <v>In response to the uneven development of education in poverty-stricken areas, the company has been carrying out teacher training for eight consecutive years to improve the quality of teachers in the targeted poverty alleviation areas.</v>
      </c>
      <c r="B2108" s="1" t="str">
        <f ca="1">IFERROR(__xludf.DUMMYFUNCTION("GOOGLETRANSLATE(A2108, ""zh"", ""en"")"),"Rural assistance")</f>
        <v>Rural assistance</v>
      </c>
      <c r="C2108" s="1" t="str">
        <f ca="1">IFERROR(__xludf.DUMMYFUNCTION("GOOGLETRANSLATE(E2108, ""zh"", ""en"")"),"Qualitative text")</f>
        <v>Qualitative text</v>
      </c>
    </row>
    <row r="2109" spans="1:3" ht="13" x14ac:dyDescent="0.15">
      <c r="A2109" s="1" t="str">
        <f ca="1">IFERROR(__xludf.DUMMYFUNCTION("GOOGLETRANSLATE(A2109, ""zh"", ""en"")"),"2426 Key Performance Indicator B7.1 Number of concluded legal cases on corruption filed against the issuer or its employees during the reporting period and the outcomes of the cases")</f>
        <v>2426 Key Performance Indicator B7.1 Number of concluded legal cases on corruption filed against the issuer or its employees during the reporting period and the outcomes of the cases</v>
      </c>
      <c r="B2109" s="1" t="str">
        <f ca="1">IFERROR(__xludf.DUMMYFUNCTION("GOOGLETRANSLATE(A2109, ""zh"", ""en"")"),"Legal proceedings and external sanctions")</f>
        <v>Legal proceedings and external sanctions</v>
      </c>
      <c r="C2109" s="1" t="str">
        <f ca="1">IFERROR(__xludf.DUMMYFUNCTION("GOOGLETRANSLATE(E2109, ""zh"", ""en"")"),"Quantitative Text")</f>
        <v>Quantitative Text</v>
      </c>
    </row>
    <row r="2110" spans="1:3" ht="13" x14ac:dyDescent="0.15">
      <c r="A2110" s="1" t="str">
        <f ca="1">IFERROR(__xludf.DUMMYFUNCTION("GOOGLETRANSLATE(A2110, ""zh"", ""en"")"),"The construction of the smart warehouse system has intensified the replication and promotion efforts based on the Wuyi Demonstration Library. The coverage rate of smart warehouse sub-projects in warehouse automation outlets has reached more than 50%.")</f>
        <v>The construction of the smart warehouse system has intensified the replication and promotion efforts based on the Wuyi Demonstration Library. The coverage rate of smart warehouse sub-projects in warehouse automation outlets has reached more than 50%.</v>
      </c>
      <c r="B2110" s="1" t="str">
        <f ca="1">IFERROR(__xludf.DUMMYFUNCTION("GOOGLETRANSLATE(A2110, ""zh"", ""en"")"),"Technological innovation")</f>
        <v>Technological innovation</v>
      </c>
      <c r="C2110" s="1" t="str">
        <f ca="1">IFERROR(__xludf.DUMMYFUNCTION("GOOGLETRANSLATE(E2110, ""zh"", ""en"")"),"Quantitative Text")</f>
        <v>Quantitative Text</v>
      </c>
    </row>
    <row r="2111" spans="1:3" ht="13" x14ac:dyDescent="0.15">
      <c r="A2111" s="1" t="str">
        <f ca="1">IFERROR(__xludf.DUMMYFUNCTION("GOOGLETRANSLATE(A2111, ""zh"", ""en"")"),"The company focused on improving business performance and arranged performance improvement projects in the management training.")</f>
        <v>The company focused on improving business performance and arranged performance improvement projects in the management training.</v>
      </c>
      <c r="B2111" s="1" t="str">
        <f ca="1">IFERROR(__xludf.DUMMYFUNCTION("GOOGLETRANSLATE(A2111, ""zh"", ""en"")"),"staff")</f>
        <v>staff</v>
      </c>
      <c r="C2111" s="1" t="str">
        <f ca="1">IFERROR(__xludf.DUMMYFUNCTION("GOOGLETRANSLATE(E2111, ""zh"", ""en"")"),"Qualitative text")</f>
        <v>Qualitative text</v>
      </c>
    </row>
    <row r="2112" spans="1:3" ht="13" x14ac:dyDescent="0.15">
      <c r="A2112" s="1" t="str">
        <f ca="1">IFERROR(__xludf.DUMMYFUNCTION("GOOGLETRANSLATE(A2112, ""zh"", ""en"")"),"We independently developed and launched smart stores, built an online and offline smart service system that pursues excellent customer experience, and effectively achieved convenient, intelligent and personalized experience.")</f>
        <v>We independently developed and launched smart stores, built an online and offline smart service system that pursues excellent customer experience, and effectively achieved convenient, intelligent and personalized experience.</v>
      </c>
      <c r="B2112" s="1" t="str">
        <f ca="1">IFERROR(__xludf.DUMMYFUNCTION("GOOGLETRANSLATE(A2112, ""zh"", ""en"")"),"Customers and Consumers")</f>
        <v>Customers and Consumers</v>
      </c>
      <c r="C2112" s="1" t="str">
        <f ca="1">IFERROR(__xludf.DUMMYFUNCTION("GOOGLETRANSLATE(E2112, ""zh"", ""en"")"),"Qualitative text")</f>
        <v>Qualitative text</v>
      </c>
    </row>
    <row r="2113" spans="1:3" ht="13" x14ac:dyDescent="0.15">
      <c r="A2113" s="1" t="str">
        <f ca="1">IFERROR(__xludf.DUMMYFUNCTION("GOOGLETRANSLATE(A2113, ""zh"", ""en"")"),"We will adopt a combination of centralized teaching, rural education and online live broadcast to expand the scope of training, make targeted adjustments and add professional courses to stimulate enthusiasm for online and offline training.")</f>
        <v>We will adopt a combination of centralized teaching, rural education and online live broadcast to expand the scope of training, make targeted adjustments and add professional courses to stimulate enthusiasm for online and offline training.</v>
      </c>
      <c r="B2113" s="1" t="str">
        <f ca="1">IFERROR(__xludf.DUMMYFUNCTION("GOOGLETRANSLATE(A2113, ""zh"", ""en"")"),"staff")</f>
        <v>staff</v>
      </c>
      <c r="C2113" s="1" t="str">
        <f ca="1">IFERROR(__xludf.DUMMYFUNCTION("GOOGLETRANSLATE(E2113, ""zh"", ""en"")"),"Qualitative text")</f>
        <v>Qualitative text</v>
      </c>
    </row>
    <row r="2114" spans="1:3" ht="13" x14ac:dyDescent="0.15">
      <c r="A2114" s="1" t="str">
        <f ca="1">IFERROR(__xludf.DUMMYFUNCTION("GOOGLETRANSLATE(A2114, ""zh"", ""en"")"),"In terms of production management, the functions of the MES system can cover the digital management of the entire production process. Employees can complete daily work reporting operations by simply scanning the code.")</f>
        <v>In terms of production management, the functions of the MES system can cover the digital management of the entire production process. Employees can complete daily work reporting operations by simply scanning the code.</v>
      </c>
      <c r="B2114" s="1" t="str">
        <f ca="1">IFERROR(__xludf.DUMMYFUNCTION("GOOGLETRANSLATE(A2114, ""zh"", ""en"")"),"staff")</f>
        <v>staff</v>
      </c>
      <c r="C2114" s="1" t="str">
        <f ca="1">IFERROR(__xludf.DUMMYFUNCTION("GOOGLETRANSLATE(E2114, ""zh"", ""en"")"),"Qualitative text")</f>
        <v>Qualitative text</v>
      </c>
    </row>
    <row r="2115" spans="1:3" ht="13" x14ac:dyDescent="0.15">
      <c r="A2115" s="1" t="str">
        <f ca="1">IFERROR(__xludf.DUMMYFUNCTION("GOOGLETRANSLATE(A2115, ""zh"", ""en"")"),"Adhere to the reduction of existing carbon emissions and incremental carbon emissions, move towards zero-carbon development, and achieve carbon-negative development. The first million-ton CCUS demonstration project in China was completed and put into oper"&amp;"ation. Establish a carbon full-industry chain technology company.")</f>
        <v>Adhere to the reduction of existing carbon emissions and incremental carbon emissions, move towards zero-carbon development, and achieve carbon-negative development. The first million-ton CCUS demonstration project in China was completed and put into operation. Establish a carbon full-industry chain technology company.</v>
      </c>
      <c r="B2115" s="1" t="str">
        <f ca="1">IFERROR(__xludf.DUMMYFUNCTION("GOOGLETRANSLATE(A2115, ""zh"", ""en"")"),"carbon emissions")</f>
        <v>carbon emissions</v>
      </c>
      <c r="C2115" s="1" t="str">
        <f ca="1">IFERROR(__xludf.DUMMYFUNCTION("GOOGLETRANSLATE(E2115, ""zh"", ""en"")"),"Qualitative text")</f>
        <v>Qualitative text</v>
      </c>
    </row>
    <row r="2116" spans="1:3" ht="13" x14ac:dyDescent="0.15">
      <c r="A2116" s="1" t="str">
        <f ca="1">IFERROR(__xludf.DUMMYFUNCTION("GOOGLETRANSLATE(A2116, ""zh"", ""en"")"),"Completed the second phase of the online promotion plan for the Group's Financial Shared Incubation Center. A total of 272 operating units of the Group and its second-tier member companies were included in the Financial Shared Center.")</f>
        <v>Completed the second phase of the online promotion plan for the Group's Financial Shared Incubation Center. A total of 272 operating units of the Group and its second-tier member companies were included in the Financial Shared Center.</v>
      </c>
      <c r="B2116" s="1" t="str">
        <f ca="1">IFERROR(__xludf.DUMMYFUNCTION("GOOGLETRANSLATE(A2116, ""zh"", ""en"")"),"Organizational structure and operations")</f>
        <v>Organizational structure and operations</v>
      </c>
      <c r="C2116" s="1" t="str">
        <f ca="1">IFERROR(__xludf.DUMMYFUNCTION("GOOGLETRANSLATE(E2116, ""zh"", ""en"")"),"Quantitative Text")</f>
        <v>Quantitative Text</v>
      </c>
    </row>
    <row r="2117" spans="1:3" ht="13" x14ac:dyDescent="0.15">
      <c r="A2117" s="1" t="str">
        <f ca="1">IFERROR(__xludf.DUMMYFUNCTION("GOOGLETRANSLATE(A2117, ""zh"", ""en"")"),"Internal Control The company's board of directors has an audit committee responsible for supervising and evaluating the work of external audit institutions, guiding internal audit work, and evaluating the effectiveness of internal control.")</f>
        <v>Internal Control The company's board of directors has an audit committee responsible for supervising and evaluating the work of external audit institutions, guiding internal audit work, and evaluating the effectiveness of internal control.</v>
      </c>
      <c r="B2117" s="1" t="str">
        <f ca="1">IFERROR(__xludf.DUMMYFUNCTION("GOOGLETRANSLATE(A2117, ""zh"", ""en"")"),"Audit work")</f>
        <v>Audit work</v>
      </c>
      <c r="C2117" s="1" t="str">
        <f ca="1">IFERROR(__xludf.DUMMYFUNCTION("GOOGLETRANSLATE(E2117, ""zh"", ""en"")"),"Qualitative text")</f>
        <v>Qualitative text</v>
      </c>
    </row>
    <row r="2118" spans="1:3" ht="13" x14ac:dyDescent="0.15">
      <c r="A2118" s="1" t="str">
        <f ca="1">IFERROR(__xludf.DUMMYFUNCTION("GOOGLETRANSLATE(A2118, ""zh"", ""en"")"),"With the goal of low-carbon production energy consumption and clean energy consumption, we will develop and utilize clean energy such as wind and solar energy within the factory and mining area to continuously improve the level of low-carbon development.")</f>
        <v>With the goal of low-carbon production energy consumption and clean energy consumption, we will develop and utilize clean energy such as wind and solar energy within the factory and mining area to continuously improve the level of low-carbon development.</v>
      </c>
      <c r="B2118" s="1" t="str">
        <f ca="1">IFERROR(__xludf.DUMMYFUNCTION("GOOGLETRANSLATE(A2118, ""zh"", ""en"")"),"Energy and resource consumption")</f>
        <v>Energy and resource consumption</v>
      </c>
      <c r="C2118" s="1" t="str">
        <f ca="1">IFERROR(__xludf.DUMMYFUNCTION("GOOGLETRANSLATE(E2118, ""zh"", ""en"")"),"Qualitative text")</f>
        <v>Qualitative text</v>
      </c>
    </row>
    <row r="2119" spans="1:3" ht="13" x14ac:dyDescent="0.15">
      <c r="A2119" s="1" t="str">
        <f ca="1">IFERROR(__xludf.DUMMYFUNCTION("GOOGLETRANSLATE(A2119, ""zh"", ""en"")"),"There are 34 ongoing research projects in the year, more than ten journal papers have been published, 33 national patents have been granted, including 7 invention patents and 26 utility model patents.")</f>
        <v>There are 34 ongoing research projects in the year, more than ten journal papers have been published, 33 national patents have been granted, including 7 invention patents and 26 utility model patents.</v>
      </c>
      <c r="B2119" s="1" t="str">
        <f ca="1">IFERROR(__xludf.DUMMYFUNCTION("GOOGLETRANSLATE(A2119, ""zh"", ""en"")"),"Technological innovation")</f>
        <v>Technological innovation</v>
      </c>
      <c r="C2119" s="1" t="str">
        <f ca="1">IFERROR(__xludf.DUMMYFUNCTION("GOOGLETRANSLATE(E2119, ""zh"", ""en"")"),"Quantitative Text")</f>
        <v>Quantitative Text</v>
      </c>
    </row>
    <row r="2120" spans="1:3" ht="13" x14ac:dyDescent="0.15">
      <c r="A2120" s="1" t="str">
        <f ca="1">IFERROR(__xludf.DUMMYFUNCTION("GOOGLETRANSLATE(A2120, ""zh"", ""en"")"),"In 2020, Sinopec formulated and implemented the Compliance Management Measures, special system specifications and business compliance guidelines. A total of 12 sets were issued in 2020 and 2022.")</f>
        <v>In 2020, Sinopec formulated and implemented the Compliance Management Measures, special system specifications and business compliance guidelines. A total of 12 sets were issued in 2020 and 2022.</v>
      </c>
      <c r="B2120" s="1" t="str">
        <f ca="1">IFERROR(__xludf.DUMMYFUNCTION("GOOGLETRANSLATE(A2120, ""zh"", ""en"")"),"Legal proceedings and external sanctions")</f>
        <v>Legal proceedings and external sanctions</v>
      </c>
      <c r="C2120" s="1" t="str">
        <f ca="1">IFERROR(__xludf.DUMMYFUNCTION("GOOGLETRANSLATE(E2120, ""zh"", ""en"")"),"Quantitative Text")</f>
        <v>Quantitative Text</v>
      </c>
    </row>
    <row r="2121" spans="1:3" ht="13" x14ac:dyDescent="0.15">
      <c r="A2121" s="1" t="str">
        <f ca="1">IFERROR(__xludf.DUMMYFUNCTION("GOOGLETRANSLATE(A2121, ""zh"", ""en"")"),"Continuously strengthen the introduction of technical personnel. 7 professionals were introduced throughout the year, including 1 doctor and 3 masters, to improve the company's technical team in water treatment and solid waste.")</f>
        <v>Continuously strengthen the introduction of technical personnel. 7 professionals were introduced throughout the year, including 1 doctor and 3 masters, to improve the company's technical team in water treatment and solid waste.</v>
      </c>
      <c r="B2121" s="1" t="str">
        <f ca="1">IFERROR(__xludf.DUMMYFUNCTION("GOOGLETRANSLATE(A2121, ""zh"", ""en"")"),"Technological innovation")</f>
        <v>Technological innovation</v>
      </c>
      <c r="C2121" s="1" t="str">
        <f ca="1">IFERROR(__xludf.DUMMYFUNCTION("GOOGLETRANSLATE(E2121, ""zh"", ""en"")"),"Quantitative Text")</f>
        <v>Quantitative Text</v>
      </c>
    </row>
    <row r="2122" spans="1:3" ht="13" x14ac:dyDescent="0.15">
      <c r="A2122" s="1" t="str">
        <f ca="1">IFERROR(__xludf.DUMMYFUNCTION("GOOGLETRANSLATE(A2122, ""zh"", ""en"")"),"Promptly purchase antigen test kits, adult and children's medicines, masks and other scarce epidemic prevention supplies and distribute them to more than 130 group office union employees as soon as possible")</f>
        <v>Promptly purchase antigen test kits, adult and children's medicines, masks and other scarce epidemic prevention supplies and distribute them to more than 130 group office union employees as soon as possible</v>
      </c>
      <c r="B2122" s="1" t="str">
        <f ca="1">IFERROR(__xludf.DUMMYFUNCTION("GOOGLETRANSLATE(A2122, ""zh"", ""en"")"),"Fighting the epidemic")</f>
        <v>Fighting the epidemic</v>
      </c>
      <c r="C2122" s="1" t="str">
        <f ca="1">IFERROR(__xludf.DUMMYFUNCTION("GOOGLETRANSLATE(E2122, ""zh"", ""en"")"),"Qualitative text")</f>
        <v>Qualitative text</v>
      </c>
    </row>
    <row r="2123" spans="1:3" ht="13" x14ac:dyDescent="0.15">
      <c r="A2123" s="1" t="str">
        <f ca="1">IFERROR(__xludf.DUMMYFUNCTION("GOOGLETRANSLATE(A2123, ""zh"", ""en"")"),"1,600 people participated in the comprehensive quality improvement training courses for middle and senior management of Zhejiang University School of Management, business and management professional knowledge and ability training, closed new employee trai"&amp;"ning, etc.")</f>
        <v>1,600 people participated in the comprehensive quality improvement training courses for middle and senior management of Zhejiang University School of Management, business and management professional knowledge and ability training, closed new employee training, etc.</v>
      </c>
      <c r="B2123" s="1" t="str">
        <f ca="1">IFERROR(__xludf.DUMMYFUNCTION("GOOGLETRANSLATE(A2123, ""zh"", ""en"")"),"staff")</f>
        <v>staff</v>
      </c>
      <c r="C2123" s="1" t="str">
        <f ca="1">IFERROR(__xludf.DUMMYFUNCTION("GOOGLETRANSLATE(E2123, ""zh"", ""en"")"),"Quantitative Text")</f>
        <v>Quantitative Text</v>
      </c>
    </row>
    <row r="2124" spans="1:3" ht="13" x14ac:dyDescent="0.15">
      <c r="A2124" s="1" t="str">
        <f ca="1">IFERROR(__xludf.DUMMYFUNCTION("GOOGLETRANSLATE(A2124, ""zh"", ""en"")"),"The Group has formulated its 2021 Energy Conservation and Emission Reduction Plan, incorporating each member company's environmental protection and energy conservation and emission reduction work into the Group's assessment system and fully implementing a"&amp;" closed-loop work mechanism.")</f>
        <v>The Group has formulated its 2021 Energy Conservation and Emission Reduction Plan, incorporating each member company's environmental protection and energy conservation and emission reduction work into the Group's assessment system and fully implementing a closed-loop work mechanism.</v>
      </c>
      <c r="B2124" s="1" t="str">
        <f ca="1">IFERROR(__xludf.DUMMYFUNCTION("GOOGLETRANSLATE(A2124, ""zh"", ""en"")"),"Energy and resource consumption")</f>
        <v>Energy and resource consumption</v>
      </c>
      <c r="C2124" s="1" t="str">
        <f ca="1">IFERROR(__xludf.DUMMYFUNCTION("GOOGLETRANSLATE(E2124, ""zh"", ""en"")"),"Qualitative text")</f>
        <v>Qualitative text</v>
      </c>
    </row>
    <row r="2125" spans="1:3" ht="13" x14ac:dyDescent="0.15">
      <c r="A2125" s="1" t="str">
        <f ca="1">IFERROR(__xludf.DUMMYFUNCTION("GOOGLETRANSLATE(A2125, ""zh"", ""en"")"),"General and major risks in contractor management are determined by different risk management aspects. This set of charts selects contractors from the contract notification level and takes corresponding control measures.")</f>
        <v>General and major risks in contractor management are determined by different risk management aspects. This set of charts selects contractors from the contract notification level and takes corresponding control measures.</v>
      </c>
      <c r="B2125" s="1" t="str">
        <f ca="1">IFERROR(__xludf.DUMMYFUNCTION("GOOGLETRANSLATE(A2125, ""zh"", ""en"")"),"supply chain management")</f>
        <v>supply chain management</v>
      </c>
      <c r="C2125" s="1" t="str">
        <f ca="1">IFERROR(__xludf.DUMMYFUNCTION("GOOGLETRANSLATE(E2125, ""zh"", ""en"")"),"Qualitative text")</f>
        <v>Qualitative text</v>
      </c>
    </row>
    <row r="2126" spans="1:3" ht="13" x14ac:dyDescent="0.15">
      <c r="A2126" s="1" t="str">
        <f ca="1">IFERROR(__xludf.DUMMYFUNCTION("GOOGLETRANSLATE(A2126, ""zh"", ""en"")"),"P21B8 Community Investment General Disclosure Policy on using community engagement to understand the needs of the communities in which it operates and to ensure that its business activities take community interests into account")</f>
        <v>P21B8 Community Investment General Disclosure Policy on using community engagement to understand the needs of the communities in which it operates and to ensure that its business activities take community interests into account</v>
      </c>
      <c r="B2126" s="1" t="str">
        <f ca="1">IFERROR(__xludf.DUMMYFUNCTION("GOOGLETRANSLATE(A2126, ""zh"", ""en"")"),"Public welfare and volunteer service")</f>
        <v>Public welfare and volunteer service</v>
      </c>
      <c r="C2126" s="1" t="str">
        <f ca="1">IFERROR(__xludf.DUMMYFUNCTION("GOOGLETRANSLATE(E2126, ""zh"", ""en"")"),"Qualitative text")</f>
        <v>Qualitative text</v>
      </c>
    </row>
    <row r="2127" spans="1:3" ht="13" x14ac:dyDescent="0.15">
      <c r="A2127" s="1" t="str">
        <f ca="1">IFERROR(__xludf.DUMMYFUNCTION("GOOGLETRANSLATE(A2127, ""zh"", ""en"")"),"Obtained SGS Carbon Footprint and Carbon Emission Reduction Dual Certification In August 2022, Haier refrigerators became the world's first refrigerator brand to obtain SGS Carbon Footprint and Carbon Emission Reduction Dual Certification")</f>
        <v>Obtained SGS Carbon Footprint and Carbon Emission Reduction Dual Certification In August 2022, Haier refrigerators became the world's first refrigerator brand to obtain SGS Carbon Footprint and Carbon Emission Reduction Dual Certification</v>
      </c>
      <c r="B2127" s="1" t="str">
        <f ca="1">IFERROR(__xludf.DUMMYFUNCTION("GOOGLETRANSLATE(A2127, ""zh"", ""en"")"),"carbon emissions")</f>
        <v>carbon emissions</v>
      </c>
      <c r="C2127" s="1" t="str">
        <f ca="1">IFERROR(__xludf.DUMMYFUNCTION("GOOGLETRANSLATE(E2127, ""zh"", ""en"")"),"Quantitative Text")</f>
        <v>Quantitative Text</v>
      </c>
    </row>
    <row r="2128" spans="1:3" ht="13" x14ac:dyDescent="0.15">
      <c r="A2128" s="1" t="str">
        <f ca="1">IFERROR(__xludf.DUMMYFUNCTION("GOOGLETRANSLATE(A2128, ""zh"", ""en"")"),"Do a good job in the specific organization and course arrangement of training, complete the assessment and evaluation of trainees, effectively enhance the safety awareness of employees and ensure the full implementation of the main responsibility")</f>
        <v>Do a good job in the specific organization and course arrangement of training, complete the assessment and evaluation of trainees, effectively enhance the safety awareness of employees and ensure the full implementation of the main responsibility</v>
      </c>
      <c r="B2128" s="1" t="str">
        <f ca="1">IFERROR(__xludf.DUMMYFUNCTION("GOOGLETRANSLATE(A2128, ""zh"", ""en"")"),"staff")</f>
        <v>staff</v>
      </c>
      <c r="C2128" s="1" t="str">
        <f ca="1">IFERROR(__xludf.DUMMYFUNCTION("GOOGLETRANSLATE(E2128, ""zh"", ""en"")"),"Qualitative text")</f>
        <v>Qualitative text</v>
      </c>
    </row>
    <row r="2129" spans="1:3" ht="13" x14ac:dyDescent="0.15">
      <c r="A2129" s="1" t="str">
        <f ca="1">IFERROR(__xludf.DUMMYFUNCTION("GOOGLETRANSLATE(A2129, ""zh"", ""en"")"),"The professional committees of the company's board of directors strictly perform their duties in accordance with the work rules of each professional committee and operate in compliance with the law, playing an important role in the scientific decision-mak"&amp;"ing of the board of directors.")</f>
        <v>The professional committees of the company's board of directors strictly perform their duties in accordance with the work rules of each professional committee and operate in compliance with the law, playing an important role in the scientific decision-making of the board of directors.</v>
      </c>
      <c r="B2129" s="1" t="str">
        <f ca="1">IFERROR(__xludf.DUMMYFUNCTION("GOOGLETRANSLATE(A2129, ""zh"", ""en"")"),"Organizational structure and operations")</f>
        <v>Organizational structure and operations</v>
      </c>
      <c r="C2129" s="1" t="str">
        <f ca="1">IFERROR(__xludf.DUMMYFUNCTION("GOOGLETRANSLATE(E2129, ""zh"", ""en"")"),"Qualitative text")</f>
        <v>Qualitative text</v>
      </c>
    </row>
    <row r="2130" spans="1:3" ht="13" x14ac:dyDescent="0.15">
      <c r="A2130" s="1" t="str">
        <f ca="1">IFERROR(__xludf.DUMMYFUNCTION("GOOGLETRANSLATE(A2130, ""zh"", ""en"")"),"The company integrates ESG concepts into its business risk management process, taking into account climate and environmental factors in various business processes such as supplier access, due diligence, and product line management.")</f>
        <v>The company integrates ESG concepts into its business risk management process, taking into account climate and environmental factors in various business processes such as supplier access, due diligence, and product line management.</v>
      </c>
      <c r="B2130" s="1" t="str">
        <f ca="1">IFERROR(__xludf.DUMMYFUNCTION("GOOGLETRANSLATE(A2130, ""zh"", ""en"")"),"Addressing climate change")</f>
        <v>Addressing climate change</v>
      </c>
      <c r="C2130" s="1" t="str">
        <f ca="1">IFERROR(__xludf.DUMMYFUNCTION("GOOGLETRANSLATE(E2130, ""zh"", ""en"")"),"Qualitative text")</f>
        <v>Qualitative text</v>
      </c>
    </row>
    <row r="2131" spans="1:3" ht="13" x14ac:dyDescent="0.15">
      <c r="A2131" s="1" t="str">
        <f ca="1">IFERROR(__xludf.DUMMYFUNCTION("GOOGLETRANSLATE(A2131, ""zh"", ""en"")"),"The theme of the management month is combined with continuous publicity of excellent measures to guide more and more companies to find opportunities for solid waste reduction.")</f>
        <v>The theme of the management month is combined with continuous publicity of excellent measures to guide more and more companies to find opportunities for solid waste reduction.</v>
      </c>
      <c r="B2131" s="1" t="str">
        <f ca="1">IFERROR(__xludf.DUMMYFUNCTION("GOOGLETRANSLATE(A2131, ""zh"", ""en"")"),"Waste Management")</f>
        <v>Waste Management</v>
      </c>
      <c r="C2131" s="1" t="str">
        <f ca="1">IFERROR(__xludf.DUMMYFUNCTION("GOOGLETRANSLATE(E2131, ""zh"", ""en"")"),"Qualitative text")</f>
        <v>Qualitative text</v>
      </c>
    </row>
    <row r="2132" spans="1:3" ht="13" x14ac:dyDescent="0.15">
      <c r="A2132" s="1" t="str">
        <f ca="1">IFERROR(__xludf.DUMMYFUNCTION("GOOGLETRANSLATE(A2132, ""zh"", ""en"")"),"As the only network security company in China with over years of practical experience in attack and defense, the company has strong attack and defense capabilities to provide users with more stable network security protection.")</f>
        <v>As the only network security company in China with over years of practical experience in attack and defense, the company has strong attack and defense capabilities to provide users with more stable network security protection.</v>
      </c>
      <c r="B2132" s="1" t="str">
        <f ca="1">IFERROR(__xludf.DUMMYFUNCTION("GOOGLETRANSLATE(A2132, ""zh"", ""en"")"),"Data security")</f>
        <v>Data security</v>
      </c>
      <c r="C2132" s="1" t="str">
        <f ca="1">IFERROR(__xludf.DUMMYFUNCTION("GOOGLETRANSLATE(E2132, ""zh"", ""en"")"),"Qualitative text")</f>
        <v>Qualitative text</v>
      </c>
    </row>
    <row r="2133" spans="1:3" ht="13" x14ac:dyDescent="0.15">
      <c r="A2133" s="1" t="str">
        <f ca="1">IFERROR(__xludf.DUMMYFUNCTION("GOOGLETRANSLATE(A2133, ""zh"", ""en"")"),"The company firmly believes in the concept of user-first and conducts multi-channel user satisfaction surveys, actively listens to user feedback, continuously improves products and services, and continuously improves user satisfaction.")</f>
        <v>The company firmly believes in the concept of user-first and conducts multi-channel user satisfaction surveys, actively listens to user feedback, continuously improves products and services, and continuously improves user satisfaction.</v>
      </c>
      <c r="B2133" s="1" t="str">
        <f ca="1">IFERROR(__xludf.DUMMYFUNCTION("GOOGLETRANSLATE(A2133, ""zh"", ""en"")"),"Customers and Consumers")</f>
        <v>Customers and Consumers</v>
      </c>
      <c r="C2133" s="1" t="str">
        <f ca="1">IFERROR(__xludf.DUMMYFUNCTION("GOOGLETRANSLATE(E2133, ""zh"", ""en"")"),"Qualitative text")</f>
        <v>Qualitative text</v>
      </c>
    </row>
    <row r="2134" spans="1:3" ht="13" x14ac:dyDescent="0.15">
      <c r="A2134" s="1" t="str">
        <f ca="1">IFERROR(__xludf.DUMMYFUNCTION("GOOGLETRANSLATE(A2134, ""zh"", ""en"")"),"As of the end of the year, the company and its subsidiaries strictly abided by the national environmental protection policies in their operations and no penalties were imposed for violations of laws and regulations during the reporting period.")</f>
        <v>As of the end of the year, the company and its subsidiaries strictly abided by the national environmental protection policies in their operations and no penalties were imposed for violations of laws and regulations during the reporting period.</v>
      </c>
      <c r="B2134" s="1" t="str">
        <f ca="1">IFERROR(__xludf.DUMMYFUNCTION("GOOGLETRANSLATE(A2134, ""zh"", ""en"")"),"Environmental penalties")</f>
        <v>Environmental penalties</v>
      </c>
      <c r="C2134" s="1" t="str">
        <f ca="1">IFERROR(__xludf.DUMMYFUNCTION("GOOGLETRANSLATE(E2134, ""zh"", ""en"")"),"Quantitative Text")</f>
        <v>Quantitative Text</v>
      </c>
    </row>
    <row r="2135" spans="1:3" ht="13" x14ac:dyDescent="0.15">
      <c r="A2135" s="1" t="str">
        <f ca="1">IFERROR(__xludf.DUMMYFUNCTION("GOOGLETRANSLATE(A2135, ""zh"", ""en"")"),"In addition, the company has established a comprehensive training system, which includes leadership, professional skills, general skills and other aspects of training to ensure that employees can develop comprehensively.")</f>
        <v>In addition, the company has established a comprehensive training system, which includes leadership, professional skills, general skills and other aspects of training to ensure that employees can develop comprehensively.</v>
      </c>
      <c r="B2135" s="1" t="str">
        <f ca="1">IFERROR(__xludf.DUMMYFUNCTION("GOOGLETRANSLATE(A2135, ""zh"", ""en"")"),"staff")</f>
        <v>staff</v>
      </c>
      <c r="C2135" s="1" t="str">
        <f ca="1">IFERROR(__xludf.DUMMYFUNCTION("GOOGLETRANSLATE(E2135, ""zh"", ""en"")"),"Qualitative text")</f>
        <v>Qualitative text</v>
      </c>
    </row>
    <row r="2136" spans="1:3" ht="13" x14ac:dyDescent="0.15">
      <c r="A2136" s="1" t="str">
        <f ca="1">IFERROR(__xludf.DUMMYFUNCTION("GOOGLETRANSLATE(A2136, ""zh"", ""en"")"),"Continuing to develop laser TVs, ensuring the number of patent standards and other aspects are at the forefront globally, Allion CESI GRL achieves product upgrades and category expansion with HDMI certification.")</f>
        <v>Continuing to develop laser TVs, ensuring the number of patent standards and other aspects are at the forefront globally, Allion CESI GRL achieves product upgrades and category expansion with HDMI certification.</v>
      </c>
      <c r="B2136" s="1" t="str">
        <f ca="1">IFERROR(__xludf.DUMMYFUNCTION("GOOGLETRANSLATE(A2136, ""zh"", ""en"")"),"Intellectual Property Protection")</f>
        <v>Intellectual Property Protection</v>
      </c>
      <c r="C2136" s="1" t="str">
        <f ca="1">IFERROR(__xludf.DUMMYFUNCTION("GOOGLETRANSLATE(E2136, ""zh"", ""en"")"),"Qualitative text")</f>
        <v>Qualitative text</v>
      </c>
    </row>
    <row r="2137" spans="1:3" ht="13" x14ac:dyDescent="0.15">
      <c r="A2137" s="1" t="str">
        <f ca="1">IFERROR(__xludf.DUMMYFUNCTION("GOOGLETRANSLATE(A2137, ""zh"", ""en"")"),"To achieve fair competition, the company refuses to obtain business opportunities through unfair competition such as commercial bribery. The company will sign an anti-commercial bribery commitment letter with all stakeholders.")</f>
        <v>To achieve fair competition, the company refuses to obtain business opportunities through unfair competition such as commercial bribery. The company will sign an anti-commercial bribery commitment letter with all stakeholders.</v>
      </c>
      <c r="B2137" s="1" t="str">
        <f ca="1">IFERROR(__xludf.DUMMYFUNCTION("GOOGLETRANSLATE(A2137, ""zh"", ""en"")"),"Anti-unfair competition")</f>
        <v>Anti-unfair competition</v>
      </c>
      <c r="C2137" s="1" t="str">
        <f ca="1">IFERROR(__xludf.DUMMYFUNCTION("GOOGLETRANSLATE(E2137, ""zh"", ""en"")"),"Qualitative text")</f>
        <v>Qualitative text</v>
      </c>
    </row>
    <row r="2138" spans="1:3" ht="13" x14ac:dyDescent="0.15">
      <c r="A2138" s="1" t="str">
        <f ca="1">IFERROR(__xludf.DUMMYFUNCTION("GOOGLETRANSLATE(A2138, ""zh"", ""en"")"),"In the early stages of product design, environmental energy and resource consumption are incorporated into design indicators to form a closed-loop feedback cycle process of resource reduction and resource product recycling.")</f>
        <v>In the early stages of product design, environmental energy and resource consumption are incorporated into design indicators to form a closed-loop feedback cycle process of resource reduction and resource product recycling.</v>
      </c>
      <c r="B2138" s="1" t="str">
        <f ca="1">IFERROR(__xludf.DUMMYFUNCTION("GOOGLETRANSLATE(A2138, ""zh"", ""en"")"),"Energy and resource consumption")</f>
        <v>Energy and resource consumption</v>
      </c>
      <c r="C2138" s="1" t="str">
        <f ca="1">IFERROR(__xludf.DUMMYFUNCTION("GOOGLETRANSLATE(E2138, ""zh"", ""en"")"),"Qualitative text")</f>
        <v>Qualitative text</v>
      </c>
    </row>
    <row r="2139" spans="1:3" ht="13" x14ac:dyDescent="0.15">
      <c r="A2139" s="1" t="str">
        <f ca="1">IFERROR(__xludf.DUMMYFUNCTION("GOOGLETRANSLATE(A2139, ""zh"", ""en"")"),"The union takes the cohesion of employees as its starting point and carries out cultural construction around employee care and corporate culture to create a harmonious development working atmosphere shared by all employees.")</f>
        <v>The union takes the cohesion of employees as its starting point and carries out cultural construction around employee care and corporate culture to create a harmonious development working atmosphere shared by all employees.</v>
      </c>
      <c r="B2139" s="1" t="str">
        <f ca="1">IFERROR(__xludf.DUMMYFUNCTION("GOOGLETRANSLATE(A2139, ""zh"", ""en"")"),"staff")</f>
        <v>staff</v>
      </c>
      <c r="C2139" s="1" t="str">
        <f ca="1">IFERROR(__xludf.DUMMYFUNCTION("GOOGLETRANSLATE(E2139, ""zh"", ""en"")"),"Qualitative text")</f>
        <v>Qualitative text</v>
      </c>
    </row>
    <row r="2140" spans="1:3" ht="13" x14ac:dyDescent="0.15">
      <c r="A2140" s="1" t="str">
        <f ca="1">IFERROR(__xludf.DUMMYFUNCTION("GOOGLETRANSLATE(A2140, ""zh"", ""en"")"),"282930 China Storage Development Co., Ltd. 2022 Social Responsibility and ESG Report All new projects of the company have undergone environmental assessments in accordance with regulations.")</f>
        <v>282930 China Storage Development Co., Ltd. 2022 Social Responsibility and ESG Report All new projects of the company have undergone environmental assessments in accordance with regulations.</v>
      </c>
      <c r="B2140" s="1" t="str">
        <f ca="1">IFERROR(__xludf.DUMMYFUNCTION("GOOGLETRANSLATE(A2140, ""zh"", ""en"")"),"Environmental Policy")</f>
        <v>Environmental Policy</v>
      </c>
      <c r="C2140" s="1" t="str">
        <f ca="1">IFERROR(__xludf.DUMMYFUNCTION("GOOGLETRANSLATE(E2140, ""zh"", ""en"")"),"Qualitative text")</f>
        <v>Qualitative text</v>
      </c>
    </row>
    <row r="2141" spans="1:3" ht="13" x14ac:dyDescent="0.15">
      <c r="A2141" s="1" t="str">
        <f ca="1">IFERROR(__xludf.DUMMYFUNCTION("GOOGLETRANSLATE(A2141, ""zh"", ""en"")"),"Based on the principle of truthfulness and objectivity, this paper reviews the practical content of CMST in fulfilling its environmental, social and governance responsibilities in its efforts to become an excellent corporate citizen.")</f>
        <v>Based on the principle of truthfulness and objectivity, this paper reviews the practical content of CMST in fulfilling its environmental, social and governance responsibilities in its efforts to become an excellent corporate citizen.</v>
      </c>
      <c r="B2141" s="1" t="str">
        <f ca="1">IFERROR(__xludf.DUMMYFUNCTION("GOOGLETRANSLATE(A2141, ""zh"", ""en"")"),"irrelevant text")</f>
        <v>irrelevant text</v>
      </c>
      <c r="C2141" s="1" t="str">
        <f ca="1">IFERROR(__xludf.DUMMYFUNCTION("GOOGLETRANSLATE(E2141, ""zh"", ""en"")"),"irrelevant text")</f>
        <v>irrelevant text</v>
      </c>
    </row>
    <row r="2142" spans="1:3" ht="13" x14ac:dyDescent="0.15">
      <c r="A2142" s="1" t="str">
        <f ca="1">IFERROR(__xludf.DUMMYFUNCTION("GOOGLETRANSLATE(A2142, ""zh"", ""en"")"),"Ningzhuang Village, assisted by the company, was awarded the title of the city's model worker demonstration base for rural revitalization. The cord fabric development company was awarded the title of the city's advanced unit for poverty alleviation work o"&amp;"f ""100 enterprises helping 100 villages"".")</f>
        <v>Ningzhuang Village, assisted by the company, was awarded the title of the city's model worker demonstration base for rural revitalization. The cord fabric development company was awarded the title of the city's advanced unit for poverty alleviation work of "100 enterprises helping 100 villages".</v>
      </c>
      <c r="B2142" s="1" t="str">
        <f ca="1">IFERROR(__xludf.DUMMYFUNCTION("GOOGLETRANSLATE(A2142, ""zh"", ""en"")"),"Rural assistance")</f>
        <v>Rural assistance</v>
      </c>
      <c r="C2142" s="1" t="str">
        <f ca="1">IFERROR(__xludf.DUMMYFUNCTION("GOOGLETRANSLATE(E2142, ""zh"", ""en"")"),"Qualitative text")</f>
        <v>Qualitative text</v>
      </c>
    </row>
    <row r="2143" spans="1:3" ht="13" x14ac:dyDescent="0.15">
      <c r="A2143" s="1" t="str">
        <f ca="1">IFERROR(__xludf.DUMMYFUNCTION("GOOGLETRANSLATE(A2143, ""zh"", ""en"")"),"We pursue the strategic goal of building a world-class international energy company, improve the top-level design of corporate governance, and continuously promote the modernization of corporate governance system and governance capabilities.")</f>
        <v>We pursue the strategic goal of building a world-class international energy company, improve the top-level design of corporate governance, and continuously promote the modernization of corporate governance system and governance capabilities.</v>
      </c>
      <c r="B2143" s="1" t="str">
        <f ca="1">IFERROR(__xludf.DUMMYFUNCTION("GOOGLETRANSLATE(A2143, ""zh"", ""en"")"),"Organizational structure and operations")</f>
        <v>Organizational structure and operations</v>
      </c>
      <c r="C2143" s="1" t="str">
        <f ca="1">IFERROR(__xludf.DUMMYFUNCTION("GOOGLETRANSLATE(E2143, ""zh"", ""en"")"),"Qualitative text")</f>
        <v>Qualitative text</v>
      </c>
    </row>
    <row r="2144" spans="1:3" ht="13" x14ac:dyDescent="0.15">
      <c r="A2144" s="1" t="str">
        <f ca="1">IFERROR(__xludf.DUMMYFUNCTION("GOOGLETRANSLATE(A2144, ""zh"", ""en"")"),"The engineering department completed the review of 87 interim results throughout the year and provided substantive guidance through on-site inspections during the mid-term delivery phase of the project.")</f>
        <v>The engineering department completed the review of 87 interim results throughout the year and provided substantive guidance through on-site inspections during the mid-term delivery phase of the project.</v>
      </c>
      <c r="B2144" s="1" t="str">
        <f ca="1">IFERROR(__xludf.DUMMYFUNCTION("GOOGLETRANSLATE(A2144, ""zh"", ""en"")"),"Technological innovation")</f>
        <v>Technological innovation</v>
      </c>
      <c r="C2144" s="1" t="str">
        <f ca="1">IFERROR(__xludf.DUMMYFUNCTION("GOOGLETRANSLATE(E2144, ""zh"", ""en"")"),"Quantitative Text")</f>
        <v>Quantitative Text</v>
      </c>
    </row>
    <row r="2145" spans="1:3" ht="13" x14ac:dyDescent="0.15">
      <c r="A2145" s="1" t="str">
        <f ca="1">IFERROR(__xludf.DUMMYFUNCTION("GOOGLETRANSLATE(A2145, ""zh"", ""en"")"),"Each division of the company has formulated corresponding special benefits based on the actual situation of its own industry and employees, and established a diversified, multi-level and targeted welfare system.")</f>
        <v>Each division of the company has formulated corresponding special benefits based on the actual situation of its own industry and employees, and established a diversified, multi-level and targeted welfare system.</v>
      </c>
      <c r="B2145" s="1" t="str">
        <f ca="1">IFERROR(__xludf.DUMMYFUNCTION("GOOGLETRANSLATE(A2145, ""zh"", ""en"")"),"staff")</f>
        <v>staff</v>
      </c>
      <c r="C2145" s="1" t="str">
        <f ca="1">IFERROR(__xludf.DUMMYFUNCTION("GOOGLETRANSLATE(E2145, ""zh"", ""en"")"),"Qualitative text")</f>
        <v>Qualitative text</v>
      </c>
    </row>
    <row r="2146" spans="1:3" ht="13" x14ac:dyDescent="0.15">
      <c r="A2146" s="1" t="str">
        <f ca="1">IFERROR(__xludf.DUMMYFUNCTION("GOOGLETRANSLATE(A2146, ""zh"", ""en"")"),"In 2022, the company will continuously improve its corporate governance and lay a solid foundation for sustainable development through optimizing its governance structure, scientifically and efficiently operating the three committees, and strengthening ri"&amp;"sk management.")</f>
        <v>In 2022, the company will continuously improve its corporate governance and lay a solid foundation for sustainable development through optimizing its governance structure, scientifically and efficiently operating the three committees, and strengthening risk management.</v>
      </c>
      <c r="B2146" s="1" t="str">
        <f ca="1">IFERROR(__xludf.DUMMYFUNCTION("GOOGLETRANSLATE(A2146, ""zh"", ""en"")"),"Organizational structure and operations")</f>
        <v>Organizational structure and operations</v>
      </c>
      <c r="C2146" s="1" t="str">
        <f ca="1">IFERROR(__xludf.DUMMYFUNCTION("GOOGLETRANSLATE(E2146, ""zh"", ""en"")"),"Qualitative text")</f>
        <v>Qualitative text</v>
      </c>
    </row>
    <row r="2147" spans="1:3" ht="13" x14ac:dyDescent="0.15">
      <c r="A2147" s="1" t="str">
        <f ca="1">IFERROR(__xludf.DUMMYFUNCTION("GOOGLETRANSLATE(A2147, ""zh"", ""en"")"),"The Shanghai Party Branch of Dima Group and the East China Regional Party Branch of Dongyuan Renzhi were established in January and July 2022 respectively to ensure full coverage of the Party organization and Party work.")</f>
        <v>The Shanghai Party Branch of Dima Group and the East China Regional Party Branch of Dongyuan Renzhi were established in January and July 2022 respectively to ensure full coverage of the Party organization and Party work.</v>
      </c>
      <c r="B2147" s="1" t="str">
        <f ca="1">IFERROR(__xludf.DUMMYFUNCTION("GOOGLETRANSLATE(A2147, ""zh"", ""en"")"),"Organizational structure and operations")</f>
        <v>Organizational structure and operations</v>
      </c>
      <c r="C2147" s="1" t="str">
        <f ca="1">IFERROR(__xludf.DUMMYFUNCTION("GOOGLETRANSLATE(E2147, ""zh"", ""en"")"),"Qualitative text")</f>
        <v>Qualitative text</v>
      </c>
    </row>
    <row r="2148" spans="1:3" ht="13" x14ac:dyDescent="0.15">
      <c r="A2148" s="1" t="str">
        <f ca="1">IFERROR(__xludf.DUMMYFUNCTION("GOOGLETRANSLATE(A2148, ""zh"", ""en"")"),"The construction of the Party Building Activity Room in Dima Industry will be completed on June 2, 2022. The upgrade of the Party Building Base in Dima Industry will be completed on December 23, 2022.")</f>
        <v>The construction of the Party Building Activity Room in Dima Industry will be completed on June 2, 2022. The upgrade of the Party Building Base in Dima Industry will be completed on December 23, 2022.</v>
      </c>
      <c r="B2148" s="1" t="str">
        <f ca="1">IFERROR(__xludf.DUMMYFUNCTION("GOOGLETRANSLATE(A2148, ""zh"", ""en"")"),"Organizational structure and operations")</f>
        <v>Organizational structure and operations</v>
      </c>
      <c r="C2148" s="1" t="str">
        <f ca="1">IFERROR(__xludf.DUMMYFUNCTION("GOOGLETRANSLATE(E2148, ""zh"", ""en"")"),"Qualitative text")</f>
        <v>Qualitative text</v>
      </c>
    </row>
    <row r="2149" spans="1:3" ht="13" x14ac:dyDescent="0.15">
      <c r="A2149" s="1" t="str">
        <f ca="1">IFERROR(__xludf.DUMMYFUNCTION("GOOGLETRANSLATE(A2149, ""zh"", ""en"")"),"Taking into account the actual situation of the employees, the group immediately applied for a 30,000 yuan care fund for the employees to bring warmth to the employees and their families and help them overcome the current difficulties.")</f>
        <v>Taking into account the actual situation of the employees, the group immediately applied for a 30,000 yuan care fund for the employees to bring warmth to the employees and their families and help them overcome the current difficulties.</v>
      </c>
      <c r="B2149" s="1" t="str">
        <f ca="1">IFERROR(__xludf.DUMMYFUNCTION("GOOGLETRANSLATE(A2149, ""zh"", ""en"")"),"staff")</f>
        <v>staff</v>
      </c>
      <c r="C2149" s="1" t="str">
        <f ca="1">IFERROR(__xludf.DUMMYFUNCTION("GOOGLETRANSLATE(E2149, ""zh"", ""en"")"),"Quantitative Text")</f>
        <v>Quantitative Text</v>
      </c>
    </row>
    <row r="2150" spans="1:3" ht="13" x14ac:dyDescent="0.15">
      <c r="A2150" s="1" t="str">
        <f ca="1">IFERROR(__xludf.DUMMYFUNCTION("GOOGLETRANSLATE(A2150, ""zh"", ""en"")"),"2627 Key Performance Indicator B5.3 Describes practices for identifying environmental and social risks at each stage of the supply chain and related implementation and monitoring methods")</f>
        <v>2627 Key Performance Indicator B5.3 Describes practices for identifying environmental and social risks at each stage of the supply chain and related implementation and monitoring methods</v>
      </c>
      <c r="B2150" s="1" t="str">
        <f ca="1">IFERROR(__xludf.DUMMYFUNCTION("GOOGLETRANSLATE(A2150, ""zh"", ""en"")"),"supply chain management")</f>
        <v>supply chain management</v>
      </c>
      <c r="C2150" s="1" t="str">
        <f ca="1">IFERROR(__xludf.DUMMYFUNCTION("GOOGLETRANSLATE(E2150, ""zh"", ""en"")"),"Qualitative text")</f>
        <v>Qualitative text</v>
      </c>
    </row>
    <row r="2151" spans="1:3" ht="13" x14ac:dyDescent="0.15">
      <c r="A2151" s="1" t="str">
        <f ca="1">IFERROR(__xludf.DUMMYFUNCTION("GOOGLETRANSLATE(A2151, ""zh"", ""en"")"),"Cultural prosperity starts from the heart. The fifth anniversary of Enfuju's public welfare activities. In December 2022, the Enfuju public welfare action initiated by Dima Co., Ltd. continued to practice rural revitalization.")</f>
        <v>Cultural prosperity starts from the heart. The fifth anniversary of Enfuju's public welfare activities. In December 2022, the Enfuju public welfare action initiated by Dima Co., Ltd. continued to practice rural revitalization.</v>
      </c>
      <c r="B2151" s="1" t="str">
        <f ca="1">IFERROR(__xludf.DUMMYFUNCTION("GOOGLETRANSLATE(A2151, ""zh"", ""en"")"),"Public welfare and volunteer service")</f>
        <v>Public welfare and volunteer service</v>
      </c>
      <c r="C2151" s="1" t="str">
        <f ca="1">IFERROR(__xludf.DUMMYFUNCTION("GOOGLETRANSLATE(E2151, ""zh"", ""en"")"),"Qualitative text")</f>
        <v>Qualitative text</v>
      </c>
    </row>
    <row r="2152" spans="1:3" ht="13" x14ac:dyDescent="0.15">
      <c r="A2152" s="1" t="str">
        <f ca="1">IFERROR(__xludf.DUMMYFUNCTION("GOOGLETRANSLATE(A2152, ""zh"", ""en"")"),"The company has established a labor and employment review and supervision mechanism to conduct audits and prevent related risks in new employee recruitment, daily human resources management, supplier and contractor access, etc.")</f>
        <v>The company has established a labor and employment review and supervision mechanism to conduct audits and prevent related risks in new employee recruitment, daily human resources management, supplier and contractor access, etc.</v>
      </c>
      <c r="B2152" s="1" t="str">
        <f ca="1">IFERROR(__xludf.DUMMYFUNCTION("GOOGLETRANSLATE(A2152, ""zh"", ""en"")"),"staff")</f>
        <v>staff</v>
      </c>
      <c r="C2152" s="1" t="str">
        <f ca="1">IFERROR(__xludf.DUMMYFUNCTION("GOOGLETRANSLATE(E2152, ""zh"", ""en"")"),"Qualitative text")</f>
        <v>Qualitative text</v>
      </c>
    </row>
    <row r="2153" spans="1:3" ht="13" x14ac:dyDescent="0.15">
      <c r="A2153" s="1" t="str">
        <f ca="1">IFERROR(__xludf.DUMMYFUNCTION("GOOGLETRANSLATE(A2153, ""zh"", ""en"")"),"The company has a complete appeal and complaint channel. The contact information of the company management is open to all employees. If any employee has any appeal or complaint, they can appeal.")</f>
        <v>The company has a complete appeal and complaint channel. The contact information of the company management is open to all employees. If any employee has any appeal or complaint, they can appeal.</v>
      </c>
      <c r="B2153" s="1" t="str">
        <f ca="1">IFERROR(__xludf.DUMMYFUNCTION("GOOGLETRANSLATE(A2153, ""zh"", ""en"")"),"Reporting System")</f>
        <v>Reporting System</v>
      </c>
      <c r="C2153" s="1" t="str">
        <f ca="1">IFERROR(__xludf.DUMMYFUNCTION("GOOGLETRANSLATE(E2153, ""zh"", ""en"")"),"Qualitative text")</f>
        <v>Qualitative text</v>
      </c>
    </row>
    <row r="2154" spans="1:3" ht="13" x14ac:dyDescent="0.15">
      <c r="A2154" s="1" t="str">
        <f ca="1">IFERROR(__xludf.DUMMYFUNCTION("GOOGLETRANSLATE(A2154, ""zh"", ""en"")"),"We actively organize various forms of cultural and sports activities to encourage employees to actively participate in cultivating their hobbies and interests, and provide a platform for employees to showcase their talents.")</f>
        <v>We actively organize various forms of cultural and sports activities to encourage employees to actively participate in cultivating their hobbies and interests, and provide a platform for employees to showcase their talents.</v>
      </c>
      <c r="B2154" s="1" t="str">
        <f ca="1">IFERROR(__xludf.DUMMYFUNCTION("GOOGLETRANSLATE(A2154, ""zh"", ""en"")"),"staff")</f>
        <v>staff</v>
      </c>
      <c r="C2154" s="1" t="str">
        <f ca="1">IFERROR(__xludf.DUMMYFUNCTION("GOOGLETRANSLATE(E2154, ""zh"", ""en"")"),"Qualitative text")</f>
        <v>Qualitative text</v>
      </c>
    </row>
    <row r="2155" spans="1:3" ht="13" x14ac:dyDescent="0.15">
      <c r="A2155" s="1" t="str">
        <f ca="1">IFERROR(__xludf.DUMMYFUNCTION("GOOGLETRANSLATE(A2155, ""zh"", ""en"")"),"We focus on strategic transformation, actively build a new talent team, strive to create a diverse and inclusive environment, and use talent reserves as a driving force to promote the green transformation and development of the company.")</f>
        <v>We focus on strategic transformation, actively build a new talent team, strive to create a diverse and inclusive environment, and use talent reserves as a driving force to promote the green transformation and development of the company.</v>
      </c>
      <c r="B2155" s="1" t="str">
        <f ca="1">IFERROR(__xludf.DUMMYFUNCTION("GOOGLETRANSLATE(A2155, ""zh"", ""en"")"),"staff")</f>
        <v>staff</v>
      </c>
      <c r="C2155" s="1" t="str">
        <f ca="1">IFERROR(__xludf.DUMMYFUNCTION("GOOGLETRANSLATE(E2155, ""zh"", ""en"")"),"Qualitative text")</f>
        <v>Qualitative text</v>
      </c>
    </row>
    <row r="2156" spans="1:3" ht="13" x14ac:dyDescent="0.15">
      <c r="A2156" s="1" t="str">
        <f ca="1">IFERROR(__xludf.DUMMYFUNCTION("GOOGLETRANSLATE(A2156, ""zh"", ""en"")"),"At the same time, the group raised donations to help employees in need. In the one-day donation campaign organized by the group, 65 companies raised 5.31 million yuan in aid.")</f>
        <v>At the same time, the group raised donations to help employees in need. In the one-day donation campaign organized by the group, 65 companies raised 5.31 million yuan in aid.</v>
      </c>
      <c r="B2156" s="1" t="str">
        <f ca="1">IFERROR(__xludf.DUMMYFUNCTION("GOOGLETRANSLATE(A2156, ""zh"", ""en"")"),"staff")</f>
        <v>staff</v>
      </c>
      <c r="C2156" s="1" t="str">
        <f ca="1">IFERROR(__xludf.DUMMYFUNCTION("GOOGLETRANSLATE(E2156, ""zh"", ""en"")"),"Quantitative Text")</f>
        <v>Quantitative Text</v>
      </c>
    </row>
    <row r="2157" spans="1:3" ht="13" x14ac:dyDescent="0.15">
      <c r="A2157" s="1" t="str">
        <f ca="1">IFERROR(__xludf.DUMMYFUNCTION("GOOGLETRANSLATE(A2157, ""zh"", ""en"")"),"New energy has entered a period of rapid development. The sustainable development of coal-fired power is facing a series of new technological challenges and opportunities, which requires the in-depth involvement and integrated development of resources fro"&amp;"m all walks of life.")</f>
        <v>New energy has entered a period of rapid development. The sustainable development of coal-fired power is facing a series of new technological challenges and opportunities, which requires the in-depth involvement and integrated development of resources from all walks of life.</v>
      </c>
      <c r="B2157" s="1" t="str">
        <f ca="1">IFERROR(__xludf.DUMMYFUNCTION("GOOGLETRANSLATE(A2157, ""zh"", ""en"")"),"Energy and resource consumption")</f>
        <v>Energy and resource consumption</v>
      </c>
      <c r="C2157" s="1" t="str">
        <f ca="1">IFERROR(__xludf.DUMMYFUNCTION("GOOGLETRANSLATE(E2157, ""zh"", ""en"")"),"Qualitative text")</f>
        <v>Qualitative text</v>
      </c>
    </row>
    <row r="2158" spans="1:3" ht="13" x14ac:dyDescent="0.15">
      <c r="A2158" s="1" t="str">
        <f ca="1">IFERROR(__xludf.DUMMYFUNCTION("GOOGLETRANSLATE(A2158, ""zh"", ""en"")"),"05 Supporting Employee Growth II. Broad Development Platform B3.1 Percentage of Trained Employees by Gender and Employee Category, E.g., Senior Management, Middle Management")</f>
        <v>05 Supporting Employee Growth II. Broad Development Platform B3.1 Percentage of Trained Employees by Gender and Employee Category, E.g., Senior Management, Middle Management</v>
      </c>
      <c r="B2158" s="1" t="str">
        <f ca="1">IFERROR(__xludf.DUMMYFUNCTION("GOOGLETRANSLATE(A2158, ""zh"", ""en"")"),"staff")</f>
        <v>staff</v>
      </c>
      <c r="C2158" s="1" t="str">
        <f ca="1">IFERROR(__xludf.DUMMYFUNCTION("GOOGLETRANSLATE(E2158, ""zh"", ""en"")"),"Quantitative Text")</f>
        <v>Quantitative Text</v>
      </c>
    </row>
    <row r="2159" spans="1:3" ht="13" x14ac:dyDescent="0.15">
      <c r="A2159" s="1" t="str">
        <f ca="1">IFERROR(__xludf.DUMMYFUNCTION("GOOGLETRANSLATE(A2159, ""zh"", ""en"")"),"As a large passenger aircraft developed by my country in accordance with international airworthiness standards, the C919 is a new generation of single-aisle trunk passenger aircraft with completely independent intellectual property rights.")</f>
        <v>As a large passenger aircraft developed by my country in accordance with international airworthiness standards, the C919 is a new generation of single-aisle trunk passenger aircraft with completely independent intellectual property rights.</v>
      </c>
      <c r="B2159" s="1" t="str">
        <f ca="1">IFERROR(__xludf.DUMMYFUNCTION("GOOGLETRANSLATE(A2159, ""zh"", ""en"")"),"Intellectual Property Protection")</f>
        <v>Intellectual Property Protection</v>
      </c>
      <c r="C2159" s="1" t="str">
        <f ca="1">IFERROR(__xludf.DUMMYFUNCTION("GOOGLETRANSLATE(E2159, ""zh"", ""en"")"),"Qualitative text")</f>
        <v>Qualitative text</v>
      </c>
    </row>
    <row r="2160" spans="1:3" ht="13" x14ac:dyDescent="0.15">
      <c r="A2160" s="1" t="str">
        <f ca="1">IFERROR(__xludf.DUMMYFUNCTION("GOOGLETRANSLATE(A2160, ""zh"", ""en"")"),"Consolidate our approach and achievements in serving the people. Members of the company's Party committee regularly hold discussions with employee representatives, actively respond to employee concerns, and strengthen incentives, care, and support.")</f>
        <v>Consolidate our approach and achievements in serving the people. Members of the company's Party committee regularly hold discussions with employee representatives, actively respond to employee concerns, and strengthen incentives, care, and support.</v>
      </c>
      <c r="B2160" s="1" t="str">
        <f ca="1">IFERROR(__xludf.DUMMYFUNCTION("GOOGLETRANSLATE(A2160, ""zh"", ""en"")"),"staff")</f>
        <v>staff</v>
      </c>
      <c r="C2160" s="1" t="str">
        <f ca="1">IFERROR(__xludf.DUMMYFUNCTION("GOOGLETRANSLATE(E2160, ""zh"", ""en"")"),"Qualitative text")</f>
        <v>Qualitative text</v>
      </c>
    </row>
    <row r="2161" spans="1:3" ht="13" x14ac:dyDescent="0.15">
      <c r="A2161" s="1" t="str">
        <f ca="1">IFERROR(__xludf.DUMMYFUNCTION("GOOGLETRANSLATE(A2161, ""zh"", ""en"")"),"Focusing on individual stock research, we integrate all investment research data assets of the research department to provide professional in-depth research and enable the entire industry to standardize digital asset platform data calls.")</f>
        <v>Focusing on individual stock research, we integrate all investment research data assets of the research department to provide professional in-depth research and enable the entire industry to standardize digital asset platform data calls.</v>
      </c>
      <c r="B2161" s="1" t="str">
        <f ca="1">IFERROR(__xludf.DUMMYFUNCTION("GOOGLETRANSLATE(A2161, ""zh"", ""en"")"),"Technological innovation")</f>
        <v>Technological innovation</v>
      </c>
      <c r="C2161" s="1" t="str">
        <f ca="1">IFERROR(__xludf.DUMMYFUNCTION("GOOGLETRANSLATE(E2161, ""zh"", ""en"")"),"Qualitative text")</f>
        <v>Qualitative text</v>
      </c>
    </row>
    <row r="2162" spans="1:3" ht="13" x14ac:dyDescent="0.15">
      <c r="A2162" s="1" t="str">
        <f ca="1">IFERROR(__xludf.DUMMYFUNCTION("GOOGLETRANSLATE(A2162, ""zh"", ""en"")"),"This year, the company organized branches to carry out training on topics such as mobile phone account opening and follow-up business to enhance employees' understanding of related business and deepen their awareness of compliance services.")</f>
        <v>This year, the company organized branches to carry out training on topics such as mobile phone account opening and follow-up business to enhance employees' understanding of related business and deepen their awareness of compliance services.</v>
      </c>
      <c r="B2162" s="1" t="str">
        <f ca="1">IFERROR(__xludf.DUMMYFUNCTION("GOOGLETRANSLATE(A2162, ""zh"", ""en"")"),"staff")</f>
        <v>staff</v>
      </c>
      <c r="C2162" s="1" t="str">
        <f ca="1">IFERROR(__xludf.DUMMYFUNCTION("GOOGLETRANSLATE(E2162, ""zh"", ""en"")"),"Qualitative text")</f>
        <v>Qualitative text</v>
      </c>
    </row>
    <row r="2163" spans="1:3" ht="13" x14ac:dyDescent="0.15">
      <c r="A2163" s="1" t="str">
        <f ca="1">IFERROR(__xludf.DUMMYFUNCTION("GOOGLETRANSLATE(A2163, ""zh"", ""en"")"),"In terms of online business, the company has launched mobile phone business processing for customers from Hong Kong, Macao and Taiwan, and off-site business such as off-site relationship confirmation to improve the convenience of customer business process"&amp;"ing.")</f>
        <v>In terms of online business, the company has launched mobile phone business processing for customers from Hong Kong, Macao and Taiwan, and off-site business such as off-site relationship confirmation to improve the convenience of customer business processing.</v>
      </c>
      <c r="B2163" s="1" t="str">
        <f ca="1">IFERROR(__xludf.DUMMYFUNCTION("GOOGLETRANSLATE(A2163, ""zh"", ""en"")"),"Customers and Consumers")</f>
        <v>Customers and Consumers</v>
      </c>
      <c r="C2163" s="1" t="str">
        <f ca="1">IFERROR(__xludf.DUMMYFUNCTION("GOOGLETRANSLATE(E2163, ""zh"", ""en"")"),"Qualitative text")</f>
        <v>Qualitative text</v>
      </c>
    </row>
    <row r="2164" spans="1:3" ht="13" x14ac:dyDescent="0.15">
      <c r="A2164" s="1" t="str">
        <f ca="1">IFERROR(__xludf.DUMMYFUNCTION("GOOGLETRANSLATE(A2164, ""zh"", ""en"")"),"07 Co-building a harmonious society 2. Promoting industry development 3. Empowering financial services 4. Carrying out social welfare B8.2 Resources used in the focus area, such as money or time")</f>
        <v>07 Co-building a harmonious society 2. Promoting industry development 3. Empowering financial services 4. Carrying out social welfare B8.2 Resources used in the focus area, such as money or time</v>
      </c>
      <c r="B2164" s="1" t="str">
        <f ca="1">IFERROR(__xludf.DUMMYFUNCTION("GOOGLETRANSLATE(A2164, ""zh"", ""en"")"),"Public welfare and volunteer service")</f>
        <v>Public welfare and volunteer service</v>
      </c>
      <c r="C2164" s="1" t="str">
        <f ca="1">IFERROR(__xludf.DUMMYFUNCTION("GOOGLETRANSLATE(E2164, ""zh"", ""en"")"),"Qualitative text")</f>
        <v>Qualitative text</v>
      </c>
    </row>
    <row r="2165" spans="1:3" ht="13" x14ac:dyDescent="0.15">
      <c r="A2165" s="1" t="str">
        <f ca="1">IFERROR(__xludf.DUMMYFUNCTION("GOOGLETRANSLATE(A2165, ""zh"", ""en"")"),"After joining the board of directors, China Construction Bank actively fulfilled its responsibilities as a board member and participated in many exchanges and discussions on climate change, low-carbon transformation, green finance and other fields under t"&amp;"he SMI.")</f>
        <v>After joining the board of directors, China Construction Bank actively fulfilled its responsibilities as a board member and participated in many exchanges and discussions on climate change, low-carbon transformation, green finance and other fields under the SMI.</v>
      </c>
      <c r="B2165" s="1" t="str">
        <f ca="1">IFERROR(__xludf.DUMMYFUNCTION("GOOGLETRANSLATE(A2165, ""zh"", ""en"")"),"Addressing climate change")</f>
        <v>Addressing climate change</v>
      </c>
      <c r="C2165" s="1" t="str">
        <f ca="1">IFERROR(__xludf.DUMMYFUNCTION("GOOGLETRANSLATE(E2165, ""zh"", ""en"")"),"Qualitative text")</f>
        <v>Qualitative text</v>
      </c>
    </row>
    <row r="2166" spans="1:3" ht="13" x14ac:dyDescent="0.15">
      <c r="A2166" s="1" t="str">
        <f ca="1">IFERROR(__xludf.DUMMYFUNCTION("GOOGLETRANSLATE(A2166, ""zh"", ""en"")"),"The company strictly controls the safety risks of high-risk construction operations and publishes a series of warning videos on high-risk operation accidents to promote contractors to effectively enhance their safety risk awareness.")</f>
        <v>The company strictly controls the safety risks of high-risk construction operations and publishes a series of warning videos on high-risk operation accidents to promote contractors to effectively enhance their safety risk awareness.</v>
      </c>
      <c r="B2166" s="1" t="str">
        <f ca="1">IFERROR(__xludf.DUMMYFUNCTION("GOOGLETRANSLATE(A2166, ""zh"", ""en"")"),"staff")</f>
        <v>staff</v>
      </c>
      <c r="C2166" s="1" t="str">
        <f ca="1">IFERROR(__xludf.DUMMYFUNCTION("GOOGLETRANSLATE(E2166, ""zh"", ""en"")"),"Qualitative text")</f>
        <v>Qualitative text</v>
      </c>
    </row>
    <row r="2167" spans="1:3" ht="13" x14ac:dyDescent="0.15">
      <c r="A2167" s="1" t="str">
        <f ca="1">IFERROR(__xludf.DUMMYFUNCTION("GOOGLETRANSLATE(A2167, ""zh"", ""en"")"),"The subcommittee will set indicators such as the control of excessive hazards, flame retardant work clothes, labor protection material quality inspection, occupational health education activities and EAP implementation as monitoring indicators.")</f>
        <v>The subcommittee will set indicators such as the control of excessive hazards, flame retardant work clothes, labor protection material quality inspection, occupational health education activities and EAP implementation as monitoring indicators.</v>
      </c>
      <c r="B2167" s="1" t="str">
        <f ca="1">IFERROR(__xludf.DUMMYFUNCTION("GOOGLETRANSLATE(A2167, ""zh"", ""en"")"),"staff")</f>
        <v>staff</v>
      </c>
      <c r="C2167" s="1" t="str">
        <f ca="1">IFERROR(__xludf.DUMMYFUNCTION("GOOGLETRANSLATE(E2167, ""zh"", ""en"")"),"Qualitative text")</f>
        <v>Qualitative text</v>
      </c>
    </row>
    <row r="2168" spans="1:3" ht="13" x14ac:dyDescent="0.15">
      <c r="A2168" s="1" t="str">
        <f ca="1">IFERROR(__xludf.DUMMYFUNCTION("GOOGLETRANSLATE(A2168, ""zh"", ""en"")"),"The company also donated and built 23 cataract treatment centers and provided technical training and advanced diagnostic and treatment equipment to local ophthalmologists, leaving behind the Guangming Express, which will never leave.")</f>
        <v>The company also donated and built 23 cataract treatment centers and provided technical training and advanced diagnostic and treatment equipment to local ophthalmologists, leaving behind the Guangming Express, which will never leave.</v>
      </c>
      <c r="B2168" s="1" t="str">
        <f ca="1">IFERROR(__xludf.DUMMYFUNCTION("GOOGLETRANSLATE(A2168, ""zh"", ""en"")"),"Public welfare and volunteer service")</f>
        <v>Public welfare and volunteer service</v>
      </c>
      <c r="C2168" s="1" t="str">
        <f ca="1">IFERROR(__xludf.DUMMYFUNCTION("GOOGLETRANSLATE(E2168, ""zh"", ""en"")"),"Quantitative Text")</f>
        <v>Quantitative Text</v>
      </c>
    </row>
    <row r="2169" spans="1:3" ht="13" x14ac:dyDescent="0.15">
      <c r="A2169" s="1" t="str">
        <f ca="1">IFERROR(__xludf.DUMMYFUNCTION("GOOGLETRANSLATE(A2169, ""zh"", ""en"")"),"In 2022, the scope of the calculation will be expanded again to carry out pressure calculations on eight high-carbon industries, including electricity, steel, building materials, petrochemicals, chemical industry, papermaking, civil aviation, and non-ferr"&amp;"ous metal smelting.")</f>
        <v>In 2022, the scope of the calculation will be expanded again to carry out pressure calculations on eight high-carbon industries, including electricity, steel, building materials, petrochemicals, chemical industry, papermaking, civil aviation, and non-ferrous metal smelting.</v>
      </c>
      <c r="B2169" s="1" t="str">
        <f ca="1">IFERROR(__xludf.DUMMYFUNCTION("GOOGLETRANSLATE(A2169, ""zh"", ""en"")"),"carbon emissions")</f>
        <v>carbon emissions</v>
      </c>
      <c r="C2169" s="1" t="str">
        <f ca="1">IFERROR(__xludf.DUMMYFUNCTION("GOOGLETRANSLATE(E2169, ""zh"", ""en"")"),"Qualitative text")</f>
        <v>Qualitative text</v>
      </c>
    </row>
    <row r="2170" spans="1:3" ht="13" x14ac:dyDescent="0.15">
      <c r="A2170" s="1" t="str">
        <f ca="1">IFERROR(__xludf.DUMMYFUNCTION("GOOGLETRANSLATE(A2170, ""zh"", ""en"")"),"In 2022, the company will further expand the coverage of EAP, integrate it into production safety management, and add multiple psychological counseling channels to enable EAP to benefit more employees.")</f>
        <v>In 2022, the company will further expand the coverage of EAP, integrate it into production safety management, and add multiple psychological counseling channels to enable EAP to benefit more employees.</v>
      </c>
      <c r="B2170" s="1" t="str">
        <f ca="1">IFERROR(__xludf.DUMMYFUNCTION("GOOGLETRANSLATE(A2170, ""zh"", ""en"")"),"staff")</f>
        <v>staff</v>
      </c>
      <c r="C2170" s="1" t="str">
        <f ca="1">IFERROR(__xludf.DUMMYFUNCTION("GOOGLETRANSLATE(E2170, ""zh"", ""en"")"),"Qualitative text")</f>
        <v>Qualitative text</v>
      </c>
    </row>
    <row r="2171" spans="1:3" ht="13" x14ac:dyDescent="0.15">
      <c r="A2171" s="1" t="str">
        <f ca="1">IFERROR(__xludf.DUMMYFUNCTION("GOOGLETRANSLATE(A2171, ""zh"", ""en"")"),"Fifth, vigorously promote digital procurement, actively promote online business negotiations and contract signing, and strive to improve the quality and efficiency of green procurement while ensuring that risks are controllable.")</f>
        <v>Fifth, vigorously promote digital procurement, actively promote online business negotiations and contract signing, and strive to improve the quality and efficiency of green procurement while ensuring that risks are controllable.</v>
      </c>
      <c r="B2171" s="1" t="str">
        <f ca="1">IFERROR(__xludf.DUMMYFUNCTION("GOOGLETRANSLATE(A2171, ""zh"", ""en"")"),"raw materials")</f>
        <v>raw materials</v>
      </c>
      <c r="C2171" s="1" t="str">
        <f ca="1">IFERROR(__xludf.DUMMYFUNCTION("GOOGLETRANSLATE(E2171, ""zh"", ""en"")"),"Qualitative text")</f>
        <v>Qualitative text</v>
      </c>
    </row>
    <row r="2172" spans="1:3" ht="13" x14ac:dyDescent="0.15">
      <c r="A2172" s="1" t="str">
        <f ca="1">IFERROR(__xludf.DUMMYFUNCTION("GOOGLETRANSLATE(A2172, ""zh"", ""en"")"),"Improve human resources management measures, build a sound system, optimize innovation and training, improve assessment and incentive methods, and formulate Sinopec's 14th Five-Year Plan and mid- to long-term talent development plan.")</f>
        <v>Improve human resources management measures, build a sound system, optimize innovation and training, improve assessment and incentive methods, and formulate Sinopec's 14th Five-Year Plan and mid- to long-term talent development plan.</v>
      </c>
      <c r="B2172" s="1" t="str">
        <f ca="1">IFERROR(__xludf.DUMMYFUNCTION("GOOGLETRANSLATE(A2172, ""zh"", ""en"")"),"staff")</f>
        <v>staff</v>
      </c>
      <c r="C2172" s="1" t="str">
        <f ca="1">IFERROR(__xludf.DUMMYFUNCTION("GOOGLETRANSLATE(E2172, ""zh"", ""en"")"),"Qualitative text")</f>
        <v>Qualitative text</v>
      </c>
    </row>
    <row r="2173" spans="1:3" ht="13" x14ac:dyDescent="0.15">
      <c r="A2173" s="1" t="str">
        <f ca="1">IFERROR(__xludf.DUMMYFUNCTION("GOOGLETRANSLATE(A2173, ""zh"", ""en"")"),"As a leader in China's offshore wind power, Shanghai Electric will continue to forge ahead under the guidance of the dual carbon goals and continue to provide more and better products and comprehensive solutions.")</f>
        <v>As a leader in China's offshore wind power, Shanghai Electric will continue to forge ahead under the guidance of the dual carbon goals and continue to provide more and better products and comprehensive solutions.</v>
      </c>
      <c r="B2173" s="1" t="str">
        <f ca="1">IFERROR(__xludf.DUMMYFUNCTION("GOOGLETRANSLATE(A2173, ""zh"", ""en"")"),"carbon emissions")</f>
        <v>carbon emissions</v>
      </c>
      <c r="C2173" s="1" t="str">
        <f ca="1">IFERROR(__xludf.DUMMYFUNCTION("GOOGLETRANSLATE(E2173, ""zh"", ""en"")"),"Qualitative text")</f>
        <v>Qualitative text</v>
      </c>
    </row>
    <row r="2174" spans="1:3" ht="13" x14ac:dyDescent="0.15">
      <c r="A2174" s="1" t="str">
        <f ca="1">IFERROR(__xludf.DUMMYFUNCTION("GOOGLETRANSLATE(A2174, ""zh"", ""en"")"),"The Carbon Technology Platform provides clients with carbon consulting, carbon accounting, carbon trading, carbon certification and carbon asset management services based on two major system solution capabilities, empowering industry clients.")</f>
        <v>The Carbon Technology Platform provides clients with carbon consulting, carbon accounting, carbon trading, carbon certification and carbon asset management services based on two major system solution capabilities, empowering industry clients.</v>
      </c>
      <c r="B2174" s="1" t="str">
        <f ca="1">IFERROR(__xludf.DUMMYFUNCTION("GOOGLETRANSLATE(A2174, ""zh"", ""en"")"),"carbon emissions")</f>
        <v>carbon emissions</v>
      </c>
      <c r="C2174" s="1" t="str">
        <f ca="1">IFERROR(__xludf.DUMMYFUNCTION("GOOGLETRANSLATE(E2174, ""zh"", ""en"")"),"Qualitative text")</f>
        <v>Qualitative text</v>
      </c>
    </row>
    <row r="2175" spans="1:3" ht="13" x14ac:dyDescent="0.15">
      <c r="A2175" s="1" t="str">
        <f ca="1">IFERROR(__xludf.DUMMYFUNCTION("GOOGLETRANSLATE(A2175, ""zh"", ""en"")"),"The company has launched a special psychological counseling area for Xinfu e-home, set up a psychological counseling hotline, and held online psychological courses and lectures to protect the mental health of employees.")</f>
        <v>The company has launched a special psychological counseling area for Xinfu e-home, set up a psychological counseling hotline, and held online psychological courses and lectures to protect the mental health of employees.</v>
      </c>
      <c r="B2175" s="1" t="str">
        <f ca="1">IFERROR(__xludf.DUMMYFUNCTION("GOOGLETRANSLATE(A2175, ""zh"", ""en"")"),"staff")</f>
        <v>staff</v>
      </c>
      <c r="C2175" s="1" t="str">
        <f ca="1">IFERROR(__xludf.DUMMYFUNCTION("GOOGLETRANSLATE(E2175, ""zh"", ""en"")"),"Qualitative text")</f>
        <v>Qualitative text</v>
      </c>
    </row>
    <row r="2176" spans="1:3" ht="13" x14ac:dyDescent="0.15">
      <c r="A2176" s="1" t="str">
        <f ca="1">IFERROR(__xludf.DUMMYFUNCTION("GOOGLETRANSLATE(A2176, ""zh"", ""en"")"),"Building an integrated online and offline service network that can handle 41 types of government and livelihood services and more than 100,000 living payment items to promote the convenience of rural public services")</f>
        <v>Building an integrated online and offline service network that can handle 41 types of government and livelihood services and more than 100,000 living payment items to promote the convenience of rural public services</v>
      </c>
      <c r="B2176" s="1" t="str">
        <f ca="1">IFERROR(__xludf.DUMMYFUNCTION("GOOGLETRANSLATE(A2176, ""zh"", ""en"")"),"Rural assistance")</f>
        <v>Rural assistance</v>
      </c>
      <c r="C2176" s="1" t="str">
        <f ca="1">IFERROR(__xludf.DUMMYFUNCTION("GOOGLETRANSLATE(E2176, ""zh"", ""en"")"),"Qualitative text")</f>
        <v>Qualitative text</v>
      </c>
    </row>
    <row r="2177" spans="1:3" ht="13" x14ac:dyDescent="0.15">
      <c r="A2177" s="1" t="str">
        <f ca="1">IFERROR(__xludf.DUMMYFUNCTION("GOOGLETRANSLATE(A2177, ""zh"", ""en"")"),"The board of directors establishes a risk management committee to regularly hold meetings to identify and evaluate risks in conjunction with macroeconomic policies, corporate strategic planning, production and operation, and stakeholder communication.")</f>
        <v>The board of directors establishes a risk management committee to regularly hold meetings to identify and evaluate risks in conjunction with macroeconomic policies, corporate strategic planning, production and operation, and stakeholder communication.</v>
      </c>
      <c r="B2177" s="1" t="str">
        <f ca="1">IFERROR(__xludf.DUMMYFUNCTION("GOOGLETRANSLATE(A2177, ""zh"", ""en"")"),"Organizational structure and operations")</f>
        <v>Organizational structure and operations</v>
      </c>
      <c r="C2177" s="1" t="str">
        <f ca="1">IFERROR(__xludf.DUMMYFUNCTION("GOOGLETRANSLATE(E2177, ""zh"", ""en"")"),"Qualitative text")</f>
        <v>Qualitative text</v>
      </c>
    </row>
    <row r="2178" spans="1:3" ht="13" x14ac:dyDescent="0.15">
      <c r="A2178" s="1" t="str">
        <f ca="1">IFERROR(__xludf.DUMMYFUNCTION("GOOGLETRANSLATE(A2178, ""zh"", ""en"")"),"The company effectively treats all types of solid waste generated in production and operation activities in accordance with the relevant laws and regulations of the country where it is located and the requirements of international conventions to reduce po"&amp;"llution.")</f>
        <v>The company effectively treats all types of solid waste generated in production and operation activities in accordance with the relevant laws and regulations of the country where it is located and the requirements of international conventions to reduce pollution.</v>
      </c>
      <c r="B2178" s="1" t="str">
        <f ca="1">IFERROR(__xludf.DUMMYFUNCTION("GOOGLETRANSLATE(A2178, ""zh"", ""en"")"),"Waste Management")</f>
        <v>Waste Management</v>
      </c>
      <c r="C2178" s="1" t="str">
        <f ca="1">IFERROR(__xludf.DUMMYFUNCTION("GOOGLETRANSLATE(E2178, ""zh"", ""en"")"),"Qualitative text")</f>
        <v>Qualitative text</v>
      </c>
    </row>
    <row r="2179" spans="1:3" ht="13" x14ac:dyDescent="0.15">
      <c r="A2179" s="1" t="str">
        <f ca="1">IFERROR(__xludf.DUMMYFUNCTION("GOOGLETRANSLATE(A2179, ""zh"", ""en"")"),"In 2022, Kangyuan Haibin signed a health examination service agreement with Pingshan District People's Hospital, designating it as the company's designated inspection hospital for occupational disease hazards.")</f>
        <v>In 2022, Kangyuan Haibin signed a health examination service agreement with Pingshan District People's Hospital, designating it as the company's designated inspection hospital for occupational disease hazards.</v>
      </c>
      <c r="B2179" s="1" t="str">
        <f ca="1">IFERROR(__xludf.DUMMYFUNCTION("GOOGLETRANSLATE(A2179, ""zh"", ""en"")"),"staff")</f>
        <v>staff</v>
      </c>
      <c r="C2179" s="1" t="str">
        <f ca="1">IFERROR(__xludf.DUMMYFUNCTION("GOOGLETRANSLATE(E2179, ""zh"", ""en"")"),"Qualitative text")</f>
        <v>Qualitative text</v>
      </c>
    </row>
    <row r="2180" spans="1:3" ht="13" x14ac:dyDescent="0.15">
      <c r="A2180" s="1" t="str">
        <f ca="1">IFERROR(__xludf.DUMMYFUNCTION("GOOGLETRANSLATE(A2180, ""zh"", ""en"")"),"As of the end of the reporting period, the number of female employees in the Group was 6,585, accounting for 46.65% of the total employees of the Group, of which 34.2% were female employees in management.")</f>
        <v>As of the end of the reporting period, the number of female employees in the Group was 6,585, accounting for 46.65% of the total employees of the Group, of which 34.2% were female employees in management.</v>
      </c>
      <c r="B2180" s="1" t="str">
        <f ca="1">IFERROR(__xludf.DUMMYFUNCTION("GOOGLETRANSLATE(A2180, ""zh"", ""en"")"),"staff")</f>
        <v>staff</v>
      </c>
      <c r="C2180" s="1" t="str">
        <f ca="1">IFERROR(__xludf.DUMMYFUNCTION("GOOGLETRANSLATE(E2180, ""zh"", ""en"")"),"Quantitative Text")</f>
        <v>Quantitative Text</v>
      </c>
    </row>
    <row r="2181" spans="1:3" ht="13" x14ac:dyDescent="0.15">
      <c r="A2181" s="1" t="str">
        <f ca="1">IFERROR(__xludf.DUMMYFUNCTION("GOOGLETRANSLATE(A2181, ""zh"", ""en"")"),"During the reporting period, no disputes arose between the actual controller of the Group's controlling shareholder and other related parties due to the misappropriation of the Group's assets and the damage to the interests of the Group and its minority s"&amp;"hareholders.")</f>
        <v>During the reporting period, no disputes arose between the actual controller of the Group's controlling shareholder and other related parties due to the misappropriation of the Group's assets and the damage to the interests of the Group and its minority shareholders.</v>
      </c>
      <c r="B2181" s="1" t="str">
        <f ca="1">IFERROR(__xludf.DUMMYFUNCTION("GOOGLETRANSLATE(A2181, ""zh"", ""en"")"),"Legal proceedings and external sanctions")</f>
        <v>Legal proceedings and external sanctions</v>
      </c>
      <c r="C2181" s="1" t="str">
        <f ca="1">IFERROR(__xludf.DUMMYFUNCTION("GOOGLETRANSLATE(E2181, ""zh"", ""en"")"),"Quantitative Text")</f>
        <v>Quantitative Text</v>
      </c>
    </row>
    <row r="2182" spans="1:3" ht="13" x14ac:dyDescent="0.15">
      <c r="A2182" s="1" t="str">
        <f ca="1">IFERROR(__xludf.DUMMYFUNCTION("GOOGLETRANSLATE(A2182, ""zh"", ""en"")"),"Dantrolene sodium injection is the only effective drug for the treatment of MH. However, due to the high difficulty in research and development and the small profit margin, no domestic company has been engaged in research and development and production fo"&amp;"r a long time.")</f>
        <v>Dantrolene sodium injection is the only effective drug for the treatment of MH. However, due to the high difficulty in research and development and the small profit margin, no domestic company has been engaged in research and development and production for a long time.</v>
      </c>
      <c r="B2182" s="1" t="str">
        <f ca="1">IFERROR(__xludf.DUMMYFUNCTION("GOOGLETRANSLATE(A2182, ""zh"", ""en"")"),"Technological innovation")</f>
        <v>Technological innovation</v>
      </c>
      <c r="C2182" s="1" t="str">
        <f ca="1">IFERROR(__xludf.DUMMYFUNCTION("GOOGLETRANSLATE(E2182, ""zh"", ""en"")"),"Qualitative text")</f>
        <v>Qualitative text</v>
      </c>
    </row>
    <row r="2183" spans="1:3" ht="13" x14ac:dyDescent="0.15">
      <c r="A2183" s="1" t="str">
        <f ca="1">IFERROR(__xludf.DUMMYFUNCTION("GOOGLETRANSLATE(A2183, ""zh"", ""en"")"),"Ilaprazole Sodium for Injection, Yilian, a patented new drug originally developed by Livzon Group, a subsidiary of Kangyuan Healthcare, has been included in the National Medical Insurance Drug List since 2019.")</f>
        <v>Ilaprazole Sodium for Injection, Yilian, a patented new drug originally developed by Livzon Group, a subsidiary of Kangyuan Healthcare, has been included in the National Medical Insurance Drug List since 2019.</v>
      </c>
      <c r="B2183" s="1" t="str">
        <f ca="1">IFERROR(__xludf.DUMMYFUNCTION("GOOGLETRANSLATE(A2183, ""zh"", ""en"")"),"Product quality")</f>
        <v>Product quality</v>
      </c>
      <c r="C2183" s="1" t="str">
        <f ca="1">IFERROR(__xludf.DUMMYFUNCTION("GOOGLETRANSLATE(E2183, ""zh"", ""en"")"),"Quantitative Text")</f>
        <v>Quantitative Text</v>
      </c>
    </row>
    <row r="2184" spans="1:3" ht="13" x14ac:dyDescent="0.15">
      <c r="A2184" s="1" t="str">
        <f ca="1">IFERROR(__xludf.DUMMYFUNCTION("GOOGLETRANSLATE(A2184, ""zh"", ""en"")"),"At the same time, Tazhong Mining also invested in the construction of a trade service window for China's Tibetan cultural industry in Dushanbe, which has become a fixed place and interactive platform for economic, trade and cultural exchanges.")</f>
        <v>At the same time, Tazhong Mining also invested in the construction of a trade service window for China's Tibetan cultural industry in Dushanbe, which has become a fixed place and interactive platform for economic, trade and cultural exchanges.</v>
      </c>
      <c r="B2184" s="1" t="str">
        <f ca="1">IFERROR(__xludf.DUMMYFUNCTION("GOOGLETRANSLATE(A2184, ""zh"", ""en"")"),"Public welfare and volunteer service")</f>
        <v>Public welfare and volunteer service</v>
      </c>
      <c r="C2184" s="1" t="str">
        <f ca="1">IFERROR(__xludf.DUMMYFUNCTION("GOOGLETRANSLATE(E2184, ""zh"", ""en"")"),"Qualitative text")</f>
        <v>Qualitative text</v>
      </c>
    </row>
    <row r="2185" spans="1:3" ht="13" x14ac:dyDescent="0.15">
      <c r="A2185" s="1" t="str">
        <f ca="1">IFERROR(__xludf.DUMMYFUNCTION("GOOGLETRANSLATE(A2185, ""zh"", ""en"")"),"As a people-oriented enterprise, we have been committed to providing more education and training opportunities for local residents to help them improve their abilities and qualities.")</f>
        <v>As a people-oriented enterprise, we have been committed to providing more education and training opportunities for local residents to help them improve their abilities and qualities.</v>
      </c>
      <c r="B2185" s="1" t="str">
        <f ca="1">IFERROR(__xludf.DUMMYFUNCTION("GOOGLETRANSLATE(A2185, ""zh"", ""en"")"),"Promoting employment")</f>
        <v>Promoting employment</v>
      </c>
      <c r="C2185" s="1" t="str">
        <f ca="1">IFERROR(__xludf.DUMMYFUNCTION("GOOGLETRANSLATE(E2185, ""zh"", ""en"")"),"Qualitative text")</f>
        <v>Qualitative text</v>
      </c>
    </row>
    <row r="2186" spans="1:3" ht="13" x14ac:dyDescent="0.15">
      <c r="A2186" s="1" t="str">
        <f ca="1">IFERROR(__xludf.DUMMYFUNCTION("GOOGLETRANSLATE(A2186, ""zh"", ""en"")"),"At the same time, we are also promoting the principle of local recruitment in Tajikistan, giving priority to Tajik employees, providing more employment opportunities for local people and promoting the sustainable development of the local economy.")</f>
        <v>At the same time, we are also promoting the principle of local recruitment in Tajikistan, giving priority to Tajik employees, providing more employment opportunities for local people and promoting the sustainable development of the local economy.</v>
      </c>
      <c r="B2186" s="1" t="str">
        <f ca="1">IFERROR(__xludf.DUMMYFUNCTION("GOOGLETRANSLATE(A2186, ""zh"", ""en"")"),"Promoting employment")</f>
        <v>Promoting employment</v>
      </c>
      <c r="C2186" s="1" t="str">
        <f ca="1">IFERROR(__xludf.DUMMYFUNCTION("GOOGLETRANSLATE(E2186, ""zh"", ""en"")"),"Qualitative text")</f>
        <v>Qualitative text</v>
      </c>
    </row>
    <row r="2187" spans="1:3" ht="13" x14ac:dyDescent="0.15">
      <c r="A2187" s="1" t="str">
        <f ca="1">IFERROR(__xludf.DUMMYFUNCTION("GOOGLETRANSLATE(A2187, ""zh"", ""en"")"),"The workshop has set up a grassroots safety production management team with the workshop director as the team leader and the team leader as members to implement the dual responsibility of one post and put the safety production work into practice.")</f>
        <v>The workshop has set up a grassroots safety production management team with the workshop director as the team leader and the team leader as members to implement the dual responsibility of one post and put the safety production work into practice.</v>
      </c>
      <c r="B2187" s="1" t="str">
        <f ca="1">IFERROR(__xludf.DUMMYFUNCTION("GOOGLETRANSLATE(A2187, ""zh"", ""en"")"),"staff")</f>
        <v>staff</v>
      </c>
      <c r="C2187" s="1" t="str">
        <f ca="1">IFERROR(__xludf.DUMMYFUNCTION("GOOGLETRANSLATE(E2187, ""zh"", ""en"")"),"Qualitative text")</f>
        <v>Qualitative text</v>
      </c>
    </row>
    <row r="2188" spans="1:3" ht="13" x14ac:dyDescent="0.15">
      <c r="A2188" s="1" t="str">
        <f ca="1">IFERROR(__xludf.DUMMYFUNCTION("GOOGLETRANSLATE(A2188, ""zh"", ""en"")"),"At the same time, the company attaches importance to the welfare of employees and earnestly protects the basic rights and interests of employees, strives to create a good working and learning environment, and promotes the comprehensive and harmonious deve"&amp;"lopment of the company and employees.")</f>
        <v>At the same time, the company attaches importance to the welfare of employees and earnestly protects the basic rights and interests of employees, strives to create a good working and learning environment, and promotes the comprehensive and harmonious development of the company and employees.</v>
      </c>
      <c r="B2188" s="1" t="str">
        <f ca="1">IFERROR(__xludf.DUMMYFUNCTION("GOOGLETRANSLATE(A2188, ""zh"", ""en"")"),"staff")</f>
        <v>staff</v>
      </c>
      <c r="C2188" s="1" t="str">
        <f ca="1">IFERROR(__xludf.DUMMYFUNCTION("GOOGLETRANSLATE(E2188, ""zh"", ""en"")"),"Qualitative text")</f>
        <v>Qualitative text</v>
      </c>
    </row>
    <row r="2189" spans="1:3" ht="13" x14ac:dyDescent="0.15">
      <c r="A2189" s="1" t="str">
        <f ca="1">IFERROR(__xludf.DUMMYFUNCTION("GOOGLETRANSLATE(A2189, ""zh"", ""en"")"),"The global market share of industrial yarn Dizi cloth has exceeded 40%, ranking firmly in the forefront of the world, achieving the highest comprehensive corporate benefits. Wanhua Chemical is a loyal customer of the company's adipic acid products.")</f>
        <v>The global market share of industrial yarn Dizi cloth has exceeded 40%, ranking firmly in the forefront of the world, achieving the highest comprehensive corporate benefits. Wanhua Chemical is a loyal customer of the company's adipic acid products.</v>
      </c>
      <c r="B2189" s="1" t="str">
        <f ca="1">IFERROR(__xludf.DUMMYFUNCTION("GOOGLETRANSLATE(A2189, ""zh"", ""en"")"),"Product quality")</f>
        <v>Product quality</v>
      </c>
      <c r="C2189" s="1" t="str">
        <f ca="1">IFERROR(__xludf.DUMMYFUNCTION("GOOGLETRANSLATE(E2189, ""zh"", ""en"")"),"Quantitative Text")</f>
        <v>Quantitative Text</v>
      </c>
    </row>
    <row r="2190" spans="1:3" ht="13" x14ac:dyDescent="0.15">
      <c r="A2190" s="1" t="str">
        <f ca="1">IFERROR(__xludf.DUMMYFUNCTION("GOOGLETRANSLATE(A2190, ""zh"", ""en"")"),"Pharmacovigilance Management Case: Establishing the Pharmacovigilance Department. The company attaches great importance to customer satisfaction surveys to understand customer needs and to check and improve its own work.")</f>
        <v>Pharmacovigilance Management Case: Establishing the Pharmacovigilance Department. The company attaches great importance to customer satisfaction surveys to understand customer needs and to check and improve its own work.</v>
      </c>
      <c r="B2190" s="1" t="str">
        <f ca="1">IFERROR(__xludf.DUMMYFUNCTION("GOOGLETRANSLATE(A2190, ""zh"", ""en"")"),"Customers and Consumers")</f>
        <v>Customers and Consumers</v>
      </c>
      <c r="C2190" s="1" t="str">
        <f ca="1">IFERROR(__xludf.DUMMYFUNCTION("GOOGLETRANSLATE(E2190, ""zh"", ""en"")"),"Qualitative text")</f>
        <v>Qualitative text</v>
      </c>
    </row>
    <row r="2191" spans="1:3" ht="13" x14ac:dyDescent="0.15">
      <c r="A2191" s="1" t="str">
        <f ca="1">IFERROR(__xludf.DUMMYFUNCTION("GOOGLETRANSLATE(A2191, ""zh"", ""en"")"),"From enterprise management, R&amp;D, production, logistics, transportation, and procurement management, we continue to explore and improve the intelligent digital level of management processes and production equipment to promote high-quality development of th"&amp;"e enterprise")</f>
        <v>From enterprise management, R&amp;D, production, logistics, transportation, and procurement management, we continue to explore and improve the intelligent digital level of management processes and production equipment to promote high-quality development of the enterprise</v>
      </c>
      <c r="B2191" s="1" t="str">
        <f ca="1">IFERROR(__xludf.DUMMYFUNCTION("GOOGLETRANSLATE(A2191, ""zh"", ""en"")"),"Technological innovation")</f>
        <v>Technological innovation</v>
      </c>
      <c r="C2191" s="1" t="str">
        <f ca="1">IFERROR(__xludf.DUMMYFUNCTION("GOOGLETRANSLATE(E2191, ""zh"", ""en"")"),"Qualitative text")</f>
        <v>Qualitative text</v>
      </c>
    </row>
    <row r="2192" spans="1:3" ht="13" x14ac:dyDescent="0.15">
      <c r="A2192" s="1" t="str">
        <f ca="1">IFERROR(__xludf.DUMMYFUNCTION("GOOGLETRANSLATE(A2192, ""zh"", ""en"")"),"In September, Renfu Pharmaceuticals' independently developed Class 1.2 innovative Chinese medicine, Desmodium styracifolium Total Flavonoids Capsules, was approved for marketing, becoming the world's first new Chinese medicine for the prevention and treat"&amp;"ment of urinary stones.")</f>
        <v>In September, Renfu Pharmaceuticals' independently developed Class 1.2 innovative Chinese medicine, Desmodium styracifolium Total Flavonoids Capsules, was approved for marketing, becoming the world's first new Chinese medicine for the prevention and treatment of urinary stones.</v>
      </c>
      <c r="B2192" s="1" t="str">
        <f ca="1">IFERROR(__xludf.DUMMYFUNCTION("GOOGLETRANSLATE(A2192, ""zh"", ""en"")"),"Technological innovation")</f>
        <v>Technological innovation</v>
      </c>
      <c r="C2192" s="1" t="str">
        <f ca="1">IFERROR(__xludf.DUMMYFUNCTION("GOOGLETRANSLATE(E2192, ""zh"", ""en"")"),"Qualitative text")</f>
        <v>Qualitative text</v>
      </c>
    </row>
    <row r="2193" spans="1:3" ht="13" x14ac:dyDescent="0.15">
      <c r="A2193" s="1" t="str">
        <f ca="1">IFERROR(__xludf.DUMMYFUNCTION("GOOGLETRANSLATE(A2193, ""zh"", ""en"")"),"The company currently has 59 products that have been approved for marketing in Ethiopia and 75 related patents including generic drug trademarks issued by the Ethiopian Patent Office.")</f>
        <v>The company currently has 59 products that have been approved for marketing in Ethiopia and 75 related patents including generic drug trademarks issued by the Ethiopian Patent Office.</v>
      </c>
      <c r="B2193" s="1" t="str">
        <f ca="1">IFERROR(__xludf.DUMMYFUNCTION("GOOGLETRANSLATE(A2193, ""zh"", ""en"")"),"Intellectual Property Protection")</f>
        <v>Intellectual Property Protection</v>
      </c>
      <c r="C2193" s="1" t="str">
        <f ca="1">IFERROR(__xludf.DUMMYFUNCTION("GOOGLETRANSLATE(E2193, ""zh"", ""en"")"),"Quantitative Text")</f>
        <v>Quantitative Text</v>
      </c>
    </row>
    <row r="2194" spans="1:3" ht="13" x14ac:dyDescent="0.15">
      <c r="A2194" s="1" t="str">
        <f ca="1">IFERROR(__xludf.DUMMYFUNCTION("GOOGLETRANSLATE(A2194, ""zh"", ""en"")"),"109 KPI B5.2 Description of practices related to engaging suppliers Number of suppliers for whom such practices are implemented and related implementation and monitoring methods")</f>
        <v>109 KPI B5.2 Description of practices related to engaging suppliers Number of suppliers for whom such practices are implemented and related implementation and monitoring methods</v>
      </c>
      <c r="B2194" s="1" t="str">
        <f ca="1">IFERROR(__xludf.DUMMYFUNCTION("GOOGLETRANSLATE(A2194, ""zh"", ""en"")"),"supply chain management")</f>
        <v>supply chain management</v>
      </c>
      <c r="C2194" s="1" t="str">
        <f ca="1">IFERROR(__xludf.DUMMYFUNCTION("GOOGLETRANSLATE(E2194, ""zh"", ""en"")"),"Qualitative text")</f>
        <v>Qualitative text</v>
      </c>
    </row>
    <row r="2195" spans="1:3" ht="13" x14ac:dyDescent="0.15">
      <c r="A2195" s="1" t="str">
        <f ca="1">IFERROR(__xludf.DUMMYFUNCTION("GOOGLETRANSLATE(A2195, ""zh"", ""en"")"),"2. The company has a very small number of employees outside of China. Based on the principle of materiality, this report does not disclose employee turnover data by region.")</f>
        <v>2. The company has a very small number of employees outside of China. Based on the principle of materiality, this report does not disclose employee turnover data by region.</v>
      </c>
      <c r="B2195" s="1" t="str">
        <f ca="1">IFERROR(__xludf.DUMMYFUNCTION("GOOGLETRANSLATE(A2195, ""zh"", ""en"")"),"staff")</f>
        <v>staff</v>
      </c>
      <c r="C2195" s="1" t="str">
        <f ca="1">IFERROR(__xludf.DUMMYFUNCTION("GOOGLETRANSLATE(E2195, ""zh"", ""en"")"),"Qualitative text")</f>
        <v>Qualitative text</v>
      </c>
    </row>
    <row r="2196" spans="1:3" ht="13" x14ac:dyDescent="0.15">
      <c r="A2196" s="1" t="str">
        <f ca="1">IFERROR(__xludf.DUMMYFUNCTION("GOOGLETRANSLATE(A2196, ""zh"", ""en"")"),"The quantitative indicators and data on emissions and energy consumption disclosed in this report are calculated based on the relevant standards issued by the Chinese government.")</f>
        <v>The quantitative indicators and data on emissions and energy consumption disclosed in this report are calculated based on the relevant standards issued by the Chinese government.</v>
      </c>
      <c r="B2196" s="1" t="str">
        <f ca="1">IFERROR(__xludf.DUMMYFUNCTION("GOOGLETRANSLATE(A2196, ""zh"", ""en"")"),"irrelevant text")</f>
        <v>irrelevant text</v>
      </c>
      <c r="C2196" s="1" t="str">
        <f ca="1">IFERROR(__xludf.DUMMYFUNCTION("GOOGLETRANSLATE(E2196, ""zh"", ""en"")"),"irrelevant text")</f>
        <v>irrelevant text</v>
      </c>
    </row>
    <row r="2197" spans="1:3" ht="13" x14ac:dyDescent="0.15">
      <c r="A2197" s="1" t="str">
        <f ca="1">IFERROR(__xludf.DUMMYFUNCTION("GOOGLETRANSLATE(A2197, ""zh"", ""en"")"),"The fire at Jieshi Mountain was severe. The Banan emergency team worked with firefighters on site to cut down isolation belts, transport supplies, and isolate the fire to assist with the logistical work of fire rescue.")</f>
        <v>The fire at Jieshi Mountain was severe. The Banan emergency team worked with firefighters on site to cut down isolation belts, transport supplies, and isolate the fire to assist with the logistical work of fire rescue.</v>
      </c>
      <c r="B2197" s="1" t="str">
        <f ca="1">IFERROR(__xludf.DUMMYFUNCTION("GOOGLETRANSLATE(A2197, ""zh"", ""en"")"),"Fighting the epidemic")</f>
        <v>Fighting the epidemic</v>
      </c>
      <c r="C2197" s="1" t="str">
        <f ca="1">IFERROR(__xludf.DUMMYFUNCTION("GOOGLETRANSLATE(E2197, ""zh"", ""en"")"),"Qualitative text")</f>
        <v>Qualitative text</v>
      </c>
    </row>
    <row r="2198" spans="1:3" ht="13" x14ac:dyDescent="0.15">
      <c r="A2198" s="1" t="str">
        <f ca="1">IFERROR(__xludf.DUMMYFUNCTION("GOOGLETRANSLATE(A2198, ""zh"", ""en"")"),"In 2022, under the background of deep industry adjustments and the impact of the epidemic, Dongyuan Group still completed the project delivery steadily and with high quality, and fulfilled its promise to the owner.")</f>
        <v>In 2022, under the background of deep industry adjustments and the impact of the epidemic, Dongyuan Group still completed the project delivery steadily and with high quality, and fulfilled its promise to the owner.</v>
      </c>
      <c r="B2198" s="1" t="str">
        <f ca="1">IFERROR(__xludf.DUMMYFUNCTION("GOOGLETRANSLATE(A2198, ""zh"", ""en"")"),"Fighting the epidemic")</f>
        <v>Fighting the epidemic</v>
      </c>
      <c r="C2198" s="1" t="str">
        <f ca="1">IFERROR(__xludf.DUMMYFUNCTION("GOOGLETRANSLATE(E2198, ""zh"", ""en"")"),"Qualitative text")</f>
        <v>Qualitative text</v>
      </c>
    </row>
    <row r="2199" spans="1:3" ht="13" x14ac:dyDescent="0.15">
      <c r="A2199" s="1" t="str">
        <f ca="1">IFERROR(__xludf.DUMMYFUNCTION("GOOGLETRANSLATE(A2199, ""zh"", ""en"")"),"Tibet Qomolangma adheres to the basic principles of fair and legal employment, attaches importance to transparent two-way communication with employees, and comprehensively protects the rights and interests of employees and responds to their concerns and d"&amp;"emands.")</f>
        <v>Tibet Qomolangma adheres to the basic principles of fair and legal employment, attaches importance to transparent two-way communication with employees, and comprehensively protects the rights and interests of employees and responds to their concerns and demands.</v>
      </c>
      <c r="B2199" s="1" t="str">
        <f ca="1">IFERROR(__xludf.DUMMYFUNCTION("GOOGLETRANSLATE(A2199, ""zh"", ""en"")"),"staff")</f>
        <v>staff</v>
      </c>
      <c r="C2199" s="1" t="str">
        <f ca="1">IFERROR(__xludf.DUMMYFUNCTION("GOOGLETRANSLATE(E2199, ""zh"", ""en"")"),"Qualitative text")</f>
        <v>Qualitative text</v>
      </c>
    </row>
    <row r="2200" spans="1:3" ht="13" x14ac:dyDescent="0.15">
      <c r="A2200" s="1" t="str">
        <f ca="1">IFERROR(__xludf.DUMMYFUNCTION("GOOGLETRANSLATE(A2200, ""zh"", ""en"")"),"We are deeply engaged in the healthcare industry and firmly implement the dual-drive strategy of innovative drugs and high-barrier complex formulations to continuously consolidate our position as a leader in the domestic high-end inhalation formulation ma"&amp;"rket.")</f>
        <v>We are deeply engaged in the healthcare industry and firmly implement the dual-drive strategy of innovative drugs and high-barrier complex formulations to continuously consolidate our position as a leader in the domestic high-end inhalation formulation market.</v>
      </c>
      <c r="B2200" s="1" t="str">
        <f ca="1">IFERROR(__xludf.DUMMYFUNCTION("GOOGLETRANSLATE(A2200, ""zh"", ""en"")"),"Technological innovation")</f>
        <v>Technological innovation</v>
      </c>
      <c r="C2200" s="1" t="str">
        <f ca="1">IFERROR(__xludf.DUMMYFUNCTION("GOOGLETRANSLATE(E2200, ""zh"", ""en"")"),"Qualitative text")</f>
        <v>Qualitative text</v>
      </c>
    </row>
    <row r="2201" spans="1:3" ht="13" x14ac:dyDescent="0.15">
      <c r="A2201" s="1" t="str">
        <f ca="1">IFERROR(__xludf.DUMMYFUNCTION("GOOGLETRANSLATE(A2201, ""zh"", ""en"")"),"At present, the exploration of Angeles Salt Lake has been completed. Based on a large number of experiments and surveys, we have compiled a feasibility study report and submitted an environmental impact assessment report to the local government.")</f>
        <v>At present, the exploration of Angeles Salt Lake has been completed. Based on a large number of experiments and surveys, we have compiled a feasibility study report and submitted an environmental impact assessment report to the local government.</v>
      </c>
      <c r="B2201" s="1" t="str">
        <f ca="1">IFERROR(__xludf.DUMMYFUNCTION("GOOGLETRANSLATE(A2201, ""zh"", ""en"")"),"Environmental Policy")</f>
        <v>Environmental Policy</v>
      </c>
      <c r="C2201" s="1" t="str">
        <f ca="1">IFERROR(__xludf.DUMMYFUNCTION("GOOGLETRANSLATE(E2201, ""zh"", ""en"")"),"Qualitative text")</f>
        <v>Qualitative text</v>
      </c>
    </row>
    <row r="2202" spans="1:3" ht="13" x14ac:dyDescent="0.15">
      <c r="A2202" s="1" t="str">
        <f ca="1">IFERROR(__xludf.DUMMYFUNCTION("GOOGLETRANSLATE(A2202, ""zh"", ""en"")"),"Tibet Qomolangma will continue to uphold the concept of sustainable development to promote the development of green and low-carbon mining and make positive contributions to protecting the earth's environment and the industry's low-carbon transformation.")</f>
        <v>Tibet Qomolangma will continue to uphold the concept of sustainable development to promote the development of green and low-carbon mining and make positive contributions to protecting the earth's environment and the industry's low-carbon transformation.</v>
      </c>
      <c r="B2202" s="1" t="str">
        <f ca="1">IFERROR(__xludf.DUMMYFUNCTION("GOOGLETRANSLATE(A2202, ""zh"", ""en"")"),"carbon emissions")</f>
        <v>carbon emissions</v>
      </c>
      <c r="C2202" s="1" t="str">
        <f ca="1">IFERROR(__xludf.DUMMYFUNCTION("GOOGLETRANSLATE(E2202, ""zh"", ""en"")"),"Qualitative text")</f>
        <v>Qualitative text</v>
      </c>
    </row>
    <row r="2203" spans="1:3" ht="13" x14ac:dyDescent="0.15">
      <c r="A2203" s="1" t="str">
        <f ca="1">IFERROR(__xludf.DUMMYFUNCTION("GOOGLETRANSLATE(A2203, ""zh"", ""en"")"),"Tibet Everest actively practices the concept of sustainable development in its two operating locations in Tajikistan and Argentina, and has gained high recognition from local governments and people, and has reaped fruitful results.")</f>
        <v>Tibet Everest actively practices the concept of sustainable development in its two operating locations in Tajikistan and Argentina, and has gained high recognition from local governments and people, and has reaped fruitful results.</v>
      </c>
      <c r="B2203" s="1" t="str">
        <f ca="1">IFERROR(__xludf.DUMMYFUNCTION("GOOGLETRANSLATE(A2203, ""zh"", ""en"")"),"Sustainable certification")</f>
        <v>Sustainable certification</v>
      </c>
      <c r="C2203" s="1" t="str">
        <f ca="1">IFERROR(__xludf.DUMMYFUNCTION("GOOGLETRANSLATE(E2203, ""zh"", ""en"")"),"Qualitative text")</f>
        <v>Qualitative text</v>
      </c>
    </row>
    <row r="2204" spans="1:3" ht="13" x14ac:dyDescent="0.15">
      <c r="A2204" s="1" t="str">
        <f ca="1">IFERROR(__xludf.DUMMYFUNCTION("GOOGLETRANSLATE(A2204, ""zh"", ""en"")"),"In 2023, we conducted business ethics training for all employees, including the company's anti-corruption and anti-commercial bribery system, the requirements for employees to work honestly, etc.")</f>
        <v>In 2023, we conducted business ethics training for all employees, including the company's anti-corruption and anti-commercial bribery system, the requirements for employees to work honestly, etc.</v>
      </c>
      <c r="B2204" s="1" t="str">
        <f ca="1">IFERROR(__xludf.DUMMYFUNCTION("GOOGLETRANSLATE(A2204, ""zh"", ""en"")"),"Anti-corruption and anti-money laundering")</f>
        <v>Anti-corruption and anti-money laundering</v>
      </c>
      <c r="C2204" s="1" t="str">
        <f ca="1">IFERROR(__xludf.DUMMYFUNCTION("GOOGLETRANSLATE(E2204, ""zh"", ""en"")"),"Qualitative text")</f>
        <v>Qualitative text</v>
      </c>
    </row>
    <row r="2205" spans="1:3" ht="13" x14ac:dyDescent="0.15">
      <c r="A2205" s="1" t="str">
        <f ca="1">IFERROR(__xludf.DUMMYFUNCTION("GOOGLETRANSLATE(A2205, ""zh"", ""en"")"),"We will continue to promote equipment automation and intelligent technology towards the goal of digital mining to meet market demand and improve corporate competitiveness.")</f>
        <v>We will continue to promote equipment automation and intelligent technology towards the goal of digital mining to meet market demand and improve corporate competitiveness.</v>
      </c>
      <c r="B2205" s="1" t="str">
        <f ca="1">IFERROR(__xludf.DUMMYFUNCTION("GOOGLETRANSLATE(A2205, ""zh"", ""en"")"),"Technological innovation")</f>
        <v>Technological innovation</v>
      </c>
      <c r="C2205" s="1" t="str">
        <f ca="1">IFERROR(__xludf.DUMMYFUNCTION("GOOGLETRANSLATE(E2205, ""zh"", ""en"")"),"Qualitative text")</f>
        <v>Qualitative text</v>
      </c>
    </row>
    <row r="2206" spans="1:3" ht="13" x14ac:dyDescent="0.15">
      <c r="A2206" s="1" t="str">
        <f ca="1">IFERROR(__xludf.DUMMYFUNCTION("GOOGLETRANSLATE(A2206, ""zh"", ""en"")"),"Customers can scan the QR code on the packaging bag through the mobile app to obtain the electronic quality inspection form of the corresponding batch number product. The convenient and fast function has been highly recognized by customers.")</f>
        <v>Customers can scan the QR code on the packaging bag through the mobile app to obtain the electronic quality inspection form of the corresponding batch number product. The convenient and fast function has been highly recognized by customers.</v>
      </c>
      <c r="B2206" s="1" t="str">
        <f ca="1">IFERROR(__xludf.DUMMYFUNCTION("GOOGLETRANSLATE(A2206, ""zh"", ""en"")"),"Customers and Consumers")</f>
        <v>Customers and Consumers</v>
      </c>
      <c r="C2206" s="1" t="str">
        <f ca="1">IFERROR(__xludf.DUMMYFUNCTION("GOOGLETRANSLATE(E2206, ""zh"", ""en"")"),"Qualitative text")</f>
        <v>Qualitative text</v>
      </c>
    </row>
    <row r="2207" spans="1:3" ht="13" x14ac:dyDescent="0.15">
      <c r="A2207" s="1" t="str">
        <f ca="1">IFERROR(__xludf.DUMMYFUNCTION("GOOGLETRANSLATE(A2207, ""zh"", ""en"")"),"106 Key Performance Indicator B5.2 Description of relevant practices for engaging suppliers Number of suppliers for whom relevant practices are implemented and related implementation and monitoring methods")</f>
        <v>106 Key Performance Indicator B5.2 Description of relevant practices for engaging suppliers Number of suppliers for whom relevant practices are implemented and related implementation and monitoring methods</v>
      </c>
      <c r="B2207" s="1" t="str">
        <f ca="1">IFERROR(__xludf.DUMMYFUNCTION("GOOGLETRANSLATE(A2207, ""zh"", ""en"")"),"supply chain management")</f>
        <v>supply chain management</v>
      </c>
      <c r="C2207" s="1" t="str">
        <f ca="1">IFERROR(__xludf.DUMMYFUNCTION("GOOGLETRANSLATE(E2207, ""zh"", ""en"")"),"Qualitative text")</f>
        <v>Qualitative text</v>
      </c>
    </row>
    <row r="2208" spans="1:3" ht="13" x14ac:dyDescent="0.15">
      <c r="A2208" s="1" t="str">
        <f ca="1">IFERROR(__xludf.DUMMYFUNCTION("GOOGLETRANSLATE(A2208, ""zh"", ""en"")"),"The company firmly implements the human rights legislation of the host country and the requirements of international human rights conventions, carefully studies and strictly abides by local laws and regulations, and strengthens cooperation with labor orga"&amp;"nizations in the host country.")</f>
        <v>The company firmly implements the human rights legislation of the host country and the requirements of international human rights conventions, carefully studies and strictly abides by local laws and regulations, and strengthens cooperation with labor organizations in the host country.</v>
      </c>
      <c r="B2208" s="1" t="str">
        <f ca="1">IFERROR(__xludf.DUMMYFUNCTION("GOOGLETRANSLATE(A2208, ""zh"", ""en"")"),"staff")</f>
        <v>staff</v>
      </c>
      <c r="C2208" s="1" t="str">
        <f ca="1">IFERROR(__xludf.DUMMYFUNCTION("GOOGLETRANSLATE(E2208, ""zh"", ""en"")"),"Qualitative text")</f>
        <v>Qualitative text</v>
      </c>
    </row>
    <row r="2209" spans="1:3" ht="13" x14ac:dyDescent="0.15">
      <c r="A2209" s="1" t="str">
        <f ca="1">IFERROR(__xludf.DUMMYFUNCTION("GOOGLETRANSLATE(A2209, ""zh"", ""en"")"),"Medical services were provided to the countryside over 30 times, with free clinics provided to over 7,000 villagers, 1,716 people suffering from sudden illnesses were treated and 5 babies were delivered, saving 307 lives from the brink of death.")</f>
        <v>Medical services were provided to the countryside over 30 times, with free clinics provided to over 7,000 villagers, 1,716 people suffering from sudden illnesses were treated and 5 babies were delivered, saving 307 lives from the brink of death.</v>
      </c>
      <c r="B2209" s="1" t="str">
        <f ca="1">IFERROR(__xludf.DUMMYFUNCTION("GOOGLETRANSLATE(A2209, ""zh"", ""en"")"),"Public welfare and volunteer service")</f>
        <v>Public welfare and volunteer service</v>
      </c>
      <c r="C2209" s="1" t="str">
        <f ca="1">IFERROR(__xludf.DUMMYFUNCTION("GOOGLETRANSLATE(E2209, ""zh"", ""en"")"),"Quantitative Text")</f>
        <v>Quantitative Text</v>
      </c>
    </row>
    <row r="2210" spans="1:3" ht="13" x14ac:dyDescent="0.15">
      <c r="A2210" s="1" t="str">
        <f ca="1">IFERROR(__xludf.DUMMYFUNCTION("GOOGLETRANSLATE(A2210, ""zh"", ""en"")"),"Based on the evaluation results of the issues, a materiality analysis matrix is ​​constructed to rank the issues in terms of importance. Reports on issues with high materiality are disclosed with emphasis.")</f>
        <v>Based on the evaluation results of the issues, a materiality analysis matrix is ​​constructed to rank the issues in terms of importance. Reports on issues with high materiality are disclosed with emphasis.</v>
      </c>
      <c r="B2210" s="1" t="str">
        <f ca="1">IFERROR(__xludf.DUMMYFUNCTION("GOOGLETRANSLATE(A2210, ""zh"", ""en"")"),"irrelevant text")</f>
        <v>irrelevant text</v>
      </c>
      <c r="C2210" s="1" t="str">
        <f ca="1">IFERROR(__xludf.DUMMYFUNCTION("GOOGLETRANSLATE(E2210, ""zh"", ""en"")"),"irrelevant text")</f>
        <v>irrelevant text</v>
      </c>
    </row>
    <row r="2211" spans="1:3" ht="13" x14ac:dyDescent="0.15">
      <c r="A2211" s="1" t="str">
        <f ca="1">IFERROR(__xludf.DUMMYFUNCTION("GOOGLETRANSLATE(A2211, ""zh"", ""en"")"),"We hope to work with stakeholders to promote sustainable development of the company, strive to usher in a new stage of high-quality development, and confidently write a new chapter in China's modern petrochemical industry.")</f>
        <v>We hope to work with stakeholders to promote sustainable development of the company, strive to usher in a new stage of high-quality development, and confidently write a new chapter in China's modern petrochemical industry.</v>
      </c>
      <c r="B2211" s="1" t="str">
        <f ca="1">IFERROR(__xludf.DUMMYFUNCTION("GOOGLETRANSLATE(A2211, ""zh"", ""en"")"),"irrelevant text")</f>
        <v>irrelevant text</v>
      </c>
      <c r="C2211" s="1" t="str">
        <f ca="1">IFERROR(__xludf.DUMMYFUNCTION("GOOGLETRANSLATE(E2211, ""zh"", ""en"")"),"irrelevant text")</f>
        <v>irrelevant text</v>
      </c>
    </row>
    <row r="2212" spans="1:3" ht="13" x14ac:dyDescent="0.15">
      <c r="A2212" s="1" t="str">
        <f ca="1">IFERROR(__xludf.DUMMYFUNCTION("GOOGLETRANSLATE(A2212, ""zh"", ""en"")"),"When accepting reports or complaints or verifying the situation with the reporter or relevant personnel, confidentiality should be maintained and the identity of the reporter or complainant should not be revealed.")</f>
        <v>When accepting reports or complaints or verifying the situation with the reporter or relevant personnel, confidentiality should be maintained and the identity of the reporter or complainant should not be revealed.</v>
      </c>
      <c r="B2212" s="1" t="str">
        <f ca="1">IFERROR(__xludf.DUMMYFUNCTION("GOOGLETRANSLATE(A2212, ""zh"", ""en"")"),"Reporting System")</f>
        <v>Reporting System</v>
      </c>
      <c r="C2212" s="1" t="str">
        <f ca="1">IFERROR(__xludf.DUMMYFUNCTION("GOOGLETRANSLATE(E2212, ""zh"", ""en"")"),"Qualitative text")</f>
        <v>Qualitative text</v>
      </c>
    </row>
    <row r="2213" spans="1:3" ht="13" x14ac:dyDescent="0.15">
      <c r="A2213" s="1" t="str">
        <f ca="1">IFERROR(__xludf.DUMMYFUNCTION("GOOGLETRANSLATE(A2213, ""zh"", ""en"")"),"The project assessment adopted a green construction plan and carried out a special action to improve the standardized management of solid waste on the construction site. The requirements of the ""three simultaneous"" environmental protection measures were"&amp;" clearly defined and strictly implemented.")</f>
        <v>The project assessment adopted a green construction plan and carried out a special action to improve the standardized management of solid waste on the construction site. The requirements of the "three simultaneous" environmental protection measures were clearly defined and strictly implemented.</v>
      </c>
      <c r="B2213" s="1" t="str">
        <f ca="1">IFERROR(__xludf.DUMMYFUNCTION("GOOGLETRANSLATE(A2213, ""zh"", ""en"")"),"Waste Management")</f>
        <v>Waste Management</v>
      </c>
      <c r="C2213" s="1" t="str">
        <f ca="1">IFERROR(__xludf.DUMMYFUNCTION("GOOGLETRANSLATE(E2213, ""zh"", ""en"")"),"Qualitative text")</f>
        <v>Qualitative text</v>
      </c>
    </row>
    <row r="2214" spans="1:3" ht="13" x14ac:dyDescent="0.15">
      <c r="A2214" s="1" t="str">
        <f ca="1">IFERROR(__xludf.DUMMYFUNCTION("GOOGLETRANSLATE(A2214, ""zh"", ""en"")"),"Create hydrogen energy application scenarios, improve the layout of hydrogen production, storage, transportation and refueling, gradually expand the proportion of green hydrogen supply, and actively promote the construction of distributed photovoltaic pow"&amp;"er generation projects.")</f>
        <v>Create hydrogen energy application scenarios, improve the layout of hydrogen production, storage, transportation and refueling, gradually expand the proportion of green hydrogen supply, and actively promote the construction of distributed photovoltaic power generation projects.</v>
      </c>
      <c r="B2214" s="1" t="str">
        <f ca="1">IFERROR(__xludf.DUMMYFUNCTION("GOOGLETRANSLATE(A2214, ""zh"", ""en"")"),"Energy and resource consumption")</f>
        <v>Energy and resource consumption</v>
      </c>
      <c r="C2214" s="1" t="str">
        <f ca="1">IFERROR(__xludf.DUMMYFUNCTION("GOOGLETRANSLATE(E2214, ""zh"", ""en"")"),"Qualitative text")</f>
        <v>Qualitative text</v>
      </c>
    </row>
    <row r="2215" spans="1:3" ht="13" x14ac:dyDescent="0.15">
      <c r="A2215" s="1" t="str">
        <f ca="1">IFERROR(__xludf.DUMMYFUNCTION("GOOGLETRANSLATE(A2215, ""zh"", ""en"")"),"Reduce methane emissions by continuously strengthening the use of closed mixed transmission technology, vigorously implementing casing gas recovery, promoting the comprehensive utilization of flare gas, and strengthening recovery from remote and scattered"&amp;" wells.")</f>
        <v>Reduce methane emissions by continuously strengthening the use of closed mixed transmission technology, vigorously implementing casing gas recovery, promoting the comprehensive utilization of flare gas, and strengthening recovery from remote and scattered wells.</v>
      </c>
      <c r="B2215" s="1" t="str">
        <f ca="1">IFERROR(__xludf.DUMMYFUNCTION("GOOGLETRANSLATE(A2215, ""zh"", ""en"")"),"carbon emissions")</f>
        <v>carbon emissions</v>
      </c>
      <c r="C2215" s="1" t="str">
        <f ca="1">IFERROR(__xludf.DUMMYFUNCTION("GOOGLETRANSLATE(E2215, ""zh"", ""en"")"),"Qualitative text")</f>
        <v>Qualitative text</v>
      </c>
    </row>
    <row r="2216" spans="1:3" ht="13" x14ac:dyDescent="0.15">
      <c r="A2216" s="1" t="str">
        <f ca="1">IFERROR(__xludf.DUMMYFUNCTION("GOOGLETRANSLATE(A2216, ""zh"", ""en"")"),"Organize a series of professional video trainings on occupational health every month to exchange information on national laws and regulations, typical experiences in noise control, and the use of labor protection equipment.")</f>
        <v>Organize a series of professional video trainings on occupational health every month to exchange information on national laws and regulations, typical experiences in noise control, and the use of labor protection equipment.</v>
      </c>
      <c r="B2216" s="1" t="str">
        <f ca="1">IFERROR(__xludf.DUMMYFUNCTION("GOOGLETRANSLATE(A2216, ""zh"", ""en"")"),"staff")</f>
        <v>staff</v>
      </c>
      <c r="C2216" s="1" t="str">
        <f ca="1">IFERROR(__xludf.DUMMYFUNCTION("GOOGLETRANSLATE(E2216, ""zh"", ""en"")"),"Qualitative text")</f>
        <v>Qualitative text</v>
      </c>
    </row>
    <row r="2217" spans="1:3" ht="13" x14ac:dyDescent="0.15">
      <c r="A2217" s="1" t="str">
        <f ca="1">IFERROR(__xludf.DUMMYFUNCTION("GOOGLETRANSLATE(A2217, ""zh"", ""en"")"),"New technologies such as hazard alarm smart chips and portable hydrogen sulfide alarms are in the research and development stage and can provide convenient and safe protection for employees in hydrogen sulfide distribution environments.")</f>
        <v>New technologies such as hazard alarm smart chips and portable hydrogen sulfide alarms are in the research and development stage and can provide convenient and safe protection for employees in hydrogen sulfide distribution environments.</v>
      </c>
      <c r="B2217" s="1" t="str">
        <f ca="1">IFERROR(__xludf.DUMMYFUNCTION("GOOGLETRANSLATE(A2217, ""zh"", ""en"")"),"staff")</f>
        <v>staff</v>
      </c>
      <c r="C2217" s="1" t="str">
        <f ca="1">IFERROR(__xludf.DUMMYFUNCTION("GOOGLETRANSLATE(E2217, ""zh"", ""en"")"),"Qualitative text")</f>
        <v>Qualitative text</v>
      </c>
    </row>
    <row r="2218" spans="1:3" ht="13" x14ac:dyDescent="0.15">
      <c r="A2218" s="1" t="str">
        <f ca="1">IFERROR(__xludf.DUMMYFUNCTION("GOOGLETRANSLATE(A2218, ""zh"", ""en"")"),"The company incorporates the audit results into the performance appraisal system, formulates the enterprise safety performance evaluation work plan, and applies the evaluation results to the selection of advanced enterprise safety production.")</f>
        <v>The company incorporates the audit results into the performance appraisal system, formulates the enterprise safety performance evaluation work plan, and applies the evaluation results to the selection of advanced enterprise safety production.</v>
      </c>
      <c r="B2218" s="1" t="str">
        <f ca="1">IFERROR(__xludf.DUMMYFUNCTION("GOOGLETRANSLATE(A2218, ""zh"", ""en"")"),"staff")</f>
        <v>staff</v>
      </c>
      <c r="C2218" s="1" t="str">
        <f ca="1">IFERROR(__xludf.DUMMYFUNCTION("GOOGLETRANSLATE(E2218, ""zh"", ""en"")"),"Qualitative text")</f>
        <v>Qualitative text</v>
      </c>
    </row>
    <row r="2219" spans="1:3" ht="13" x14ac:dyDescent="0.15">
      <c r="A2219" s="1" t="str">
        <f ca="1">IFERROR(__xludf.DUMMYFUNCTION("GOOGLETRANSLATE(A2219, ""zh"", ""en"")"),"The company's affiliated enterprises and professional companies have established comprehensive risk management leadership groups at the unit level in accordance with the requirements of comprehensive risk management to promote the effective implementation"&amp;" of risk management work")</f>
        <v>The company's affiliated enterprises and professional companies have established comprehensive risk management leadership groups at the unit level in accordance with the requirements of comprehensive risk management to promote the effective implementation of risk management work</v>
      </c>
      <c r="B2219" s="1" t="str">
        <f ca="1">IFERROR(__xludf.DUMMYFUNCTION("GOOGLETRANSLATE(A2219, ""zh"", ""en"")"),"Organizational structure and operations")</f>
        <v>Organizational structure and operations</v>
      </c>
      <c r="C2219" s="1" t="str">
        <f ca="1">IFERROR(__xludf.DUMMYFUNCTION("GOOGLETRANSLATE(E2219, ""zh"", ""en"")"),"Qualitative text")</f>
        <v>Qualitative text</v>
      </c>
    </row>
    <row r="2220" spans="1:3" ht="13" x14ac:dyDescent="0.15">
      <c r="A2220" s="1" t="str">
        <f ca="1">IFERROR(__xludf.DUMMYFUNCTION("GOOGLETRANSLATE(A2220, ""zh"", ""en"")"),"In response to problems found during supervision and inspection, we urge relevant departments and units to seriously rectify problems, plug loopholes, improve systems and enhance management by issuing supervision recommendations.")</f>
        <v>In response to problems found during supervision and inspection, we urge relevant departments and units to seriously rectify problems, plug loopholes, improve systems and enhance management by issuing supervision recommendations.</v>
      </c>
      <c r="B2220" s="1" t="str">
        <f ca="1">IFERROR(__xludf.DUMMYFUNCTION("GOOGLETRANSLATE(A2220, ""zh"", ""en"")"),"Legal proceedings and external sanctions")</f>
        <v>Legal proceedings and external sanctions</v>
      </c>
      <c r="C2220" s="1" t="str">
        <f ca="1">IFERROR(__xludf.DUMMYFUNCTION("GOOGLETRANSLATE(E2220, ""zh"", ""en"")"),"Qualitative text")</f>
        <v>Qualitative text</v>
      </c>
    </row>
    <row r="2221" spans="1:3" ht="13" x14ac:dyDescent="0.15">
      <c r="A2221" s="1" t="str">
        <f ca="1">IFERROR(__xludf.DUMMYFUNCTION("GOOGLETRANSLATE(A2221, ""zh"", ""en"")"),"Compliance management work of 134 directly affiliated units was evaluated and accepted based on 97 compliance management evaluation indicators formulated in accordance with Sinopec's compliance management inspection and assessment guidelines.")</f>
        <v>Compliance management work of 134 directly affiliated units was evaluated and accepted based on 97 compliance management evaluation indicators formulated in accordance with Sinopec's compliance management inspection and assessment guidelines.</v>
      </c>
      <c r="B2221" s="1" t="str">
        <f ca="1">IFERROR(__xludf.DUMMYFUNCTION("GOOGLETRANSLATE(A2221, ""zh"", ""en"")"),"Legal proceedings and external sanctions")</f>
        <v>Legal proceedings and external sanctions</v>
      </c>
      <c r="C2221" s="1" t="str">
        <f ca="1">IFERROR(__xludf.DUMMYFUNCTION("GOOGLETRANSLATE(E2221, ""zh"", ""en"")"),"Quantitative Text")</f>
        <v>Quantitative Text</v>
      </c>
    </row>
    <row r="2222" spans="1:3" ht="13" x14ac:dyDescent="0.15">
      <c r="A2222" s="1" t="str">
        <f ca="1">IFERROR(__xludf.DUMMYFUNCTION("GOOGLETRANSLATE(A2222, ""zh"", ""en"")"),"Gutian Fuxing's traditional boiler replacement and waste heat recovery project cost RMB 4.5 million to replace the original boiler with an energy-saving boiler and use waste heat recovery equipment to reduce energy consumption.")</f>
        <v>Gutian Fuxing's traditional boiler replacement and waste heat recovery project cost RMB 4.5 million to replace the original boiler with an energy-saving boiler and use waste heat recovery equipment to reduce energy consumption.</v>
      </c>
      <c r="B2222" s="1" t="str">
        <f ca="1">IFERROR(__xludf.DUMMYFUNCTION("GOOGLETRANSLATE(A2222, ""zh"", ""en"")"),"Energy and resource consumption")</f>
        <v>Energy and resource consumption</v>
      </c>
      <c r="C2222" s="1" t="str">
        <f ca="1">IFERROR(__xludf.DUMMYFUNCTION("GOOGLETRANSLATE(E2222, ""zh"", ""en"")"),"Quantitative Text")</f>
        <v>Quantitative Text</v>
      </c>
    </row>
    <row r="2223" spans="1:3" ht="13" x14ac:dyDescent="0.15">
      <c r="A2223" s="1" t="str">
        <f ca="1">IFERROR(__xludf.DUMMYFUNCTION("GOOGLETRANSLATE(A2223, ""zh"", ""en"")"),"Management energy conservation has the characteristics of high input-output ratio, low capital investment and can be widely applied at the enterprise level, providing support for technical energy conservation, etc. among various industrial energy conserva"&amp;"tion methods.")</f>
        <v>Management energy conservation has the characteristics of high input-output ratio, low capital investment and can be widely applied at the enterprise level, providing support for technical energy conservation, etc. among various industrial energy conservation methods.</v>
      </c>
      <c r="B2223" s="1" t="str">
        <f ca="1">IFERROR(__xludf.DUMMYFUNCTION("GOOGLETRANSLATE(A2223, ""zh"", ""en"")"),"Energy and resource consumption")</f>
        <v>Energy and resource consumption</v>
      </c>
      <c r="C2223" s="1" t="str">
        <f ca="1">IFERROR(__xludf.DUMMYFUNCTION("GOOGLETRANSLATE(E2223, ""zh"", ""en"")"),"Qualitative text")</f>
        <v>Qualitative text</v>
      </c>
    </row>
    <row r="2224" spans="1:3" ht="13" x14ac:dyDescent="0.15">
      <c r="A2224" s="1" t="str">
        <f ca="1">IFERROR(__xludf.DUMMYFUNCTION("GOOGLETRANSLATE(A2224, ""zh"", ""en"")"),"Secondly, we cooperated with the Shanghai Futures Exchange to launch the asphalt production capacity pre-sale price stabilization order business, which was the first in China to apply futures insurance to the energy and chemical products field to reduce t"&amp;"he hedging costs for industrial customers.")</f>
        <v>Secondly, we cooperated with the Shanghai Futures Exchange to launch the asphalt production capacity pre-sale price stabilization order business, which was the first in China to apply futures insurance to the energy and chemical products field to reduce the hedging costs for industrial customers.</v>
      </c>
      <c r="B2224" s="1" t="str">
        <f ca="1">IFERROR(__xludf.DUMMYFUNCTION("GOOGLETRANSLATE(A2224, ""zh"", ""en"")"),"Customers and Consumers")</f>
        <v>Customers and Consumers</v>
      </c>
      <c r="C2224" s="1" t="str">
        <f ca="1">IFERROR(__xludf.DUMMYFUNCTION("GOOGLETRANSLATE(E2224, ""zh"", ""en"")"),"Qualitative text")</f>
        <v>Qualitative text</v>
      </c>
    </row>
    <row r="2225" spans="1:3" ht="13" x14ac:dyDescent="0.15">
      <c r="A2225" s="1" t="str">
        <f ca="1">IFERROR(__xludf.DUMMYFUNCTION("GOOGLETRANSLATE(A2225, ""zh"", ""en"")"),"Successfully promoted the new TISCO TES18 product and obtained orders of nearly 6,500 tons from Xio Elevator, Xizi Youmai, and was awarded the title of National Quality Supplier of Household Stainless Steel.")</f>
        <v>Successfully promoted the new TISCO TES18 product and obtained orders of nearly 6,500 tons from Xio Elevator, Xizi Youmai, and was awarded the title of National Quality Supplier of Household Stainless Steel.</v>
      </c>
      <c r="B2225" s="1" t="str">
        <f ca="1">IFERROR(__xludf.DUMMYFUNCTION("GOOGLETRANSLATE(A2225, ""zh"", ""en"")"),"raw materials")</f>
        <v>raw materials</v>
      </c>
      <c r="C2225" s="1" t="str">
        <f ca="1">IFERROR(__xludf.DUMMYFUNCTION("GOOGLETRANSLATE(E2225, ""zh"", ""en"")"),"Quantitative Text")</f>
        <v>Quantitative Text</v>
      </c>
    </row>
    <row r="2226" spans="1:3" ht="13" x14ac:dyDescent="0.15">
      <c r="A2226" s="1" t="str">
        <f ca="1">IFERROR(__xludf.DUMMYFUNCTION("GOOGLETRANSLATE(A2226, ""zh"", ""en"")"),"Full-process quality management The company relies on Haier's quality platform to integrate internal and external resources to implement all-round monitoring and continuous improvement of product quality to achieve full-process quality management")</f>
        <v>Full-process quality management The company relies on Haier's quality platform to integrate internal and external resources to implement all-round monitoring and continuous improvement of product quality to achieve full-process quality management</v>
      </c>
      <c r="B2226" s="1" t="str">
        <f ca="1">IFERROR(__xludf.DUMMYFUNCTION("GOOGLETRANSLATE(A2226, ""zh"", ""en"")"),"Product quality")</f>
        <v>Product quality</v>
      </c>
      <c r="C2226" s="1" t="str">
        <f ca="1">IFERROR(__xludf.DUMMYFUNCTION("GOOGLETRANSLATE(E2226, ""zh"", ""en"")"),"Qualitative text")</f>
        <v>Qualitative text</v>
      </c>
    </row>
    <row r="2227" spans="1:3" ht="13" x14ac:dyDescent="0.15">
      <c r="A2227" s="1" t="str">
        <f ca="1">IFERROR(__xludf.DUMMYFUNCTION("GOOGLETRANSLATE(A2227, ""zh"", ""en"")"),"Some community activities EAP can provide different types of psychological counseling according to the scenario, show employees how psychology is used in work and life, and popularize psychological knowledge.")</f>
        <v>Some community activities EAP can provide different types of psychological counseling according to the scenario, show employees how psychology is used in work and life, and popularize psychological knowledge.</v>
      </c>
      <c r="B2227" s="1" t="str">
        <f ca="1">IFERROR(__xludf.DUMMYFUNCTION("GOOGLETRANSLATE(A2227, ""zh"", ""en"")"),"staff")</f>
        <v>staff</v>
      </c>
      <c r="C2227" s="1" t="str">
        <f ca="1">IFERROR(__xludf.DUMMYFUNCTION("GOOGLETRANSLATE(E2227, ""zh"", ""en"")"),"Qualitative text")</f>
        <v>Qualitative text</v>
      </c>
    </row>
    <row r="2228" spans="1:3" ht="13" x14ac:dyDescent="0.15">
      <c r="A2228" s="1" t="str">
        <f ca="1">IFERROR(__xludf.DUMMYFUNCTION("GOOGLETRANSLATE(A2228, ""zh"", ""en"")"),"The campaign covered 66 organizations and was divided into 4 phases and 36 activities, with a total of 59,887 participants, so that the cultural concept of safe production was deeply rooted in the hearts of employees.")</f>
        <v>The campaign covered 66 organizations and was divided into 4 phases and 36 activities, with a total of 59,887 participants, so that the cultural concept of safe production was deeply rooted in the hearts of employees.</v>
      </c>
      <c r="B2228" s="1" t="str">
        <f ca="1">IFERROR(__xludf.DUMMYFUNCTION("GOOGLETRANSLATE(A2228, ""zh"", ""en"")"),"staff")</f>
        <v>staff</v>
      </c>
      <c r="C2228" s="1" t="str">
        <f ca="1">IFERROR(__xludf.DUMMYFUNCTION("GOOGLETRANSLATE(E2228, ""zh"", ""en"")"),"Quantitative Text")</f>
        <v>Quantitative Text</v>
      </c>
    </row>
    <row r="2229" spans="1:3" ht="13" x14ac:dyDescent="0.15">
      <c r="A2229" s="1" t="str">
        <f ca="1">IFERROR(__xludf.DUMMYFUNCTION("GOOGLETRANSLATE(A2229, ""zh"", ""en"")"),"P36A1.2 Direct Scope 1 and energy indirect Scope 2 greenhouse gas emissions in tonnes and, if applicable, density per unit of production per facility")</f>
        <v>P36A1.2 Direct Scope 1 and energy indirect Scope 2 greenhouse gas emissions in tonnes and, if applicable, density per unit of production per facility</v>
      </c>
      <c r="B2229" s="1" t="str">
        <f ca="1">IFERROR(__xludf.DUMMYFUNCTION("GOOGLETRANSLATE(A2229, ""zh"", ""en"")"),"carbon emissions")</f>
        <v>carbon emissions</v>
      </c>
      <c r="C2229" s="1" t="str">
        <f ca="1">IFERROR(__xludf.DUMMYFUNCTION("GOOGLETRANSLATE(E2229, ""zh"", ""en"")"),"Quantitative Text")</f>
        <v>Quantitative Text</v>
      </c>
    </row>
    <row r="2230" spans="1:3" ht="13" x14ac:dyDescent="0.15">
      <c r="A2230" s="1" t="str">
        <f ca="1">IFERROR(__xludf.DUMMYFUNCTION("GOOGLETRANSLATE(A2230, ""zh"", ""en"")"),"We create a positive working environment for our employees. We continuously optimize the working time management system and set up independent time management policies for chain groups and small and micro enterprises.")</f>
        <v>We create a positive working environment for our employees. We continuously optimize the working time management system and set up independent time management policies for chain groups and small and micro enterprises.</v>
      </c>
      <c r="B2230" s="1" t="str">
        <f ca="1">IFERROR(__xludf.DUMMYFUNCTION("GOOGLETRANSLATE(A2230, ""zh"", ""en"")"),"staff")</f>
        <v>staff</v>
      </c>
      <c r="C2230" s="1" t="str">
        <f ca="1">IFERROR(__xludf.DUMMYFUNCTION("GOOGLETRANSLATE(E2230, ""zh"", ""en"")"),"Qualitative text")</f>
        <v>Qualitative text</v>
      </c>
    </row>
    <row r="2231" spans="1:3" ht="13" x14ac:dyDescent="0.15">
      <c r="A2231" s="1" t="str">
        <f ca="1">IFERROR(__xludf.DUMMYFUNCTION("GOOGLETRANSLATE(A2231, ""zh"", ""en"")"),"In addition, the company has set up a conflict of interest reporting channel to facilitate employees to proactively report the positions of their relatives in the company and its partners to reduce or avoid potential corruption risks.")</f>
        <v>In addition, the company has set up a conflict of interest reporting channel to facilitate employees to proactively report the positions of their relatives in the company and its partners to reduce or avoid potential corruption risks.</v>
      </c>
      <c r="B2231" s="1" t="str">
        <f ca="1">IFERROR(__xludf.DUMMYFUNCTION("GOOGLETRANSLATE(A2231, ""zh"", ""en"")"),"Anti-corruption and anti-money laundering")</f>
        <v>Anti-corruption and anti-money laundering</v>
      </c>
      <c r="C2231" s="1" t="str">
        <f ca="1">IFERROR(__xludf.DUMMYFUNCTION("GOOGLETRANSLATE(E2231, ""zh"", ""en"")"),"Qualitative text")</f>
        <v>Qualitative text</v>
      </c>
    </row>
    <row r="2232" spans="1:3" ht="13" x14ac:dyDescent="0.15">
      <c r="A2232" s="1" t="str">
        <f ca="1">IFERROR(__xludf.DUMMYFUNCTION("GOOGLETRANSLATE(A2232, ""zh"", ""en"")"),"P51B4 Labour Standards General Disclosure Information on policies on preventing child labour or forced labour and compliance with relevant laws and regulations that have a significant impact on the issuer")</f>
        <v>P51B4 Labour Standards General Disclosure Information on policies on preventing child labour or forced labour and compliance with relevant laws and regulations that have a significant impact on the issuer</v>
      </c>
      <c r="B2232" s="1" t="str">
        <f ca="1">IFERROR(__xludf.DUMMYFUNCTION("GOOGLETRANSLATE(A2232, ""zh"", ""en"")"),"staff")</f>
        <v>staff</v>
      </c>
      <c r="C2232" s="1" t="str">
        <f ca="1">IFERROR(__xludf.DUMMYFUNCTION("GOOGLETRANSLATE(E2232, ""zh"", ""en"")"),"Qualitative text")</f>
        <v>Qualitative text</v>
      </c>
    </row>
    <row r="2233" spans="1:3" ht="13" x14ac:dyDescent="0.15">
      <c r="A2233" s="1" t="str">
        <f ca="1">IFERROR(__xludf.DUMMYFUNCTION("GOOGLETRANSLATE(A2233, ""zh"", ""en"")"),"ISO9001 or IATF16949 and above quality system. Medical independent quality system suppliers need to pass the standard certification system requirements.")</f>
        <v>ISO9001 or IATF16949 and above quality system. Medical independent quality system suppliers need to pass the standard certification system requirements.</v>
      </c>
      <c r="B2233" s="1" t="str">
        <f ca="1">IFERROR(__xludf.DUMMYFUNCTION("GOOGLETRANSLATE(A2233, ""zh"", ""en"")"),"Product quality")</f>
        <v>Product quality</v>
      </c>
      <c r="C2233" s="1" t="str">
        <f ca="1">IFERROR(__xludf.DUMMYFUNCTION("GOOGLETRANSLATE(E2233, ""zh"", ""en"")"),"Qualitative text")</f>
        <v>Qualitative text</v>
      </c>
    </row>
    <row r="2234" spans="1:3" ht="13" x14ac:dyDescent="0.15">
      <c r="A2234" s="1" t="str">
        <f ca="1">IFERROR(__xludf.DUMMYFUNCTION("GOOGLETRANSLATE(A2234, ""zh"", ""en"")"),"The world's first 4K three-color laser projector, ViddaC1, won the international CMF Design Award and was praised by the media as marking the entry of smart projectors into the high-definition era.")</f>
        <v>The world's first 4K three-color laser projector, ViddaC1, won the international CMF Design Award and was praised by the media as marking the entry of smart projectors into the high-definition era.</v>
      </c>
      <c r="B2234" s="1" t="str">
        <f ca="1">IFERROR(__xludf.DUMMYFUNCTION("GOOGLETRANSLATE(A2234, ""zh"", ""en"")"),"Product quality")</f>
        <v>Product quality</v>
      </c>
      <c r="C2234" s="1" t="str">
        <f ca="1">IFERROR(__xludf.DUMMYFUNCTION("GOOGLETRANSLATE(E2234, ""zh"", ""en"")"),"Qualitative text")</f>
        <v>Qualitative text</v>
      </c>
    </row>
    <row r="2235" spans="1:3" ht="13" x14ac:dyDescent="0.15">
      <c r="A2235" s="1" t="str">
        <f ca="1">IFERROR(__xludf.DUMMYFUNCTION("GOOGLETRANSLATE(A2235, ""zh"", ""en"")"),"1. The Tianjin Blue Power Volunteer Service Team carried out volunteer activities to actively protect the ecological environment and build a beautiful Chinese community on World Ocean Day and other occasions.")</f>
        <v>1. The Tianjin Blue Power Volunteer Service Team carried out volunteer activities to actively protect the ecological environment and build a beautiful Chinese community on World Ocean Day and other occasions.</v>
      </c>
      <c r="B2235" s="1" t="str">
        <f ca="1">IFERROR(__xludf.DUMMYFUNCTION("GOOGLETRANSLATE(A2235, ""zh"", ""en"")"),"Public welfare and volunteer service")</f>
        <v>Public welfare and volunteer service</v>
      </c>
      <c r="C2235" s="1" t="str">
        <f ca="1">IFERROR(__xludf.DUMMYFUNCTION("GOOGLETRANSLATE(E2235, ""zh"", ""en"")"),"Qualitative text")</f>
        <v>Qualitative text</v>
      </c>
    </row>
    <row r="2236" spans="1:3" ht="13" x14ac:dyDescent="0.15">
      <c r="A2236" s="1" t="str">
        <f ca="1">IFERROR(__xludf.DUMMYFUNCTION("GOOGLETRANSLATE(A2236, ""zh"", ""en"")"),"Holding annual company risk control work promotion meetings, quarterly risk assessment meetings, overseas risk identification meetings and other meetings and trainings continuously hone the ability of leaders at all levels to see the big picture from smal"&amp;"l details.")</f>
        <v>Holding annual company risk control work promotion meetings, quarterly risk assessment meetings, overseas risk identification meetings and other meetings and trainings continuously hone the ability of leaders at all levels to see the big picture from small details.</v>
      </c>
      <c r="B2236" s="1" t="str">
        <f ca="1">IFERROR(__xludf.DUMMYFUNCTION("GOOGLETRANSLATE(A2236, ""zh"", ""en"")"),"Legal proceedings and external sanctions")</f>
        <v>Legal proceedings and external sanctions</v>
      </c>
      <c r="C2236" s="1" t="str">
        <f ca="1">IFERROR(__xludf.DUMMYFUNCTION("GOOGLETRANSLATE(E2236, ""zh"", ""en"")"),"Qualitative text")</f>
        <v>Qualitative text</v>
      </c>
    </row>
    <row r="2237" spans="1:3" ht="13" x14ac:dyDescent="0.15">
      <c r="A2237" s="1" t="str">
        <f ca="1">IFERROR(__xludf.DUMMYFUNCTION("GOOGLETRANSLATE(A2237, ""zh"", ""en"")"),"The company adheres to the technology-driven strategy and is customer-oriented. It continuously develops new technologies and processes for increasing production that are suitable for the local market and has become one of the high-end production increase"&amp;" markets in Indonesia.")</f>
        <v>The company adheres to the technology-driven strategy and is customer-oriented. It continuously develops new technologies and processes for increasing production that are suitable for the local market and has become one of the high-end production increase markets in Indonesia.</v>
      </c>
      <c r="B2237" s="1" t="str">
        <f ca="1">IFERROR(__xludf.DUMMYFUNCTION("GOOGLETRANSLATE(A2237, ""zh"", ""en"")"),"Technological innovation")</f>
        <v>Technological innovation</v>
      </c>
      <c r="C2237" s="1" t="str">
        <f ca="1">IFERROR(__xludf.DUMMYFUNCTION("GOOGLETRANSLATE(E2237, ""zh"", ""en"")"),"Qualitative text")</f>
        <v>Qualitative text</v>
      </c>
    </row>
    <row r="2238" spans="1:3" ht="13" x14ac:dyDescent="0.15">
      <c r="A2238" s="1" t="str">
        <f ca="1">IFERROR(__xludf.DUMMYFUNCTION("GOOGLETRANSLATE(A2238, ""zh"", ""en"")"),"In addition to traditional computer and network security issues, humans are also facing security issues in emerging technology fields such as big data security, artificial intelligence security, Internet of Things security, etc.")</f>
        <v>In addition to traditional computer and network security issues, humans are also facing security issues in emerging technology fields such as big data security, artificial intelligence security, Internet of Things security, etc.</v>
      </c>
      <c r="B2238" s="1" t="str">
        <f ca="1">IFERROR(__xludf.DUMMYFUNCTION("GOOGLETRANSLATE(A2238, ""zh"", ""en"")"),"Data security")</f>
        <v>Data security</v>
      </c>
      <c r="C2238" s="1" t="str">
        <f ca="1">IFERROR(__xludf.DUMMYFUNCTION("GOOGLETRANSLATE(E2238, ""zh"", ""en"")"),"Qualitative text")</f>
        <v>Qualitative text</v>
      </c>
    </row>
    <row r="2239" spans="1:3" ht="13" x14ac:dyDescent="0.15">
      <c r="A2239" s="1" t="str">
        <f ca="1">IFERROR(__xludf.DUMMYFUNCTION("GOOGLETRANSLATE(A2239, ""zh"", ""en"")"),"At the same time, the company has established a supplier evaluation system to evaluate suppliers' environmental, social and corporate governance aspects to ensure that they meet the company's responsible standards and requirements.")</f>
        <v>At the same time, the company has established a supplier evaluation system to evaluate suppliers' environmental, social and corporate governance aspects to ensure that they meet the company's responsible standards and requirements.</v>
      </c>
      <c r="B2239" s="1" t="str">
        <f ca="1">IFERROR(__xludf.DUMMYFUNCTION("GOOGLETRANSLATE(A2239, ""zh"", ""en"")"),"supply chain management")</f>
        <v>supply chain management</v>
      </c>
      <c r="C2239" s="1" t="str">
        <f ca="1">IFERROR(__xludf.DUMMYFUNCTION("GOOGLETRANSLATE(E2239, ""zh"", ""en"")"),"Qualitative text")</f>
        <v>Qualitative text</v>
      </c>
    </row>
    <row r="2240" spans="1:3" ht="13" x14ac:dyDescent="0.15">
      <c r="A2240" s="1" t="str">
        <f ca="1">IFERROR(__xludf.DUMMYFUNCTION("GOOGLETRANSLATE(A2240, ""zh"", ""en"")"),"At the same time, the company promotes digital upgrades and integrates them into corporate governance, builds a data warehouse system, establishes an audit supervision and management system, and establishes an equity management system to effectively impro"&amp;"ve governance efficiency.")</f>
        <v>At the same time, the company promotes digital upgrades and integrates them into corporate governance, builds a data warehouse system, establishes an audit supervision and management system, and establishes an equity management system to effectively improve governance efficiency.</v>
      </c>
      <c r="B2240" s="1" t="str">
        <f ca="1">IFERROR(__xludf.DUMMYFUNCTION("GOOGLETRANSLATE(A2240, ""zh"", ""en"")"),"Audit work")</f>
        <v>Audit work</v>
      </c>
      <c r="C2240" s="1" t="str">
        <f ca="1">IFERROR(__xludf.DUMMYFUNCTION("GOOGLETRANSLATE(E2240, ""zh"", ""en"")"),"Qualitative text")</f>
        <v>Qualitative text</v>
      </c>
    </row>
    <row r="2241" spans="1:3" ht="13" x14ac:dyDescent="0.15">
      <c r="A2241" s="1" t="str">
        <f ca="1">IFERROR(__xludf.DUMMYFUNCTION("GOOGLETRANSLATE(A2241, ""zh"", ""en"")"),"Fulfilling corporate citizenship responsibilities and actively participating in community co-construction activities, the company has made a total of RMB 17.82 million in external donations in 2022, contributing to the development of a better society thro"&amp;"ugh the strength of state-owned enterprises.")</f>
        <v>Fulfilling corporate citizenship responsibilities and actively participating in community co-construction activities, the company has made a total of RMB 17.82 million in external donations in 2022, contributing to the development of a better society through the strength of state-owned enterprises.</v>
      </c>
      <c r="B2241" s="1" t="str">
        <f ca="1">IFERROR(__xludf.DUMMYFUNCTION("GOOGLETRANSLATE(A2241, ""zh"", ""en"")"),"Public welfare and volunteer service")</f>
        <v>Public welfare and volunteer service</v>
      </c>
      <c r="C2241" s="1" t="str">
        <f ca="1">IFERROR(__xludf.DUMMYFUNCTION("GOOGLETRANSLATE(E2241, ""zh"", ""en"")"),"Quantitative Text")</f>
        <v>Quantitative Text</v>
      </c>
    </row>
    <row r="2242" spans="1:3" ht="13" x14ac:dyDescent="0.15">
      <c r="A2242" s="1" t="str">
        <f ca="1">IFERROR(__xludf.DUMMYFUNCTION("GOOGLETRANSLATE(A2242, ""zh"", ""en"")"),"The company will continue to be people-oriented, reform and innovate to shape corporate culture, constantly improve mechanisms and fulfill social responsibilities, so that hundreds of millions of users around the world can continue to feel the beauty of l"&amp;"ife in trust.")</f>
        <v>The company will continue to be people-oriented, reform and innovate to shape corporate culture, constantly improve mechanisms and fulfill social responsibilities, so that hundreds of millions of users around the world can continue to feel the beauty of life in trust.</v>
      </c>
      <c r="B2242" s="1" t="str">
        <f ca="1">IFERROR(__xludf.DUMMYFUNCTION("GOOGLETRANSLATE(A2242, ""zh"", ""en"")"),"Customers and Consumers")</f>
        <v>Customers and Consumers</v>
      </c>
      <c r="C2242" s="1" t="str">
        <f ca="1">IFERROR(__xludf.DUMMYFUNCTION("GOOGLETRANSLATE(E2242, ""zh"", ""en"")"),"Qualitative text")</f>
        <v>Qualitative text</v>
      </c>
    </row>
    <row r="2243" spans="1:3" ht="13" x14ac:dyDescent="0.15">
      <c r="A2243" s="1" t="str">
        <f ca="1">IFERROR(__xludf.DUMMYFUNCTION("GOOGLETRANSLATE(A2243, ""zh"", ""en"")"),"A total of 100 grassroots cadres from Luodian County participated in this training, which was highly recognized by the trainees in terms of course setting, teacher arrangement, visit and inspection support services.")</f>
        <v>A total of 100 grassroots cadres from Luodian County participated in this training, which was highly recognized by the trainees in terms of course setting, teacher arrangement, visit and inspection support services.</v>
      </c>
      <c r="B2243" s="1" t="str">
        <f ca="1">IFERROR(__xludf.DUMMYFUNCTION("GOOGLETRANSLATE(A2243, ""zh"", ""en"")"),"staff")</f>
        <v>staff</v>
      </c>
      <c r="C2243" s="1" t="str">
        <f ca="1">IFERROR(__xludf.DUMMYFUNCTION("GOOGLETRANSLATE(E2243, ""zh"", ""en"")"),"Quantitative Text")</f>
        <v>Quantitative Text</v>
      </c>
    </row>
    <row r="2244" spans="1:3" ht="13" x14ac:dyDescent="0.15">
      <c r="A2244" s="1" t="str">
        <f ca="1">IFERROR(__xludf.DUMMYFUNCTION("GOOGLETRANSLATE(A2244, ""zh"", ""en"")"),"The company has been strictly monitoring the emission of dust, garbage, noise, etc. at the construction site of logistics projects, strengthening waste management and taking a series of measures in line with relevant national environmental protection requ"&amp;"irements.")</f>
        <v>The company has been strictly monitoring the emission of dust, garbage, noise, etc. at the construction site of logistics projects, strengthening waste management and taking a series of measures in line with relevant national environmental protection requirements.</v>
      </c>
      <c r="B2244" s="1" t="str">
        <f ca="1">IFERROR(__xludf.DUMMYFUNCTION("GOOGLETRANSLATE(A2244, ""zh"", ""en"")"),"Waste Management")</f>
        <v>Waste Management</v>
      </c>
      <c r="C2244" s="1" t="str">
        <f ca="1">IFERROR(__xludf.DUMMYFUNCTION("GOOGLETRANSLATE(E2244, ""zh"", ""en"")"),"Qualitative text")</f>
        <v>Qualitative text</v>
      </c>
    </row>
    <row r="2245" spans="1:3" ht="13" x14ac:dyDescent="0.15">
      <c r="A2245" s="1" t="str">
        <f ca="1">IFERROR(__xludf.DUMMYFUNCTION("GOOGLETRANSLATE(A2245, ""zh"", ""en"")"),"Shanghai Electric actively practices corporate social responsibility and has established a Youth Volunteer Association to continuously mobilize employees' enthusiasm for public welfare and provide assistance to people in need.")</f>
        <v>Shanghai Electric actively practices corporate social responsibility and has established a Youth Volunteer Association to continuously mobilize employees' enthusiasm for public welfare and provide assistance to people in need.</v>
      </c>
      <c r="B2245" s="1" t="str">
        <f ca="1">IFERROR(__xludf.DUMMYFUNCTION("GOOGLETRANSLATE(A2245, ""zh"", ""en"")"),"Public welfare and volunteer service")</f>
        <v>Public welfare and volunteer service</v>
      </c>
      <c r="C2245" s="1" t="str">
        <f ca="1">IFERROR(__xludf.DUMMYFUNCTION("GOOGLETRANSLATE(E2245, ""zh"", ""en"")"),"Qualitative text")</f>
        <v>Qualitative text</v>
      </c>
    </row>
    <row r="2246" spans="1:3" ht="13" x14ac:dyDescent="0.15">
      <c r="A2246" s="1" t="str">
        <f ca="1">IFERROR(__xludf.DUMMYFUNCTION("GOOGLETRANSLATE(A2246, ""zh"", ""en"")"),"3. The types of hazardous waste involved in the company's operations mainly include discarded toner cartridges and toner generated by printing equipment in office buildings, discarded fluorescent tubes and discarded lead-acid batteries.")</f>
        <v>3. The types of hazardous waste involved in the company's operations mainly include discarded toner cartridges and toner generated by printing equipment in office buildings, discarded fluorescent tubes and discarded lead-acid batteries.</v>
      </c>
      <c r="B2246" s="1" t="str">
        <f ca="1">IFERROR(__xludf.DUMMYFUNCTION("GOOGLETRANSLATE(A2246, ""zh"", ""en"")"),"Waste Management")</f>
        <v>Waste Management</v>
      </c>
      <c r="C2246" s="1" t="str">
        <f ca="1">IFERROR(__xludf.DUMMYFUNCTION("GOOGLETRANSLATE(E2246, ""zh"", ""en"")"),"Qualitative text")</f>
        <v>Qualitative text</v>
      </c>
    </row>
    <row r="2247" spans="1:3" ht="13" x14ac:dyDescent="0.15">
      <c r="A2247" s="1" t="str">
        <f ca="1">IFERROR(__xludf.DUMMYFUNCTION("GOOGLETRANSLATE(A2247, ""zh"", ""en"")"),"By creating green office areas and data centers, improving resource and energy efficiency, and promoting paperless office, etc., energy conservation and emission reduction will help reduce operating costs.")</f>
        <v>By creating green office areas and data centers, improving resource and energy efficiency, and promoting paperless office, etc., energy conservation and emission reduction will help reduce operating costs.</v>
      </c>
      <c r="B2247" s="1" t="str">
        <f ca="1">IFERROR(__xludf.DUMMYFUNCTION("GOOGLETRANSLATE(A2247, ""zh"", ""en"")"),"Energy and resource consumption")</f>
        <v>Energy and resource consumption</v>
      </c>
      <c r="C2247" s="1" t="str">
        <f ca="1">IFERROR(__xludf.DUMMYFUNCTION("GOOGLETRANSLATE(E2247, ""zh"", ""en"")"),"Qualitative text")</f>
        <v>Qualitative text</v>
      </c>
    </row>
    <row r="2248" spans="1:3" ht="13" x14ac:dyDescent="0.15">
      <c r="A2248" s="1" t="str">
        <f ca="1">IFERROR(__xludf.DUMMYFUNCTION("GOOGLETRANSLATE(A2248, ""zh"", ""en"")"),"This year, based on the original training system with five major business lines as the core, we further created training modules for two major business lines: product design and sales talents.")</f>
        <v>This year, based on the original training system with five major business lines as the core, we further created training modules for two major business lines: product design and sales talents.</v>
      </c>
      <c r="B2248" s="1" t="str">
        <f ca="1">IFERROR(__xludf.DUMMYFUNCTION("GOOGLETRANSLATE(A2248, ""zh"", ""en"")"),"staff")</f>
        <v>staff</v>
      </c>
      <c r="C2248" s="1" t="str">
        <f ca="1">IFERROR(__xludf.DUMMYFUNCTION("GOOGLETRANSLATE(E2248, ""zh"", ""en"")"),"Qualitative text")</f>
        <v>Qualitative text</v>
      </c>
    </row>
    <row r="2249" spans="1:3" ht="13" x14ac:dyDescent="0.15">
      <c r="A2249" s="1" t="str">
        <f ca="1">IFERROR(__xludf.DUMMYFUNCTION("GOOGLETRANSLATE(A2249, ""zh"", ""en"")"),"This is the world's first fourth-generation high-temperature gas-cooled reactor nuclear power project connected to the grid, marking my country as one of the few countries in the world to master fourth-generation nuclear energy technology.")</f>
        <v>This is the world's first fourth-generation high-temperature gas-cooled reactor nuclear power project connected to the grid, marking my country as one of the few countries in the world to master fourth-generation nuclear energy technology.</v>
      </c>
      <c r="B2249" s="1" t="str">
        <f ca="1">IFERROR(__xludf.DUMMYFUNCTION("GOOGLETRANSLATE(A2249, ""zh"", ""en"")"),"Technological innovation")</f>
        <v>Technological innovation</v>
      </c>
      <c r="C2249" s="1" t="str">
        <f ca="1">IFERROR(__xludf.DUMMYFUNCTION("GOOGLETRANSLATE(E2249, ""zh"", ""en"")"),"Qualitative text")</f>
        <v>Qualitative text</v>
      </c>
    </row>
    <row r="2250" spans="1:3" ht="13" x14ac:dyDescent="0.15">
      <c r="A2250" s="1" t="str">
        <f ca="1">IFERROR(__xludf.DUMMYFUNCTION("GOOGLETRANSLATE(A2250, ""zh"", ""en"")"),"Shanghai Electric hopes to create an innovative atmosphere among young people in the group through the innovation competition, lead them to embrace challenges, promote knowledge exchange, mutual learning, mutual assistance and common progress.")</f>
        <v>Shanghai Electric hopes to create an innovative atmosphere among young people in the group through the innovation competition, lead them to embrace challenges, promote knowledge exchange, mutual learning, mutual assistance and common progress.</v>
      </c>
      <c r="B2250" s="1" t="str">
        <f ca="1">IFERROR(__xludf.DUMMYFUNCTION("GOOGLETRANSLATE(A2250, ""zh"", ""en"")"),"Technological innovation")</f>
        <v>Technological innovation</v>
      </c>
      <c r="C2250" s="1" t="str">
        <f ca="1">IFERROR(__xludf.DUMMYFUNCTION("GOOGLETRANSLATE(E2250, ""zh"", ""en"")"),"Qualitative text")</f>
        <v>Qualitative text</v>
      </c>
    </row>
    <row r="2251" spans="1:3" ht="13" x14ac:dyDescent="0.15">
      <c r="A2251" s="1" t="str">
        <f ca="1">IFERROR(__xludf.DUMMYFUNCTION("GOOGLETRANSLATE(A2251, ""zh"", ""en"")"),"06 Robust Operations – Standardized Management B5.3 Describe the practices for identifying environmental and social risks at each stage of the supply chain, as well as the relevant implementation and monitoring methods.")</f>
        <v>06 Robust Operations – Standardized Management B5.3 Describe the practices for identifying environmental and social risks at each stage of the supply chain, as well as the relevant implementation and monitoring methods.</v>
      </c>
      <c r="B2251" s="1" t="str">
        <f ca="1">IFERROR(__xludf.DUMMYFUNCTION("GOOGLETRANSLATE(A2251, ""zh"", ""en"")"),"supply chain management")</f>
        <v>supply chain management</v>
      </c>
      <c r="C2251" s="1" t="str">
        <f ca="1">IFERROR(__xludf.DUMMYFUNCTION("GOOGLETRANSLATE(E2251, ""zh"", ""en"")"),"Qualitative text")</f>
        <v>Qualitative text</v>
      </c>
    </row>
    <row r="2252" spans="1:3" ht="13" x14ac:dyDescent="0.15">
      <c r="A2252" s="1" t="str">
        <f ca="1">IFERROR(__xludf.DUMMYFUNCTION("GOOGLETRANSLATE(A2252, ""zh"", ""en"")"),"2022 is the year for Shanghai Electric to improve its safety and environmental risk management quality. The Group focuses on EHS management and intelligent application of risk control to vigorously promote safety and environmental risk management.")</f>
        <v>2022 is the year for Shanghai Electric to improve its safety and environmental risk management quality. The Group focuses on EHS management and intelligent application of risk control to vigorously promote safety and environmental risk management.</v>
      </c>
      <c r="B2252" s="1" t="str">
        <f ca="1">IFERROR(__xludf.DUMMYFUNCTION("GOOGLETRANSLATE(A2252, ""zh"", ""en"")"),"Environmental Policy")</f>
        <v>Environmental Policy</v>
      </c>
      <c r="C2252" s="1" t="str">
        <f ca="1">IFERROR(__xludf.DUMMYFUNCTION("GOOGLETRANSLATE(E2252, ""zh"", ""en"")"),"Qualitative text")</f>
        <v>Qualitative text</v>
      </c>
    </row>
    <row r="2253" spans="1:3" ht="13" x14ac:dyDescent="0.15">
      <c r="A2253" s="1" t="str">
        <f ca="1">IFERROR(__xludf.DUMMYFUNCTION("GOOGLETRANSLATE(A2253, ""zh"", ""en"")"),"During the reporting period, the Company held 1 annual general meeting, 2 extraordinary general meetings, and 33 board meetings, including 2 A-share and H-share class meetings.")</f>
        <v>During the reporting period, the Company held 1 annual general meeting, 2 extraordinary general meetings, and 33 board meetings, including 2 A-share and H-share class meetings.</v>
      </c>
      <c r="B2253" s="1" t="str">
        <f ca="1">IFERROR(__xludf.DUMMYFUNCTION("GOOGLETRANSLATE(A2253, ""zh"", ""en"")"),"Shareholder and creditor rights")</f>
        <v>Shareholder and creditor rights</v>
      </c>
      <c r="C2253" s="1" t="str">
        <f ca="1">IFERROR(__xludf.DUMMYFUNCTION("GOOGLETRANSLATE(E2253, ""zh"", ""en"")"),"Quantitative Text")</f>
        <v>Quantitative Text</v>
      </c>
    </row>
    <row r="2254" spans="1:3" ht="13" x14ac:dyDescent="0.15">
      <c r="A2254" s="1" t="str">
        <f ca="1">IFERROR(__xludf.DUMMYFUNCTION("GOOGLETRANSLATE(A2254, ""zh"", ""en"")"),"Anti-corruption publicity and training Fosun Pharma Group has always regarded the construction of clean government culture as a priority.")</f>
        <v>Anti-corruption publicity and training Fosun Pharma Group has always regarded the construction of clean government culture as a priority.</v>
      </c>
      <c r="B2254" s="1" t="str">
        <f ca="1">IFERROR(__xludf.DUMMYFUNCTION("GOOGLETRANSLATE(A2254, ""zh"", ""en"")"),"Anti-corruption and anti-money laundering")</f>
        <v>Anti-corruption and anti-money laundering</v>
      </c>
      <c r="C2254" s="1" t="str">
        <f ca="1">IFERROR(__xludf.DUMMYFUNCTION("GOOGLETRANSLATE(E2254, ""zh"", ""en"")"),"Qualitative text")</f>
        <v>Qualitative text</v>
      </c>
    </row>
    <row r="2255" spans="1:3" ht="13" x14ac:dyDescent="0.15">
      <c r="A2255" s="1" t="str">
        <f ca="1">IFERROR(__xludf.DUMMYFUNCTION("GOOGLETRANSLATE(A2255, ""zh"", ""en"")"),"Continuously develop laws and regulations, actively carry out anti-corruption and legal publicity, combine digital education with specific cases to reveal risk points in a targeted manner, and play a role in digital education and prevention for employees.")</f>
        <v>Continuously develop laws and regulations, actively carry out anti-corruption and legal publicity, combine digital education with specific cases to reveal risk points in a targeted manner, and play a role in digital education and prevention for employees.</v>
      </c>
      <c r="B2255" s="1" t="str">
        <f ca="1">IFERROR(__xludf.DUMMYFUNCTION("GOOGLETRANSLATE(A2255, ""zh"", ""en"")"),"Anti-corruption and anti-money laundering")</f>
        <v>Anti-corruption and anti-money laundering</v>
      </c>
      <c r="C2255" s="1" t="str">
        <f ca="1">IFERROR(__xludf.DUMMYFUNCTION("GOOGLETRANSLATE(E2255, ""zh"", ""en"")"),"Qualitative text")</f>
        <v>Qualitative text</v>
      </c>
    </row>
    <row r="2256" spans="1:3" ht="13" x14ac:dyDescent="0.15">
      <c r="A2256" s="1" t="str">
        <f ca="1">IFERROR(__xludf.DUMMYFUNCTION("GOOGLETRANSLATE(A2256, ""zh"", ""en"")"),"In 2022, the Group's cultural values ​​of ""helping the world"" were reflected in a series of activities to enrich the Party building of the headquarters, the newly established Fosun Health Party branch and the Beijing branch.")</f>
        <v>In 2022, the Group's cultural values ​​of "helping the world" were reflected in a series of activities to enrich the Party building of the headquarters, the newly established Fosun Health Party branch and the Beijing branch.</v>
      </c>
      <c r="B2256" s="1" t="str">
        <f ca="1">IFERROR(__xludf.DUMMYFUNCTION("GOOGLETRANSLATE(A2256, ""zh"", ""en"")"),"Organizational structure and operations")</f>
        <v>Organizational structure and operations</v>
      </c>
      <c r="C2256" s="1" t="str">
        <f ca="1">IFERROR(__xludf.DUMMYFUNCTION("GOOGLETRANSLATE(E2256, ""zh"", ""en"")"),"Qualitative text")</f>
        <v>Qualitative text</v>
      </c>
    </row>
    <row r="2257" spans="1:3" ht="13" x14ac:dyDescent="0.15">
      <c r="A2257" s="1" t="str">
        <f ca="1">IFERROR(__xludf.DUMMYFUNCTION("GOOGLETRANSLATE(A2257, ""zh"", ""en"")"),"Contractor training content includes Mogai three-level safety education, EHS management agreement, legal and regulatory risk identification and control measures, construction project safety knowledge and other key points.")</f>
        <v>Contractor training content includes Mogai three-level safety education, EHS management agreement, legal and regulatory risk identification and control measures, construction project safety knowledge and other key points.</v>
      </c>
      <c r="B2257" s="1" t="str">
        <f ca="1">IFERROR(__xludf.DUMMYFUNCTION("GOOGLETRANSLATE(A2257, ""zh"", ""en"")"),"staff")</f>
        <v>staff</v>
      </c>
      <c r="C2257" s="1" t="str">
        <f ca="1">IFERROR(__xludf.DUMMYFUNCTION("GOOGLETRANSLATE(E2257, ""zh"", ""en"")"),"Qualitative text")</f>
        <v>Qualitative text</v>
      </c>
    </row>
    <row r="2258" spans="1:3" ht="13" x14ac:dyDescent="0.15">
      <c r="A2258" s="1" t="str">
        <f ca="1">IFERROR(__xludf.DUMMYFUNCTION("GOOGLETRANSLATE(A2258, ""zh"", ""en"")"),"During the reporting period, the company signed a total of 43 safety production responsibility letters with members of the management team, business units, and functional departments.")</f>
        <v>During the reporting period, the company signed a total of 43 safety production responsibility letters with members of the management team, business units, and functional departments.</v>
      </c>
      <c r="B2258" s="1" t="str">
        <f ca="1">IFERROR(__xludf.DUMMYFUNCTION("GOOGLETRANSLATE(A2258, ""zh"", ""en"")"),"staff")</f>
        <v>staff</v>
      </c>
      <c r="C2258" s="1" t="str">
        <f ca="1">IFERROR(__xludf.DUMMYFUNCTION("GOOGLETRANSLATE(E2258, ""zh"", ""en"")"),"Quantitative Text")</f>
        <v>Quantitative Text</v>
      </c>
    </row>
    <row r="2259" spans="1:3" ht="13" x14ac:dyDescent="0.15">
      <c r="A2259" s="1" t="str">
        <f ca="1">IFERROR(__xludf.DUMMYFUNCTION("GOOGLETRANSLATE(A2259, ""zh"", ""en"")"),"3. Enriching the lives of employees, focusing on employees, rooted in traditional culture, contributing to the new era, welcoming the 20th National Congress of the Communist Party of China and implementing stable growth as the main focus, and meticulously"&amp;" carrying out a series of themed activities.")</f>
        <v>3. Enriching the lives of employees, focusing on employees, rooted in traditional culture, contributing to the new era, welcoming the 20th National Congress of the Communist Party of China and implementing stable growth as the main focus, and meticulously carrying out a series of themed activities.</v>
      </c>
      <c r="B2259" s="1" t="str">
        <f ca="1">IFERROR(__xludf.DUMMYFUNCTION("GOOGLETRANSLATE(A2259, ""zh"", ""en"")"),"staff")</f>
        <v>staff</v>
      </c>
      <c r="C2259" s="1" t="str">
        <f ca="1">IFERROR(__xludf.DUMMYFUNCTION("GOOGLETRANSLATE(E2259, ""zh"", ""en"")"),"Qualitative text")</f>
        <v>Qualitative text</v>
      </c>
    </row>
    <row r="2260" spans="1:3" ht="13" x14ac:dyDescent="0.15">
      <c r="A2260" s="1" t="str">
        <f ca="1">IFERROR(__xludf.DUMMYFUNCTION("GOOGLETRANSLATE(A2260, ""zh"", ""en"")"),"Our achievements and honors are built on the support of our shareholders, the trust of our customers, the dedication of our employees, and the care of society. On behalf of the board of directors, I would like to express my sincere gratitude.")</f>
        <v>Our achievements and honors are built on the support of our shareholders, the trust of our customers, the dedication of our employees, and the care of society. On behalf of the board of directors, I would like to express my sincere gratitude.</v>
      </c>
      <c r="B2260" s="1" t="str">
        <f ca="1">IFERROR(__xludf.DUMMYFUNCTION("GOOGLETRANSLATE(A2260, ""zh"", ""en"")"),"Shareholder and creditor rights")</f>
        <v>Shareholder and creditor rights</v>
      </c>
      <c r="C2260" s="1" t="str">
        <f ca="1">IFERROR(__xludf.DUMMYFUNCTION("GOOGLETRANSLATE(E2260, ""zh"", ""en"")"),"Qualitative text")</f>
        <v>Qualitative text</v>
      </c>
    </row>
    <row r="2261" spans="1:3" ht="13" x14ac:dyDescent="0.15">
      <c r="A2261" s="1" t="str">
        <f ca="1">IFERROR(__xludf.DUMMYFUNCTION("GOOGLETRANSLATE(A2261, ""zh"", ""en"")"),"By the end of 2022, Fosun Pharma member companies had conducted 434 green supply chain audits on their suppliers.")</f>
        <v>By the end of 2022, Fosun Pharma member companies had conducted 434 green supply chain audits on their suppliers.</v>
      </c>
      <c r="B2261" s="1" t="str">
        <f ca="1">IFERROR(__xludf.DUMMYFUNCTION("GOOGLETRANSLATE(A2261, ""zh"", ""en"")"),"supply chain management")</f>
        <v>supply chain management</v>
      </c>
      <c r="C2261" s="1" t="str">
        <f ca="1">IFERROR(__xludf.DUMMYFUNCTION("GOOGLETRANSLATE(E2261, ""zh"", ""en"")"),"Quantitative Text")</f>
        <v>Quantitative Text</v>
      </c>
    </row>
    <row r="2262" spans="1:3" ht="13" x14ac:dyDescent="0.15">
      <c r="A2262" s="1" t="str">
        <f ca="1">IFERROR(__xludf.DUMMYFUNCTION("GOOGLETRANSLATE(A2262, ""zh"", ""en"")"),"At the same time, we pay attention to the process method 32020 issued requirements to continue to improve the process verification and daily theft control in strict accordance with the relevant national regulations MAH quality management system")</f>
        <v>At the same time, we pay attention to the process method 32020 issued requirements to continue to improve the process verification and daily theft control in strict accordance with the relevant national regulations MAH quality management system</v>
      </c>
      <c r="B2262" s="1" t="str">
        <f ca="1">IFERROR(__xludf.DUMMYFUNCTION("GOOGLETRANSLATE(A2262, ""zh"", ""en"")"),"Product quality")</f>
        <v>Product quality</v>
      </c>
      <c r="C2262" s="1" t="str">
        <f ca="1">IFERROR(__xludf.DUMMYFUNCTION("GOOGLETRANSLATE(E2262, ""zh"", ""en"")"),"Qualitative text")</f>
        <v>Qualitative text</v>
      </c>
    </row>
    <row r="2263" spans="1:3" ht="13" x14ac:dyDescent="0.15">
      <c r="A2263" s="1" t="str">
        <f ca="1">IFERROR(__xludf.DUMMYFUNCTION("GOOGLETRANSLATE(A2263, ""zh"", ""en"")"),"Fosun Pharma Group is highly characterized. The Group continues to strengthen its environmental health and safety training efforts in various aspects, attaching great importance to the occupational health and safety of its employees.")</f>
        <v>Fosun Pharma Group is highly characterized. The Group continues to strengthen its environmental health and safety training efforts in various aspects, attaching great importance to the occupational health and safety of its employees.</v>
      </c>
      <c r="B2263" s="1" t="str">
        <f ca="1">IFERROR(__xludf.DUMMYFUNCTION("GOOGLETRANSLATE(A2263, ""zh"", ""en"")"),"staff")</f>
        <v>staff</v>
      </c>
      <c r="C2263" s="1" t="str">
        <f ca="1">IFERROR(__xludf.DUMMYFUNCTION("GOOGLETRANSLATE(E2263, ""zh"", ""en"")"),"Qualitative text")</f>
        <v>Qualitative text</v>
      </c>
    </row>
    <row r="2264" spans="1:3" ht="13" x14ac:dyDescent="0.15">
      <c r="A2264" s="1" t="str">
        <f ca="1">IFERROR(__xludf.DUMMYFUNCTION("GOOGLETRANSLATE(A2264, ""zh"", ""en"")"),"In 2022, the anti-corruption inspection team accepted 19 clues and signed an anti-corruption commitment letter before accepting them. All clues were reviewed or investigated.")</f>
        <v>In 2022, the anti-corruption inspection team accepted 19 clues and signed an anti-corruption commitment letter before accepting them. All clues were reviewed or investigated.</v>
      </c>
      <c r="B2264" s="1" t="str">
        <f ca="1">IFERROR(__xludf.DUMMYFUNCTION("GOOGLETRANSLATE(A2264, ""zh"", ""en"")"),"Anti-corruption and anti-money laundering")</f>
        <v>Anti-corruption and anti-money laundering</v>
      </c>
      <c r="C2264" s="1" t="str">
        <f ca="1">IFERROR(__xludf.DUMMYFUNCTION("GOOGLETRANSLATE(E2264, ""zh"", ""en"")"),"Quantitative Text")</f>
        <v>Quantitative Text</v>
      </c>
    </row>
    <row r="2265" spans="1:3" ht="13" x14ac:dyDescent="0.15">
      <c r="A2265" s="1" t="str">
        <f ca="1">IFERROR(__xludf.DUMMYFUNCTION("GOOGLETRANSLATE(A2265, ""zh"", ""en"")"),"APS Announced Pledges Scenario Two highly contrasting climate scenarios for risk identification")</f>
        <v>APS Announced Pledges Scenario Two highly contrasting climate scenarios for risk identification</v>
      </c>
      <c r="B2265" s="1" t="str">
        <f ca="1">IFERROR(__xludf.DUMMYFUNCTION("GOOGLETRANSLATE(A2265, ""zh"", ""en"")"),"Addressing climate change")</f>
        <v>Addressing climate change</v>
      </c>
      <c r="C2265" s="1" t="str">
        <f ca="1">IFERROR(__xludf.DUMMYFUNCTION("GOOGLETRANSLATE(E2265, ""zh"", ""en"")"),"Qualitative text")</f>
        <v>Qualitative text</v>
      </c>
    </row>
    <row r="2266" spans="1:3" ht="13" x14ac:dyDescent="0.15">
      <c r="A2266" s="1" t="str">
        <f ca="1">IFERROR(__xludf.DUMMYFUNCTION("GOOGLETRANSLATE(A2266, ""zh"", ""en"")"),"2. The statistical scope for 2022 includes all 37 domestic branches under the headquarters, the CCB Training Center, Northeastern University, East China University, Beijing Production Park, and Wuhan Production Park.")</f>
        <v>2. The statistical scope for 2022 includes all 37 domestic branches under the headquarters, the CCB Training Center, Northeastern University, East China University, Beijing Production Park, and Wuhan Production Park.</v>
      </c>
      <c r="B2266" s="1" t="str">
        <f ca="1">IFERROR(__xludf.DUMMYFUNCTION("GOOGLETRANSLATE(A2266, ""zh"", ""en"")"),"Organizational structure and operations")</f>
        <v>Organizational structure and operations</v>
      </c>
      <c r="C2266" s="1" t="str">
        <f ca="1">IFERROR(__xludf.DUMMYFUNCTION("GOOGLETRANSLATE(E2266, ""zh"", ""en"")"),"Quantitative Text")</f>
        <v>Quantitative Text</v>
      </c>
    </row>
    <row r="2267" spans="1:3" ht="13" x14ac:dyDescent="0.15">
      <c r="A2267" s="1" t="str">
        <f ca="1">IFERROR(__xludf.DUMMYFUNCTION("GOOGLETRANSLATE(A2267, ""zh"", ""en"")"),"In terms of international development, we will empower international talents, cultivate professional talents and expand the international vision of all employees of the bank, and continuously improve the level of international professional education and v"&amp;"alue creation capabilities.")</f>
        <v>In terms of international development, we will empower international talents, cultivate professional talents and expand the international vision of all employees of the bank, and continuously improve the level of international professional education and value creation capabilities.</v>
      </c>
      <c r="B2267" s="1" t="str">
        <f ca="1">IFERROR(__xludf.DUMMYFUNCTION("GOOGLETRANSLATE(A2267, ""zh"", ""en"")"),"staff")</f>
        <v>staff</v>
      </c>
      <c r="C2267" s="1" t="str">
        <f ca="1">IFERROR(__xludf.DUMMYFUNCTION("GOOGLETRANSLATE(E2267, ""zh"", ""en"")"),"Qualitative text")</f>
        <v>Qualitative text</v>
      </c>
    </row>
    <row r="2268" spans="1:3" ht="13" x14ac:dyDescent="0.15">
      <c r="A2268" s="1" t="str">
        <f ca="1">IFERROR(__xludf.DUMMYFUNCTION("GOOGLETRANSLATE(A2268, ""zh"", ""en"")"),"Continuously revise the personal information protection policies, privacy authorization agreements, and other agreement texts of channel products and services in accordance with laws and regulations to improve the notification and authorization business p"&amp;"rocessing procedures.")</f>
        <v>Continuously revise the personal information protection policies, privacy authorization agreements, and other agreement texts of channel products and services in accordance with laws and regulations to improve the notification and authorization business processing procedures.</v>
      </c>
      <c r="B2268" s="1" t="str">
        <f ca="1">IFERROR(__xludf.DUMMYFUNCTION("GOOGLETRANSLATE(A2268, ""zh"", ""en"")"),"Data security")</f>
        <v>Data security</v>
      </c>
      <c r="C2268" s="1" t="str">
        <f ca="1">IFERROR(__xludf.DUMMYFUNCTION("GOOGLETRANSLATE(E2268, ""zh"", ""en"")"),"Qualitative text")</f>
        <v>Qualitative text</v>
      </c>
    </row>
    <row r="2269" spans="1:3" ht="13" x14ac:dyDescent="0.15">
      <c r="A2269" s="1" t="str">
        <f ca="1">IFERROR(__xludf.DUMMYFUNCTION("GOOGLETRANSLATE(A2269, ""zh"", ""en"")"),"Five domestic branches were awarded carbon neutrality certificates. Four overseas branches, including Sydney Branch, Zurich Branch, New Zealand Branch and Frankfurt Branch, received official local carbon neutrality certification.")</f>
        <v>Five domestic branches were awarded carbon neutrality certificates. Four overseas branches, including Sydney Branch, Zurich Branch, New Zealand Branch and Frankfurt Branch, received official local carbon neutrality certification.</v>
      </c>
      <c r="B2269" s="1" t="str">
        <f ca="1">IFERROR(__xludf.DUMMYFUNCTION("GOOGLETRANSLATE(A2269, ""zh"", ""en"")"),"carbon emissions")</f>
        <v>carbon emissions</v>
      </c>
      <c r="C2269" s="1" t="str">
        <f ca="1">IFERROR(__xludf.DUMMYFUNCTION("GOOGLETRANSLATE(E2269, ""zh"", ""en"")"),"Quantitative Text")</f>
        <v>Quantitative Text</v>
      </c>
    </row>
    <row r="2270" spans="1:3" ht="13" x14ac:dyDescent="0.15">
      <c r="A2270" s="1" t="str">
        <f ca="1">IFERROR(__xludf.DUMMYFUNCTION("GOOGLETRANSLATE(A2270, ""zh"", ""en"")"),"The company's safety management goals and key safety management actions for 2022 include strengthening the implementation of safety responsibilities and actively carrying out safety production warning education to enhance employees' safety awareness.")</f>
        <v>The company's safety management goals and key safety management actions for 2022 include strengthening the implementation of safety responsibilities and actively carrying out safety production warning education to enhance employees' safety awareness.</v>
      </c>
      <c r="B2270" s="1" t="str">
        <f ca="1">IFERROR(__xludf.DUMMYFUNCTION("GOOGLETRANSLATE(A2270, ""zh"", ""en"")"),"staff")</f>
        <v>staff</v>
      </c>
      <c r="C2270" s="1" t="str">
        <f ca="1">IFERROR(__xludf.DUMMYFUNCTION("GOOGLETRANSLATE(E2270, ""zh"", ""en"")"),"Qualitative text")</f>
        <v>Qualitative text</v>
      </c>
    </row>
    <row r="2271" spans="1:3" ht="13" x14ac:dyDescent="0.15">
      <c r="A2271" s="1" t="str">
        <f ca="1">IFERROR(__xludf.DUMMYFUNCTION("GOOGLETRANSLATE(A2271, ""zh"", ""en"")"),"2. Energy consumption data is calculated based on electricity and fuel consumption and the conversion factors provided in the General Rules for Calculating Comprehensive Energy Consumption GBT25892020")</f>
        <v>2. Energy consumption data is calculated based on electricity and fuel consumption and the conversion factors provided in the General Rules for Calculating Comprehensive Energy Consumption GBT25892020</v>
      </c>
      <c r="B2271" s="1" t="str">
        <f ca="1">IFERROR(__xludf.DUMMYFUNCTION("GOOGLETRANSLATE(A2271, ""zh"", ""en"")"),"Energy and resource consumption")</f>
        <v>Energy and resource consumption</v>
      </c>
      <c r="C2271" s="1" t="str">
        <f ca="1">IFERROR(__xludf.DUMMYFUNCTION("GOOGLETRANSLATE(E2271, ""zh"", ""en"")"),"Qualitative text")</f>
        <v>Qualitative text</v>
      </c>
    </row>
    <row r="2272" spans="1:3" ht="13" x14ac:dyDescent="0.15">
      <c r="A2272" s="1" t="str">
        <f ca="1">IFERROR(__xludf.DUMMYFUNCTION("GOOGLETRANSLATE(A2272, ""zh"", ""en"")"),"The test results show that the repayment capacity of customers in the eight high-carbon industries has declined to varying degrees under stress scenarios, with the probability of default increasing and the rating downgraded, but the overall risk is contro"&amp;"llable.")</f>
        <v>The test results show that the repayment capacity of customers in the eight high-carbon industries has declined to varying degrees under stress scenarios, with the probability of default increasing and the rating downgraded, but the overall risk is controllable.</v>
      </c>
      <c r="B2272" s="1" t="str">
        <f ca="1">IFERROR(__xludf.DUMMYFUNCTION("GOOGLETRANSLATE(A2272, ""zh"", ""en"")"),"carbon emissions")</f>
        <v>carbon emissions</v>
      </c>
      <c r="C2272" s="1" t="str">
        <f ca="1">IFERROR(__xludf.DUMMYFUNCTION("GOOGLETRANSLATE(E2272, ""zh"", ""en"")"),"Qualitative text")</f>
        <v>Qualitative text</v>
      </c>
    </row>
    <row r="2273" spans="1:3" ht="13" x14ac:dyDescent="0.15">
      <c r="A2273" s="1" t="str">
        <f ca="1">IFERROR(__xludf.DUMMYFUNCTION("GOOGLETRANSLATE(A2273, ""zh"", ""en"")"),"Smart IoT interactive experience Haier Smart Home adheres to the principle of user-first and establishes and gradually improves and optimizes the user complaint response and management mechanism to continuously enhance the user consumption experience.")</f>
        <v>Smart IoT interactive experience Haier Smart Home adheres to the principle of user-first and establishes and gradually improves and optimizes the user complaint response and management mechanism to continuously enhance the user consumption experience.</v>
      </c>
      <c r="B2273" s="1" t="str">
        <f ca="1">IFERROR(__xludf.DUMMYFUNCTION("GOOGLETRANSLATE(A2273, ""zh"", ""en"")"),"Customers and Consumers")</f>
        <v>Customers and Consumers</v>
      </c>
      <c r="C2273" s="1" t="str">
        <f ca="1">IFERROR(__xludf.DUMMYFUNCTION("GOOGLETRANSLATE(E2273, ""zh"", ""en"")"),"Qualitative text")</f>
        <v>Qualitative text</v>
      </c>
    </row>
    <row r="2274" spans="1:3" ht="13" x14ac:dyDescent="0.15">
      <c r="A2274" s="1" t="str">
        <f ca="1">IFERROR(__xludf.DUMMYFUNCTION("GOOGLETRANSLATE(A2274, ""zh"", ""en"")"),"Ensure the stability and smooth operation of the industrial chain and supply chain, complete the physical volume of 30.54 million tons of steel, promote the smooth circulation of steel and other raw materials, and achieve effective connection between upst"&amp;"ream and downstream production, supply and marketing.")</f>
        <v>Ensure the stability and smooth operation of the industrial chain and supply chain, complete the physical volume of 30.54 million tons of steel, promote the smooth circulation of steel and other raw materials, and achieve effective connection between upstream and downstream production, supply and marketing.</v>
      </c>
      <c r="B2274" s="1" t="str">
        <f ca="1">IFERROR(__xludf.DUMMYFUNCTION("GOOGLETRANSLATE(A2274, ""zh"", ""en"")"),"raw materials")</f>
        <v>raw materials</v>
      </c>
      <c r="C2274" s="1" t="str">
        <f ca="1">IFERROR(__xludf.DUMMYFUNCTION("GOOGLETRANSLATE(E2274, ""zh"", ""en"")"),"Quantitative Text")</f>
        <v>Quantitative Text</v>
      </c>
    </row>
    <row r="2275" spans="1:3" ht="13" x14ac:dyDescent="0.15">
      <c r="A2275" s="1" t="str">
        <f ca="1">IFERROR(__xludf.DUMMYFUNCTION("GOOGLETRANSLATE(A2275, ""zh"", ""en"")"),"We are committed to responsible biodiversity management across all our operations to ensure no harm is done to fragile ecosystems, habitats, or endangered species.")</f>
        <v>We are committed to responsible biodiversity management across all our operations to ensure no harm is done to fragile ecosystems, habitats, or endangered species.</v>
      </c>
      <c r="B2275" s="1" t="str">
        <f ca="1">IFERROR(__xludf.DUMMYFUNCTION("GOOGLETRANSLATE(A2275, ""zh"", ""en"")"),"biodiversity")</f>
        <v>biodiversity</v>
      </c>
      <c r="C2275" s="1" t="str">
        <f ca="1">IFERROR(__xludf.DUMMYFUNCTION("GOOGLETRANSLATE(E2275, ""zh"", ""en"")"),"Qualitative text")</f>
        <v>Qualitative text</v>
      </c>
    </row>
    <row r="2276" spans="1:3" ht="13" x14ac:dyDescent="0.15">
      <c r="A2276" s="1" t="str">
        <f ca="1">IFERROR(__xludf.DUMMYFUNCTION("GOOGLETRANSLATE(A2276, ""zh"", ""en"")"),"About the Reporting Scope of this Report Explain the reporting scope of the ESG report and describe the process for selecting entities or businesses to be included in the ESG report")</f>
        <v>About the Reporting Scope of this Report Explain the reporting scope of the ESG report and describe the process for selecting entities or businesses to be included in the ESG report</v>
      </c>
      <c r="B2276" s="1" t="str">
        <f ca="1">IFERROR(__xludf.DUMMYFUNCTION("GOOGLETRANSLATE(A2276, ""zh"", ""en"")"),"irrelevant text")</f>
        <v>irrelevant text</v>
      </c>
      <c r="C2276" s="1" t="str">
        <f ca="1">IFERROR(__xludf.DUMMYFUNCTION("GOOGLETRANSLATE(E2276, ""zh"", ""en"")"),"irrelevant text")</f>
        <v>irrelevant text</v>
      </c>
    </row>
    <row r="2277" spans="1:3" ht="13" x14ac:dyDescent="0.15">
      <c r="A2277" s="1" t="str">
        <f ca="1">IFERROR(__xludf.DUMMYFUNCTION("GOOGLETRANSLATE(A2277, ""zh"", ""en"")"),"As of the end of the reporting period, the Group had a total of 14,116 employees. As of December 31, 2021, the number of employees was 13,234, showing a continuous growth trend.")</f>
        <v>As of the end of the reporting period, the Group had a total of 14,116 employees. As of December 31, 2021, the number of employees was 13,234, showing a continuous growth trend.</v>
      </c>
      <c r="B2277" s="1" t="str">
        <f ca="1">IFERROR(__xludf.DUMMYFUNCTION("GOOGLETRANSLATE(A2277, ""zh"", ""en"")"),"staff")</f>
        <v>staff</v>
      </c>
      <c r="C2277" s="1" t="str">
        <f ca="1">IFERROR(__xludf.DUMMYFUNCTION("GOOGLETRANSLATE(E2277, ""zh"", ""en"")"),"Quantitative Text")</f>
        <v>Quantitative Text</v>
      </c>
    </row>
    <row r="2278" spans="1:3" ht="13" x14ac:dyDescent="0.15">
      <c r="A2278" s="1" t="str">
        <f ca="1">IFERROR(__xludf.DUMMYFUNCTION("GOOGLETRANSLATE(A2278, ""zh"", ""en"")"),"Over the past year, we have made every effort to promote corporate governance, energy security and stable supply, green and low-carbon development, scientific and technological innovation, safety management, and fulfillment of social responsibilities, and"&amp;" have reached a new level.")</f>
        <v>Over the past year, we have made every effort to promote corporate governance, energy security and stable supply, green and low-carbon development, scientific and technological innovation, safety management, and fulfillment of social responsibilities, and have reached a new level.</v>
      </c>
      <c r="B2278" s="1" t="str">
        <f ca="1">IFERROR(__xludf.DUMMYFUNCTION("GOOGLETRANSLATE(A2278, ""zh"", ""en"")"),"irrelevant text")</f>
        <v>irrelevant text</v>
      </c>
      <c r="C2278" s="1" t="str">
        <f ca="1">IFERROR(__xludf.DUMMYFUNCTION("GOOGLETRANSLATE(E2278, ""zh"", ""en"")"),"irrelevant text")</f>
        <v>irrelevant text</v>
      </c>
    </row>
    <row r="2279" spans="1:3" ht="13" x14ac:dyDescent="0.15">
      <c r="A2279" s="1" t="str">
        <f ca="1">IFERROR(__xludf.DUMMYFUNCTION("GOOGLETRANSLATE(A2279, ""zh"", ""en"")"),"Shanghai Electric will be a strong supporter of female employees, provide them with a safe, healthy, comfortable and equal working environment, resolutely safeguard their legitimate rights and interests, and provide them with care and concern.")</f>
        <v>Shanghai Electric will be a strong supporter of female employees, provide them with a safe, healthy, comfortable and equal working environment, resolutely safeguard their legitimate rights and interests, and provide them with care and concern.</v>
      </c>
      <c r="B2279" s="1" t="str">
        <f ca="1">IFERROR(__xludf.DUMMYFUNCTION("GOOGLETRANSLATE(A2279, ""zh"", ""en"")"),"staff")</f>
        <v>staff</v>
      </c>
      <c r="C2279" s="1" t="str">
        <f ca="1">IFERROR(__xludf.DUMMYFUNCTION("GOOGLETRANSLATE(E2279, ""zh"", ""en"")"),"Qualitative text")</f>
        <v>Qualitative text</v>
      </c>
    </row>
    <row r="2280" spans="1:3" ht="13" x14ac:dyDescent="0.15">
      <c r="A2280" s="1" t="str">
        <f ca="1">IFERROR(__xludf.DUMMYFUNCTION("GOOGLETRANSLATE(A2280, ""zh"", ""en"")"),"At the same time, the labor union and the group office, board office and human resources department jointly organized an employee internal purchase preferential activity to allow employees in need to enjoy preferential benefits.")</f>
        <v>At the same time, the labor union and the group office, board office and human resources department jointly organized an employee internal purchase preferential activity to allow employees in need to enjoy preferential benefits.</v>
      </c>
      <c r="B2280" s="1" t="str">
        <f ca="1">IFERROR(__xludf.DUMMYFUNCTION("GOOGLETRANSLATE(A2280, ""zh"", ""en"")"),"staff")</f>
        <v>staff</v>
      </c>
      <c r="C2280" s="1" t="str">
        <f ca="1">IFERROR(__xludf.DUMMYFUNCTION("GOOGLETRANSLATE(E2280, ""zh"", ""en"")"),"Qualitative text")</f>
        <v>Qualitative text</v>
      </c>
    </row>
    <row r="2281" spans="1:3" ht="13" x14ac:dyDescent="0.15">
      <c r="A2281" s="1" t="str">
        <f ca="1">IFERROR(__xludf.DUMMYFUNCTION("GOOGLETRANSLATE(A2281, ""zh"", ""en"")"),"The government project cooperation model has achieved innovative breakthroughs. Through space operation, content operation and diversified services, it meets the living needs of community residents and improves their satisfaction and happiness.")</f>
        <v>The government project cooperation model has achieved innovative breakthroughs. Through space operation, content operation and diversified services, it meets the living needs of community residents and improves their satisfaction and happiness.</v>
      </c>
      <c r="B2281" s="1" t="str">
        <f ca="1">IFERROR(__xludf.DUMMYFUNCTION("GOOGLETRANSLATE(A2281, ""zh"", ""en"")"),"Technological innovation")</f>
        <v>Technological innovation</v>
      </c>
      <c r="C2281" s="1" t="str">
        <f ca="1">IFERROR(__xludf.DUMMYFUNCTION("GOOGLETRANSLATE(E2281, ""zh"", ""en"")"),"Qualitative text")</f>
        <v>Qualitative text</v>
      </c>
    </row>
    <row r="2282" spans="1:3" ht="13" x14ac:dyDescent="0.15">
      <c r="A2282" s="1" t="str">
        <f ca="1">IFERROR(__xludf.DUMMYFUNCTION("GOOGLETRANSLATE(A2282, ""zh"", ""en"")"),"Among them, there is one basic-level building with an area of ​​72,000 square meters, 13 one-star buildings with an area of ​​826,500 square meters, and 13 passive ultra-low energy consumption buildings with an area of ​​13,600 square meters in the one-st"&amp;"ar green building projects.")</f>
        <v>Among them, there is one basic-level building with an area of ​​72,000 square meters, 13 one-star buildings with an area of ​​826,500 square meters, and 13 passive ultra-low energy consumption buildings with an area of ​​13,600 square meters in the one-star green building projects.</v>
      </c>
      <c r="B2282" s="1" t="str">
        <f ca="1">IFERROR(__xludf.DUMMYFUNCTION("GOOGLETRANSLATE(A2282, ""zh"", ""en"")"),"Green Building")</f>
        <v>Green Building</v>
      </c>
      <c r="C2282" s="1" t="str">
        <f ca="1">IFERROR(__xludf.DUMMYFUNCTION("GOOGLETRANSLATE(E2282, ""zh"", ""en"")"),"Quantitative Text")</f>
        <v>Quantitative Text</v>
      </c>
    </row>
    <row r="2283" spans="1:3" ht="13" x14ac:dyDescent="0.15">
      <c r="A2283" s="1" t="str">
        <f ca="1">IFERROR(__xludf.DUMMYFUNCTION("GOOGLETRANSLATE(A2283, ""zh"", ""en"")"),"5.2 Mutual Promotion of Talent Development Key Performance Indicator B3.1 Percentage of trained employees by gender and employee category, such as senior management and middle management")</f>
        <v>5.2 Mutual Promotion of Talent Development Key Performance Indicator B3.1 Percentage of trained employees by gender and employee category, such as senior management and middle management</v>
      </c>
      <c r="B2283" s="1" t="str">
        <f ca="1">IFERROR(__xludf.DUMMYFUNCTION("GOOGLETRANSLATE(A2283, ""zh"", ""en"")"),"staff")</f>
        <v>staff</v>
      </c>
      <c r="C2283" s="1" t="str">
        <f ca="1">IFERROR(__xludf.DUMMYFUNCTION("GOOGLETRANSLATE(E2283, ""zh"", ""en"")"),"Quantitative Text")</f>
        <v>Quantitative Text</v>
      </c>
    </row>
    <row r="2284" spans="1:3" ht="13" x14ac:dyDescent="0.15">
      <c r="A2284" s="1" t="str">
        <f ca="1">IFERROR(__xludf.DUMMYFUNCTION("GOOGLETRANSLATE(A2284, ""zh"", ""en"")"),"Status of newly started green building projects of Dongyuan Group in 2022: 14 new projects started in 2022, with a total green building area of ​​898,500 square meters.")</f>
        <v>Status of newly started green building projects of Dongyuan Group in 2022: 14 new projects started in 2022, with a total green building area of ​​898,500 square meters.</v>
      </c>
      <c r="B2284" s="1" t="str">
        <f ca="1">IFERROR(__xludf.DUMMYFUNCTION("GOOGLETRANSLATE(A2284, ""zh"", ""en"")"),"Green Building")</f>
        <v>Green Building</v>
      </c>
      <c r="C2284" s="1" t="str">
        <f ca="1">IFERROR(__xludf.DUMMYFUNCTION("GOOGLETRANSLATE(E2284, ""zh"", ""en"")"),"Quantitative Text")</f>
        <v>Quantitative Text</v>
      </c>
    </row>
    <row r="2285" spans="1:3" ht="13" x14ac:dyDescent="0.15">
      <c r="A2285" s="1" t="str">
        <f ca="1">IFERROR(__xludf.DUMMYFUNCTION("GOOGLETRANSLATE(A2285, ""zh"", ""en"")"),"As of now, the 2015 restricted stock incentive plan was completed in 2019, and the 2018 stock option incentive plan was completed in 2022.")</f>
        <v>As of now, the 2015 restricted stock incentive plan was completed in 2019, and the 2018 stock option incentive plan was completed in 2022.</v>
      </c>
      <c r="B2285" s="1" t="str">
        <f ca="1">IFERROR(__xludf.DUMMYFUNCTION("GOOGLETRANSLATE(A2285, ""zh"", ""en"")"),"Organizational structure and operations")</f>
        <v>Organizational structure and operations</v>
      </c>
      <c r="C2285" s="1" t="str">
        <f ca="1">IFERROR(__xludf.DUMMYFUNCTION("GOOGLETRANSLATE(E2285, ""zh"", ""en"")"),"Qualitative text")</f>
        <v>Qualitative text</v>
      </c>
    </row>
    <row r="2286" spans="1:3" ht="13" x14ac:dyDescent="0.15">
      <c r="A2286" s="1" t="str">
        <f ca="1">IFERROR(__xludf.DUMMYFUNCTION("GOOGLETRANSLATE(A2286, ""zh"", ""en"")"),"Build a strong protective network, conduct comprehensive disinfection and double code verification, conduct professional epidemic prevention training for all staff at each site during the epidemic, strictly prevent all ports, and do a good job in communit"&amp;"y epidemic prevention and health management.")</f>
        <v>Build a strong protective network, conduct comprehensive disinfection and double code verification, conduct professional epidemic prevention training for all staff at each site during the epidemic, strictly prevent all ports, and do a good job in community epidemic prevention and health management.</v>
      </c>
      <c r="B2286" s="1" t="str">
        <f ca="1">IFERROR(__xludf.DUMMYFUNCTION("GOOGLETRANSLATE(A2286, ""zh"", ""en"")"),"Fighting the epidemic")</f>
        <v>Fighting the epidemic</v>
      </c>
      <c r="C2286" s="1" t="str">
        <f ca="1">IFERROR(__xludf.DUMMYFUNCTION("GOOGLETRANSLATE(E2286, ""zh"", ""en"")"),"Qualitative text")</f>
        <v>Qualitative text</v>
      </c>
    </row>
    <row r="2287" spans="1:3" ht="13" x14ac:dyDescent="0.15">
      <c r="A2287" s="1" t="str">
        <f ca="1">IFERROR(__xludf.DUMMYFUNCTION("GOOGLETRANSLATE(A2287, ""zh"", ""en"")"),"This report covers the period from January 1, 2022 to December 31, 2022. Some content has been retrospectively reviewed and extended to maintain information continuity.")</f>
        <v>This report covers the period from January 1, 2022 to December 31, 2022. Some content has been retrospectively reviewed and extended to maintain information continuity.</v>
      </c>
      <c r="B2287" s="1" t="str">
        <f ca="1">IFERROR(__xludf.DUMMYFUNCTION("GOOGLETRANSLATE(A2287, ""zh"", ""en"")"),"irrelevant text")</f>
        <v>irrelevant text</v>
      </c>
      <c r="C2287" s="1" t="str">
        <f ca="1">IFERROR(__xludf.DUMMYFUNCTION("GOOGLETRANSLATE(E2287, ""zh"", ""en"")"),"irrelevant text")</f>
        <v>irrelevant text</v>
      </c>
    </row>
    <row r="2288" spans="1:3" ht="13" x14ac:dyDescent="0.15">
      <c r="A2288" s="1" t="str">
        <f ca="1">IFERROR(__xludf.DUMMYFUNCTION("GOOGLETRANSLATE(A2288, ""zh"", ""en"")"),"In July 2022, Shanghai Electric signed a strategic cooperation framework agreement with the People's Government of Jilin Province. The two parties will carry out in-depth strategic cooperation in areas such as green energy development.")</f>
        <v>In July 2022, Shanghai Electric signed a strategic cooperation framework agreement with the People's Government of Jilin Province. The two parties will carry out in-depth strategic cooperation in areas such as green energy development.</v>
      </c>
      <c r="B2288" s="1" t="str">
        <f ca="1">IFERROR(__xludf.DUMMYFUNCTION("GOOGLETRANSLATE(A2288, ""zh"", ""en"")"),"Technological innovation")</f>
        <v>Technological innovation</v>
      </c>
      <c r="C2288" s="1" t="str">
        <f ca="1">IFERROR(__xludf.DUMMYFUNCTION("GOOGLETRANSLATE(E2288, ""zh"", ""en"")"),"Qualitative text")</f>
        <v>Qualitative text</v>
      </c>
    </row>
    <row r="2289" spans="1:3" ht="13" x14ac:dyDescent="0.15">
      <c r="A2289" s="1" t="str">
        <f ca="1">IFERROR(__xludf.DUMMYFUNCTION("GOOGLETRANSLATE(A2289, ""zh"", ""en"")"),"This year, we solemnly celebrated the 100th anniversary of the founding of the Communist Party of China. In the study and education of Party history, we revisited our original aspirations and realized the beautiful vision of sustainable development of the"&amp;" enterprise.")</f>
        <v>This year, we solemnly celebrated the 100th anniversary of the founding of the Communist Party of China. In the study and education of Party history, we revisited our original aspirations and realized the beautiful vision of sustainable development of the enterprise.</v>
      </c>
      <c r="B2289" s="1" t="str">
        <f ca="1">IFERROR(__xludf.DUMMYFUNCTION("GOOGLETRANSLATE(A2289, ""zh"", ""en"")"),"irrelevant text")</f>
        <v>irrelevant text</v>
      </c>
      <c r="C2289" s="1" t="str">
        <f ca="1">IFERROR(__xludf.DUMMYFUNCTION("GOOGLETRANSLATE(E2289, ""zh"", ""en"")"),"irrelevant text")</f>
        <v>irrelevant text</v>
      </c>
    </row>
    <row r="2290" spans="1:3" ht="13" x14ac:dyDescent="0.15">
      <c r="A2290" s="1" t="str">
        <f ca="1">IFERROR(__xludf.DUMMYFUNCTION("GOOGLETRANSLATE(A2290, ""zh"", ""en"")"),"The Group needs to further promote low-carbon transformation and invest funds to carry out low-carbon technology research and development, improve energy structure and optimize energy-using equipment, which will lead to an increase in the Group's operatin"&amp;"g costs.")</f>
        <v>The Group needs to further promote low-carbon transformation and invest funds to carry out low-carbon technology research and development, improve energy structure and optimize energy-using equipment, which will lead to an increase in the Group's operating costs.</v>
      </c>
      <c r="B2290" s="1" t="str">
        <f ca="1">IFERROR(__xludf.DUMMYFUNCTION("GOOGLETRANSLATE(A2290, ""zh"", ""en"")"),"carbon emissions")</f>
        <v>carbon emissions</v>
      </c>
      <c r="C2290" s="1" t="str">
        <f ca="1">IFERROR(__xludf.DUMMYFUNCTION("GOOGLETRANSLATE(E2290, ""zh"", ""en"")"),"Qualitative text")</f>
        <v>Qualitative text</v>
      </c>
    </row>
    <row r="2291" spans="1:3" ht="13" x14ac:dyDescent="0.15">
      <c r="A2291" s="1" t="str">
        <f ca="1">IFERROR(__xludf.DUMMYFUNCTION("GOOGLETRANSLATE(A2291, ""zh"", ""en"")"),"In 2022, we revised the drug recall management regulations based on the latest drug recall management regulations and added recall requirements for clinical trial drugs.")</f>
        <v>In 2022, we revised the drug recall management regulations based on the latest drug recall management regulations and added recall requirements for clinical trial drugs.</v>
      </c>
      <c r="B2291" s="1" t="str">
        <f ca="1">IFERROR(__xludf.DUMMYFUNCTION("GOOGLETRANSLATE(A2291, ""zh"", ""en"")"),"Product quality")</f>
        <v>Product quality</v>
      </c>
      <c r="C2291" s="1" t="str">
        <f ca="1">IFERROR(__xludf.DUMMYFUNCTION("GOOGLETRANSLATE(E2291, ""zh"", ""en"")"),"Qualitative text")</f>
        <v>Qualitative text</v>
      </c>
    </row>
    <row r="2292" spans="1:3" ht="13" x14ac:dyDescent="0.15">
      <c r="A2292" s="1" t="str">
        <f ca="1">IFERROR(__xludf.DUMMYFUNCTION("GOOGLETRANSLATE(A2292, ""zh"", ""en"")"),"The Cybersecurity Emergency Response Center (SSRC) conducts penetration testing on newly built information systems of centralized Internet application systems to identify security risks and promptly rectify them.")</f>
        <v>The Cybersecurity Emergency Response Center (SSRC) conducts penetration testing on newly built information systems of centralized Internet application systems to identify security risks and promptly rectify them.</v>
      </c>
      <c r="B2292" s="1" t="str">
        <f ca="1">IFERROR(__xludf.DUMMYFUNCTION("GOOGLETRANSLATE(A2292, ""zh"", ""en"")"),"Data security")</f>
        <v>Data security</v>
      </c>
      <c r="C2292" s="1" t="str">
        <f ca="1">IFERROR(__xludf.DUMMYFUNCTION("GOOGLETRANSLATE(E2292, ""zh"", ""en"")"),"Qualitative text")</f>
        <v>Qualitative text</v>
      </c>
    </row>
    <row r="2293" spans="1:3" ht="13" x14ac:dyDescent="0.15">
      <c r="A2293" s="1" t="str">
        <f ca="1">IFERROR(__xludf.DUMMYFUNCTION("GOOGLETRANSLATE(A2293, ""zh"", ""en"")"),"02Jinshi Company 21On November 30, 2022, the 11th Zhejiang Filial Piety Selection List was grandly announced. Wuchan Zhongda Jinshi was honored as one of the top ten filial piety enterprises in Zhejiang.")</f>
        <v>02Jinshi Company 21On November 30, 2022, the 11th Zhejiang Filial Piety Selection List was grandly announced. Wuchan Zhongda Jinshi was honored as one of the top ten filial piety enterprises in Zhejiang.</v>
      </c>
      <c r="B2293" s="1" t="str">
        <f ca="1">IFERROR(__xludf.DUMMYFUNCTION("GOOGLETRANSLATE(A2293, ""zh"", ""en"")"),"Public welfare and volunteer service")</f>
        <v>Public welfare and volunteer service</v>
      </c>
      <c r="C2293" s="1" t="str">
        <f ca="1">IFERROR(__xludf.DUMMYFUNCTION("GOOGLETRANSLATE(E2293, ""zh"", ""en"")"),"Quantitative Text")</f>
        <v>Quantitative Text</v>
      </c>
    </row>
    <row r="2294" spans="1:3" ht="13" x14ac:dyDescent="0.15">
      <c r="A2294" s="1" t="str">
        <f ca="1">IFERROR(__xludf.DUMMYFUNCTION("GOOGLETRANSLATE(A2294, ""zh"", ""en"")"),"In addition, we continue to pay attention to the latest industry requirements on product quality and stakeholders' expectations, and entrust qualified third-party organizations to conduct quality testing when necessary.")</f>
        <v>In addition, we continue to pay attention to the latest industry requirements on product quality and stakeholders' expectations, and entrust qualified third-party organizations to conduct quality testing when necessary.</v>
      </c>
      <c r="B2294" s="1" t="str">
        <f ca="1">IFERROR(__xludf.DUMMYFUNCTION("GOOGLETRANSLATE(A2294, ""zh"", ""en"")"),"Product quality")</f>
        <v>Product quality</v>
      </c>
      <c r="C2294" s="1" t="str">
        <f ca="1">IFERROR(__xludf.DUMMYFUNCTION("GOOGLETRANSLATE(E2294, ""zh"", ""en"")"),"Qualitative text")</f>
        <v>Qualitative text</v>
      </c>
    </row>
    <row r="2295" spans="1:3" ht="13" x14ac:dyDescent="0.15">
      <c r="A2295" s="1" t="str">
        <f ca="1">IFERROR(__xludf.DUMMYFUNCTION("GOOGLETRANSLATE(A2295, ""zh"", ""en"")"),"Adhere to the democratic management system of factory affairs disclosure, highlight the work functions of the Party collective agreement, the leadership of the committee, the administrative body, and the supervision of the disciplinary committee, and comp"&amp;"rehensively optimize the environmental quality of factory affairs disclosure.")</f>
        <v>Adhere to the democratic management system of factory affairs disclosure, highlight the work functions of the Party collective agreement, the leadership of the committee, the administrative body, and the supervision of the disciplinary committee, and comprehensively optimize the environmental quality of factory affairs disclosure.</v>
      </c>
      <c r="B2295" s="1" t="str">
        <f ca="1">IFERROR(__xludf.DUMMYFUNCTION("GOOGLETRANSLATE(A2295, ""zh"", ""en"")"),"Organizational structure and operations")</f>
        <v>Organizational structure and operations</v>
      </c>
      <c r="C2295" s="1" t="str">
        <f ca="1">IFERROR(__xludf.DUMMYFUNCTION("GOOGLETRANSLATE(E2295, ""zh"", ""en"")"),"Qualitative text")</f>
        <v>Qualitative text</v>
      </c>
    </row>
    <row r="2296" spans="1:3" ht="13" x14ac:dyDescent="0.15">
      <c r="A2296" s="1" t="str">
        <f ca="1">IFERROR(__xludf.DUMMYFUNCTION("GOOGLETRANSLATE(A2296, ""zh"", ""en"")"),"In addition, the confirmatory phase III clinical trial of Kangyuan Tobramycin Inhalation Solution is the first randomized, double-blind, multi-center, large-sample clinical study of bronchiectasis in China.")</f>
        <v>In addition, the confirmatory phase III clinical trial of Kangyuan Tobramycin Inhalation Solution is the first randomized, double-blind, multi-center, large-sample clinical study of bronchiectasis in China.</v>
      </c>
      <c r="B2296" s="1" t="str">
        <f ca="1">IFERROR(__xludf.DUMMYFUNCTION("GOOGLETRANSLATE(A2296, ""zh"", ""en"")"),"Product quality")</f>
        <v>Product quality</v>
      </c>
      <c r="C2296" s="1" t="str">
        <f ca="1">IFERROR(__xludf.DUMMYFUNCTION("GOOGLETRANSLATE(E2296, ""zh"", ""en"")"),"Qualitative text")</f>
        <v>Qualitative text</v>
      </c>
    </row>
    <row r="2297" spans="1:3" ht="13" x14ac:dyDescent="0.15">
      <c r="A2297" s="1" t="str">
        <f ca="1">IFERROR(__xludf.DUMMYFUNCTION("GOOGLETRANSLATE(A2297, ""zh"", ""en"")"),"China National Petroleum Corporation fully implemented the consumer support and empowerment action plan to support farmers at gas stations. It purchased 444 million yuan of support products throughout the year and helped sell 756 million yuan of support p"&amp;"roducts.")</f>
        <v>China National Petroleum Corporation fully implemented the consumer support and empowerment action plan to support farmers at gas stations. It purchased 444 million yuan of support products throughout the year and helped sell 756 million yuan of support products.</v>
      </c>
      <c r="B2297" s="1" t="str">
        <f ca="1">IFERROR(__xludf.DUMMYFUNCTION("GOOGLETRANSLATE(A2297, ""zh"", ""en"")"),"Rural assistance")</f>
        <v>Rural assistance</v>
      </c>
      <c r="C2297" s="1" t="str">
        <f ca="1">IFERROR(__xludf.DUMMYFUNCTION("GOOGLETRANSLATE(E2297, ""zh"", ""en"")"),"Quantitative Text")</f>
        <v>Quantitative Text</v>
      </c>
    </row>
    <row r="2298" spans="1:3" ht="13" x14ac:dyDescent="0.15">
      <c r="A2298" s="1" t="str">
        <f ca="1">IFERROR(__xludf.DUMMYFUNCTION("GOOGLETRANSLATE(A2298, ""zh"", ""en"")"),"Continuous research and improvement from the dimensions of energy consumption level, energy-saving port capacity and energy-saving direction in 2021 provide a scientific basis for the promotion of energy-saving technologies and the improvement of energy u"&amp;"tilization rate.")</f>
        <v>Continuous research and improvement from the dimensions of energy consumption level, energy-saving port capacity and energy-saving direction in 2021 provide a scientific basis for the promotion of energy-saving technologies and the improvement of energy utilization rate.</v>
      </c>
      <c r="B2298" s="1" t="str">
        <f ca="1">IFERROR(__xludf.DUMMYFUNCTION("GOOGLETRANSLATE(A2298, ""zh"", ""en"")"),"Energy and resource consumption")</f>
        <v>Energy and resource consumption</v>
      </c>
      <c r="C2298" s="1" t="str">
        <f ca="1">IFERROR(__xludf.DUMMYFUNCTION("GOOGLETRANSLATE(E2298, ""zh"", ""en"")"),"Qualitative text")</f>
        <v>Qualitative text</v>
      </c>
    </row>
    <row r="2299" spans="1:3" ht="13" x14ac:dyDescent="0.15">
      <c r="A2299" s="1" t="str">
        <f ca="1">IFERROR(__xludf.DUMMYFUNCTION("GOOGLETRANSLATE(A2299, ""zh"", ""en"")"),"To prevent supply chain stability risks such as product out-of-stock and supplier shortages, Jiaozuo Kangyuan is actively seeking solutions to comprehensively mitigate supply chain stability risks.")</f>
        <v>To prevent supply chain stability risks such as product out-of-stock and supplier shortages, Jiaozuo Kangyuan is actively seeking solutions to comprehensively mitigate supply chain stability risks.</v>
      </c>
      <c r="B2299" s="1" t="str">
        <f ca="1">IFERROR(__xludf.DUMMYFUNCTION("GOOGLETRANSLATE(A2299, ""zh"", ""en"")"),"supply chain management")</f>
        <v>supply chain management</v>
      </c>
      <c r="C2299" s="1" t="str">
        <f ca="1">IFERROR(__xludf.DUMMYFUNCTION("GOOGLETRANSLATE(E2299, ""zh"", ""en"")"),"Qualitative text")</f>
        <v>Qualitative text</v>
      </c>
    </row>
    <row r="2300" spans="1:3" ht="13" x14ac:dyDescent="0.15">
      <c r="A2300" s="1" t="str">
        <f ca="1">IFERROR(__xludf.DUMMYFUNCTION("GOOGLETRANSLATE(A2300, ""zh"", ""en"")"),"The company's articles of association specify the decision-making procedures and mechanisms for profit distribution, especially cash dividends, and its profit distribution policy, especially its cash dividend policy, and other related content.")</f>
        <v>The company's articles of association specify the decision-making procedures and mechanisms for profit distribution, especially cash dividends, and its profit distribution policy, especially its cash dividend policy, and other related content.</v>
      </c>
      <c r="B2300" s="1" t="str">
        <f ca="1">IFERROR(__xludf.DUMMYFUNCTION("GOOGLETRANSLATE(A2300, ""zh"", ""en"")"),"Shareholder and creditor rights")</f>
        <v>Shareholder and creditor rights</v>
      </c>
      <c r="C2300" s="1" t="str">
        <f ca="1">IFERROR(__xludf.DUMMYFUNCTION("GOOGLETRANSLATE(E2300, ""zh"", ""en"")"),"Qualitative text")</f>
        <v>Qualitative text</v>
      </c>
    </row>
    <row r="2301" spans="1:3" ht="13" x14ac:dyDescent="0.15">
      <c r="A2301" s="1" t="str">
        <f ca="1">IFERROR(__xludf.DUMMYFUNCTION("GOOGLETRANSLATE(A2301, ""zh"", ""en"")"),"To support industrial revitalization, the company will support the training of over 200,000 grassroots cadres, rural revitalization leaders, and professional and technical personnel in 2022, laying a talent foundation for rural revitalization.")</f>
        <v>To support industrial revitalization, the company will support the training of over 200,000 grassroots cadres, rural revitalization leaders, and professional and technical personnel in 2022, laying a talent foundation for rural revitalization.</v>
      </c>
      <c r="B2301" s="1" t="str">
        <f ca="1">IFERROR(__xludf.DUMMYFUNCTION("GOOGLETRANSLATE(A2301, ""zh"", ""en"")"),"staff")</f>
        <v>staff</v>
      </c>
      <c r="C2301" s="1" t="str">
        <f ca="1">IFERROR(__xludf.DUMMYFUNCTION("GOOGLETRANSLATE(E2301, ""zh"", ""en"")"),"Quantitative Text")</f>
        <v>Quantitative Text</v>
      </c>
    </row>
    <row r="2302" spans="1:3" ht="13" x14ac:dyDescent="0.15">
      <c r="A2302" s="1" t="str">
        <f ca="1">IFERROR(__xludf.DUMMYFUNCTION("GOOGLETRANSLATE(A2302, ""zh"", ""en"")"),"The Green Lemon Plan Intelligent Manufacturing Star adopts a 36 model for core positions to provide diversified and differentiated training for employees in different tracks and launches three major projects: Star Glory, Star Brilliance, and Sparkle.")</f>
        <v>The Green Lemon Plan Intelligent Manufacturing Star adopts a 36 model for core positions to provide diversified and differentiated training for employees in different tracks and launches three major projects: Star Glory, Star Brilliance, and Sparkle.</v>
      </c>
      <c r="B2302" s="1" t="str">
        <f ca="1">IFERROR(__xludf.DUMMYFUNCTION("GOOGLETRANSLATE(A2302, ""zh"", ""en"")"),"staff")</f>
        <v>staff</v>
      </c>
      <c r="C2302" s="1" t="str">
        <f ca="1">IFERROR(__xludf.DUMMYFUNCTION("GOOGLETRANSLATE(E2302, ""zh"", ""en"")"),"Qualitative text")</f>
        <v>Qualitative text</v>
      </c>
    </row>
    <row r="2303" spans="1:3" ht="13" x14ac:dyDescent="0.15">
      <c r="A2303" s="1" t="str">
        <f ca="1">IFERROR(__xludf.DUMMYFUNCTION("GOOGLETRANSLATE(A2303, ""zh"", ""en"")"),"Over the past year, Renmin Pharmaceutical has focused on building independent R&amp;D capabilities, constructing R&amp;D platforms, strengthening its R&amp;D team, overcoming technical difficulties, and achieving new progress in innovative and generic drugs.")</f>
        <v>Over the past year, Renmin Pharmaceutical has focused on building independent R&amp;D capabilities, constructing R&amp;D platforms, strengthening its R&amp;D team, overcoming technical difficulties, and achieving new progress in innovative and generic drugs.</v>
      </c>
      <c r="B2303" s="1" t="str">
        <f ca="1">IFERROR(__xludf.DUMMYFUNCTION("GOOGLETRANSLATE(A2303, ""zh"", ""en"")"),"Technological innovation")</f>
        <v>Technological innovation</v>
      </c>
      <c r="C2303" s="1" t="str">
        <f ca="1">IFERROR(__xludf.DUMMYFUNCTION("GOOGLETRANSLATE(E2303, ""zh"", ""en"")"),"Qualitative text")</f>
        <v>Qualitative text</v>
      </c>
    </row>
    <row r="2304" spans="1:3" ht="13" x14ac:dyDescent="0.15">
      <c r="A2304" s="1" t="str">
        <f ca="1">IFERROR(__xludf.DUMMYFUNCTION("GOOGLETRANSLATE(A2304, ""zh"", ""en"")"),"Faced with an increasingly complex external environment and the new situation of energy transformation and development, COSL fully and accurately implements the new development concept and actively serves and integrates into the new development pattern.")</f>
        <v>Faced with an increasingly complex external environment and the new situation of energy transformation and development, COSL fully and accurately implements the new development concept and actively serves and integrates into the new development pattern.</v>
      </c>
      <c r="B2304" s="1" t="str">
        <f ca="1">IFERROR(__xludf.DUMMYFUNCTION("GOOGLETRANSLATE(A2304, ""zh"", ""en"")"),"Energy and resource consumption")</f>
        <v>Energy and resource consumption</v>
      </c>
      <c r="C2304" s="1" t="str">
        <f ca="1">IFERROR(__xludf.DUMMYFUNCTION("GOOGLETRANSLATE(E2304, ""zh"", ""en"")"),"Qualitative text")</f>
        <v>Qualitative text</v>
      </c>
    </row>
    <row r="2305" spans="1:3" ht="13" x14ac:dyDescent="0.15">
      <c r="A2305" s="1" t="str">
        <f ca="1">IFERROR(__xludf.DUMMYFUNCTION("GOOGLETRANSLATE(A2305, ""zh"", ""en"")"),"The central region refers to the following areas where the first-level branches and audit institutions of China Construction Bank are located: Shanxi Province, Hubei Province, Henan Province, Hunan Province, Jiangxi Province, Hainan Province, Anhui Provin"&amp;"ce")</f>
        <v>The central region refers to the following areas where the first-level branches and audit institutions of China Construction Bank are located: Shanxi Province, Hubei Province, Henan Province, Hunan Province, Jiangxi Province, Hainan Province, Anhui Province</v>
      </c>
      <c r="B2305" s="1" t="str">
        <f ca="1">IFERROR(__xludf.DUMMYFUNCTION("GOOGLETRANSLATE(A2305, ""zh"", ""en"")"),"Audit work")</f>
        <v>Audit work</v>
      </c>
      <c r="C2305" s="1" t="str">
        <f ca="1">IFERROR(__xludf.DUMMYFUNCTION("GOOGLETRANSLATE(E2305, ""zh"", ""en"")"),"Qualitative text")</f>
        <v>Qualitative text</v>
      </c>
    </row>
    <row r="2306" spans="1:3" ht="13" x14ac:dyDescent="0.15">
      <c r="A2306" s="1" t="str">
        <f ca="1">IFERROR(__xludf.DUMMYFUNCTION("GOOGLETRANSLATE(A2306, ""zh"", ""en"")"),"Renmin Pharmaceutical is firmly committed to innovation-driven development and is actively playing a leading role in its areas of strength. Focusing on its core product lines, it continues to target cutting-edge fields to develop more new and effective dr"&amp;"ugs.")</f>
        <v>Renmin Pharmaceutical is firmly committed to innovation-driven development and is actively playing a leading role in its areas of strength. Focusing on its core product lines, it continues to target cutting-edge fields to develop more new and effective drugs.</v>
      </c>
      <c r="B2306" s="1" t="str">
        <f ca="1">IFERROR(__xludf.DUMMYFUNCTION("GOOGLETRANSLATE(A2306, ""zh"", ""en"")"),"Technological innovation")</f>
        <v>Technological innovation</v>
      </c>
      <c r="C2306" s="1" t="str">
        <f ca="1">IFERROR(__xludf.DUMMYFUNCTION("GOOGLETRANSLATE(E2306, ""zh"", ""en"")"),"Qualitative text")</f>
        <v>Qualitative text</v>
      </c>
    </row>
    <row r="2307" spans="1:3" ht="13" x14ac:dyDescent="0.15">
      <c r="A2307" s="1" t="str">
        <f ca="1">IFERROR(__xludf.DUMMYFUNCTION("GOOGLETRANSLATE(A2307, ""zh"", ""en"")"),"In 2022, Yichang Renfu commissioned the Guangdong Quality Association User Evaluation Center to conduct an annual satisfaction survey on indicators such as customer perception of the company's brand products and service quality.")</f>
        <v>In 2022, Yichang Renfu commissioned the Guangdong Quality Association User Evaluation Center to conduct an annual satisfaction survey on indicators such as customer perception of the company's brand products and service quality.</v>
      </c>
      <c r="B2307" s="1" t="str">
        <f ca="1">IFERROR(__xludf.DUMMYFUNCTION("GOOGLETRANSLATE(A2307, ""zh"", ""en"")"),"Customers and Consumers")</f>
        <v>Customers and Consumers</v>
      </c>
      <c r="C2307" s="1" t="str">
        <f ca="1">IFERROR(__xludf.DUMMYFUNCTION("GOOGLETRANSLATE(E2307, ""zh"", ""en"")"),"Qualitative text")</f>
        <v>Qualitative text</v>
      </c>
    </row>
    <row r="2308" spans="1:3" ht="13" x14ac:dyDescent="0.15">
      <c r="A2308" s="1" t="str">
        <f ca="1">IFERROR(__xludf.DUMMYFUNCTION("GOOGLETRANSLATE(A2308, ""zh"", ""en"")"),"At the same time, we will continue to promote carbon verification projects, enhance information disclosure transparency, lay the foundation for setting corporate carbon neutrality goals in the future, and promote the low-carbon transformation of enterpris"&amp;"es and society.")</f>
        <v>At the same time, we will continue to promote carbon verification projects, enhance information disclosure transparency, lay the foundation for setting corporate carbon neutrality goals in the future, and promote the low-carbon transformation of enterprises and society.</v>
      </c>
      <c r="B2308" s="1" t="str">
        <f ca="1">IFERROR(__xludf.DUMMYFUNCTION("GOOGLETRANSLATE(A2308, ""zh"", ""en"")"),"carbon emissions")</f>
        <v>carbon emissions</v>
      </c>
      <c r="C2308" s="1" t="str">
        <f ca="1">IFERROR(__xludf.DUMMYFUNCTION("GOOGLETRANSLATE(E2308, ""zh"", ""en"")"),"Qualitative text")</f>
        <v>Qualitative text</v>
      </c>
    </row>
    <row r="2309" spans="1:3" ht="13" x14ac:dyDescent="0.15">
      <c r="A2309" s="1" t="str">
        <f ca="1">IFERROR(__xludf.DUMMYFUNCTION("GOOGLETRANSLATE(A2309, ""zh"", ""en"")"),"Every year before the Mid-Autumn Festival and other holidays, we publish a supplier integrity reminder letter in the form of a pop-up window on the Haidayuan platform system, forcing all suppliers to provide signed feedback.")</f>
        <v>Every year before the Mid-Autumn Festival and other holidays, we publish a supplier integrity reminder letter in the form of a pop-up window on the Haidayuan platform system, forcing all suppliers to provide signed feedback.</v>
      </c>
      <c r="B2309" s="1" t="str">
        <f ca="1">IFERROR(__xludf.DUMMYFUNCTION("GOOGLETRANSLATE(A2309, ""zh"", ""en"")"),"Anti-corruption and anti-money laundering")</f>
        <v>Anti-corruption and anti-money laundering</v>
      </c>
      <c r="C2309" s="1" t="str">
        <f ca="1">IFERROR(__xludf.DUMMYFUNCTION("GOOGLETRANSLATE(E2309, ""zh"", ""en"")"),"Qualitative text")</f>
        <v>Qualitative text</v>
      </c>
    </row>
    <row r="2310" spans="1:3" ht="13" x14ac:dyDescent="0.15">
      <c r="A2310" s="1" t="str">
        <f ca="1">IFERROR(__xludf.DUMMYFUNCTION("GOOGLETRANSLATE(A2310, ""zh"", ""en"")"),"On February 8, 2023, Sinopec signed a five-year work plan framework agreement with the People's Government of Dongxiang Autonomous County, Linxia Prefecture, Gansu Province, to support Dongxiang County.")</f>
        <v>On February 8, 2023, Sinopec signed a five-year work plan framework agreement with the People's Government of Dongxiang Autonomous County, Linxia Prefecture, Gansu Province, to support Dongxiang County.</v>
      </c>
      <c r="B2310" s="1" t="str">
        <f ca="1">IFERROR(__xludf.DUMMYFUNCTION("GOOGLETRANSLATE(A2310, ""zh"", ""en"")"),"Rural assistance")</f>
        <v>Rural assistance</v>
      </c>
      <c r="C2310" s="1" t="str">
        <f ca="1">IFERROR(__xludf.DUMMYFUNCTION("GOOGLETRANSLATE(E2310, ""zh"", ""en"")"),"Qualitative text")</f>
        <v>Qualitative text</v>
      </c>
    </row>
    <row r="2311" spans="1:3" ht="13" x14ac:dyDescent="0.15">
      <c r="A2311" s="1" t="str">
        <f ca="1">IFERROR(__xludf.DUMMYFUNCTION("GOOGLETRANSLATE(A2311, ""zh"", ""en"")"),"In 2022, we conducted on-site audits on 221 Tier III suppliers and new suppliers, of which 58 had some issues but no major non-conformities.")</f>
        <v>In 2022, we conducted on-site audits on 221 Tier III suppliers and new suppliers, of which 58 had some issues but no major non-conformities.</v>
      </c>
      <c r="B2311" s="1" t="str">
        <f ca="1">IFERROR(__xludf.DUMMYFUNCTION("GOOGLETRANSLATE(A2311, ""zh"", ""en"")"),"supply chain management")</f>
        <v>supply chain management</v>
      </c>
      <c r="C2311" s="1" t="str">
        <f ca="1">IFERROR(__xludf.DUMMYFUNCTION("GOOGLETRANSLATE(E2311, ""zh"", ""en"")"),"Quantitative Text")</f>
        <v>Quantitative Text</v>
      </c>
    </row>
    <row r="2312" spans="1:3" ht="13" x14ac:dyDescent="0.15">
      <c r="A2312" s="1" t="str">
        <f ca="1">IFERROR(__xludf.DUMMYFUNCTION("GOOGLETRANSLATE(A2312, ""zh"", ""en"")"),"Maker Training Camp Employees' Voices We always listen to our employees' voices sincerely and ensure that the issues that employees are concerned about are promptly fed back and resolved through online and offline communication channels.")</f>
        <v>Maker Training Camp Employees' Voices We always listen to our employees' voices sincerely and ensure that the issues that employees are concerned about are promptly fed back and resolved through online and offline communication channels.</v>
      </c>
      <c r="B2312" s="1" t="str">
        <f ca="1">IFERROR(__xludf.DUMMYFUNCTION("GOOGLETRANSLATE(A2312, ""zh"", ""en"")"),"staff")</f>
        <v>staff</v>
      </c>
      <c r="C2312" s="1" t="str">
        <f ca="1">IFERROR(__xludf.DUMMYFUNCTION("GOOGLETRANSLATE(E2312, ""zh"", ""en"")"),"Qualitative text")</f>
        <v>Qualitative text</v>
      </c>
    </row>
    <row r="2313" spans="1:3" ht="13" x14ac:dyDescent="0.15">
      <c r="A2313" s="1" t="str">
        <f ca="1">IFERROR(__xludf.DUMMYFUNCTION("GOOGLETRANSLATE(A2313, ""zh"", ""en"")"),"Listen to the cybersecurity risk report every six months to gain detailed understanding of the bank's cybersecurity governance, cybersecurity risk situation analysis, cybersecurity risk management, and next steps")</f>
        <v>Listen to the cybersecurity risk report every six months to gain detailed understanding of the bank's cybersecurity governance, cybersecurity risk situation analysis, cybersecurity risk management, and next steps</v>
      </c>
      <c r="B2313" s="1" t="str">
        <f ca="1">IFERROR(__xludf.DUMMYFUNCTION("GOOGLETRANSLATE(A2313, ""zh"", ""en"")"),"Data security")</f>
        <v>Data security</v>
      </c>
      <c r="C2313" s="1" t="str">
        <f ca="1">IFERROR(__xludf.DUMMYFUNCTION("GOOGLETRANSLATE(E2313, ""zh"", ""en"")"),"Qualitative text")</f>
        <v>Qualitative text</v>
      </c>
    </row>
    <row r="2314" spans="1:3" ht="13" x14ac:dyDescent="0.15">
      <c r="A2314" s="1" t="str">
        <f ca="1">IFERROR(__xludf.DUMMYFUNCTION("GOOGLETRANSLATE(A2314, ""zh"", ""en"")"),"The data encryption function can realize the access control of core documents such as R&amp;D regulations and quality, and realize the refinement, standardization and informatization of company document management.")</f>
        <v>The data encryption function can realize the access control of core documents such as R&amp;D regulations and quality, and realize the refinement, standardization and informatization of company document management.</v>
      </c>
      <c r="B2314" s="1" t="str">
        <f ca="1">IFERROR(__xludf.DUMMYFUNCTION("GOOGLETRANSLATE(A2314, ""zh"", ""en"")"),"Data security")</f>
        <v>Data security</v>
      </c>
      <c r="C2314" s="1" t="str">
        <f ca="1">IFERROR(__xludf.DUMMYFUNCTION("GOOGLETRANSLATE(E2314, ""zh"", ""en"")"),"Qualitative text")</f>
        <v>Qualitative text</v>
      </c>
    </row>
    <row r="2315" spans="1:3" ht="13" x14ac:dyDescent="0.15">
      <c r="A2315" s="1" t="str">
        <f ca="1">IFERROR(__xludf.DUMMYFUNCTION("GOOGLETRANSLATE(A2315, ""zh"", ""en"")"),"We promote variable frequency speed regulation and power saving technology for high energy consumption motors and transform them into fans, pumps, compressors and other equipment under reasonable technical and economic indicators.")</f>
        <v>We promote variable frequency speed regulation and power saving technology for high energy consumption motors and transform them into fans, pumps, compressors and other equipment under reasonable technical and economic indicators.</v>
      </c>
      <c r="B2315" s="1" t="str">
        <f ca="1">IFERROR(__xludf.DUMMYFUNCTION("GOOGLETRANSLATE(A2315, ""zh"", ""en"")"),"Energy and resource consumption")</f>
        <v>Energy and resource consumption</v>
      </c>
      <c r="C2315" s="1" t="str">
        <f ca="1">IFERROR(__xludf.DUMMYFUNCTION("GOOGLETRANSLATE(E2315, ""zh"", ""en"")"),"Qualitative text")</f>
        <v>Qualitative text</v>
      </c>
    </row>
    <row r="2316" spans="1:3" ht="13" x14ac:dyDescent="0.15">
      <c r="A2316" s="1" t="str">
        <f ca="1">IFERROR(__xludf.DUMMYFUNCTION("GOOGLETRANSLATE(A2316, ""zh"", ""en"")"),"You can visit the company's website www.petrochina.com.cn to browse or download the electronic version of this report and learn more relevant information")</f>
        <v>You can visit the company's website www.petrochina.com.cn to browse or download the electronic version of this report and learn more relevant information</v>
      </c>
      <c r="B2316" s="1" t="str">
        <f ca="1">IFERROR(__xludf.DUMMYFUNCTION("GOOGLETRANSLATE(A2316, ""zh"", ""en"")"),"irrelevant text")</f>
        <v>irrelevant text</v>
      </c>
      <c r="C2316" s="1" t="str">
        <f ca="1">IFERROR(__xludf.DUMMYFUNCTION("GOOGLETRANSLATE(E2316, ""zh"", ""en"")"),"irrelevant text")</f>
        <v>irrelevant text</v>
      </c>
    </row>
    <row r="2317" spans="1:3" ht="13" x14ac:dyDescent="0.15">
      <c r="A2317" s="1" t="str">
        <f ca="1">IFERROR(__xludf.DUMMYFUNCTION("GOOGLETRANSLATE(A2317, ""zh"", ""en"")"),"The Integrity Rating Expert Committee systematically disclosed the industry's core indicators from perspectives such as primary responsibility, environmental responsibility, and community, with a score of 80.69, which shows leading integrity performance.")</f>
        <v>The Integrity Rating Expert Committee systematically disclosed the industry's core indicators from perspectives such as primary responsibility, environmental responsibility, and community, with a score of 80.69, which shows leading integrity performance.</v>
      </c>
      <c r="B2317" s="1" t="str">
        <f ca="1">IFERROR(__xludf.DUMMYFUNCTION("GOOGLETRANSLATE(A2317, ""zh"", ""en"")"),"Information Disclosure and Investor Communication")</f>
        <v>Information Disclosure and Investor Communication</v>
      </c>
      <c r="C2317" s="1" t="str">
        <f ca="1">IFERROR(__xludf.DUMMYFUNCTION("GOOGLETRANSLATE(E2317, ""zh"", ""en"")"),"Quantitative Text")</f>
        <v>Quantitative Text</v>
      </c>
    </row>
    <row r="2318" spans="1:3" ht="13" x14ac:dyDescent="0.15">
      <c r="A2318" s="1" t="str">
        <f ca="1">IFERROR(__xludf.DUMMYFUNCTION("GOOGLETRANSLATE(A2318, ""zh"", ""en"")"),"CITIC Securities is collaborating with some commercial banks on green finance products, including structured deposits linked to ESG indices and green finance-themed bank wealth management products.")</f>
        <v>CITIC Securities is collaborating with some commercial banks on green finance products, including structured deposits linked to ESG indices and green finance-themed bank wealth management products.</v>
      </c>
      <c r="B2318" s="1" t="str">
        <f ca="1">IFERROR(__xludf.DUMMYFUNCTION("GOOGLETRANSLATE(A2318, ""zh"", ""en"")"),"Green Finance")</f>
        <v>Green Finance</v>
      </c>
      <c r="C2318" s="1" t="str">
        <f ca="1">IFERROR(__xludf.DUMMYFUNCTION("GOOGLETRANSLATE(E2318, ""zh"", ""en"")"),"Qualitative text")</f>
        <v>Qualitative text</v>
      </c>
    </row>
    <row r="2319" spans="1:3" ht="13" x14ac:dyDescent="0.15">
      <c r="A2319" s="1" t="str">
        <f ca="1">IFERROR(__xludf.DUMMYFUNCTION("GOOGLETRANSLATE(A2319, ""zh"", ""en"")"),"Since 2009, the company's Brand and Public Relations Department has been responsible for publishing the Corporate Social Responsibility Report every year, promoting the continuous improvement of corporate social responsibility and public welfare project m"&amp;"anagement.")</f>
        <v>Since 2009, the company's Brand and Public Relations Department has been responsible for publishing the Corporate Social Responsibility Report every year, promoting the continuous improvement of corporate social responsibility and public welfare project management.</v>
      </c>
      <c r="B2319" s="1" t="str">
        <f ca="1">IFERROR(__xludf.DUMMYFUNCTION("GOOGLETRANSLATE(A2319, ""zh"", ""en"")"),"Public welfare and volunteer service")</f>
        <v>Public welfare and volunteer service</v>
      </c>
      <c r="C2319" s="1" t="str">
        <f ca="1">IFERROR(__xludf.DUMMYFUNCTION("GOOGLETRANSLATE(E2319, ""zh"", ""en"")"),"Qualitative text")</f>
        <v>Qualitative text</v>
      </c>
    </row>
    <row r="2320" spans="1:3" ht="13" x14ac:dyDescent="0.15">
      <c r="A2320" s="1" t="str">
        <f ca="1">IFERROR(__xludf.DUMMYFUNCTION("GOOGLETRANSLATE(A2320, ""zh"", ""en"")"),"We were also invited to join the National Association of Financial Market Institutional Investors' Carbon Emission Trading Standards Working Group and the Carbon Derivatives Working Group to actively participate in the development of the carbon derivative"&amp;"s market.")</f>
        <v>We were also invited to join the National Association of Financial Market Institutional Investors' Carbon Emission Trading Standards Working Group and the Carbon Derivatives Working Group to actively participate in the development of the carbon derivatives market.</v>
      </c>
      <c r="B2320" s="1" t="str">
        <f ca="1">IFERROR(__xludf.DUMMYFUNCTION("GOOGLETRANSLATE(A2320, ""zh"", ""en"")"),"carbon emissions")</f>
        <v>carbon emissions</v>
      </c>
      <c r="C2320" s="1" t="str">
        <f ca="1">IFERROR(__xludf.DUMMYFUNCTION("GOOGLETRANSLATE(E2320, ""zh"", ""en"")"),"Qualitative text")</f>
        <v>Qualitative text</v>
      </c>
    </row>
    <row r="2321" spans="1:3" ht="13" x14ac:dyDescent="0.15">
      <c r="A2321" s="1" t="str">
        <f ca="1">IFERROR(__xludf.DUMMYFUNCTION("GOOGLETRANSLATE(A2321, ""zh"", ""en"")"),"The project plans to establish funds and other financial innovation models to protect migratory bird migration routes, support biodiversity conservation, promote ecological and environmental development, and promote high-quality development in the new era"&amp;".")</f>
        <v>The project plans to establish funds and other financial innovation models to protect migratory bird migration routes, support biodiversity conservation, promote ecological and environmental development, and promote high-quality development in the new era.</v>
      </c>
      <c r="B2321" s="1" t="str">
        <f ca="1">IFERROR(__xludf.DUMMYFUNCTION("GOOGLETRANSLATE(A2321, ""zh"", ""en"")"),"biodiversity")</f>
        <v>biodiversity</v>
      </c>
      <c r="C2321" s="1" t="str">
        <f ca="1">IFERROR(__xludf.DUMMYFUNCTION("GOOGLETRANSLATE(E2321, ""zh"", ""en"")"),"Qualitative text")</f>
        <v>Qualitative text</v>
      </c>
    </row>
    <row r="2322" spans="1:3" ht="13" x14ac:dyDescent="0.15">
      <c r="A2322" s="1" t="str">
        <f ca="1">IFERROR(__xludf.DUMMYFUNCTION("GOOGLETRANSLATE(A2322, ""zh"", ""en"")"),"Case 512 Emergency Drill On May 12, 2022, Hisense Visual Huangdao Base invited the district fire brigade to the park for professional guidance and training on fire emergency response.")</f>
        <v>Case 512 Emergency Drill On May 12, 2022, Hisense Visual Huangdao Base invited the district fire brigade to the park for professional guidance and training on fire emergency response.</v>
      </c>
      <c r="B2322" s="1" t="str">
        <f ca="1">IFERROR(__xludf.DUMMYFUNCTION("GOOGLETRANSLATE(A2322, ""zh"", ""en"")"),"staff")</f>
        <v>staff</v>
      </c>
      <c r="C2322" s="1" t="str">
        <f ca="1">IFERROR(__xludf.DUMMYFUNCTION("GOOGLETRANSLATE(E2322, ""zh"", ""en"")"),"Qualitative text")</f>
        <v>Qualitative text</v>
      </c>
    </row>
    <row r="2323" spans="1:3" ht="13" x14ac:dyDescent="0.15">
      <c r="A2323" s="1" t="str">
        <f ca="1">IFERROR(__xludf.DUMMYFUNCTION("GOOGLETRANSLATE(A2323, ""zh"", ""en"")"),"Over its 27 years of development, CITIC Securities has shouldered the mission of serving the nation through finance, bravely innovated and made numerous contributions, forging a distinctive development path and corporate culture.")</f>
        <v>Over its 27 years of development, CITIC Securities has shouldered the mission of serving the nation through finance, bravely innovated and made numerous contributions, forging a distinctive development path and corporate culture.</v>
      </c>
      <c r="B2323" s="1" t="str">
        <f ca="1">IFERROR(__xludf.DUMMYFUNCTION("GOOGLETRANSLATE(A2323, ""zh"", ""en"")"),"Organizational structure and operations")</f>
        <v>Organizational structure and operations</v>
      </c>
      <c r="C2323" s="1" t="str">
        <f ca="1">IFERROR(__xludf.DUMMYFUNCTION("GOOGLETRANSLATE(E2323, ""zh"", ""en"")"),"Qualitative text")</f>
        <v>Qualitative text</v>
      </c>
    </row>
    <row r="2324" spans="1:3" ht="13" x14ac:dyDescent="0.15">
      <c r="A2324" s="1" t="str">
        <f ca="1">IFERROR(__xludf.DUMMYFUNCTION("GOOGLETRANSLATE(A2324, ""zh"", ""en"")"),"Establish a supplier tiered management system for suppliers to investigate and identify smelters step by step, and require smelters not to purchase minerals from conflict-affected and high-risk areas.")</f>
        <v>Establish a supplier tiered management system for suppliers to investigate and identify smelters step by step, and require smelters not to purchase minerals from conflict-affected and high-risk areas.</v>
      </c>
      <c r="B2324" s="1" t="str">
        <f ca="1">IFERROR(__xludf.DUMMYFUNCTION("GOOGLETRANSLATE(A2324, ""zh"", ""en"")"),"supply chain management")</f>
        <v>supply chain management</v>
      </c>
      <c r="C2324" s="1" t="str">
        <f ca="1">IFERROR(__xludf.DUMMYFUNCTION("GOOGLETRANSLATE(E2324, ""zh"", ""en"")"),"Qualitative text")</f>
        <v>Qualitative text</v>
      </c>
    </row>
    <row r="2325" spans="1:3" ht="13" x14ac:dyDescent="0.15">
      <c r="A2325" s="1" t="str">
        <f ca="1">IFERROR(__xludf.DUMMYFUNCTION("GOOGLETRANSLATE(A2325, ""zh"", ""en"")"),"We provide exclusive training courses for female employees on our online training platform, including courses on women's workplace teamwork, focus on solving new thinking, etc. to help female employees' career development.")</f>
        <v>We provide exclusive training courses for female employees on our online training platform, including courses on women's workplace teamwork, focus on solving new thinking, etc. to help female employees' career development.</v>
      </c>
      <c r="B2325" s="1" t="str">
        <f ca="1">IFERROR(__xludf.DUMMYFUNCTION("GOOGLETRANSLATE(A2325, ""zh"", ""en"")"),"staff")</f>
        <v>staff</v>
      </c>
      <c r="C2325" s="1" t="str">
        <f ca="1">IFERROR(__xludf.DUMMYFUNCTION("GOOGLETRANSLATE(E2325, ""zh"", ""en"")"),"Qualitative text")</f>
        <v>Qualitative text</v>
      </c>
    </row>
    <row r="2326" spans="1:3" ht="13" x14ac:dyDescent="0.15">
      <c r="A2326" s="1" t="str">
        <f ca="1">IFERROR(__xludf.DUMMYFUNCTION("GOOGLETRANSLATE(A2326, ""zh"", ""en"")"),"The company held a 2022 online investment and trading training camp for investment and trading talents within 2 years of joining the company, which promoted the improvement of the company's investment and trading business knowledge and skills.")</f>
        <v>The company held a 2022 online investment and trading training camp for investment and trading talents within 2 years of joining the company, which promoted the improvement of the company's investment and trading business knowledge and skills.</v>
      </c>
      <c r="B2326" s="1" t="str">
        <f ca="1">IFERROR(__xludf.DUMMYFUNCTION("GOOGLETRANSLATE(A2326, ""zh"", ""en"")"),"staff")</f>
        <v>staff</v>
      </c>
      <c r="C2326" s="1" t="str">
        <f ca="1">IFERROR(__xludf.DUMMYFUNCTION("GOOGLETRANSLATE(E2326, ""zh"", ""en"")"),"Qualitative text")</f>
        <v>Qualitative text</v>
      </c>
    </row>
    <row r="2327" spans="1:3" ht="13" x14ac:dyDescent="0.15">
      <c r="A2327" s="1" t="str">
        <f ca="1">IFERROR(__xludf.DUMMYFUNCTION("GOOGLETRANSLATE(A2327, ""zh"", ""en"")"),"At the same time, the company encourages suppliers and contractors to actively offer suggestions on possible occupational health and safety issues and jointly build a healthy and safe management system and workplace")</f>
        <v>At the same time, the company encourages suppliers and contractors to actively offer suggestions on possible occupational health and safety issues and jointly build a healthy and safe management system and workplace</v>
      </c>
      <c r="B2327" s="1" t="str">
        <f ca="1">IFERROR(__xludf.DUMMYFUNCTION("GOOGLETRANSLATE(A2327, ""zh"", ""en"")"),"staff")</f>
        <v>staff</v>
      </c>
      <c r="C2327" s="1" t="str">
        <f ca="1">IFERROR(__xludf.DUMMYFUNCTION("GOOGLETRANSLATE(E2327, ""zh"", ""en"")"),"Qualitative text")</f>
        <v>Qualitative text</v>
      </c>
    </row>
    <row r="2328" spans="1:3" ht="13" x14ac:dyDescent="0.15">
      <c r="A2328" s="1" t="str">
        <f ca="1">IFERROR(__xludf.DUMMYFUNCTION("GOOGLETRANSLATE(A2328, ""zh"", ""en"")"),"Case Study: SDIC Taikang Trust upgraded and renovated its Love Mother and Baby Room. To better meet user needs, the SDIC Taikang Trust Trade Union organized and completed the upgrade and renovation of the Love Mother and Baby Room.")</f>
        <v>Case Study: SDIC Taikang Trust upgraded and renovated its Love Mother and Baby Room. To better meet user needs, the SDIC Taikang Trust Trade Union organized and completed the upgrade and renovation of the Love Mother and Baby Room.</v>
      </c>
      <c r="B2328" s="1" t="str">
        <f ca="1">IFERROR(__xludf.DUMMYFUNCTION("GOOGLETRANSLATE(A2328, ""zh"", ""en"")"),"staff")</f>
        <v>staff</v>
      </c>
      <c r="C2328" s="1" t="str">
        <f ca="1">IFERROR(__xludf.DUMMYFUNCTION("GOOGLETRANSLATE(E2328, ""zh"", ""en"")"),"Qualitative text")</f>
        <v>Qualitative text</v>
      </c>
    </row>
    <row r="2329" spans="1:3" ht="13" x14ac:dyDescent="0.15">
      <c r="A2329" s="1" t="str">
        <f ca="1">IFERROR(__xludf.DUMMYFUNCTION("GOOGLETRANSLATE(A2329, ""zh"", ""en"")"),"The secondary sedimentation tank regulating tank closed renovation project cost RMB 530,000. The closed renovation of the secondary sedimentation tank regulating tank increased the exhaust gas closed collection efficiency and improved the regional ambient"&amp;" air quality.")</f>
        <v>The secondary sedimentation tank regulating tank closed renovation project cost RMB 530,000. The closed renovation of the secondary sedimentation tank regulating tank increased the exhaust gas closed collection efficiency and improved the regional ambient air quality.</v>
      </c>
      <c r="B2329" s="1" t="str">
        <f ca="1">IFERROR(__xludf.DUMMYFUNCTION("GOOGLETRANSLATE(A2329, ""zh"", ""en"")"),"Waste Management")</f>
        <v>Waste Management</v>
      </c>
      <c r="C2329" s="1" t="str">
        <f ca="1">IFERROR(__xludf.DUMMYFUNCTION("GOOGLETRANSLATE(E2329, ""zh"", ""en"")"),"Quantitative Text")</f>
        <v>Quantitative Text</v>
      </c>
    </row>
    <row r="2330" spans="1:3" ht="13" x14ac:dyDescent="0.15">
      <c r="A2330" s="1" t="str">
        <f ca="1">IFERROR(__xludf.DUMMYFUNCTION("GOOGLETRANSLATE(A2330, ""zh"", ""en"")"),"The company fully explains the work rules, personnel management rules, employee salary and benefits and other employee rights and interests regulations to all employees, and conducts employee rights and interests related training for all employees.")</f>
        <v>The company fully explains the work rules, personnel management rules, employee salary and benefits and other employee rights and interests regulations to all employees, and conducts employee rights and interests related training for all employees.</v>
      </c>
      <c r="B2330" s="1" t="str">
        <f ca="1">IFERROR(__xludf.DUMMYFUNCTION("GOOGLETRANSLATE(A2330, ""zh"", ""en"")"),"staff")</f>
        <v>staff</v>
      </c>
      <c r="C2330" s="1" t="str">
        <f ca="1">IFERROR(__xludf.DUMMYFUNCTION("GOOGLETRANSLATE(E2330, ""zh"", ""en"")"),"Qualitative text")</f>
        <v>Qualitative text</v>
      </c>
    </row>
    <row r="2331" spans="1:3" ht="13" x14ac:dyDescent="0.15">
      <c r="A2331" s="1" t="str">
        <f ca="1">IFERROR(__xludf.DUMMYFUNCTION("GOOGLETRANSLATE(A2331, ""zh"", ""en"")"),"In the long run, ESG management should be integrated with Shanghai Electric's own development plans and concepts, and the top-level design of the strategy should be gradually integrated into the establishment of various work objectives.")</f>
        <v>In the long run, ESG management should be integrated with Shanghai Electric's own development plans and concepts, and the top-level design of the strategy should be gradually integrated into the establishment of various work objectives.</v>
      </c>
      <c r="B2331" s="1" t="str">
        <f ca="1">IFERROR(__xludf.DUMMYFUNCTION("GOOGLETRANSLATE(A2331, ""zh"", ""en"")"),"irrelevant text")</f>
        <v>irrelevant text</v>
      </c>
      <c r="C2331" s="1" t="str">
        <f ca="1">IFERROR(__xludf.DUMMYFUNCTION("GOOGLETRANSLATE(E2331, ""zh"", ""en"")"),"irrelevant text")</f>
        <v>irrelevant text</v>
      </c>
    </row>
    <row r="2332" spans="1:3" ht="13" x14ac:dyDescent="0.15">
      <c r="A2332" s="1" t="str">
        <f ca="1">IFERROR(__xludf.DUMMYFUNCTION("GOOGLETRANSLATE(A2332, ""zh"", ""en"")"),"We fully implemented the group's leadership training, Five Eagle training, and core force rotation training, and organized legal training, career development promotion meetings, and united front symposiums, among other exchange and learning platforms.")</f>
        <v>We fully implemented the group's leadership training, Five Eagle training, and core force rotation training, and organized legal training, career development promotion meetings, and united front symposiums, among other exchange and learning platforms.</v>
      </c>
      <c r="B2332" s="1" t="str">
        <f ca="1">IFERROR(__xludf.DUMMYFUNCTION("GOOGLETRANSLATE(A2332, ""zh"", ""en"")"),"Organizational structure and operations")</f>
        <v>Organizational structure and operations</v>
      </c>
      <c r="C2332" s="1" t="str">
        <f ca="1">IFERROR(__xludf.DUMMYFUNCTION("GOOGLETRANSLATE(E2332, ""zh"", ""en"")"),"Qualitative text")</f>
        <v>Qualitative text</v>
      </c>
    </row>
    <row r="2333" spans="1:3" ht="13" x14ac:dyDescent="0.15">
      <c r="A2333" s="1" t="str">
        <f ca="1">IFERROR(__xludf.DUMMYFUNCTION("GOOGLETRANSLATE(A2333, ""zh"", ""en"")"),"Recruit safety professionals with high standards within the group to form a safety inspector team to carry out special inspections and supervision on key and difficult issues that restrict and affect production safety.")</f>
        <v>Recruit safety professionals with high standards within the group to form a safety inspector team to carry out special inspections and supervision on key and difficult issues that restrict and affect production safety.</v>
      </c>
      <c r="B2333" s="1" t="str">
        <f ca="1">IFERROR(__xludf.DUMMYFUNCTION("GOOGLETRANSLATE(A2333, ""zh"", ""en"")"),"staff")</f>
        <v>staff</v>
      </c>
      <c r="C2333" s="1" t="str">
        <f ca="1">IFERROR(__xludf.DUMMYFUNCTION("GOOGLETRANSLATE(E2333, ""zh"", ""en"")"),"Qualitative text")</f>
        <v>Qualitative text</v>
      </c>
    </row>
    <row r="2334" spans="1:3" ht="13" x14ac:dyDescent="0.15">
      <c r="A2334" s="1" t="str">
        <f ca="1">IFERROR(__xludf.DUMMYFUNCTION("GOOGLETRANSLATE(A2334, ""zh"", ""en"")"),"The company's safety culture is becoming increasingly strong, and the enthusiasm of young grassroots employees to participate in safety selection is gradually increasing. This year, the Ankang Cup won the fourth place in the offline competition.")</f>
        <v>The company's safety culture is becoming increasingly strong, and the enthusiasm of young grassroots employees to participate in safety selection is gradually increasing. This year, the Ankang Cup won the fourth place in the offline competition.</v>
      </c>
      <c r="B2334" s="1" t="str">
        <f ca="1">IFERROR(__xludf.DUMMYFUNCTION("GOOGLETRANSLATE(A2334, ""zh"", ""en"")"),"staff")</f>
        <v>staff</v>
      </c>
      <c r="C2334" s="1" t="str">
        <f ca="1">IFERROR(__xludf.DUMMYFUNCTION("GOOGLETRANSLATE(E2334, ""zh"", ""en"")"),"Quantitative Text")</f>
        <v>Quantitative Text</v>
      </c>
    </row>
    <row r="2335" spans="1:3" ht="13" x14ac:dyDescent="0.15">
      <c r="A2335" s="1" t="str">
        <f ca="1">IFERROR(__xludf.DUMMYFUNCTION("GOOGLETRANSLATE(A2335, ""zh"", ""en"")"),"There is no such situation. Related to providing a safe working environment and protecting employees from occupational hazards. 82. Key performance indicators for occupational hazards 82.2 Lost working days due to work-related injuries")</f>
        <v>There is no such situation. Related to providing a safe working environment and protecting employees from occupational hazards. 82. Key performance indicators for occupational hazards 82.2 Lost working days due to work-related injuries</v>
      </c>
      <c r="B2335" s="1" t="str">
        <f ca="1">IFERROR(__xludf.DUMMYFUNCTION("GOOGLETRANSLATE(A2335, ""zh"", ""en"")"),"staff")</f>
        <v>staff</v>
      </c>
      <c r="C2335" s="1" t="str">
        <f ca="1">IFERROR(__xludf.DUMMYFUNCTION("GOOGLETRANSLATE(E2335, ""zh"", ""en"")"),"Quantitative Text")</f>
        <v>Quantitative Text</v>
      </c>
    </row>
    <row r="2336" spans="1:3" ht="13" x14ac:dyDescent="0.15">
      <c r="A2336" s="1" t="str">
        <f ca="1">IFERROR(__xludf.DUMMYFUNCTION("GOOGLETRANSLATE(A2336, ""zh"", ""en"")"),"In addition, the station has a rest station equipped with vending machines, WIFI, tea rooms, coffee machines and other service functions and facilities to provide users with a full range of diversified comprehensive services.")</f>
        <v>In addition, the station has a rest station equipped with vending machines, WIFI, tea rooms, coffee machines and other service functions and facilities to provide users with a full range of diversified comprehensive services.</v>
      </c>
      <c r="B2336" s="1" t="str">
        <f ca="1">IFERROR(__xludf.DUMMYFUNCTION("GOOGLETRANSLATE(A2336, ""zh"", ""en"")"),"Customers and Consumers")</f>
        <v>Customers and Consumers</v>
      </c>
      <c r="C2336" s="1" t="str">
        <f ca="1">IFERROR(__xludf.DUMMYFUNCTION("GOOGLETRANSLATE(E2336, ""zh"", ""en"")"),"Qualitative text")</f>
        <v>Qualitative text</v>
      </c>
    </row>
    <row r="2337" spans="1:3" ht="13" x14ac:dyDescent="0.15">
      <c r="A2337" s="1" t="str">
        <f ca="1">IFERROR(__xludf.DUMMYFUNCTION("GOOGLETRANSLATE(A2337, ""zh"", ""en"")"),"Oilfield enterprises continue to promote the large-scale construction of photovoltaic power generation and initially establish a regional energy management model for oil and gas fields with multiple energy complementarity, including waste heat photovoltai"&amp;"c oil recovery, and integrated source, grid, load and storage.")</f>
        <v>Oilfield enterprises continue to promote the large-scale construction of photovoltaic power generation and initially establish a regional energy management model for oil and gas fields with multiple energy complementarity, including waste heat photovoltaic oil recovery, and integrated source, grid, load and storage.</v>
      </c>
      <c r="B2337" s="1" t="str">
        <f ca="1">IFERROR(__xludf.DUMMYFUNCTION("GOOGLETRANSLATE(A2337, ""zh"", ""en"")"),"Energy and resource consumption")</f>
        <v>Energy and resource consumption</v>
      </c>
      <c r="C2337" s="1" t="str">
        <f ca="1">IFERROR(__xludf.DUMMYFUNCTION("GOOGLETRANSLATE(E2337, ""zh"", ""en"")"),"Qualitative text")</f>
        <v>Qualitative text</v>
      </c>
    </row>
    <row r="2338" spans="1:3" ht="13" x14ac:dyDescent="0.15">
      <c r="A2338" s="1" t="str">
        <f ca="1">IFERROR(__xludf.DUMMYFUNCTION("GOOGLETRANSLATE(A2338, ""zh"", ""en"")"),"04 Addressing Climate Change 1. Managing Climate Change Risks and Opportunities 2. Green Operations Appendix 1 Key Performance Indicators Table A1.1 Emission Types and Related Emission Data")</f>
        <v>04 Addressing Climate Change 1. Managing Climate Change Risks and Opportunities 2. Green Operations Appendix 1 Key Performance Indicators Table A1.1 Emission Types and Related Emission Data</v>
      </c>
      <c r="B2338" s="1" t="str">
        <f ca="1">IFERROR(__xludf.DUMMYFUNCTION("GOOGLETRANSLATE(A2338, ""zh"", ""en"")"),"Addressing climate change")</f>
        <v>Addressing climate change</v>
      </c>
      <c r="C2338" s="1" t="str">
        <f ca="1">IFERROR(__xludf.DUMMYFUNCTION("GOOGLETRANSLATE(E2338, ""zh"", ""en"")"),"Qualitative text")</f>
        <v>Qualitative text</v>
      </c>
    </row>
    <row r="2339" spans="1:3" ht="13" x14ac:dyDescent="0.15">
      <c r="A2339" s="1" t="str">
        <f ca="1">IFERROR(__xludf.DUMMYFUNCTION("GOOGLETRANSLATE(A2339, ""zh"", ""en"")"),"Focus on strengthening the integrity education of managers at all levels through centralized warning education, interviews, reminders, and case reports to educate and urge managers to practice integrity.")</f>
        <v>Focus on strengthening the integrity education of managers at all levels through centralized warning education, interviews, reminders, and case reports to educate and urge managers to practice integrity.</v>
      </c>
      <c r="B2339" s="1" t="str">
        <f ca="1">IFERROR(__xludf.DUMMYFUNCTION("GOOGLETRANSLATE(A2339, ""zh"", ""en"")"),"Anti-corruption and anti-money laundering")</f>
        <v>Anti-corruption and anti-money laundering</v>
      </c>
      <c r="C2339" s="1" t="str">
        <f ca="1">IFERROR(__xludf.DUMMYFUNCTION("GOOGLETRANSLATE(E2339, ""zh"", ""en"")"),"Qualitative text")</f>
        <v>Qualitative text</v>
      </c>
    </row>
    <row r="2340" spans="1:3" ht="13" x14ac:dyDescent="0.15">
      <c r="A2340" s="1" t="str">
        <f ca="1">IFERROR(__xludf.DUMMYFUNCTION("GOOGLETRANSLATE(A2340, ""zh"", ""en"")"),"CITIC Securities invested a total of RMB 212,500 in industrial support projects in rural revitalization areas, which were used to build supporting facilities for rural breeding bases and cultural squares.")</f>
        <v>CITIC Securities invested a total of RMB 212,500 in industrial support projects in rural revitalization areas, which were used to build supporting facilities for rural breeding bases and cultural squares.</v>
      </c>
      <c r="B2340" s="1" t="str">
        <f ca="1">IFERROR(__xludf.DUMMYFUNCTION("GOOGLETRANSLATE(A2340, ""zh"", ""en"")"),"Rural assistance")</f>
        <v>Rural assistance</v>
      </c>
      <c r="C2340" s="1" t="str">
        <f ca="1">IFERROR(__xludf.DUMMYFUNCTION("GOOGLETRANSLATE(E2340, ""zh"", ""en"")"),"Quantitative Text")</f>
        <v>Quantitative Text</v>
      </c>
    </row>
    <row r="2341" spans="1:3" ht="13" x14ac:dyDescent="0.15">
      <c r="A2341" s="1" t="str">
        <f ca="1">IFERROR(__xludf.DUMMYFUNCTION("GOOGLETRANSLATE(A2341, ""zh"", ""en"")"),"Its restricted stock incentive plan and employee stock ownership plan have fully mobilized and stimulated the enthusiasm of employees while improving the quality and efficiency of R&amp;D.")</f>
        <v>Its restricted stock incentive plan and employee stock ownership plan have fully mobilized and stimulated the enthusiasm of employees while improving the quality and efficiency of R&amp;D.</v>
      </c>
      <c r="B2341" s="1" t="str">
        <f ca="1">IFERROR(__xludf.DUMMYFUNCTION("GOOGLETRANSLATE(A2341, ""zh"", ""en"")"),"staff")</f>
        <v>staff</v>
      </c>
      <c r="C2341" s="1" t="str">
        <f ca="1">IFERROR(__xludf.DUMMYFUNCTION("GOOGLETRANSLATE(E2341, ""zh"", ""en"")"),"Qualitative text")</f>
        <v>Qualitative text</v>
      </c>
    </row>
    <row r="2342" spans="1:3" ht="13" x14ac:dyDescent="0.15">
      <c r="A2342" s="1" t="str">
        <f ca="1">IFERROR(__xludf.DUMMYFUNCTION("GOOGLETRANSLATE(A2342, ""zh"", ""en"")"),"The data acquisition and calculation methods of this annual report have not changed significantly compared with previous annual reports. The financial data reported are derived from the audited annual A-share financial reports.")</f>
        <v>The data acquisition and calculation methods of this annual report have not changed significantly compared with previous annual reports. The financial data reported are derived from the audited annual A-share financial reports.</v>
      </c>
      <c r="B2342" s="1" t="str">
        <f ca="1">IFERROR(__xludf.DUMMYFUNCTION("GOOGLETRANSLATE(A2342, ""zh"", ""en"")"),"Audit work")</f>
        <v>Audit work</v>
      </c>
      <c r="C2342" s="1" t="str">
        <f ca="1">IFERROR(__xludf.DUMMYFUNCTION("GOOGLETRANSLATE(E2342, ""zh"", ""en"")"),"Qualitative text")</f>
        <v>Qualitative text</v>
      </c>
    </row>
    <row r="2343" spans="1:3" ht="13" x14ac:dyDescent="0.15">
      <c r="A2343" s="1" t="str">
        <f ca="1">IFERROR(__xludf.DUMMYFUNCTION("GOOGLETRANSLATE(A2343, ""zh"", ""en"")"),"33485153 Level A4 Climate Change General Disclosure Policies for identifying and addressing significant climate-related issues that have or may have an impact on the issuer")</f>
        <v>33485153 Level A4 Climate Change General Disclosure Policies for identifying and addressing significant climate-related issues that have or may have an impact on the issuer</v>
      </c>
      <c r="B2343" s="1" t="str">
        <f ca="1">IFERROR(__xludf.DUMMYFUNCTION("GOOGLETRANSLATE(A2343, ""zh"", ""en"")"),"Addressing climate change")</f>
        <v>Addressing climate change</v>
      </c>
      <c r="C2343" s="1" t="str">
        <f ca="1">IFERROR(__xludf.DUMMYFUNCTION("GOOGLETRANSLATE(E2343, ""zh"", ""en"")"),"Qualitative text")</f>
        <v>Qualitative text</v>
      </c>
    </row>
    <row r="2344" spans="1:3" ht="13" x14ac:dyDescent="0.15">
      <c r="A2344" s="1" t="str">
        <f ca="1">IFERROR(__xludf.DUMMYFUNCTION("GOOGLETRANSLATE(A2344, ""zh"", ""en"")"),"Tibet Qomolangma is constantly optimizing its human resources layout while focusing on the rejuvenation of its workforce. Most of its new employees are fresh graduates, injecting more vitality and creativity into the company.")</f>
        <v>Tibet Qomolangma is constantly optimizing its human resources layout while focusing on the rejuvenation of its workforce. Most of its new employees are fresh graduates, injecting more vitality and creativity into the company.</v>
      </c>
      <c r="B2344" s="1" t="str">
        <f ca="1">IFERROR(__xludf.DUMMYFUNCTION("GOOGLETRANSLATE(A2344, ""zh"", ""en"")"),"staff")</f>
        <v>staff</v>
      </c>
      <c r="C2344" s="1" t="str">
        <f ca="1">IFERROR(__xludf.DUMMYFUNCTION("GOOGLETRANSLATE(E2344, ""zh"", ""en"")"),"Qualitative text")</f>
        <v>Qualitative text</v>
      </c>
    </row>
    <row r="2345" spans="1:3" ht="13" x14ac:dyDescent="0.15">
      <c r="A2345" s="1" t="str">
        <f ca="1">IFERROR(__xludf.DUMMYFUNCTION("GOOGLETRANSLATE(A2345, ""zh"", ""en"")"),"Strengthen the construction of Party building columns, Party building work briefings and other positions, organize surveys on employee ideological trends, strengthen data analysis, and further improve the pertinence and effectiveness of ideological and po"&amp;"litical work.")</f>
        <v>Strengthen the construction of Party building columns, Party building work briefings and other positions, organize surveys on employee ideological trends, strengthen data analysis, and further improve the pertinence and effectiveness of ideological and political work.</v>
      </c>
      <c r="B2345" s="1" t="str">
        <f ca="1">IFERROR(__xludf.DUMMYFUNCTION("GOOGLETRANSLATE(A2345, ""zh"", ""en"")"),"Organizational structure and operations")</f>
        <v>Organizational structure and operations</v>
      </c>
      <c r="C2345" s="1" t="str">
        <f ca="1">IFERROR(__xludf.DUMMYFUNCTION("GOOGLETRANSLATE(E2345, ""zh"", ""en"")"),"Qualitative text")</f>
        <v>Qualitative text</v>
      </c>
    </row>
    <row r="2346" spans="1:3" ht="13" x14ac:dyDescent="0.15">
      <c r="A2346" s="1" t="str">
        <f ca="1">IFERROR(__xludf.DUMMYFUNCTION("GOOGLETRANSLATE(A2346, ""zh"", ""en"")"),"Evaluated and identified organizational structure and talents, established a talent pool, strengthened talent echelon construction, and provided sufficient talent guarantee for the strategic execution of the company and organization.")</f>
        <v>Evaluated and identified organizational structure and talents, established a talent pool, strengthened talent echelon construction, and provided sufficient talent guarantee for the strategic execution of the company and organization.</v>
      </c>
      <c r="B2346" s="1" t="str">
        <f ca="1">IFERROR(__xludf.DUMMYFUNCTION("GOOGLETRANSLATE(A2346, ""zh"", ""en"")"),"Organizational structure and operations")</f>
        <v>Organizational structure and operations</v>
      </c>
      <c r="C2346" s="1" t="str">
        <f ca="1">IFERROR(__xludf.DUMMYFUNCTION("GOOGLETRANSLATE(E2346, ""zh"", ""en"")"),"Qualitative text")</f>
        <v>Qualitative text</v>
      </c>
    </row>
    <row r="2347" spans="1:3" ht="13" x14ac:dyDescent="0.15">
      <c r="A2347" s="1" t="str">
        <f ca="1">IFERROR(__xludf.DUMMYFUNCTION("GOOGLETRANSLATE(A2347, ""zh"", ""en"")"),"Three Compliance Management and One Corporate Governance In 2022, Sunshine Lighting held three shareholders' meetings, four board meetings, and three supervisory meetings, and each meeting resulted in effective resolutions.")</f>
        <v>Three Compliance Management and One Corporate Governance In 2022, Sunshine Lighting held three shareholders' meetings, four board meetings, and three supervisory meetings, and each meeting resulted in effective resolutions.</v>
      </c>
      <c r="B2347" s="1" t="str">
        <f ca="1">IFERROR(__xludf.DUMMYFUNCTION("GOOGLETRANSLATE(A2347, ""zh"", ""en"")"),"Organizational structure and operations")</f>
        <v>Organizational structure and operations</v>
      </c>
      <c r="C2347" s="1" t="str">
        <f ca="1">IFERROR(__xludf.DUMMYFUNCTION("GOOGLETRANSLATE(E2347, ""zh"", ""en"")"),"Quantitative Text")</f>
        <v>Quantitative Text</v>
      </c>
    </row>
    <row r="2348" spans="1:3" ht="13" x14ac:dyDescent="0.15">
      <c r="A2348" s="1" t="str">
        <f ca="1">IFERROR(__xludf.DUMMYFUNCTION("GOOGLETRANSLATE(A2348, ""zh"", ""en"")"),"Comply with business ethics and continuously improve the level of integrity and compliance management. Implement a zero-tolerance policy towards corruption and violations of business ethics and eliminate any form of corruption.")</f>
        <v>Comply with business ethics and continuously improve the level of integrity and compliance management. Implement a zero-tolerance policy towards corruption and violations of business ethics and eliminate any form of corruption.</v>
      </c>
      <c r="B2348" s="1" t="str">
        <f ca="1">IFERROR(__xludf.DUMMYFUNCTION("GOOGLETRANSLATE(A2348, ""zh"", ""en"")"),"Anti-corruption and anti-money laundering")</f>
        <v>Anti-corruption and anti-money laundering</v>
      </c>
      <c r="C2348" s="1" t="str">
        <f ca="1">IFERROR(__xludf.DUMMYFUNCTION("GOOGLETRANSLATE(E2348, ""zh"", ""en"")"),"Qualitative text")</f>
        <v>Qualitative text</v>
      </c>
    </row>
    <row r="2349" spans="1:3" ht="13" x14ac:dyDescent="0.15">
      <c r="A2349" s="1" t="str">
        <f ca="1">IFERROR(__xludf.DUMMYFUNCTION("GOOGLETRANSLATE(A2349, ""zh"", ""en"")"),"The main packaging materials consumed by Shanghai Electric in 2022 are shown in the following table. The corresponding packaging consumption density is 115.92 tons. RMB billion in operating income")</f>
        <v>The main packaging materials consumed by Shanghai Electric in 2022 are shown in the following table. The corresponding packaging consumption density is 115.92 tons. RMB billion in operating income</v>
      </c>
      <c r="B2349" s="1" t="str">
        <f ca="1">IFERROR(__xludf.DUMMYFUNCTION("GOOGLETRANSLATE(A2349, ""zh"", ""en"")"),"raw materials")</f>
        <v>raw materials</v>
      </c>
      <c r="C2349" s="1" t="str">
        <f ca="1">IFERROR(__xludf.DUMMYFUNCTION("GOOGLETRANSLATE(E2349, ""zh"", ""en"")"),"Quantitative Text")</f>
        <v>Quantitative Text</v>
      </c>
    </row>
    <row r="2350" spans="1:3" ht="13" x14ac:dyDescent="0.15">
      <c r="A2350" s="1" t="str">
        <f ca="1">IFERROR(__xludf.DUMMYFUNCTION("GOOGLETRANSLATE(A2350, ""zh"", ""en"")"),"The company donates 100,000 yuan to the education fund every year to solve the problem of schooling difficulties for children from other places, thereby stabilizing the work mood of employees and further enhancing the cohesion of the company.")</f>
        <v>The company donates 100,000 yuan to the education fund every year to solve the problem of schooling difficulties for children from other places, thereby stabilizing the work mood of employees and further enhancing the cohesion of the company.</v>
      </c>
      <c r="B2350" s="1" t="str">
        <f ca="1">IFERROR(__xludf.DUMMYFUNCTION("GOOGLETRANSLATE(A2350, ""zh"", ""en"")"),"Public welfare and volunteer service")</f>
        <v>Public welfare and volunteer service</v>
      </c>
      <c r="C2350" s="1" t="str">
        <f ca="1">IFERROR(__xludf.DUMMYFUNCTION("GOOGLETRANSLATE(E2350, ""zh"", ""en"")"),"Quantitative Text")</f>
        <v>Quantitative Text</v>
      </c>
    </row>
    <row r="2351" spans="1:3" ht="13" x14ac:dyDescent="0.15">
      <c r="A2351" s="1" t="str">
        <f ca="1">IFERROR(__xludf.DUMMYFUNCTION("GOOGLETRANSLATE(A2351, ""zh"", ""en"")"),"2022 R&amp;D Investment 562022 Social Responsibility Report Shanghai Electric promotes internal technological innovation while effectively managing and protecting its own technological innovation achievements")</f>
        <v>2022 R&amp;D Investment 562022 Social Responsibility Report Shanghai Electric promotes internal technological innovation while effectively managing and protecting its own technological innovation achievements</v>
      </c>
      <c r="B2351" s="1" t="str">
        <f ca="1">IFERROR(__xludf.DUMMYFUNCTION("GOOGLETRANSLATE(A2351, ""zh"", ""en"")"),"Technological innovation")</f>
        <v>Technological innovation</v>
      </c>
      <c r="C2351" s="1" t="str">
        <f ca="1">IFERROR(__xludf.DUMMYFUNCTION("GOOGLETRANSLATE(E2351, ""zh"", ""en"")"),"Qualitative text")</f>
        <v>Qualitative text</v>
      </c>
    </row>
    <row r="2352" spans="1:3" ht="13" x14ac:dyDescent="0.15">
      <c r="A2352" s="1" t="str">
        <f ca="1">IFERROR(__xludf.DUMMYFUNCTION("GOOGLETRANSLATE(A2352, ""zh"", ""en"")"),"A series of internal rules and regulations are designed to ensure that the company's management system is more standardized and transparent so that employees can work in a fair, safe and stable working environment.")</f>
        <v>A series of internal rules and regulations are designed to ensure that the company's management system is more standardized and transparent so that employees can work in a fair, safe and stable working environment.</v>
      </c>
      <c r="B2352" s="1" t="str">
        <f ca="1">IFERROR(__xludf.DUMMYFUNCTION("GOOGLETRANSLATE(A2352, ""zh"", ""en"")"),"staff")</f>
        <v>staff</v>
      </c>
      <c r="C2352" s="1" t="str">
        <f ca="1">IFERROR(__xludf.DUMMYFUNCTION("GOOGLETRANSLATE(E2352, ""zh"", ""en"")"),"Qualitative text")</f>
        <v>Qualitative text</v>
      </c>
    </row>
    <row r="2353" spans="1:3" ht="13" x14ac:dyDescent="0.15">
      <c r="A2353" s="1" t="str">
        <f ca="1">IFERROR(__xludf.DUMMYFUNCTION("GOOGLETRANSLATE(A2353, ""zh"", ""en"")"),"The company attaches great importance to communicating with customers and informing them in detail about the performance and physical and chemical indicators of the products that need to be recycled.")</f>
        <v>The company attaches great importance to communicating with customers and informing them in detail about the performance and physical and chemical indicators of the products that need to be recycled.</v>
      </c>
      <c r="B2353" s="1" t="str">
        <f ca="1">IFERROR(__xludf.DUMMYFUNCTION("GOOGLETRANSLATE(A2353, ""zh"", ""en"")"),"Product quality")</f>
        <v>Product quality</v>
      </c>
      <c r="C2353" s="1" t="str">
        <f ca="1">IFERROR(__xludf.DUMMYFUNCTION("GOOGLETRANSLATE(E2353, ""zh"", ""en"")"),"Qualitative text")</f>
        <v>Qualitative text</v>
      </c>
    </row>
    <row r="2354" spans="1:3" ht="13" x14ac:dyDescent="0.15">
      <c r="A2354" s="1" t="str">
        <f ca="1">IFERROR(__xludf.DUMMYFUNCTION("GOOGLETRANSLATE(A2354, ""zh"", ""en"")"),"Establish strict procedures to prevent adverse impacts on the environment")</f>
        <v>Establish strict procedures to prevent adverse impacts on the environment</v>
      </c>
      <c r="B2354" s="1" t="str">
        <f ca="1">IFERROR(__xludf.DUMMYFUNCTION("GOOGLETRANSLATE(A2354, ""zh"", ""en"")"),"Environmental Policy")</f>
        <v>Environmental Policy</v>
      </c>
      <c r="C2354" s="1" t="str">
        <f ca="1">IFERROR(__xludf.DUMMYFUNCTION("GOOGLETRANSLATE(E2354, ""zh"", ""en"")"),"Qualitative text")</f>
        <v>Qualitative text</v>
      </c>
    </row>
    <row r="2355" spans="1:3" ht="13" x14ac:dyDescent="0.15">
      <c r="A2355" s="1" t="str">
        <f ca="1">IFERROR(__xludf.DUMMYFUNCTION("GOOGLETRANSLATE(A2355, ""zh"", ""en"")"),"Formulate and implement the 2023-2025 COSL Integrity Culture Development Implementation Plan to promote the development of four major areas: learning, speaking, promoting and advocating for integrity, and strengthen the ideological defense against corrupt"&amp;"ion.")</f>
        <v>Formulate and implement the 2023-2025 COSL Integrity Culture Development Implementation Plan to promote the development of four major areas: learning, speaking, promoting and advocating for integrity, and strengthen the ideological defense against corruption.</v>
      </c>
      <c r="B2355" s="1" t="str">
        <f ca="1">IFERROR(__xludf.DUMMYFUNCTION("GOOGLETRANSLATE(A2355, ""zh"", ""en"")"),"Anti-corruption and anti-money laundering")</f>
        <v>Anti-corruption and anti-money laundering</v>
      </c>
      <c r="C2355" s="1" t="str">
        <f ca="1">IFERROR(__xludf.DUMMYFUNCTION("GOOGLETRANSLATE(E2355, ""zh"", ""en"")"),"Qualitative text")</f>
        <v>Qualitative text</v>
      </c>
    </row>
    <row r="2356" spans="1:3" ht="13" x14ac:dyDescent="0.15">
      <c r="A2356" s="1" t="str">
        <f ca="1">IFERROR(__xludf.DUMMYFUNCTION("GOOGLETRANSLATE(A2356, ""zh"", ""en"")"),"Eliminate quality bottlenecks in the product refining process through targeted technological transformation and upgrading")</f>
        <v>Eliminate quality bottlenecks in the product refining process through targeted technological transformation and upgrading</v>
      </c>
      <c r="B2356" s="1" t="str">
        <f ca="1">IFERROR(__xludf.DUMMYFUNCTION("GOOGLETRANSLATE(A2356, ""zh"", ""en"")"),"Product quality")</f>
        <v>Product quality</v>
      </c>
      <c r="C2356" s="1" t="str">
        <f ca="1">IFERROR(__xludf.DUMMYFUNCTION("GOOGLETRANSLATE(E2356, ""zh"", ""en"")"),"Qualitative text")</f>
        <v>Qualitative text</v>
      </c>
    </row>
    <row r="2357" spans="1:3" ht="13" x14ac:dyDescent="0.15">
      <c r="A2357" s="1" t="str">
        <f ca="1">IFERROR(__xludf.DUMMYFUNCTION("GOOGLETRANSLATE(A2357, ""zh"", ""en"")"),"The significant improvement in the quality of n-butanol meets customers' demand for higher quality products")</f>
        <v>The significant improvement in the quality of n-butanol meets customers' demand for higher quality products</v>
      </c>
      <c r="B2357" s="1" t="str">
        <f ca="1">IFERROR(__xludf.DUMMYFUNCTION("GOOGLETRANSLATE(A2357, ""zh"", ""en"")"),"Customers and Consumers")</f>
        <v>Customers and Consumers</v>
      </c>
      <c r="C2357" s="1" t="str">
        <f ca="1">IFERROR(__xludf.DUMMYFUNCTION("GOOGLETRANSLATE(E2357, ""zh"", ""en"")"),"Qualitative text")</f>
        <v>Qualitative text</v>
      </c>
    </row>
    <row r="2358" spans="1:3" ht="13" x14ac:dyDescent="0.15">
      <c r="A2358" s="1" t="str">
        <f ca="1">IFERROR(__xludf.DUMMYFUNCTION("GOOGLETRANSLATE(A2358, ""zh"", ""en"")"),"Attracting politicians, industry leaders, cybersecurity experts from China, the United States, Russia, Israel, Germany and other countries to participate in the in-depth discussion on the global cybersecurity ecosystem")</f>
        <v>Attracting politicians, industry leaders, cybersecurity experts from China, the United States, Russia, Israel, Germany and other countries to participate in the in-depth discussion on the global cybersecurity ecosystem</v>
      </c>
      <c r="B2358" s="1" t="str">
        <f ca="1">IFERROR(__xludf.DUMMYFUNCTION("GOOGLETRANSLATE(A2358, ""zh"", ""en"")"),"Data security")</f>
        <v>Data security</v>
      </c>
      <c r="C2358" s="1" t="str">
        <f ca="1">IFERROR(__xludf.DUMMYFUNCTION("GOOGLETRANSLATE(E2358, ""zh"", ""en"")"),"Qualitative text")</f>
        <v>Qualitative text</v>
      </c>
    </row>
    <row r="2359" spans="1:3" ht="13" x14ac:dyDescent="0.15">
      <c r="A2359" s="1" t="str">
        <f ca="1">IFERROR(__xludf.DUMMYFUNCTION("GOOGLETRANSLATE(A2359, ""zh"", ""en"")"),"6 Health and Safety b. Compliance with relevant laws, policies and key regulations that have a significant impact on the issuer. Effectiveness Indicator B2.3 Description of adopted occupational health and safety regulations")</f>
        <v>6 Health and Safety b. Compliance with relevant laws, policies and key regulations that have a significant impact on the issuer. Effectiveness Indicator B2.3 Description of adopted occupational health and safety regulations</v>
      </c>
      <c r="B2359" s="1" t="str">
        <f ca="1">IFERROR(__xludf.DUMMYFUNCTION("GOOGLETRANSLATE(A2359, ""zh"", ""en"")"),"staff")</f>
        <v>staff</v>
      </c>
      <c r="C2359" s="1" t="str">
        <f ca="1">IFERROR(__xludf.DUMMYFUNCTION("GOOGLETRANSLATE(E2359, ""zh"", ""en"")"),"Qualitative text")</f>
        <v>Qualitative text</v>
      </c>
    </row>
    <row r="2360" spans="1:3" ht="13" x14ac:dyDescent="0.15">
      <c r="A2360" s="1" t="str">
        <f ca="1">IFERROR(__xludf.DUMMYFUNCTION("GOOGLETRANSLATE(A2360, ""zh"", ""en"")"),"In order to jointly resist commercial bribery and corruption, the company requires each external business department to send an anti-commercial bribery letter to existing suppliers every quarter and require the suppliers to sign")</f>
        <v>In order to jointly resist commercial bribery and corruption, the company requires each external business department to send an anti-commercial bribery letter to existing suppliers every quarter and require the suppliers to sign</v>
      </c>
      <c r="B2360" s="1" t="str">
        <f ca="1">IFERROR(__xludf.DUMMYFUNCTION("GOOGLETRANSLATE(A2360, ""zh"", ""en"")"),"Anti-corruption and anti-money laundering")</f>
        <v>Anti-corruption and anti-money laundering</v>
      </c>
      <c r="C2360" s="1" t="str">
        <f ca="1">IFERROR(__xludf.DUMMYFUNCTION("GOOGLETRANSLATE(E2360, ""zh"", ""en"")"),"Qualitative text")</f>
        <v>Qualitative text</v>
      </c>
    </row>
    <row r="2361" spans="1:3" ht="13" x14ac:dyDescent="0.15">
      <c r="A2361" s="1" t="str">
        <f ca="1">IFERROR(__xludf.DUMMYFUNCTION("GOOGLETRANSLATE(A2361, ""zh"", ""en"")"),"We also invested in local water supply projects to provide local residents with sufficient water by increasing water supply facilities and building reservoirs along valley streams to solve the problem of inconvenience in obtaining water.")</f>
        <v>We also invested in local water supply projects to provide local residents with sufficient water by increasing water supply facilities and building reservoirs along valley streams to solve the problem of inconvenience in obtaining water.</v>
      </c>
      <c r="B2361" s="1" t="str">
        <f ca="1">IFERROR(__xludf.DUMMYFUNCTION("GOOGLETRANSLATE(A2361, ""zh"", ""en"")"),"Water resources")</f>
        <v>Water resources</v>
      </c>
      <c r="C2361" s="1" t="str">
        <f ca="1">IFERROR(__xludf.DUMMYFUNCTION("GOOGLETRANSLATE(E2361, ""zh"", ""en"")"),"Qualitative text")</f>
        <v>Qualitative text</v>
      </c>
    </row>
    <row r="2362" spans="1:3" ht="13" x14ac:dyDescent="0.15">
      <c r="A2362" s="1" t="str">
        <f ca="1">IFERROR(__xludf.DUMMYFUNCTION("GOOGLETRANSLATE(A2362, ""zh"", ""en"")"),"Tibet Mount Everest implements localized recruitment in its operating areas and provides a large number of employment opportunities for local indigenous people. It also pays attention to the employment situation of local residents from low-income families"&amp;" who are in difficulty.")</f>
        <v>Tibet Mount Everest implements localized recruitment in its operating areas and provides a large number of employment opportunities for local indigenous people. It also pays attention to the employment situation of local residents from low-income families who are in difficulty.</v>
      </c>
      <c r="B2362" s="1" t="str">
        <f ca="1">IFERROR(__xludf.DUMMYFUNCTION("GOOGLETRANSLATE(A2362, ""zh"", ""en"")"),"Promoting employment")</f>
        <v>Promoting employment</v>
      </c>
      <c r="C2362" s="1" t="str">
        <f ca="1">IFERROR(__xludf.DUMMYFUNCTION("GOOGLETRANSLATE(E2362, ""zh"", ""en"")"),"Qualitative text")</f>
        <v>Qualitative text</v>
      </c>
    </row>
    <row r="2363" spans="1:3" ht="13" x14ac:dyDescent="0.15">
      <c r="A2363" s="1" t="str">
        <f ca="1">IFERROR(__xludf.DUMMYFUNCTION("GOOGLETRANSLATE(A2363, ""zh"", ""en"")"),"The company has simultaneously planned and built oil and gas development with greening and environmental protection, actively improving the ecological environment in the desert hinterland and turning the desert Gobi near the operation area into a paradise"&amp;" for animals and plants.")</f>
        <v>The company has simultaneously planned and built oil and gas development with greening and environmental protection, actively improving the ecological environment in the desert hinterland and turning the desert Gobi near the operation area into a paradise for animals and plants.</v>
      </c>
      <c r="B2363" s="1" t="str">
        <f ca="1">IFERROR(__xludf.DUMMYFUNCTION("GOOGLETRANSLATE(A2363, ""zh"", ""en"")"),"biodiversity")</f>
        <v>biodiversity</v>
      </c>
      <c r="C2363" s="1" t="str">
        <f ca="1">IFERROR(__xludf.DUMMYFUNCTION("GOOGLETRANSLATE(E2363, ""zh"", ""en"")"),"Qualitative text")</f>
        <v>Qualitative text</v>
      </c>
    </row>
    <row r="2364" spans="1:3" ht="13" x14ac:dyDescent="0.15">
      <c r="A2364" s="1" t="str">
        <f ca="1">IFERROR(__xludf.DUMMYFUNCTION("GOOGLETRANSLATE(A2364, ""zh"", ""en"")"),"At the same time, we continue to carry out digital classroom courses to provide local residents with a good digital education environment to help them better integrate and develop in the digital society.")</f>
        <v>At the same time, we continue to carry out digital classroom courses to provide local residents with a good digital education environment to help them better integrate and develop in the digital society.</v>
      </c>
      <c r="B2364" s="1" t="str">
        <f ca="1">IFERROR(__xludf.DUMMYFUNCTION("GOOGLETRANSLATE(A2364, ""zh"", ""en"")"),"Promoting employment")</f>
        <v>Promoting employment</v>
      </c>
      <c r="C2364" s="1" t="str">
        <f ca="1">IFERROR(__xludf.DUMMYFUNCTION("GOOGLETRANSLATE(E2364, ""zh"", ""en"")"),"Qualitative text")</f>
        <v>Qualitative text</v>
      </c>
    </row>
    <row r="2365" spans="1:3" ht="13" x14ac:dyDescent="0.15">
      <c r="A2365" s="1" t="str">
        <f ca="1">IFERROR(__xludf.DUMMYFUNCTION("GOOGLETRANSLATE(A2365, ""zh"", ""en"")"),"SGS-CSTC declares that it is a completely independent organization from Fosun Pharma and has no bias or conflict of interest towards the organization, its subsidiaries and stakeholders.")</f>
        <v>SGS-CSTC declares that it is a completely independent organization from Fosun Pharma and has no bias or conflict of interest towards the organization, its subsidiaries and stakeholders.</v>
      </c>
      <c r="B2365" s="1" t="str">
        <f ca="1">IFERROR(__xludf.DUMMYFUNCTION("GOOGLETRANSLATE(A2365, ""zh"", ""en"")"),"Organizational structure and operations")</f>
        <v>Organizational structure and operations</v>
      </c>
      <c r="C2365" s="1" t="str">
        <f ca="1">IFERROR(__xludf.DUMMYFUNCTION("GOOGLETRANSLATE(E2365, ""zh"", ""en"")"),"Qualitative text")</f>
        <v>Qualitative text</v>
      </c>
    </row>
    <row r="2366" spans="1:3" ht="13" x14ac:dyDescent="0.15">
      <c r="A2366" s="1" t="str">
        <f ca="1">IFERROR(__xludf.DUMMYFUNCTION("GOOGLETRANSLATE(A2366, ""zh"", ""en"")"),"We adhere to the green development concept of developing while protecting and protecting while developing, give priority to environmental protection, continuously strengthen supervision, enhance safety training, and strive to improve HSE management perfor"&amp;"mance.")</f>
        <v>We adhere to the green development concept of developing while protecting and protecting while developing, give priority to environmental protection, continuously strengthen supervision, enhance safety training, and strive to improve HSE management performance.</v>
      </c>
      <c r="B2366" s="1" t="str">
        <f ca="1">IFERROR(__xludf.DUMMYFUNCTION("GOOGLETRANSLATE(A2366, ""zh"", ""en"")"),"Environmental Policy")</f>
        <v>Environmental Policy</v>
      </c>
      <c r="C2366" s="1" t="str">
        <f ca="1">IFERROR(__xludf.DUMMYFUNCTION("GOOGLETRANSLATE(E2366, ""zh"", ""en"")"),"Qualitative text")</f>
        <v>Qualitative text</v>
      </c>
    </row>
    <row r="2367" spans="1:3" ht="13" x14ac:dyDescent="0.15">
      <c r="A2367" s="1" t="str">
        <f ca="1">IFERROR(__xludf.DUMMYFUNCTION("GOOGLETRANSLATE(A2367, ""zh"", ""en"")"),"So far, we have independently captured foreign state-level hacker organizations APTs that have launched attacks on my country. The number of captured attacks accounts for 20% of the domestic industry and is also far ahead in the world.")</f>
        <v>So far, we have independently captured foreign state-level hacker organizations APTs that have launched attacks on my country. The number of captured attacks accounts for 20% of the domestic industry and is also far ahead in the world.</v>
      </c>
      <c r="B2367" s="1" t="str">
        <f ca="1">IFERROR(__xludf.DUMMYFUNCTION("GOOGLETRANSLATE(A2367, ""zh"", ""en"")"),"Data security")</f>
        <v>Data security</v>
      </c>
      <c r="C2367" s="1" t="str">
        <f ca="1">IFERROR(__xludf.DUMMYFUNCTION("GOOGLETRANSLATE(E2367, ""zh"", ""en"")"),"Quantitative Text")</f>
        <v>Quantitative Text</v>
      </c>
    </row>
    <row r="2368" spans="1:3" ht="13" x14ac:dyDescent="0.15">
      <c r="A2368" s="1" t="str">
        <f ca="1">IFERROR(__xludf.DUMMYFUNCTION("GOOGLETRANSLATE(A2368, ""zh"", ""en"")"),"With the vision that no matter how big or small a kindness is, it will have a lasting impact, and relying on the background of digital security technology and the advantages of internet exposure resources, the public welfare platform was officially launch"&amp;"ed on (date).")</f>
        <v>With the vision that no matter how big or small a kindness is, it will have a lasting impact, and relying on the background of digital security technology and the advantages of internet exposure resources, the public welfare platform was officially launched on (date).</v>
      </c>
      <c r="B2368" s="1" t="str">
        <f ca="1">IFERROR(__xludf.DUMMYFUNCTION("GOOGLETRANSLATE(A2368, ""zh"", ""en"")"),"Public welfare and volunteer service")</f>
        <v>Public welfare and volunteer service</v>
      </c>
      <c r="C2368" s="1" t="str">
        <f ca="1">IFERROR(__xludf.DUMMYFUNCTION("GOOGLETRANSLATE(E2368, ""zh"", ""en"")"),"Qualitative text")</f>
        <v>Qualitative text</v>
      </c>
    </row>
    <row r="2369" spans="1:3" ht="13" x14ac:dyDescent="0.15">
      <c r="A2369" s="1" t="str">
        <f ca="1">IFERROR(__xludf.DUMMYFUNCTION("GOOGLETRANSLATE(A2369, ""zh"", ""en"")"),"The Group clearly implements its integrity management responsibilities and requires employees, management and partners to commit to ensuring their own integrity in order to prevent corruption risks and maintain a fair and just market environment.")</f>
        <v>The Group clearly implements its integrity management responsibilities and requires employees, management and partners to commit to ensuring their own integrity in order to prevent corruption risks and maintain a fair and just market environment.</v>
      </c>
      <c r="B2369" s="1" t="str">
        <f ca="1">IFERROR(__xludf.DUMMYFUNCTION("GOOGLETRANSLATE(A2369, ""zh"", ""en"")"),"Anti-corruption and anti-money laundering")</f>
        <v>Anti-corruption and anti-money laundering</v>
      </c>
      <c r="C2369" s="1" t="str">
        <f ca="1">IFERROR(__xludf.DUMMYFUNCTION("GOOGLETRANSLATE(E2369, ""zh"", ""en"")"),"Qualitative text")</f>
        <v>Qualitative text</v>
      </c>
    </row>
    <row r="2370" spans="1:3" ht="13" x14ac:dyDescent="0.15">
      <c r="A2370" s="1" t="str">
        <f ca="1">IFERROR(__xludf.DUMMYFUNCTION("GOOGLETRANSLATE(A2370, ""zh"", ""en"")"),"The group's OA has opened four processes: basic reimbursement form, travel expense reimbursement form, business entertainment expense reimbursement form and payment form, which has realized the remote approval of the headquarters financial reimbursement p"&amp;"rocess by leaders.")</f>
        <v>The group's OA has opened four processes: basic reimbursement form, travel expense reimbursement form, business entertainment expense reimbursement form and payment form, which has realized the remote approval of the headquarters financial reimbursement process by leaders.</v>
      </c>
      <c r="B2370" s="1" t="str">
        <f ca="1">IFERROR(__xludf.DUMMYFUNCTION("GOOGLETRANSLATE(A2370, ""zh"", ""en"")"),"Organizational structure and operations")</f>
        <v>Organizational structure and operations</v>
      </c>
      <c r="C2370" s="1" t="str">
        <f ca="1">IFERROR(__xludf.DUMMYFUNCTION("GOOGLETRANSLATE(E2370, ""zh"", ""en"")"),"Qualitative text")</f>
        <v>Qualitative text</v>
      </c>
    </row>
    <row r="2371" spans="1:3" ht="13" x14ac:dyDescent="0.15">
      <c r="A2371" s="1" t="str">
        <f ca="1">IFERROR(__xludf.DUMMYFUNCTION("GOOGLETRANSLATE(A2371, ""zh"", ""en"")"),"We require all employees to receive employee code of conduct training and sign an anti-commercial bribery commitment letter during their induction period to fully understand the bottom line of compliance and prevent corruption violations.")</f>
        <v>We require all employees to receive employee code of conduct training and sign an anti-commercial bribery commitment letter during their induction period to fully understand the bottom line of compliance and prevent corruption violations.</v>
      </c>
      <c r="B2371" s="1" t="str">
        <f ca="1">IFERROR(__xludf.DUMMYFUNCTION("GOOGLETRANSLATE(A2371, ""zh"", ""en"")"),"Anti-corruption and anti-money laundering")</f>
        <v>Anti-corruption and anti-money laundering</v>
      </c>
      <c r="C2371" s="1" t="str">
        <f ca="1">IFERROR(__xludf.DUMMYFUNCTION("GOOGLETRANSLATE(E2371, ""zh"", ""en"")"),"Qualitative text")</f>
        <v>Qualitative text</v>
      </c>
    </row>
    <row r="2372" spans="1:3" ht="13" x14ac:dyDescent="0.15">
      <c r="A2372" s="1" t="str">
        <f ca="1">IFERROR(__xludf.DUMMYFUNCTION("GOOGLETRANSLATE(A2372, ""zh"", ""en"")"),"The company has established a full-time safety officer system to regularly inspect construction environment security equipment and increase the inspection frequency from 2 times a month to 3 times a month to strengthen the company's safety management")</f>
        <v>The company has established a full-time safety officer system to regularly inspect construction environment security equipment and increase the inspection frequency from 2 times a month to 3 times a month to strengthen the company's safety management</v>
      </c>
      <c r="B2372" s="1" t="str">
        <f ca="1">IFERROR(__xludf.DUMMYFUNCTION("GOOGLETRANSLATE(A2372, ""zh"", ""en"")"),"staff")</f>
        <v>staff</v>
      </c>
      <c r="C2372" s="1" t="str">
        <f ca="1">IFERROR(__xludf.DUMMYFUNCTION("GOOGLETRANSLATE(E2372, ""zh"", ""en"")"),"Qualitative text")</f>
        <v>Qualitative text</v>
      </c>
    </row>
    <row r="2373" spans="1:3" ht="13" x14ac:dyDescent="0.15">
      <c r="A2373" s="1" t="str">
        <f ca="1">IFERROR(__xludf.DUMMYFUNCTION("GOOGLETRANSLATE(A2373, ""zh"", ""en"")"),"Jointly build standards. Renfu Pharmaceutical actively participates in the construction of national industry standards and other quality infrastructure, strengthens the standardization support for pharmaceutical products, and promotes the healthy and sust"&amp;"ainable development of the pharmaceutical industry.")</f>
        <v>Jointly build standards. Renfu Pharmaceutical actively participates in the construction of national industry standards and other quality infrastructure, strengthens the standardization support for pharmaceutical products, and promotes the healthy and sustainable development of the pharmaceutical industry.</v>
      </c>
      <c r="B2373" s="1" t="str">
        <f ca="1">IFERROR(__xludf.DUMMYFUNCTION("GOOGLETRANSLATE(A2373, ""zh"", ""en"")"),"Product quality")</f>
        <v>Product quality</v>
      </c>
      <c r="C2373" s="1" t="str">
        <f ca="1">IFERROR(__xludf.DUMMYFUNCTION("GOOGLETRANSLATE(E2373, ""zh"", ""en"")"),"Qualitative text")</f>
        <v>Qualitative text</v>
      </c>
    </row>
    <row r="2374" spans="1:3" ht="13" x14ac:dyDescent="0.15">
      <c r="A2374" s="1" t="str">
        <f ca="1">IFERROR(__xludf.DUMMYFUNCTION("GOOGLETRANSLATE(A2374, ""zh"", ""en"")"),"The new energy business company actively promotes the integrated development of oil and gas and new energy, strives to build an integrated energy company of oil, gas, heat, electricity and hydrogen, and steadily expands new energy businesses such as wind,"&amp;" solar, and geothermal power generation.")</f>
        <v>The new energy business company actively promotes the integrated development of oil and gas and new energy, strives to build an integrated energy company of oil, gas, heat, electricity and hydrogen, and steadily expands new energy businesses such as wind, solar, and geothermal power generation.</v>
      </c>
      <c r="B2374" s="1" t="str">
        <f ca="1">IFERROR(__xludf.DUMMYFUNCTION("GOOGLETRANSLATE(A2374, ""zh"", ""en"")"),"Energy and resource consumption")</f>
        <v>Energy and resource consumption</v>
      </c>
      <c r="C2374" s="1" t="str">
        <f ca="1">IFERROR(__xludf.DUMMYFUNCTION("GOOGLETRANSLATE(E2374, ""zh"", ""en"")"),"Qualitative text")</f>
        <v>Qualitative text</v>
      </c>
    </row>
    <row r="2375" spans="1:3" ht="13" x14ac:dyDescent="0.15">
      <c r="A2375" s="1" t="str">
        <f ca="1">IFERROR(__xludf.DUMMYFUNCTION("GOOGLETRANSLATE(A2375, ""zh"", ""en"")"),"The meeting unified thoughts and built consensus, emphasizing the need to deeply understand the connotation of Renfu Pharmaceutical's corporate culture, further promote the all-round development of employees, and continuously open up a new pattern for the"&amp;" development of the trade union.")</f>
        <v>The meeting unified thoughts and built consensus, emphasizing the need to deeply understand the connotation of Renfu Pharmaceutical's corporate culture, further promote the all-round development of employees, and continuously open up a new pattern for the development of the trade union.</v>
      </c>
      <c r="B2375" s="1" t="str">
        <f ca="1">IFERROR(__xludf.DUMMYFUNCTION("GOOGLETRANSLATE(A2375, ""zh"", ""en"")"),"staff")</f>
        <v>staff</v>
      </c>
      <c r="C2375" s="1" t="str">
        <f ca="1">IFERROR(__xludf.DUMMYFUNCTION("GOOGLETRANSLATE(E2375, ""zh"", ""en"")"),"Qualitative text")</f>
        <v>Qualitative text</v>
      </c>
    </row>
    <row r="2376" spans="1:3" ht="13" x14ac:dyDescent="0.15">
      <c r="A2376" s="1" t="str">
        <f ca="1">IFERROR(__xludf.DUMMYFUNCTION("GOOGLETRANSLATE(A2376, ""zh"", ""en"")"),"P3437A1.2 Direct Scope 1 and Energy Indirect Scope 2 GHG emissions in tonnes and, if applicable, density per unit of production per facility")</f>
        <v>P3437A1.2 Direct Scope 1 and Energy Indirect Scope 2 GHG emissions in tonnes and, if applicable, density per unit of production per facility</v>
      </c>
      <c r="B2376" s="1" t="str">
        <f ca="1">IFERROR(__xludf.DUMMYFUNCTION("GOOGLETRANSLATE(A2376, ""zh"", ""en"")"),"carbon emissions")</f>
        <v>carbon emissions</v>
      </c>
      <c r="C2376" s="1" t="str">
        <f ca="1">IFERROR(__xludf.DUMMYFUNCTION("GOOGLETRANSLATE(E2376, ""zh"", ""en"")"),"Qualitative text")</f>
        <v>Qualitative text</v>
      </c>
    </row>
    <row r="2377" spans="1:3" ht="13" x14ac:dyDescent="0.15">
      <c r="A2377" s="1" t="str">
        <f ca="1">IFERROR(__xludf.DUMMYFUNCTION("GOOGLETRANSLATE(A2377, ""zh"", ""en"")"),"At the same time, more than 12 million ibuprofen tablets were donated free of charge to some regions, with priority given to key groups, to fully guarantee the medication needs of people in rural areas, especially remote areas.")</f>
        <v>At the same time, more than 12 million ibuprofen tablets were donated free of charge to some regions, with priority given to key groups, to fully guarantee the medication needs of people in rural areas, especially remote areas.</v>
      </c>
      <c r="B2377" s="1" t="str">
        <f ca="1">IFERROR(__xludf.DUMMYFUNCTION("GOOGLETRANSLATE(A2377, ""zh"", ""en"")"),"Public welfare and volunteer service")</f>
        <v>Public welfare and volunteer service</v>
      </c>
      <c r="C2377" s="1" t="str">
        <f ca="1">IFERROR(__xludf.DUMMYFUNCTION("GOOGLETRANSLATE(E2377, ""zh"", ""en"")"),"Quantitative Text")</f>
        <v>Quantitative Text</v>
      </c>
    </row>
    <row r="2378" spans="1:3" ht="13" x14ac:dyDescent="0.15">
      <c r="A2378" s="1" t="str">
        <f ca="1">IFERROR(__xludf.DUMMYFUNCTION("GOOGLETRANSLATE(A2378, ""zh"", ""en"")"),"In this report, the term ""Company"" also refers to the Board of Directors making the following statement in accordance with the Environmental, Social and Governance Reporting Guidelines of the Hong Kong Stock Exchange (hereinafter referred to as the Hong"&amp;" Kong Stock Exchange).")</f>
        <v>In this report, the term "Company" also refers to the Board of Directors making the following statement in accordance with the Environmental, Social and Governance Reporting Guidelines of the Hong Kong Stock Exchange (hereinafter referred to as the Hong Kong Stock Exchange).</v>
      </c>
      <c r="B2378" s="1" t="str">
        <f ca="1">IFERROR(__xludf.DUMMYFUNCTION("GOOGLETRANSLATE(A2378, ""zh"", ""en"")"),"irrelevant text")</f>
        <v>irrelevant text</v>
      </c>
      <c r="C2378" s="1" t="str">
        <f ca="1">IFERROR(__xludf.DUMMYFUNCTION("GOOGLETRANSLATE(E2378, ""zh"", ""en"")"),"irrelevant text")</f>
        <v>irrelevant text</v>
      </c>
    </row>
    <row r="2379" spans="1:3" ht="13" x14ac:dyDescent="0.15">
      <c r="A2379" s="1" t="str">
        <f ca="1">IFERROR(__xludf.DUMMYFUNCTION("GOOGLETRANSLATE(A2379, ""zh"", ""en"")"),"The wired interface satisfies users' needs for AI fitness, mobile viewing, home entertainment, parent-child education, light office, and other home functions. The multi-size screen brings cinema-like viewing experience to movie lovers.")</f>
        <v>The wired interface satisfies users' needs for AI fitness, mobile viewing, home entertainment, parent-child education, light office, and other home functions. The multi-size screen brings cinema-like viewing experience to movie lovers.</v>
      </c>
      <c r="B2379" s="1" t="str">
        <f ca="1">IFERROR(__xludf.DUMMYFUNCTION("GOOGLETRANSLATE(A2379, ""zh"", ""en"")"),"Product quality")</f>
        <v>Product quality</v>
      </c>
      <c r="C2379" s="1" t="str">
        <f ca="1">IFERROR(__xludf.DUMMYFUNCTION("GOOGLETRANSLATE(E2379, ""zh"", ""en"")"),"Qualitative text")</f>
        <v>Qualitative text</v>
      </c>
    </row>
    <row r="2380" spans="1:3" ht="13" x14ac:dyDescent="0.15">
      <c r="A2380" s="1" t="str">
        <f ca="1">IFERROR(__xludf.DUMMYFUNCTION("GOOGLETRANSLATE(A2380, ""zh"", ""en"")"),"Since 2018, the company has adopted a cumulative voting system for the election of directors and supervisors, further enhancing the voice of small and medium shareholders and further increasing the enthusiasm of shareholders to participate in corporate go"&amp;"vernance.")</f>
        <v>Since 2018, the company has adopted a cumulative voting system for the election of directors and supervisors, further enhancing the voice of small and medium shareholders and further increasing the enthusiasm of shareholders to participate in corporate governance.</v>
      </c>
      <c r="B2380" s="1" t="str">
        <f ca="1">IFERROR(__xludf.DUMMYFUNCTION("GOOGLETRANSLATE(A2380, ""zh"", ""en"")"),"Organizational structure and operations")</f>
        <v>Organizational structure and operations</v>
      </c>
      <c r="C2380" s="1" t="str">
        <f ca="1">IFERROR(__xludf.DUMMYFUNCTION("GOOGLETRANSLATE(E2380, ""zh"", ""en"")"),"Qualitative text")</f>
        <v>Qualitative text</v>
      </c>
    </row>
    <row r="2381" spans="1:3" ht="13" x14ac:dyDescent="0.15">
      <c r="A2381" s="1" t="str">
        <f ca="1">IFERROR(__xludf.DUMMYFUNCTION("GOOGLETRANSLATE(A2381, ""zh"", ""en"")"),"Integrity: Fosun Pharma discloses relevant information and data from multiple perspectives based on each social responsibility theme, which fully reflects the economic environment and social impact of the university.")</f>
        <v>Integrity: Fosun Pharma discloses relevant information and data from multiple perspectives based on each social responsibility theme, which fully reflects the economic environment and social impact of the university.</v>
      </c>
      <c r="B2381" s="1" t="str">
        <f ca="1">IFERROR(__xludf.DUMMYFUNCTION("GOOGLETRANSLATE(A2381, ""zh"", ""en"")"),"irrelevant text")</f>
        <v>irrelevant text</v>
      </c>
      <c r="C2381" s="1" t="str">
        <f ca="1">IFERROR(__xludf.DUMMYFUNCTION("GOOGLETRANSLATE(E2381, ""zh"", ""en"")"),"irrelevant text")</f>
        <v>irrelevant text</v>
      </c>
    </row>
    <row r="2382" spans="1:3" ht="13" x14ac:dyDescent="0.15">
      <c r="A2382" s="1" t="str">
        <f ca="1">IFERROR(__xludf.DUMMYFUNCTION("GOOGLETRANSLATE(A2382, ""zh"", ""en"")"),"GSP certification generally refers to a set of management procedures and specifications that control all factors that may cause quality accidents in the circulation of pharmaceutical products to prevent quality accidents from happening.")</f>
        <v>GSP certification generally refers to a set of management procedures and specifications that control all factors that may cause quality accidents in the circulation of pharmaceutical products to prevent quality accidents from happening.</v>
      </c>
      <c r="B2382" s="1" t="str">
        <f ca="1">IFERROR(__xludf.DUMMYFUNCTION("GOOGLETRANSLATE(A2382, ""zh"", ""en"")"),"Product quality")</f>
        <v>Product quality</v>
      </c>
      <c r="C2382" s="1" t="str">
        <f ca="1">IFERROR(__xludf.DUMMYFUNCTION("GOOGLETRANSLATE(E2382, ""zh"", ""en"")"),"Qualitative text")</f>
        <v>Qualitative text</v>
      </c>
    </row>
    <row r="2383" spans="1:3" ht="13" x14ac:dyDescent="0.15">
      <c r="A2383" s="1" t="str">
        <f ca="1">IFERROR(__xludf.DUMMYFUNCTION("GOOGLETRANSLATE(A2383, ""zh"", ""en"")"),"The successful implementation of water control technology is another successful application of full-life cycle mechanical intelligent water control technology, helping offshore oil fields to enter a period of rapid development in precise and intelligent w"&amp;"ater control.")</f>
        <v>The successful implementation of water control technology is another successful application of full-life cycle mechanical intelligent water control technology, helping offshore oil fields to enter a period of rapid development in precise and intelligent water control.</v>
      </c>
      <c r="B2383" s="1" t="str">
        <f ca="1">IFERROR(__xludf.DUMMYFUNCTION("GOOGLETRANSLATE(A2383, ""zh"", ""en"")"),"Water resources")</f>
        <v>Water resources</v>
      </c>
      <c r="C2383" s="1" t="str">
        <f ca="1">IFERROR(__xludf.DUMMYFUNCTION("GOOGLETRANSLATE(E2383, ""zh"", ""en"")"),"Qualitative text")</f>
        <v>Qualitative text</v>
      </c>
    </row>
    <row r="2384" spans="1:3" ht="13" x14ac:dyDescent="0.15">
      <c r="A2384" s="1" t="str">
        <f ca="1">IFERROR(__xludf.DUMMYFUNCTION("GOOGLETRANSLATE(A2384, ""zh"", ""en"")"),"The reporting period is from January 1, 2022 to December 31, 2022. To enhance the comparability and forward-looking nature of the report, some contents are appropriately extended to the previous and next years.")</f>
        <v>The reporting period is from January 1, 2022 to December 31, 2022. To enhance the comparability and forward-looking nature of the report, some contents are appropriately extended to the previous and next years.</v>
      </c>
      <c r="B2384" s="1" t="str">
        <f ca="1">IFERROR(__xludf.DUMMYFUNCTION("GOOGLETRANSLATE(A2384, ""zh"", ""en"")"),"irrelevant text")</f>
        <v>irrelevant text</v>
      </c>
      <c r="C2384" s="1" t="str">
        <f ca="1">IFERROR(__xludf.DUMMYFUNCTION("GOOGLETRANSLATE(E2384, ""zh"", ""en"")"),"irrelevant text")</f>
        <v>irrelevant text</v>
      </c>
    </row>
    <row r="2385" spans="1:3" ht="13" x14ac:dyDescent="0.15">
      <c r="A2385" s="1" t="str">
        <f ca="1">IFERROR(__xludf.DUMMYFUNCTION("GOOGLETRANSLATE(A2385, ""zh"", ""en"")"),"Address: Hisense Building, No. 17, Donghai West Road, Shinan District, Qingdao, Shandong Province, China. Tel: 053283889556. Email: zgbhisense.com")</f>
        <v>Address: Hisense Building, No. 17, Donghai West Road, Shinan District, Qingdao, Shandong Province, China. Tel: 053283889556. Email: zgbhisense.com</v>
      </c>
      <c r="B2385" s="1" t="str">
        <f ca="1">IFERROR(__xludf.DUMMYFUNCTION("GOOGLETRANSLATE(A2385, ""zh"", ""en"")"),"irrelevant text")</f>
        <v>irrelevant text</v>
      </c>
      <c r="C2385" s="1" t="str">
        <f ca="1">IFERROR(__xludf.DUMMYFUNCTION("GOOGLETRANSLATE(E2385, ""zh"", ""en"")"),"irrelevant text")</f>
        <v>irrelevant text</v>
      </c>
    </row>
    <row r="2386" spans="1:3" ht="13" x14ac:dyDescent="0.15">
      <c r="A2386" s="1" t="str">
        <f ca="1">IFERROR(__xludf.DUMMYFUNCTION("GOOGLETRANSLATE(A2386, ""zh"", ""en"")"),"In 2022, Yichang Renfu's quality management system underwent more than 30 domestic official GMP inspections and successfully passed international certification inspections such as PICS, South Korea, and FDA.")</f>
        <v>In 2022, Yichang Renfu's quality management system underwent more than 30 domestic official GMP inspections and successfully passed international certification inspections such as PICS, South Korea, and FDA.</v>
      </c>
      <c r="B2386" s="1" t="str">
        <f ca="1">IFERROR(__xludf.DUMMYFUNCTION("GOOGLETRANSLATE(A2386, ""zh"", ""en"")"),"Product quality")</f>
        <v>Product quality</v>
      </c>
      <c r="C2386" s="1" t="str">
        <f ca="1">IFERROR(__xludf.DUMMYFUNCTION("GOOGLETRANSLATE(E2386, ""zh"", ""en"")"),"Quantitative Text")</f>
        <v>Quantitative Text</v>
      </c>
    </row>
    <row r="2387" spans="1:3" ht="13" x14ac:dyDescent="0.15">
      <c r="A2387" s="1" t="str">
        <f ca="1">IFERROR(__xludf.DUMMYFUNCTION("GOOGLETRANSLATE(A2387, ""zh"", ""en"")"),"At the same time, we actively explore the implementation path of safe carbon reduction through technological innovation, and use digital intelligence to enable the realization of green and low-carbon concepts, making important contributions to the sustain"&amp;"able transformation of the group.")</f>
        <v>At the same time, we actively explore the implementation path of safe carbon reduction through technological innovation, and use digital intelligence to enable the realization of green and low-carbon concepts, making important contributions to the sustainable transformation of the group.</v>
      </c>
      <c r="B2387" s="1" t="str">
        <f ca="1">IFERROR(__xludf.DUMMYFUNCTION("GOOGLETRANSLATE(A2387, ""zh"", ""en"")"),"carbon emissions")</f>
        <v>carbon emissions</v>
      </c>
      <c r="C2387" s="1" t="str">
        <f ca="1">IFERROR(__xludf.DUMMYFUNCTION("GOOGLETRANSLATE(E2387, ""zh"", ""en"")"),"Qualitative text")</f>
        <v>Qualitative text</v>
      </c>
    </row>
    <row r="2388" spans="1:3" ht="13" x14ac:dyDescent="0.15">
      <c r="A2388" s="1" t="str">
        <f ca="1">IFERROR(__xludf.DUMMYFUNCTION("GOOGLETRANSLATE(A2388, ""zh"", ""en"")"),"In 2022, Shanghai Electric solidly promoted the construction of work style through a series of anti-corruption education activities and anti-corruption work conferences, and solidly created a clean and upright corporate environment.")</f>
        <v>In 2022, Shanghai Electric solidly promoted the construction of work style through a series of anti-corruption education activities and anti-corruption work conferences, and solidly created a clean and upright corporate environment.</v>
      </c>
      <c r="B2388" s="1" t="str">
        <f ca="1">IFERROR(__xludf.DUMMYFUNCTION("GOOGLETRANSLATE(A2388, ""zh"", ""en"")"),"Anti-corruption and anti-money laundering")</f>
        <v>Anti-corruption and anti-money laundering</v>
      </c>
      <c r="C2388" s="1" t="str">
        <f ca="1">IFERROR(__xludf.DUMMYFUNCTION("GOOGLETRANSLATE(E2388, ""zh"", ""en"")"),"Qualitative text")</f>
        <v>Qualitative text</v>
      </c>
    </row>
    <row r="2389" spans="1:3" ht="13" x14ac:dyDescent="0.15">
      <c r="A2389" s="1" t="str">
        <f ca="1">IFERROR(__xludf.DUMMYFUNCTION("GOOGLETRANSLATE(A2389, ""zh"", ""en"")"),"The company's board of directors has established a risk management committee, an audit committee, a related-party transaction control committee, a development strategy and ESG committee, a nomination committee, a compensation and assessment committee.")</f>
        <v>The company's board of directors has established a risk management committee, an audit committee, a related-party transaction control committee, a development strategy and ESG committee, a nomination committee, a compensation and assessment committee.</v>
      </c>
      <c r="B2389" s="1" t="str">
        <f ca="1">IFERROR(__xludf.DUMMYFUNCTION("GOOGLETRANSLATE(A2389, ""zh"", ""en"")"),"Organizational structure and operations")</f>
        <v>Organizational structure and operations</v>
      </c>
      <c r="C2389" s="1" t="str">
        <f ca="1">IFERROR(__xludf.DUMMYFUNCTION("GOOGLETRANSLATE(E2389, ""zh"", ""en"")"),"Qualitative text")</f>
        <v>Qualitative text</v>
      </c>
    </row>
    <row r="2390" spans="1:3" ht="13" x14ac:dyDescent="0.15">
      <c r="A2390" s="1" t="str">
        <f ca="1">IFERROR(__xludf.DUMMYFUNCTION("GOOGLETRANSLATE(A2390, ""zh"", ""en"")"),"At the same time, the company's supervisory level, consisting of the Compliance Department, the Audit Department and the Risk Management Department, supervises the management and executive levels on information security-related matters at the company leve"&amp;"l.")</f>
        <v>At the same time, the company's supervisory level, consisting of the Compliance Department, the Audit Department and the Risk Management Department, supervises the management and executive levels on information security-related matters at the company level.</v>
      </c>
      <c r="B2390" s="1" t="str">
        <f ca="1">IFERROR(__xludf.DUMMYFUNCTION("GOOGLETRANSLATE(A2390, ""zh"", ""en"")"),"Data security")</f>
        <v>Data security</v>
      </c>
      <c r="C2390" s="1" t="str">
        <f ca="1">IFERROR(__xludf.DUMMYFUNCTION("GOOGLETRANSLATE(E2390, ""zh"", ""en"")"),"Qualitative text")</f>
        <v>Qualitative text</v>
      </c>
    </row>
    <row r="2391" spans="1:3" ht="13" x14ac:dyDescent="0.15">
      <c r="A2391" s="1" t="str">
        <f ca="1">IFERROR(__xludf.DUMMYFUNCTION("GOOGLETRANSLATE(A2391, ""zh"", ""en"")"),"The company level includes four parts: internal environment, risk assessment, information communication, and internal supervision. The business level covers 24 major business categories, including capital activities, procurement, and production activities"&amp;".")</f>
        <v>The company level includes four parts: internal environment, risk assessment, information communication, and internal supervision. The business level covers 24 major business categories, including capital activities, procurement, and production activities.</v>
      </c>
      <c r="B2391" s="1" t="str">
        <f ca="1">IFERROR(__xludf.DUMMYFUNCTION("GOOGLETRANSLATE(A2391, ""zh"", ""en"")"),"Organizational structure and operations")</f>
        <v>Organizational structure and operations</v>
      </c>
      <c r="C2391" s="1" t="str">
        <f ca="1">IFERROR(__xludf.DUMMYFUNCTION("GOOGLETRANSLATE(E2391, ""zh"", ""en"")"),"Qualitative text")</f>
        <v>Qualitative text</v>
      </c>
    </row>
    <row r="2392" spans="1:3" ht="13" x14ac:dyDescent="0.15">
      <c r="A2392" s="1" t="str">
        <f ca="1">IFERROR(__xludf.DUMMYFUNCTION("GOOGLETRANSLATE(A2392, ""zh"", ""en"")"),"We always integrate the awareness of potential dangers and risks into our own development, always maintain awe of risks, and always tighten the string of risk prevention and control and grasp the rope of internal control.")</f>
        <v>We always integrate the awareness of potential dangers and risks into our own development, always maintain awe of risks, and always tighten the string of risk prevention and control and grasp the rope of internal control.</v>
      </c>
      <c r="B2392" s="1" t="str">
        <f ca="1">IFERROR(__xludf.DUMMYFUNCTION("GOOGLETRANSLATE(A2392, ""zh"", ""en"")"),"Legal proceedings and external sanctions")</f>
        <v>Legal proceedings and external sanctions</v>
      </c>
      <c r="C2392" s="1" t="str">
        <f ca="1">IFERROR(__xludf.DUMMYFUNCTION("GOOGLETRANSLATE(E2392, ""zh"", ""en"")"),"Qualitative text")</f>
        <v>Qualitative text</v>
      </c>
    </row>
    <row r="2393" spans="1:3" ht="13" x14ac:dyDescent="0.15">
      <c r="A2393" s="1" t="str">
        <f ca="1">IFERROR(__xludf.DUMMYFUNCTION("GOOGLETRANSLATE(A2393, ""zh"", ""en"")"),"Leng Weiqing, Chairman and Party Secretary of the Group, chatted with a model worker about work and development, encouraging her to continue playing a role in her position and to cultivate a group of outstanding young scientific and technological talents "&amp;"for the company.")</f>
        <v>Leng Weiqing, Chairman and Party Secretary of the Group, chatted with a model worker about work and development, encouraging her to continue playing a role in her position and to cultivate a group of outstanding young scientific and technological talents for the company.</v>
      </c>
      <c r="B2393" s="1" t="str">
        <f ca="1">IFERROR(__xludf.DUMMYFUNCTION("GOOGLETRANSLATE(A2393, ""zh"", ""en"")"),"staff")</f>
        <v>staff</v>
      </c>
      <c r="C2393" s="1" t="str">
        <f ca="1">IFERROR(__xludf.DUMMYFUNCTION("GOOGLETRANSLATE(E2393, ""zh"", ""en"")"),"Qualitative text")</f>
        <v>Qualitative text</v>
      </c>
    </row>
    <row r="2394" spans="1:3" ht="13" x14ac:dyDescent="0.15">
      <c r="A2394" s="1" t="str">
        <f ca="1">IFERROR(__xludf.DUMMYFUNCTION("GOOGLETRANSLATE(A2394, ""zh"", ""en"")"),"At the same time, Shanghai Electric cares about the lives of every employee, provides assistance to special groups, and is committed to creating a humane environment so that employees can work with peace of mind and live happily.")</f>
        <v>At the same time, Shanghai Electric cares about the lives of every employee, provides assistance to special groups, and is committed to creating a humane environment so that employees can work with peace of mind and live happily.</v>
      </c>
      <c r="B2394" s="1" t="str">
        <f ca="1">IFERROR(__xludf.DUMMYFUNCTION("GOOGLETRANSLATE(A2394, ""zh"", ""en"")"),"staff")</f>
        <v>staff</v>
      </c>
      <c r="C2394" s="1" t="str">
        <f ca="1">IFERROR(__xludf.DUMMYFUNCTION("GOOGLETRANSLATE(E2394, ""zh"", ""en"")"),"Qualitative text")</f>
        <v>Qualitative text</v>
      </c>
    </row>
    <row r="2395" spans="1:3" ht="13" x14ac:dyDescent="0.15">
      <c r="A2395" s="1" t="str">
        <f ca="1">IFERROR(__xludf.DUMMYFUNCTION("GOOGLETRANSLATE(A2395, ""zh"", ""en"")"),"The data cited in this report are derived from the internal official documents and relevant statistical administrative documents of Chongqing Dima Industrial Co., Ltd., as well as third-party questionnaire surveys and internal interviews.")</f>
        <v>The data cited in this report are derived from the internal official documents and relevant statistical administrative documents of Chongqing Dima Industrial Co., Ltd., as well as third-party questionnaire surveys and internal interviews.</v>
      </c>
      <c r="B2395" s="1" t="str">
        <f ca="1">IFERROR(__xludf.DUMMYFUNCTION("GOOGLETRANSLATE(A2395, ""zh"", ""en"")"),"irrelevant text")</f>
        <v>irrelevant text</v>
      </c>
      <c r="C2395" s="1" t="str">
        <f ca="1">IFERROR(__xludf.DUMMYFUNCTION("GOOGLETRANSLATE(E2395, ""zh"", ""en"")"),"irrelevant text")</f>
        <v>irrelevant text</v>
      </c>
    </row>
    <row r="2396" spans="1:3" ht="13" x14ac:dyDescent="0.15">
      <c r="A2396" s="1" t="str">
        <f ca="1">IFERROR(__xludf.DUMMYFUNCTION("GOOGLETRANSLATE(A2396, ""zh"", ""en"")"),"Dima Industry always attaches great importance to the quality of its products and constantly explores new ways and new practices to improve product quality on the basis of establishing and improving quality control systems and processes.")</f>
        <v>Dima Industry always attaches great importance to the quality of its products and constantly explores new ways and new practices to improve product quality on the basis of establishing and improving quality control systems and processes.</v>
      </c>
      <c r="B2396" s="1" t="str">
        <f ca="1">IFERROR(__xludf.DUMMYFUNCTION("GOOGLETRANSLATE(A2396, ""zh"", ""en"")"),"Product quality")</f>
        <v>Product quality</v>
      </c>
      <c r="C2396" s="1" t="str">
        <f ca="1">IFERROR(__xludf.DUMMYFUNCTION("GOOGLETRANSLATE(E2396, ""zh"", ""en"")"),"Qualitative text")</f>
        <v>Qualitative text</v>
      </c>
    </row>
    <row r="2397" spans="1:3" ht="13" x14ac:dyDescent="0.15">
      <c r="A2397" s="1" t="str">
        <f ca="1">IFERROR(__xludf.DUMMYFUNCTION("GOOGLETRANSLATE(A2397, ""zh"", ""en"")"),"3.3 Addressing both the symptoms and the root causes of pollution Key performance indicators A1.2 Total greenhouse gas emissions calculated in tons and, if applicable, density calculated per unit of production per facility")</f>
        <v>3.3 Addressing both the symptoms and the root causes of pollution Key performance indicators A1.2 Total greenhouse gas emissions calculated in tons and, if applicable, density calculated per unit of production per facility</v>
      </c>
      <c r="B2397" s="1" t="str">
        <f ca="1">IFERROR(__xludf.DUMMYFUNCTION("GOOGLETRANSLATE(A2397, ""zh"", ""en"")"),"Waste Management")</f>
        <v>Waste Management</v>
      </c>
      <c r="C2397" s="1" t="str">
        <f ca="1">IFERROR(__xludf.DUMMYFUNCTION("GOOGLETRANSLATE(E2397, ""zh"", ""en"")"),"Qualitative text")</f>
        <v>Qualitative text</v>
      </c>
    </row>
    <row r="2398" spans="1:3" ht="13" x14ac:dyDescent="0.15">
      <c r="A2398" s="1" t="str">
        <f ca="1">IFERROR(__xludf.DUMMYFUNCTION("GOOGLETRANSLATE(A2398, ""zh"", ""en"")"),"1. Carry out publicity activities on the theme of the Shanghai Work Safety Law and Shanghai Work Safety Regulations. Actively organize online knowledge contests on the new safety law. A total of 16,422 people participated.")</f>
        <v>1. Carry out publicity activities on the theme of the Shanghai Work Safety Law and Shanghai Work Safety Regulations. Actively organize online knowledge contests on the new safety law. A total of 16,422 people participated.</v>
      </c>
      <c r="B2398" s="1" t="str">
        <f ca="1">IFERROR(__xludf.DUMMYFUNCTION("GOOGLETRANSLATE(A2398, ""zh"", ""en"")"),"Legal proceedings and external sanctions")</f>
        <v>Legal proceedings and external sanctions</v>
      </c>
      <c r="C2398" s="1" t="str">
        <f ca="1">IFERROR(__xludf.DUMMYFUNCTION("GOOGLETRANSLATE(E2398, ""zh"", ""en"")"),"Quantitative Text")</f>
        <v>Quantitative Text</v>
      </c>
    </row>
    <row r="2399" spans="1:3" ht="13" x14ac:dyDescent="0.15">
      <c r="A2399" s="1" t="str">
        <f ca="1">IFERROR(__xludf.DUMMYFUNCTION("GOOGLETRANSLATE(A2399, ""zh"", ""en"")"),"In terms of environmental health and safety (EHS), we adhere to the concept of sustainable development and continue to increase environmental protection investment to promote air pollution control in order to achieve energy conservation, emission reductio"&amp;"n and protect the environment.")</f>
        <v>In terms of environmental health and safety (EHS), we adhere to the concept of sustainable development and continue to increase environmental protection investment to promote air pollution control in order to achieve energy conservation, emission reduction and protect the environment.</v>
      </c>
      <c r="B2399" s="1" t="str">
        <f ca="1">IFERROR(__xludf.DUMMYFUNCTION("GOOGLETRANSLATE(A2399, ""zh"", ""en"")"),"Environmental Policy")</f>
        <v>Environmental Policy</v>
      </c>
      <c r="C2399" s="1" t="str">
        <f ca="1">IFERROR(__xludf.DUMMYFUNCTION("GOOGLETRANSLATE(E2399, ""zh"", ""en"")"),"Qualitative text")</f>
        <v>Qualitative text</v>
      </c>
    </row>
    <row r="2400" spans="1:3" ht="13" x14ac:dyDescent="0.15">
      <c r="A2400" s="1" t="str">
        <f ca="1">IFERROR(__xludf.DUMMYFUNCTION("GOOGLETRANSLATE(A2400, ""zh"", ""en"")"),"The loan balance of new model products such as Xiaowei Kuaidai exceeds 1.9 trillion yuan, with more than 2.09 million loan customers, and a total of more than 440,000 inclusive small and micro enterprises have been provided with loan extension support.")</f>
        <v>The loan balance of new model products such as Xiaowei Kuaidai exceeds 1.9 trillion yuan, with more than 2.09 million loan customers, and a total of more than 440,000 inclusive small and micro enterprises have been provided with loan extension support.</v>
      </c>
      <c r="B2400" s="1" t="str">
        <f ca="1">IFERROR(__xludf.DUMMYFUNCTION("GOOGLETRANSLATE(A2400, ""zh"", ""en"")"),"Customers and Consumers")</f>
        <v>Customers and Consumers</v>
      </c>
      <c r="C2400" s="1" t="str">
        <f ca="1">IFERROR(__xludf.DUMMYFUNCTION("GOOGLETRANSLATE(E2400, ""zh"", ""en"")"),"Quantitative Text")</f>
        <v>Quantitative Text</v>
      </c>
    </row>
    <row r="2401" spans="1:3" ht="13" x14ac:dyDescent="0.15">
      <c r="A2401" s="1" t="str">
        <f ca="1">IFERROR(__xludf.DUMMYFUNCTION("GOOGLETRANSLATE(A2401, ""zh"", ""en"")"),"Working together to create outstanding engineers and introduce international high-end talents to achieve the co-cultivation, sharing and utilization of talents, providing stronger support for Shanghai Electric to promote high-quality development.")</f>
        <v>Working together to create outstanding engineers and introduce international high-end talents to achieve the co-cultivation, sharing and utilization of talents, providing stronger support for Shanghai Electric to promote high-quality development.</v>
      </c>
      <c r="B2401" s="1" t="str">
        <f ca="1">IFERROR(__xludf.DUMMYFUNCTION("GOOGLETRANSLATE(A2401, ""zh"", ""en"")"),"Promoting employment")</f>
        <v>Promoting employment</v>
      </c>
      <c r="C2401" s="1" t="str">
        <f ca="1">IFERROR(__xludf.DUMMYFUNCTION("GOOGLETRANSLATE(E2401, ""zh"", ""en"")"),"Qualitative text")</f>
        <v>Qualitative text</v>
      </c>
    </row>
    <row r="2402" spans="1:3" ht="13" x14ac:dyDescent="0.15">
      <c r="A2402" s="1" t="str">
        <f ca="1">IFERROR(__xludf.DUMMYFUNCTION("GOOGLETRANSLATE(A2402, ""zh"", ""en"")"),"Jinhua People's Hospital continues to deepen its cooperation with Wenzhou Medical University and joins the Wenzhou Medical University Postgraduate Joint Training Base and the Science and Technology Innovation Transformation Alliance.")</f>
        <v>Jinhua People's Hospital continues to deepen its cooperation with Wenzhou Medical University and joins the Wenzhou Medical University Postgraduate Joint Training Base and the Science and Technology Innovation Transformation Alliance.</v>
      </c>
      <c r="B2402" s="1" t="str">
        <f ca="1">IFERROR(__xludf.DUMMYFUNCTION("GOOGLETRANSLATE(A2402, ""zh"", ""en"")"),"Technological innovation")</f>
        <v>Technological innovation</v>
      </c>
      <c r="C2402" s="1" t="str">
        <f ca="1">IFERROR(__xludf.DUMMYFUNCTION("GOOGLETRANSLATE(E2402, ""zh"", ""en"")"),"Qualitative text")</f>
        <v>Qualitative text</v>
      </c>
    </row>
    <row r="2403" spans="1:3" ht="13" x14ac:dyDescent="0.15">
      <c r="A2403" s="1" t="str">
        <f ca="1">IFERROR(__xludf.DUMMYFUNCTION("GOOGLETRANSLATE(A2403, ""zh"", ""en"")"),"Completed the signing of a strategic agreement with Gansu Wuchan Shanxi Huayuan Road and Port Group and Ouyeel Cloud Commerce. Successfully held a signing ceremony with Ouyeel Cloud Commerce and actively promoted the implementation of business cooperation"&amp;" between the two parties.")</f>
        <v>Completed the signing of a strategic agreement with Gansu Wuchan Shanxi Huayuan Road and Port Group and Ouyeel Cloud Commerce. Successfully held a signing ceremony with Ouyeel Cloud Commerce and actively promoted the implementation of business cooperation between the two parties.</v>
      </c>
      <c r="B2403" s="1" t="str">
        <f ca="1">IFERROR(__xludf.DUMMYFUNCTION("GOOGLETRANSLATE(A2403, ""zh"", ""en"")"),"Technological innovation")</f>
        <v>Technological innovation</v>
      </c>
      <c r="C2403" s="1" t="str">
        <f ca="1">IFERROR(__xludf.DUMMYFUNCTION("GOOGLETRANSLATE(E2403, ""zh"", ""en"")"),"Qualitative text")</f>
        <v>Qualitative text</v>
      </c>
    </row>
    <row r="2404" spans="1:3" ht="13" x14ac:dyDescent="0.15">
      <c r="A2404" s="1" t="str">
        <f ca="1">IFERROR(__xludf.DUMMYFUNCTION("GOOGLETRANSLATE(A2404, ""zh"", ""en"")"),"On December 12, 2022, Yunshang Company's government and enterprise centralized procurement digital platform was successfully shortlisted for the first Global Digital Trade Expo Results Release Conference and debuted at the conference.")</f>
        <v>On December 12, 2022, Yunshang Company's government and enterprise centralized procurement digital platform was successfully shortlisted for the first Global Digital Trade Expo Results Release Conference and debuted at the conference.</v>
      </c>
      <c r="B2404" s="1" t="str">
        <f ca="1">IFERROR(__xludf.DUMMYFUNCTION("GOOGLETRANSLATE(A2404, ""zh"", ""en"")"),"Technological innovation")</f>
        <v>Technological innovation</v>
      </c>
      <c r="C2404" s="1" t="str">
        <f ca="1">IFERROR(__xludf.DUMMYFUNCTION("GOOGLETRANSLATE(E2404, ""zh"", ""en"")"),"Qualitative text")</f>
        <v>Qualitative text</v>
      </c>
    </row>
    <row r="2405" spans="1:3" ht="13" x14ac:dyDescent="0.15">
      <c r="A2405" s="1" t="str">
        <f ca="1">IFERROR(__xludf.DUMMYFUNCTION("GOOGLETRANSLATE(A2405, ""zh"", ""en"")"),"The Group will strengthen the pharmacovigilance training of all its partners in 2022. In terms of process differentiation, the Group will enhance the pharmacovigilance awareness and work capabilities of its employees and partners.")</f>
        <v>The Group will strengthen the pharmacovigilance training of all its partners in 2022. In terms of process differentiation, the Group will enhance the pharmacovigilance awareness and work capabilities of its employees and partners.</v>
      </c>
      <c r="B2405" s="1" t="str">
        <f ca="1">IFERROR(__xludf.DUMMYFUNCTION("GOOGLETRANSLATE(A2405, ""zh"", ""en"")"),"Chemical Safety")</f>
        <v>Chemical Safety</v>
      </c>
      <c r="C2405" s="1" t="str">
        <f ca="1">IFERROR(__xludf.DUMMYFUNCTION("GOOGLETRANSLATE(E2405, ""zh"", ""en"")"),"Qualitative text")</f>
        <v>Qualitative text</v>
      </c>
    </row>
    <row r="2406" spans="1:3" ht="13" x14ac:dyDescent="0.15">
      <c r="A2406" s="1" t="str">
        <f ca="1">IFERROR(__xludf.DUMMYFUNCTION("GOOGLETRANSLATE(A2406, ""zh"", ""en"")"),"For those who fail to complete the assessment target, the company will directly deduct points from the comprehensive assessment score. For every point deducted, a certain percentage of the annual performance bonus will be deducted, up to a maximum of 20 p"&amp;"oints.")</f>
        <v>For those who fail to complete the assessment target, the company will directly deduct points from the comprehensive assessment score. For every point deducted, a certain percentage of the annual performance bonus will be deducted, up to a maximum of 20 points.</v>
      </c>
      <c r="B2406" s="1" t="str">
        <f ca="1">IFERROR(__xludf.DUMMYFUNCTION("GOOGLETRANSLATE(A2406, ""zh"", ""en"")"),"staff")</f>
        <v>staff</v>
      </c>
      <c r="C2406" s="1" t="str">
        <f ca="1">IFERROR(__xludf.DUMMYFUNCTION("GOOGLETRANSLATE(E2406, ""zh"", ""en"")"),"Quantitative Text")</f>
        <v>Quantitative Text</v>
      </c>
    </row>
    <row r="2407" spans="1:3" ht="13" x14ac:dyDescent="0.15">
      <c r="A2407" s="1" t="str">
        <f ca="1">IFERROR(__xludf.DUMMYFUNCTION("GOOGLETRANSLATE(A2407, ""zh"", ""en"")"),"Hongyuan Pharmaceutical, a subsidiary of the chemical company, won the third prize of the 2021 Zhejiang Science and Technology Progress Award for its key green synthesis technology and industrialization project for statins.")</f>
        <v>Hongyuan Pharmaceutical, a subsidiary of the chemical company, won the third prize of the 2021 Zhejiang Science and Technology Progress Award for its key green synthesis technology and industrialization project for statins.</v>
      </c>
      <c r="B2407" s="1" t="str">
        <f ca="1">IFERROR(__xludf.DUMMYFUNCTION("GOOGLETRANSLATE(A2407, ""zh"", ""en"")"),"Technological innovation")</f>
        <v>Technological innovation</v>
      </c>
      <c r="C2407" s="1" t="str">
        <f ca="1">IFERROR(__xludf.DUMMYFUNCTION("GOOGLETRANSLATE(E2407, ""zh"", ""en"")"),"Quantitative Text")</f>
        <v>Quantitative Text</v>
      </c>
    </row>
    <row r="2408" spans="1:3" ht="13" x14ac:dyDescent="0.15">
      <c r="A2408" s="1" t="str">
        <f ca="1">IFERROR(__xludf.DUMMYFUNCTION("GOOGLETRANSLATE(A2408, ""zh"", ""en"")"),"The 2022 Petrochemical Assistance Product Catalog includes 1,963 products covering 149 poverty-stricken counties in 22 provinces nationwide, achieving a total sales assistance of 1.156 billion yuan.")</f>
        <v>The 2022 Petrochemical Assistance Product Catalog includes 1,963 products covering 149 poverty-stricken counties in 22 provinces nationwide, achieving a total sales assistance of 1.156 billion yuan.</v>
      </c>
      <c r="B2408" s="1" t="str">
        <f ca="1">IFERROR(__xludf.DUMMYFUNCTION("GOOGLETRANSLATE(A2408, ""zh"", ""en"")"),"Rural assistance")</f>
        <v>Rural assistance</v>
      </c>
      <c r="C2408" s="1" t="str">
        <f ca="1">IFERROR(__xludf.DUMMYFUNCTION("GOOGLETRANSLATE(E2408, ""zh"", ""en"")"),"Quantitative Text")</f>
        <v>Quantitative Text</v>
      </c>
    </row>
    <row r="2409" spans="1:3" ht="13" x14ac:dyDescent="0.15">
      <c r="A2409" s="1" t="str">
        <f ca="1">IFERROR(__xludf.DUMMYFUNCTION("GOOGLETRANSLATE(A2409, ""zh"", ""en"")"),"Establish a network security notification and emergency response mechanism to regularly release network security work dynamics and various security rectification notices and track and manage the rectification of security risks")</f>
        <v>Establish a network security notification and emergency response mechanism to regularly release network security work dynamics and various security rectification notices and track and manage the rectification of security risks</v>
      </c>
      <c r="B2409" s="1" t="str">
        <f ca="1">IFERROR(__xludf.DUMMYFUNCTION("GOOGLETRANSLATE(A2409, ""zh"", ""en"")"),"Data security")</f>
        <v>Data security</v>
      </c>
      <c r="C2409" s="1" t="str">
        <f ca="1">IFERROR(__xludf.DUMMYFUNCTION("GOOGLETRANSLATE(E2409, ""zh"", ""en"")"),"Qualitative text")</f>
        <v>Qualitative text</v>
      </c>
    </row>
    <row r="2410" spans="1:3" ht="13" x14ac:dyDescent="0.15">
      <c r="A2410" s="1" t="str">
        <f ca="1">IFERROR(__xludf.DUMMYFUNCTION("GOOGLETRANSLATE(A2410, ""zh"", ""en"")"),"As of the end of 2022, the proportion of AAAA-level suppliers in corporate credit certification is 68.8%, the proportion of BBBB-level suppliers is 31.1%, and the proportion of CCCC-level suppliers is 0.1%.")</f>
        <v>As of the end of 2022, the proportion of AAAA-level suppliers in corporate credit certification is 68.8%, the proportion of BBBB-level suppliers is 31.1%, and the proportion of CCCC-level suppliers is 0.1%.</v>
      </c>
      <c r="B2410" s="1" t="str">
        <f ca="1">IFERROR(__xludf.DUMMYFUNCTION("GOOGLETRANSLATE(A2410, ""zh"", ""en"")"),"supply chain management")</f>
        <v>supply chain management</v>
      </c>
      <c r="C2410" s="1" t="str">
        <f ca="1">IFERROR(__xludf.DUMMYFUNCTION("GOOGLETRANSLATE(E2410, ""zh"", ""en"")"),"Quantitative Text")</f>
        <v>Quantitative Text</v>
      </c>
    </row>
    <row r="2411" spans="1:3" ht="13" x14ac:dyDescent="0.15">
      <c r="A2411" s="1" t="str">
        <f ca="1">IFERROR(__xludf.DUMMYFUNCTION("GOOGLETRANSLATE(A2411, ""zh"", ""en"")"),"In the field of hydrogen energy storage, Shanghai Electric focuses on the four major links of production, storage and utilization, and strives to achieve breakthroughs in key core equipment to contribute to breaking through the bottleneck of large-scale a"&amp;"nd low-cost development of the hydrogen energy industry.")</f>
        <v>In the field of hydrogen energy storage, Shanghai Electric focuses on the four major links of production, storage and utilization, and strives to achieve breakthroughs in key core equipment to contribute to breaking through the bottleneck of large-scale and low-cost development of the hydrogen energy industry.</v>
      </c>
      <c r="B2411" s="1" t="str">
        <f ca="1">IFERROR(__xludf.DUMMYFUNCTION("GOOGLETRANSLATE(A2411, ""zh"", ""en"")"),"Technological innovation")</f>
        <v>Technological innovation</v>
      </c>
      <c r="C2411" s="1" t="str">
        <f ca="1">IFERROR(__xludf.DUMMYFUNCTION("GOOGLETRANSLATE(E2411, ""zh"", ""en"")"),"Qualitative text")</f>
        <v>Qualitative text</v>
      </c>
    </row>
    <row r="2412" spans="1:3" ht="13" x14ac:dyDescent="0.15">
      <c r="A2412" s="1" t="str">
        <f ca="1">IFERROR(__xludf.DUMMYFUNCTION("GOOGLETRANSLATE(A2412, ""zh"", ""en"")"),"By 2022, we have completed carbon footprint research on 16 products of 39 companies and actively participated in the formulation of industry standards, making contributions to the petrochemical industry by converting corporate practices into standard resu"&amp;"lts.")</f>
        <v>By 2022, we have completed carbon footprint research on 16 products of 39 companies and actively participated in the formulation of industry standards, making contributions to the petrochemical industry by converting corporate practices into standard results.</v>
      </c>
      <c r="B2412" s="1" t="str">
        <f ca="1">IFERROR(__xludf.DUMMYFUNCTION("GOOGLETRANSLATE(A2412, ""zh"", ""en"")"),"carbon emissions")</f>
        <v>carbon emissions</v>
      </c>
      <c r="C2412" s="1" t="str">
        <f ca="1">IFERROR(__xludf.DUMMYFUNCTION("GOOGLETRANSLATE(E2412, ""zh"", ""en"")"),"Quantitative Text")</f>
        <v>Quantitative Text</v>
      </c>
    </row>
    <row r="2413" spans="1:3" ht="13" x14ac:dyDescent="0.15">
      <c r="A2413" s="1" t="str">
        <f ca="1">IFERROR(__xludf.DUMMYFUNCTION("GOOGLETRANSLATE(A2413, ""zh"", ""en"")"),"Resource recycling Shanghai Electric has the core process design and system equipment capabilities for flue gas treatment, water treatment, and solid waste treatment, providing system solutions for the circular development of industrial parks.")</f>
        <v>Resource recycling Shanghai Electric has the core process design and system equipment capabilities for flue gas treatment, water treatment, and solid waste treatment, providing system solutions for the circular development of industrial parks.</v>
      </c>
      <c r="B2413" s="1" t="str">
        <f ca="1">IFERROR(__xludf.DUMMYFUNCTION("GOOGLETRANSLATE(A2413, ""zh"", ""en"")"),"Waste Management")</f>
        <v>Waste Management</v>
      </c>
      <c r="C2413" s="1" t="str">
        <f ca="1">IFERROR(__xludf.DUMMYFUNCTION("GOOGLETRANSLATE(E2413, ""zh"", ""en"")"),"Qualitative text")</f>
        <v>Qualitative text</v>
      </c>
    </row>
    <row r="2414" spans="1:3" ht="13" x14ac:dyDescent="0.15">
      <c r="A2414" s="1" t="str">
        <f ca="1">IFERROR(__xludf.DUMMYFUNCTION("GOOGLETRANSLATE(A2414, ""zh"", ""en"")"),"The original substantive issues are identified and verified by the management of the resource department, and the results are supplemented by the enterprise level management according to the issue matrix.")</f>
        <v>The original substantive issues are identified and verified by the management of the resource department, and the results are supplemented by the enterprise level management according to the issue matrix.</v>
      </c>
      <c r="B2414" s="1" t="str">
        <f ca="1">IFERROR(__xludf.DUMMYFUNCTION("GOOGLETRANSLATE(A2414, ""zh"", ""en"")"),"Anti-corruption and anti-money laundering")</f>
        <v>Anti-corruption and anti-money laundering</v>
      </c>
      <c r="C2414" s="1" t="str">
        <f ca="1">IFERROR(__xludf.DUMMYFUNCTION("GOOGLETRANSLATE(E2414, ""zh"", ""en"")"),"Qualitative text")</f>
        <v>Qualitative text</v>
      </c>
    </row>
    <row r="2415" spans="1:3" ht="13" x14ac:dyDescent="0.15">
      <c r="A2415" s="1" t="str">
        <f ca="1">IFERROR(__xludf.DUMMYFUNCTION("GOOGLETRANSLATE(A2415, ""zh"", ""en"")"),"Stakeholder Communication: Based on the results of stakeholder communication, combined with industry concerns and external expert opinions, we conduct a substantive analysis and rank the importance of each issue.")</f>
        <v>Stakeholder Communication: Based on the results of stakeholder communication, combined with industry concerns and external expert opinions, we conduct a substantive analysis and rank the importance of each issue.</v>
      </c>
      <c r="B2415" s="1" t="str">
        <f ca="1">IFERROR(__xludf.DUMMYFUNCTION("GOOGLETRANSLATE(A2415, ""zh"", ""en"")"),"irrelevant text")</f>
        <v>irrelevant text</v>
      </c>
      <c r="C2415" s="1" t="str">
        <f ca="1">IFERROR(__xludf.DUMMYFUNCTION("GOOGLETRANSLATE(E2415, ""zh"", ""en"")"),"irrelevant text")</f>
        <v>irrelevant text</v>
      </c>
    </row>
    <row r="2416" spans="1:3" ht="13" x14ac:dyDescent="0.15">
      <c r="A2416" s="1" t="str">
        <f ca="1">IFERROR(__xludf.DUMMYFUNCTION("GOOGLETRANSLATE(A2416, ""zh"", ""en"")"),"In the future, the Group will continue to focus on the development needs of its employees through effective resource integration, enabling everyone to learn on the job and expanding the types and coverage of courses by increasing training investment.")</f>
        <v>In the future, the Group will continue to focus on the development needs of its employees through effective resource integration, enabling everyone to learn on the job and expanding the types and coverage of courses by increasing training investment.</v>
      </c>
      <c r="B2416" s="1" t="str">
        <f ca="1">IFERROR(__xludf.DUMMYFUNCTION("GOOGLETRANSLATE(A2416, ""zh"", ""en"")"),"staff")</f>
        <v>staff</v>
      </c>
      <c r="C2416" s="1" t="str">
        <f ca="1">IFERROR(__xludf.DUMMYFUNCTION("GOOGLETRANSLATE(E2416, ""zh"", ""en"")"),"Qualitative text")</f>
        <v>Qualitative text</v>
      </c>
    </row>
    <row r="2417" spans="1:3" ht="13" x14ac:dyDescent="0.15">
      <c r="A2417" s="1" t="str">
        <f ca="1">IFERROR(__xludf.DUMMYFUNCTION("GOOGLETRANSLATE(A2417, ""zh"", ""en"")"),"Organize enterprises to actively participate in the energy efficiency leader selection activities organized by the state and industry associations. In 2022, many enterprises won the title of industry energy efficiency leader benchmark enterprise.")</f>
        <v>Organize enterprises to actively participate in the energy efficiency leader selection activities organized by the state and industry associations. In 2022, many enterprises won the title of industry energy efficiency leader benchmark enterprise.</v>
      </c>
      <c r="B2417" s="1" t="str">
        <f ca="1">IFERROR(__xludf.DUMMYFUNCTION("GOOGLETRANSLATE(A2417, ""zh"", ""en"")"),"Energy and resource consumption")</f>
        <v>Energy and resource consumption</v>
      </c>
      <c r="C2417" s="1" t="str">
        <f ca="1">IFERROR(__xludf.DUMMYFUNCTION("GOOGLETRANSLATE(E2417, ""zh"", ""en"")"),"Quantitative Text")</f>
        <v>Quantitative Text</v>
      </c>
    </row>
    <row r="2418" spans="1:3" ht="13" x14ac:dyDescent="0.15">
      <c r="A2418" s="1" t="str">
        <f ca="1">IFERROR(__xludf.DUMMYFUNCTION("GOOGLETRANSLATE(A2418, ""zh"", ""en"")"),"The company has established a multi-level and multi-category safety production inspection system, and regularly conducts supervision and inspection actions every day, every week, and every month to ensure full coverage of safety inspections from time peri"&amp;"ods to personnel.")</f>
        <v>The company has established a multi-level and multi-category safety production inspection system, and regularly conducts supervision and inspection actions every day, every week, and every month to ensure full coverage of safety inspections from time periods to personnel.</v>
      </c>
      <c r="B2418" s="1" t="str">
        <f ca="1">IFERROR(__xludf.DUMMYFUNCTION("GOOGLETRANSLATE(A2418, ""zh"", ""en"")"),"staff")</f>
        <v>staff</v>
      </c>
      <c r="C2418" s="1" t="str">
        <f ca="1">IFERROR(__xludf.DUMMYFUNCTION("GOOGLETRANSLATE(E2418, ""zh"", ""en"")"),"Qualitative text")</f>
        <v>Qualitative text</v>
      </c>
    </row>
    <row r="2419" spans="1:3" ht="13" x14ac:dyDescent="0.15">
      <c r="A2419" s="1" t="str">
        <f ca="1">IFERROR(__xludf.DUMMYFUNCTION("GOOGLETRANSLATE(A2419, ""zh"", ""en"")"),"The launching ceremony of the key research project was held. A high-standard key laboratory for the entire process of nylon fiber and a key laboratory for the entire process of nylon engineering plastics were built to establish a first-class scientific re"&amp;"search platform.")</f>
        <v>The launching ceremony of the key research project was held. A high-standard key laboratory for the entire process of nylon fiber and a key laboratory for the entire process of nylon engineering plastics were built to establish a first-class scientific research platform.</v>
      </c>
      <c r="B2419" s="1" t="str">
        <f ca="1">IFERROR(__xludf.DUMMYFUNCTION("GOOGLETRANSLATE(A2419, ""zh"", ""en"")"),"Technological innovation")</f>
        <v>Technological innovation</v>
      </c>
      <c r="C2419" s="1" t="str">
        <f ca="1">IFERROR(__xludf.DUMMYFUNCTION("GOOGLETRANSLATE(E2419, ""zh"", ""en"")"),"Qualitative text")</f>
        <v>Qualitative text</v>
      </c>
    </row>
    <row r="2420" spans="1:3" ht="13" x14ac:dyDescent="0.15">
      <c r="A2420" s="1" t="str">
        <f ca="1">IFERROR(__xludf.DUMMYFUNCTION("GOOGLETRANSLATE(A2420, ""zh"", ""en"")"),"We have defined the reporting scope as all of the company's core businesses, namely, China's smart home business, overseas home appliances and smart home business, consistent with the annual report and previous ESG reports.")</f>
        <v>We have defined the reporting scope as all of the company's core businesses, namely, China's smart home business, overseas home appliances and smart home business, consistent with the annual report and previous ESG reports.</v>
      </c>
      <c r="B2420" s="1" t="str">
        <f ca="1">IFERROR(__xludf.DUMMYFUNCTION("GOOGLETRANSLATE(A2420, ""zh"", ""en"")"),"irrelevant text")</f>
        <v>irrelevant text</v>
      </c>
      <c r="C2420" s="1" t="str">
        <f ca="1">IFERROR(__xludf.DUMMYFUNCTION("GOOGLETRANSLATE(E2420, ""zh"", ""en"")"),"irrelevant text")</f>
        <v>irrelevant text</v>
      </c>
    </row>
    <row r="2421" spans="1:3" ht="13" x14ac:dyDescent="0.15">
      <c r="A2421" s="1" t="str">
        <f ca="1">IFERROR(__xludf.DUMMYFUNCTION("GOOGLETRANSLATE(A2421, ""zh"", ""en"")"),"The company provides convenient nucleic acid testing and vaccination services for employees to ensure that all employees are tested and vaccinated, providing health protection for the company's normal production and operation.")</f>
        <v>The company provides convenient nucleic acid testing and vaccination services for employees to ensure that all employees are tested and vaccinated, providing health protection for the company's normal production and operation.</v>
      </c>
      <c r="B2421" s="1" t="str">
        <f ca="1">IFERROR(__xludf.DUMMYFUNCTION("GOOGLETRANSLATE(A2421, ""zh"", ""en"")"),"Fighting the epidemic")</f>
        <v>Fighting the epidemic</v>
      </c>
      <c r="C2421" s="1" t="str">
        <f ca="1">IFERROR(__xludf.DUMMYFUNCTION("GOOGLETRANSLATE(E2421, ""zh"", ""en"")"),"Qualitative text")</f>
        <v>Qualitative text</v>
      </c>
    </row>
    <row r="2422" spans="1:3" ht="13" x14ac:dyDescent="0.15">
      <c r="A2422" s="1" t="str">
        <f ca="1">IFERROR(__xludf.DUMMYFUNCTION("GOOGLETRANSLATE(A2422, ""zh"", ""en"")"),"The company attaches great importance to information and privacy protection, and improves the data and file storage and authorization mechanism to effectively protect the company's network security, host security and data security.")</f>
        <v>The company attaches great importance to information and privacy protection, and improves the data and file storage and authorization mechanism to effectively protect the company's network security, host security and data security.</v>
      </c>
      <c r="B2422" s="1" t="str">
        <f ca="1">IFERROR(__xludf.DUMMYFUNCTION("GOOGLETRANSLATE(A2422, ""zh"", ""en"")"),"Data security")</f>
        <v>Data security</v>
      </c>
      <c r="C2422" s="1" t="str">
        <f ca="1">IFERROR(__xludf.DUMMYFUNCTION("GOOGLETRANSLATE(E2422, ""zh"", ""en"")"),"Qualitative text")</f>
        <v>Qualitative text</v>
      </c>
    </row>
    <row r="2423" spans="1:3" ht="13" x14ac:dyDescent="0.15">
      <c r="A2423" s="1" t="str">
        <f ca="1">IFERROR(__xludf.DUMMYFUNCTION("GOOGLETRANSLATE(A2423, ""zh"", ""en"")"),"Due to the epidemic, some well-equipped occupational health protection facilities have expanded occupational disease police physical examination institutions to suspend services. Some of the enclosures originally planned to be marked in 2022")</f>
        <v>Due to the epidemic, some well-equipped occupational health protection facilities have expanded occupational disease police physical examination institutions to suspend services. Some of the enclosures originally planned to be marked in 2022</v>
      </c>
      <c r="B2423" s="1" t="str">
        <f ca="1">IFERROR(__xludf.DUMMYFUNCTION("GOOGLETRANSLATE(A2423, ""zh"", ""en"")"),"Fighting the epidemic")</f>
        <v>Fighting the epidemic</v>
      </c>
      <c r="C2423" s="1" t="str">
        <f ca="1">IFERROR(__xludf.DUMMYFUNCTION("GOOGLETRANSLATE(E2423, ""zh"", ""en"")"),"Qualitative text")</f>
        <v>Qualitative text</v>
      </c>
    </row>
    <row r="2424" spans="1:3" ht="13" x14ac:dyDescent="0.15">
      <c r="A2424" s="1" t="str">
        <f ca="1">IFERROR(__xludf.DUMMYFUNCTION("GOOGLETRANSLATE(A2424, ""zh"", ""en"")"),"Actively implement the spirit of the national policy on stabilizing and securing employment, combine scientific planning with business development needs, continuously expand the scale of recruitment of college graduates, and provide job-seeking and employ"&amp;"ment convenience")</f>
        <v>Actively implement the spirit of the national policy on stabilizing and securing employment, combine scientific planning with business development needs, continuously expand the scale of recruitment of college graduates, and provide job-seeking and employment convenience</v>
      </c>
      <c r="B2424" s="1" t="str">
        <f ca="1">IFERROR(__xludf.DUMMYFUNCTION("GOOGLETRANSLATE(A2424, ""zh"", ""en"")"),"Promoting employment")</f>
        <v>Promoting employment</v>
      </c>
      <c r="C2424" s="1" t="str">
        <f ca="1">IFERROR(__xludf.DUMMYFUNCTION("GOOGLETRANSLATE(E2424, ""zh"", ""en"")"),"Qualitative text")</f>
        <v>Qualitative text</v>
      </c>
    </row>
    <row r="2425" spans="1:3" ht="13" x14ac:dyDescent="0.15">
      <c r="A2425" s="1" t="str">
        <f ca="1">IFERROR(__xludf.DUMMYFUNCTION("GOOGLETRANSLATE(A2425, ""zh"", ""en"")"),"In 2021, the company further improved its environmental management system, strengthened supervision of environmental protection facilities, and ensured the normal operation of environmental protection facilities, achieving significant results in energy co"&amp;"nservation and emission reduction.")</f>
        <v>In 2021, the company further improved its environmental management system, strengthened supervision of environmental protection facilities, and ensured the normal operation of environmental protection facilities, achieving significant results in energy conservation and emission reduction.</v>
      </c>
      <c r="B2425" s="1" t="str">
        <f ca="1">IFERROR(__xludf.DUMMYFUNCTION("GOOGLETRANSLATE(A2425, ""zh"", ""en"")"),"Environmental Policy")</f>
        <v>Environmental Policy</v>
      </c>
      <c r="C2425" s="1" t="str">
        <f ca="1">IFERROR(__xludf.DUMMYFUNCTION("GOOGLETRANSLATE(E2425, ""zh"", ""en"")"),"Qualitative text")</f>
        <v>Qualitative text</v>
      </c>
    </row>
    <row r="2426" spans="1:3" ht="13" x14ac:dyDescent="0.15">
      <c r="A2426" s="1" t="str">
        <f ca="1">IFERROR(__xludf.DUMMYFUNCTION("GOOGLETRANSLATE(A2426, ""zh"", ""en"")"),"Phase I clinical trials for XYP001 have been initiated. If successfully developed, this drug will provide a new, safer medication option for IPF patients.")</f>
        <v>Phase I clinical trials for XYP001 have been initiated. If successfully developed, this drug will provide a new, safer medication option for IPF patients.</v>
      </c>
      <c r="B2426" s="1" t="str">
        <f ca="1">IFERROR(__xludf.DUMMYFUNCTION("GOOGLETRANSLATE(A2426, ""zh"", ""en"")"),"Technological innovation")</f>
        <v>Technological innovation</v>
      </c>
      <c r="C2426" s="1" t="str">
        <f ca="1">IFERROR(__xludf.DUMMYFUNCTION("GOOGLETRANSLATE(E2426, ""zh"", ""en"")"),"Qualitative text")</f>
        <v>Qualitative text</v>
      </c>
    </row>
    <row r="2427" spans="1:3" ht="13" x14ac:dyDescent="0.15">
      <c r="A2427" s="1" t="str">
        <f ca="1">IFERROR(__xludf.DUMMYFUNCTION("GOOGLETRANSLATE(A2427, ""zh"", ""en"")"),"Candy UK provides all female employees with various thoughtful benefits, including free sanitary products in the bathroom and women-themed learning seminars.")</f>
        <v>Candy UK provides all female employees with various thoughtful benefits, including free sanitary products in the bathroom and women-themed learning seminars.</v>
      </c>
      <c r="B2427" s="1" t="str">
        <f ca="1">IFERROR(__xludf.DUMMYFUNCTION("GOOGLETRANSLATE(A2427, ""zh"", ""en"")"),"staff")</f>
        <v>staff</v>
      </c>
      <c r="C2427" s="1" t="str">
        <f ca="1">IFERROR(__xludf.DUMMYFUNCTION("GOOGLETRANSLATE(E2427, ""zh"", ""en"")"),"Qualitative text")</f>
        <v>Qualitative text</v>
      </c>
    </row>
    <row r="2428" spans="1:3" ht="13" x14ac:dyDescent="0.15">
      <c r="A2428" s="1" t="str">
        <f ca="1">IFERROR(__xludf.DUMMYFUNCTION("GOOGLETRANSLATE(A2428, ""zh"", ""en"")"),"GEA employees spontaneously organized themselves to form Affinity Networks to share interests, skills and experiences and exchange and integrate ideas.")</f>
        <v>GEA employees spontaneously organized themselves to form Affinity Networks to share interests, skills and experiences and exchange and integrate ideas.</v>
      </c>
      <c r="B2428" s="1" t="str">
        <f ca="1">IFERROR(__xludf.DUMMYFUNCTION("GOOGLETRANSLATE(A2428, ""zh"", ""en"")"),"staff")</f>
        <v>staff</v>
      </c>
      <c r="C2428" s="1" t="str">
        <f ca="1">IFERROR(__xludf.DUMMYFUNCTION("GOOGLETRANSLATE(E2428, ""zh"", ""en"")"),"Qualitative text")</f>
        <v>Qualitative text</v>
      </c>
    </row>
    <row r="2429" spans="1:3" ht="13" x14ac:dyDescent="0.15">
      <c r="A2429" s="1" t="str">
        <f ca="1">IFERROR(__xludf.DUMMYFUNCTION("GOOGLETRANSLATE(A2429, ""zh"", ""en"")"),"Other carbon reduction actions include promoting remote communication and online meetings to further promote paperless office work, encouraging employees to save paper, and setting up centralized waste paper recycling bins.")</f>
        <v>Other carbon reduction actions include promoting remote communication and online meetings to further promote paperless office work, encouraging employees to save paper, and setting up centralized waste paper recycling bins.</v>
      </c>
      <c r="B2429" s="1" t="str">
        <f ca="1">IFERROR(__xludf.DUMMYFUNCTION("GOOGLETRANSLATE(A2429, ""zh"", ""en"")"),"carbon emissions")</f>
        <v>carbon emissions</v>
      </c>
      <c r="C2429" s="1" t="str">
        <f ca="1">IFERROR(__xludf.DUMMYFUNCTION("GOOGLETRANSLATE(E2429, ""zh"", ""en"")"),"Qualitative text")</f>
        <v>Qualitative text</v>
      </c>
    </row>
    <row r="2430" spans="1:3" ht="13" x14ac:dyDescent="0.15">
      <c r="A2430" s="1" t="str">
        <f ca="1">IFERROR(__xludf.DUMMYFUNCTION("GOOGLETRANSLATE(A2430, ""zh"", ""en"")"),"Promote low-carbon behavior in the office area, such as turning off lights and air conditioners, and using energy-saving lamps instead of traditional lamps and sensor faucets instead of manual faucets in the office area.")</f>
        <v>Promote low-carbon behavior in the office area, such as turning off lights and air conditioners, and using energy-saving lamps instead of traditional lamps and sensor faucets instead of manual faucets in the office area.</v>
      </c>
      <c r="B2430" s="1" t="str">
        <f ca="1">IFERROR(__xludf.DUMMYFUNCTION("GOOGLETRANSLATE(A2430, ""zh"", ""en"")"),"Energy and resource consumption")</f>
        <v>Energy and resource consumption</v>
      </c>
      <c r="C2430" s="1" t="str">
        <f ca="1">IFERROR(__xludf.DUMMYFUNCTION("GOOGLETRANSLATE(E2430, ""zh"", ""en"")"),"Qualitative text")</f>
        <v>Qualitative text</v>
      </c>
    </row>
    <row r="2431" spans="1:3" ht="13" x14ac:dyDescent="0.15">
      <c r="A2431" s="1" t="str">
        <f ca="1">IFERROR(__xludf.DUMMYFUNCTION("GOOGLETRANSLATE(A2431, ""zh"", ""en"")"),"Hold department-level corporate culture communication meetings every month and correspondent meetings every week to promptly identify and tap into the company's strengths, set benchmarks, and create a positive corporate culture atmosphere.")</f>
        <v>Hold department-level corporate culture communication meetings every month and correspondent meetings every week to promptly identify and tap into the company's strengths, set benchmarks, and create a positive corporate culture atmosphere.</v>
      </c>
      <c r="B2431" s="1" t="str">
        <f ca="1">IFERROR(__xludf.DUMMYFUNCTION("GOOGLETRANSLATE(A2431, ""zh"", ""en"")"),"Organizational structure and operations")</f>
        <v>Organizational structure and operations</v>
      </c>
      <c r="C2431" s="1" t="str">
        <f ca="1">IFERROR(__xludf.DUMMYFUNCTION("GOOGLETRANSLATE(E2431, ""zh"", ""en"")"),"Qualitative text")</f>
        <v>Qualitative text</v>
      </c>
    </row>
    <row r="2432" spans="1:3" ht="13" x14ac:dyDescent="0.15">
      <c r="A2432" s="1" t="str">
        <f ca="1">IFERROR(__xludf.DUMMYFUNCTION("GOOGLETRANSLATE(A2432, ""zh"", ""en"")"),"Dima Sharing Moments has launched the Dima Sharing Moments platform to encourage executives and employees to speak out and share good articles. Currently, multiple editions of Dima Sharing Moments internal e-publications have been published and launched.")</f>
        <v>Dima Sharing Moments has launched the Dima Sharing Moments platform to encourage executives and employees to speak out and share good articles. Currently, multiple editions of Dima Sharing Moments internal e-publications have been published and launched.</v>
      </c>
      <c r="B2432" s="1" t="str">
        <f ca="1">IFERROR(__xludf.DUMMYFUNCTION("GOOGLETRANSLATE(A2432, ""zh"", ""en"")"),"staff")</f>
        <v>staff</v>
      </c>
      <c r="C2432" s="1" t="str">
        <f ca="1">IFERROR(__xludf.DUMMYFUNCTION("GOOGLETRANSLATE(E2432, ""zh"", ""en"")"),"Qualitative text")</f>
        <v>Qualitative text</v>
      </c>
    </row>
    <row r="2433" spans="1:3" ht="13" x14ac:dyDescent="0.15">
      <c r="A2433" s="1" t="str">
        <f ca="1">IFERROR(__xludf.DUMMYFUNCTION("GOOGLETRANSLATE(A2433, ""zh"", ""en"")"),"The Party Committee of the Head Office conducted special research on consumer protection work. The Board of Directors, Supervisory Committee, and senior management have continuously strengthened the overall management and guidance of consumer protection w"&amp;"ork, including complaint management, product and service consumer protection review, etc.")</f>
        <v>The Party Committee of the Head Office conducted special research on consumer protection work. The Board of Directors, Supervisory Committee, and senior management have continuously strengthened the overall management and guidance of consumer protection work, including complaint management, product and service consumer protection review, etc.</v>
      </c>
      <c r="B2433" s="1" t="str">
        <f ca="1">IFERROR(__xludf.DUMMYFUNCTION("GOOGLETRANSLATE(A2433, ""zh"", ""en"")"),"Customers and Consumers")</f>
        <v>Customers and Consumers</v>
      </c>
      <c r="C2433" s="1" t="str">
        <f ca="1">IFERROR(__xludf.DUMMYFUNCTION("GOOGLETRANSLATE(E2433, ""zh"", ""en"")"),"Qualitative text")</f>
        <v>Qualitative text</v>
      </c>
    </row>
    <row r="2434" spans="1:3" ht="13" x14ac:dyDescent="0.15">
      <c r="A2434" s="1" t="str">
        <f ca="1">IFERROR(__xludf.DUMMYFUNCTION("GOOGLETRANSLATE(A2434, ""zh"", ""en"")"),"As of December 2022, the coverage of energy intelligent monitoring will continue to increase. 5 major member companies of the Japan Group have passed the energy management system certification.")</f>
        <v>As of December 2022, the coverage of energy intelligent monitoring will continue to increase. 5 major member companies of the Japan Group have passed the energy management system certification.</v>
      </c>
      <c r="B2434" s="1" t="str">
        <f ca="1">IFERROR(__xludf.DUMMYFUNCTION("GOOGLETRANSLATE(A2434, ""zh"", ""en"")"),"Energy and resource consumption")</f>
        <v>Energy and resource consumption</v>
      </c>
      <c r="C2434" s="1" t="str">
        <f ca="1">IFERROR(__xludf.DUMMYFUNCTION("GOOGLETRANSLATE(E2434, ""zh"", ""en"")"),"Quantitative Text")</f>
        <v>Quantitative Text</v>
      </c>
    </row>
    <row r="2435" spans="1:3" ht="13" x14ac:dyDescent="0.15">
      <c r="A2435" s="1" t="str">
        <f ca="1">IFERROR(__xludf.DUMMYFUNCTION("GOOGLETRANSLATE(A2435, ""zh"", ""en"")"),"In addition, we have been elected as a member of the 4th Council of the China Nonferrous Metals Industry Association and invited to join the International Zinc Association (IZA), a non-profit organization representing the world's zinc industry.")</f>
        <v>In addition, we have been elected as a member of the 4th Council of the China Nonferrous Metals Industry Association and invited to join the International Zinc Association (IZA), a non-profit organization representing the world's zinc industry.</v>
      </c>
      <c r="B2435" s="1" t="str">
        <f ca="1">IFERROR(__xludf.DUMMYFUNCTION("GOOGLETRANSLATE(A2435, ""zh"", ""en"")"),"Sustainable certification")</f>
        <v>Sustainable certification</v>
      </c>
      <c r="C2435" s="1" t="str">
        <f ca="1">IFERROR(__xludf.DUMMYFUNCTION("GOOGLETRANSLATE(E2435, ""zh"", ""en"")"),"Qualitative text")</f>
        <v>Qualitative text</v>
      </c>
    </row>
    <row r="2436" spans="1:3" ht="13" x14ac:dyDescent="0.15">
      <c r="A2436" s="1" t="str">
        <f ca="1">IFERROR(__xludf.DUMMYFUNCTION("GOOGLETRANSLATE(A2436, ""zh"", ""en"")"),"In 2022, 426 new FOPEX projects were added, including quality, cost, efficiency, cycle research, and the FOPEX system promoted the close development of different types of member companies.")</f>
        <v>In 2022, 426 new FOPEX projects were added, including quality, cost, efficiency, cycle research, and the FOPEX system promoted the close development of different types of member companies.</v>
      </c>
      <c r="B2436" s="1" t="str">
        <f ca="1">IFERROR(__xludf.DUMMYFUNCTION("GOOGLETRANSLATE(A2436, ""zh"", ""en"")"),"Technological innovation")</f>
        <v>Technological innovation</v>
      </c>
      <c r="C2436" s="1" t="str">
        <f ca="1">IFERROR(__xludf.DUMMYFUNCTION("GOOGLETRANSLATE(E2436, ""zh"", ""en"")"),"Qualitative text")</f>
        <v>Qualitative text</v>
      </c>
    </row>
    <row r="2437" spans="1:3" ht="13" x14ac:dyDescent="0.15">
      <c r="A2437" s="1" t="str">
        <f ca="1">IFERROR(__xludf.DUMMYFUNCTION("GOOGLETRANSLATE(A2437, ""zh"", ""en"")"),"We will continue to focus on water management and conservation, strengthen cooperation with local governments and communities, and jointly promote the sustainable use of water resources to address water shortages during the dry season.")</f>
        <v>We will continue to focus on water management and conservation, strengthen cooperation with local governments and communities, and jointly promote the sustainable use of water resources to address water shortages during the dry season.</v>
      </c>
      <c r="B2437" s="1" t="str">
        <f ca="1">IFERROR(__xludf.DUMMYFUNCTION("GOOGLETRANSLATE(A2437, ""zh"", ""en"")"),"Water resources")</f>
        <v>Water resources</v>
      </c>
      <c r="C2437" s="1" t="str">
        <f ca="1">IFERROR(__xludf.DUMMYFUNCTION("GOOGLETRANSLATE(E2437, ""zh"", ""en"")"),"Qualitative text")</f>
        <v>Qualitative text</v>
      </c>
    </row>
    <row r="2438" spans="1:3" ht="13" x14ac:dyDescent="0.15">
      <c r="A2438" s="1" t="str">
        <f ca="1">IFERROR(__xludf.DUMMYFUNCTION("GOOGLETRANSLATE(A2438, ""zh"", ""en"")"),"After learning, employees will review the current status of CCS applications in corresponding fields in the form of special groups, identify existing gaps, and propose improvement plans to put their knowledge into practice.")</f>
        <v>After learning, employees will review the current status of CCS applications in corresponding fields in the form of special groups, identify existing gaps, and propose improvement plans to put their knowledge into practice.</v>
      </c>
      <c r="B2438" s="1" t="str">
        <f ca="1">IFERROR(__xludf.DUMMYFUNCTION("GOOGLETRANSLATE(A2438, ""zh"", ""en"")"),"staff")</f>
        <v>staff</v>
      </c>
      <c r="C2438" s="1" t="str">
        <f ca="1">IFERROR(__xludf.DUMMYFUNCTION("GOOGLETRANSLATE(E2438, ""zh"", ""en"")"),"Qualitative text")</f>
        <v>Qualitative text</v>
      </c>
    </row>
    <row r="2439" spans="1:3" ht="13" x14ac:dyDescent="0.15">
      <c r="A2439" s="1" t="str">
        <f ca="1">IFERROR(__xludf.DUMMYFUNCTION("GOOGLETRANSLATE(A2439, ""zh"", ""en"")"),"In addition, since joining the biological conservation release program in 2018, Holy Lake Energy has released red-footed turtles, white-faced capuchin monkeys and other local representative species in the oil field blocks.")</f>
        <v>In addition, since joining the biological conservation release program in 2018, Holy Lake Energy has released red-footed turtles, white-faced capuchin monkeys and other local representative species in the oil field blocks.</v>
      </c>
      <c r="B2439" s="1" t="str">
        <f ca="1">IFERROR(__xludf.DUMMYFUNCTION("GOOGLETRANSLATE(A2439, ""zh"", ""en"")"),"biodiversity")</f>
        <v>biodiversity</v>
      </c>
      <c r="C2439" s="1" t="str">
        <f ca="1">IFERROR(__xludf.DUMMYFUNCTION("GOOGLETRANSLATE(E2439, ""zh"", ""en"")"),"Qualitative text")</f>
        <v>Qualitative text</v>
      </c>
    </row>
    <row r="2440" spans="1:3" ht="13" x14ac:dyDescent="0.15">
      <c r="A2440" s="1" t="str">
        <f ca="1">IFERROR(__xludf.DUMMYFUNCTION("GOOGLETRANSLATE(A2440, ""zh"", ""en"")"),"The HSE Committee regularly holds monthly and quarterly meetings to summarize and analyze key HSE tasks and deploy and arrange the next key tasks to promote the effective operation of the HSE management system.")</f>
        <v>The HSE Committee regularly holds monthly and quarterly meetings to summarize and analyze key HSE tasks and deploy and arrange the next key tasks to promote the effective operation of the HSE management system.</v>
      </c>
      <c r="B2440" s="1" t="str">
        <f ca="1">IFERROR(__xludf.DUMMYFUNCTION("GOOGLETRANSLATE(A2440, ""zh"", ""en"")"),"Environmental Policy")</f>
        <v>Environmental Policy</v>
      </c>
      <c r="C2440" s="1" t="str">
        <f ca="1">IFERROR(__xludf.DUMMYFUNCTION("GOOGLETRANSLATE(E2440, ""zh"", ""en"")"),"Qualitative text")</f>
        <v>Qualitative text</v>
      </c>
    </row>
    <row r="2441" spans="1:3" ht="13" x14ac:dyDescent="0.15">
      <c r="A2441" s="1" t="str">
        <f ca="1">IFERROR(__xludf.DUMMYFUNCTION("GOOGLETRANSLATE(A2441, ""zh"", ""en"")"),"Through the Quality Month activities, we emphasize to all employees that quality management needs to cover the entire process and all the time, and further build a work atmosphere of quality management with full participation and unremitting efforts.")</f>
        <v>Through the Quality Month activities, we emphasize to all employees that quality management needs to cover the entire process and all the time, and further build a work atmosphere of quality management with full participation and unremitting efforts.</v>
      </c>
      <c r="B2441" s="1" t="str">
        <f ca="1">IFERROR(__xludf.DUMMYFUNCTION("GOOGLETRANSLATE(A2441, ""zh"", ""en"")"),"Product quality")</f>
        <v>Product quality</v>
      </c>
      <c r="C2441" s="1" t="str">
        <f ca="1">IFERROR(__xludf.DUMMYFUNCTION("GOOGLETRANSLATE(E2441, ""zh"", ""en"")"),"Qualitative text")</f>
        <v>Qualitative text</v>
      </c>
    </row>
    <row r="2442" spans="1:3" ht="13" x14ac:dyDescent="0.15">
      <c r="A2442" s="1" t="str">
        <f ca="1">IFERROR(__xludf.DUMMYFUNCTION("GOOGLETRANSLATE(A2442, ""zh"", ""en"")"),"A total of 3,542 questionnaires were collected for customer satisfaction in 2022. Customer satisfaction performance was excellent, with an overall evaluation score of 94.2 points, which was a further improvement over 2021.")</f>
        <v>A total of 3,542 questionnaires were collected for customer satisfaction in 2022. Customer satisfaction performance was excellent, with an overall evaluation score of 94.2 points, which was a further improvement over 2021.</v>
      </c>
      <c r="B2442" s="1" t="str">
        <f ca="1">IFERROR(__xludf.DUMMYFUNCTION("GOOGLETRANSLATE(A2442, ""zh"", ""en"")"),"Customers and Consumers")</f>
        <v>Customers and Consumers</v>
      </c>
      <c r="C2442" s="1" t="str">
        <f ca="1">IFERROR(__xludf.DUMMYFUNCTION("GOOGLETRANSLATE(E2442, ""zh"", ""en"")"),"Quantitative Text")</f>
        <v>Quantitative Text</v>
      </c>
    </row>
    <row r="2443" spans="1:3" ht="13" x14ac:dyDescent="0.15">
      <c r="A2443" s="1" t="str">
        <f ca="1">IFERROR(__xludf.DUMMYFUNCTION("GOOGLETRANSLATE(A2443, ""zh"", ""en"")"),"Expanding the scope of expert positions vertically, we established the position of Chief Engineering and Technology Master based on the appointment of three chief scientists of the group company and started the expert recruitment process.")</f>
        <v>Expanding the scope of expert positions vertically, we established the position of Chief Engineering and Technology Master based on the appointment of three chief scientists of the group company and started the expert recruitment process.</v>
      </c>
      <c r="B2443" s="1" t="str">
        <f ca="1">IFERROR(__xludf.DUMMYFUNCTION("GOOGLETRANSLATE(A2443, ""zh"", ""en"")"),"Organizational structure and operations")</f>
        <v>Organizational structure and operations</v>
      </c>
      <c r="C2443" s="1" t="str">
        <f ca="1">IFERROR(__xludf.DUMMYFUNCTION("GOOGLETRANSLATE(E2443, ""zh"", ""en"")"),"Qualitative text")</f>
        <v>Qualitative text</v>
      </c>
    </row>
    <row r="2444" spans="1:3" ht="13" x14ac:dyDescent="0.15">
      <c r="A2444" s="1" t="str">
        <f ca="1">IFERROR(__xludf.DUMMYFUNCTION("GOOGLETRANSLATE(A2444, ""zh"", ""en"")"),"In the future, we will continue to play a leading and exemplary role in intellectual property management, explore the use of emerging technologies to empower intellectual property protection, and contribute to stimulating innovation in the pharmaceutical "&amp;"industry.")</f>
        <v>In the future, we will continue to play a leading and exemplary role in intellectual property management, explore the use of emerging technologies to empower intellectual property protection, and contribute to stimulating innovation in the pharmaceutical industry.</v>
      </c>
      <c r="B2444" s="1" t="str">
        <f ca="1">IFERROR(__xludf.DUMMYFUNCTION("GOOGLETRANSLATE(A2444, ""zh"", ""en"")"),"Intellectual Property Protection")</f>
        <v>Intellectual Property Protection</v>
      </c>
      <c r="C2444" s="1" t="str">
        <f ca="1">IFERROR(__xludf.DUMMYFUNCTION("GOOGLETRANSLATE(E2444, ""zh"", ""en"")"),"Qualitative text")</f>
        <v>Qualitative text</v>
      </c>
    </row>
    <row r="2445" spans="1:3" ht="13" x14ac:dyDescent="0.15">
      <c r="A2445" s="1" t="str">
        <f ca="1">IFERROR(__xludf.DUMMYFUNCTION("GOOGLETRANSLATE(A2445, ""zh"", ""en"")"),"We have specially compiled Chinese and Russian bilingual textbooks, books and videos for Luban Workshop, and set up two functions: academic education and vocational skills training. We also provide popular professional subjects related to the construction"&amp;" industry.")</f>
        <v>We have specially compiled Chinese and Russian bilingual textbooks, books and videos for Luban Workshop, and set up two functions: academic education and vocational skills training. We also provide popular professional subjects related to the construction industry.</v>
      </c>
      <c r="B2445" s="1" t="str">
        <f ca="1">IFERROR(__xludf.DUMMYFUNCTION("GOOGLETRANSLATE(A2445, ""zh"", ""en"")"),"Promoting employment")</f>
        <v>Promoting employment</v>
      </c>
      <c r="C2445" s="1" t="str">
        <f ca="1">IFERROR(__xludf.DUMMYFUNCTION("GOOGLETRANSLATE(E2445, ""zh"", ""en"")"),"Qualitative text")</f>
        <v>Qualitative text</v>
      </c>
    </row>
    <row r="2446" spans="1:3" ht="13" x14ac:dyDescent="0.15">
      <c r="A2446" s="1" t="str">
        <f ca="1">IFERROR(__xludf.DUMMYFUNCTION("GOOGLETRANSLATE(A2446, ""zh"", ""en"")"),"This year, 16 employees of Livzon Group, a subsidiary of Kangyuan Holding, attended training courses at Shenyang Pharmaceutical University to continuously improve their medical knowledge system and enhance their professional skills.")</f>
        <v>This year, 16 employees of Livzon Group, a subsidiary of Kangyuan Holding, attended training courses at Shenyang Pharmaceutical University to continuously improve their medical knowledge system and enhance their professional skills.</v>
      </c>
      <c r="B2446" s="1" t="str">
        <f ca="1">IFERROR(__xludf.DUMMYFUNCTION("GOOGLETRANSLATE(A2446, ""zh"", ""en"")"),"staff")</f>
        <v>staff</v>
      </c>
      <c r="C2446" s="1" t="str">
        <f ca="1">IFERROR(__xludf.DUMMYFUNCTION("GOOGLETRANSLATE(E2446, ""zh"", ""en"")"),"Quantitative Text")</f>
        <v>Quantitative Text</v>
      </c>
    </row>
    <row r="2447" spans="1:3" ht="13" x14ac:dyDescent="0.15">
      <c r="A2447" s="1" t="str">
        <f ca="1">IFERROR(__xludf.DUMMYFUNCTION("GOOGLETRANSLATE(A2447, ""zh"", ""en"")"),"Under the overall planning of the Ministry of Economic Operations, we have made detailed arrangements for water conservation work and assigned dedicated personnel to be responsible for related management work in major industrial sectors and key enterprise"&amp;"s.")</f>
        <v>Under the overall planning of the Ministry of Economic Operations, we have made detailed arrangements for water conservation work and assigned dedicated personnel to be responsible for related management work in major industrial sectors and key enterprises.</v>
      </c>
      <c r="B2447" s="1" t="str">
        <f ca="1">IFERROR(__xludf.DUMMYFUNCTION("GOOGLETRANSLATE(A2447, ""zh"", ""en"")"),"Water resources")</f>
        <v>Water resources</v>
      </c>
      <c r="C2447" s="1" t="str">
        <f ca="1">IFERROR(__xludf.DUMMYFUNCTION("GOOGLETRANSLATE(E2447, ""zh"", ""en"")"),"Qualitative text")</f>
        <v>Qualitative text</v>
      </c>
    </row>
    <row r="2448" spans="1:3" ht="13" x14ac:dyDescent="0.15">
      <c r="A2448" s="1" t="str">
        <f ca="1">IFERROR(__xludf.DUMMYFUNCTION("GOOGLETRANSLATE(A2448, ""zh"", ""en"")"),"The company's current board members come from different industries at home and abroad and have rich professional theoretical and practical experience. Their professional fields cover petroleum and petrochemicals, economics, accounting, finance, management"&amp;", etc.")</f>
        <v>The company's current board members come from different industries at home and abroad and have rich professional theoretical and practical experience. Their professional fields cover petroleum and petrochemicals, economics, accounting, finance, management, etc.</v>
      </c>
      <c r="B2448" s="1" t="str">
        <f ca="1">IFERROR(__xludf.DUMMYFUNCTION("GOOGLETRANSLATE(A2448, ""zh"", ""en"")"),"Organizational structure and operations")</f>
        <v>Organizational structure and operations</v>
      </c>
      <c r="C2448" s="1" t="str">
        <f ca="1">IFERROR(__xludf.DUMMYFUNCTION("GOOGLETRANSLATE(E2448, ""zh"", ""en"")"),"Qualitative text")</f>
        <v>Qualitative text</v>
      </c>
    </row>
    <row r="2449" spans="1:3" ht="13" x14ac:dyDescent="0.15">
      <c r="A2449" s="1" t="str">
        <f ca="1">IFERROR(__xludf.DUMMYFUNCTION("GOOGLETRANSLATE(A2449, ""zh"", ""en"")"),"The Board of Directors of the Company effectively exercises supervision over the directors and senior management. In addition to the statutory disclosure information, the Company also regularly reports to the Board of Directors and other internal institut"&amp;"ions for independent operation.")</f>
        <v>The Board of Directors of the Company effectively exercises supervision over the directors and senior management. In addition to the statutory disclosure information, the Company also regularly reports to the Board of Directors and other internal institutions for independent operation.</v>
      </c>
      <c r="B2449" s="1" t="str">
        <f ca="1">IFERROR(__xludf.DUMMYFUNCTION("GOOGLETRANSLATE(A2449, ""zh"", ""en"")"),"Organizational structure and operations")</f>
        <v>Organizational structure and operations</v>
      </c>
      <c r="C2449" s="1" t="str">
        <f ca="1">IFERROR(__xludf.DUMMYFUNCTION("GOOGLETRANSLATE(E2449, ""zh"", ""en"")"),"Qualitative text")</f>
        <v>Qualitative text</v>
      </c>
    </row>
    <row r="2450" spans="1:3" ht="13" x14ac:dyDescent="0.15">
      <c r="A2450" s="1" t="str">
        <f ca="1">IFERROR(__xludf.DUMMYFUNCTION("GOOGLETRANSLATE(A2450, ""zh"", ""en"")"),"As the national carbon peak and carbon neutrality process advances, actively taking climate change response measures and accelerating low-carbon transformation will help us gain a more advantageous position in market competition.")</f>
        <v>As the national carbon peak and carbon neutrality process advances, actively taking climate change response measures and accelerating low-carbon transformation will help us gain a more advantageous position in market competition.</v>
      </c>
      <c r="B2450" s="1" t="str">
        <f ca="1">IFERROR(__xludf.DUMMYFUNCTION("GOOGLETRANSLATE(A2450, ""zh"", ""en"")"),"Addressing climate change")</f>
        <v>Addressing climate change</v>
      </c>
      <c r="C2450" s="1" t="str">
        <f ca="1">IFERROR(__xludf.DUMMYFUNCTION("GOOGLETRANSLATE(E2450, ""zh"", ""en"")"),"Qualitative text")</f>
        <v>Qualitative text</v>
      </c>
    </row>
    <row r="2451" spans="1:3" ht="13" x14ac:dyDescent="0.15">
      <c r="A2451" s="1" t="str">
        <f ca="1">IFERROR(__xludf.DUMMYFUNCTION("GOOGLETRANSLATE(A2451, ""zh"", ""en"")"),"In order to enhance the overall environmental protection awareness and level of employees, Shanghai Electric will organize relevant publicity and training activities from time to time to ensure that the green office concept is deeply rooted in the daily l"&amp;"ife of every employee.")</f>
        <v>In order to enhance the overall environmental protection awareness and level of employees, Shanghai Electric will organize relevant publicity and training activities from time to time to ensure that the green office concept is deeply rooted in the daily life of every employee.</v>
      </c>
      <c r="B2451" s="1" t="str">
        <f ca="1">IFERROR(__xludf.DUMMYFUNCTION("GOOGLETRANSLATE(A2451, ""zh"", ""en"")"),"staff")</f>
        <v>staff</v>
      </c>
      <c r="C2451" s="1" t="str">
        <f ca="1">IFERROR(__xludf.DUMMYFUNCTION("GOOGLETRANSLATE(E2451, ""zh"", ""en"")"),"Qualitative text")</f>
        <v>Qualitative text</v>
      </c>
    </row>
    <row r="2452" spans="1:3" ht="13" x14ac:dyDescent="0.15">
      <c r="A2452" s="1" t="str">
        <f ca="1">IFERROR(__xludf.DUMMYFUNCTION("GOOGLETRANSLATE(A2452, ""zh"", ""en"")"),"Consistency Issuers should disclose in their ESG reports any changes in statistical methodologies or key performance indicators, if any, or any other relevant factors that affect meaningful comparisons.")</f>
        <v>Consistency Issuers should disclose in their ESG reports any changes in statistical methodologies or key performance indicators, if any, or any other relevant factors that affect meaningful comparisons.</v>
      </c>
      <c r="B2452" s="1" t="str">
        <f ca="1">IFERROR(__xludf.DUMMYFUNCTION("GOOGLETRANSLATE(A2452, ""zh"", ""en"")"),"irrelevant text")</f>
        <v>irrelevant text</v>
      </c>
      <c r="C2452" s="1" t="str">
        <f ca="1">IFERROR(__xludf.DUMMYFUNCTION("GOOGLETRANSLATE(E2452, ""zh"", ""en"")"),"irrelevant text")</f>
        <v>irrelevant text</v>
      </c>
    </row>
    <row r="2453" spans="1:3" ht="13" x14ac:dyDescent="0.15">
      <c r="A2453" s="1" t="str">
        <f ca="1">IFERROR(__xludf.DUMMYFUNCTION("GOOGLETRANSLATE(A2453, ""zh"", ""en"")"),"Technical Worker Training 1122022 Social Responsibility Report Care for Health and Ensure Safety Adhere to the Safe Development Concept to Ensure Employee Safety Working Environment Protect Employees' Physical and Mental Health")</f>
        <v>Technical Worker Training 1122022 Social Responsibility Report Care for Health and Ensure Safety Adhere to the Safe Development Concept to Ensure Employee Safety Working Environment Protect Employees' Physical and Mental Health</v>
      </c>
      <c r="B2453" s="1" t="str">
        <f ca="1">IFERROR(__xludf.DUMMYFUNCTION("GOOGLETRANSLATE(A2453, ""zh"", ""en"")"),"staff")</f>
        <v>staff</v>
      </c>
      <c r="C2453" s="1" t="str">
        <f ca="1">IFERROR(__xludf.DUMMYFUNCTION("GOOGLETRANSLATE(E2453, ""zh"", ""en"")"),"Qualitative text")</f>
        <v>Qualitative text</v>
      </c>
    </row>
    <row r="2454" spans="1:3" ht="13" x14ac:dyDescent="0.15">
      <c r="A2454" s="1" t="str">
        <f ca="1">IFERROR(__xludf.DUMMYFUNCTION("GOOGLETRANSLATE(A2454, ""zh"", ""en"")"),"During the reporting period, the company's shareholders' meeting, board of directors, board of supervisors and management strictly followed the internal control system and standardized operations to effectively safeguard the legitimate rights and interest"&amp;"s of the company and all shareholders.")</f>
        <v>During the reporting period, the company's shareholders' meeting, board of directors, board of supervisors and management strictly followed the internal control system and standardized operations to effectively safeguard the legitimate rights and interests of the company and all shareholders.</v>
      </c>
      <c r="B2454" s="1" t="str">
        <f ca="1">IFERROR(__xludf.DUMMYFUNCTION("GOOGLETRANSLATE(A2454, ""zh"", ""en"")"),"Shareholder and creditor rights")</f>
        <v>Shareholder and creditor rights</v>
      </c>
      <c r="C2454" s="1" t="str">
        <f ca="1">IFERROR(__xludf.DUMMYFUNCTION("GOOGLETRANSLATE(E2454, ""zh"", ""en"")"),"Qualitative text")</f>
        <v>Qualitative text</v>
      </c>
    </row>
    <row r="2455" spans="1:3" ht="13" x14ac:dyDescent="0.15">
      <c r="A2455" s="1" t="str">
        <f ca="1">IFERROR(__xludf.DUMMYFUNCTION("GOOGLETRANSLATE(A2455, ""zh"", ""en"")"),"5.1 People-oriented, inclusive and sharing 5.2 Talent cultivation, mutual promotion and advancement Key performance indicators B1.1 Total number of employees by gender, employment type, age group and region")</f>
        <v>5.1 People-oriented, inclusive and sharing 5.2 Talent cultivation, mutual promotion and advancement Key performance indicators B1.1 Total number of employees by gender, employment type, age group and region</v>
      </c>
      <c r="B2455" s="1" t="str">
        <f ca="1">IFERROR(__xludf.DUMMYFUNCTION("GOOGLETRANSLATE(A2455, ""zh"", ""en"")"),"staff")</f>
        <v>staff</v>
      </c>
      <c r="C2455" s="1" t="str">
        <f ca="1">IFERROR(__xludf.DUMMYFUNCTION("GOOGLETRANSLATE(E2455, ""zh"", ""en"")"),"Qualitative text")</f>
        <v>Qualitative text</v>
      </c>
    </row>
    <row r="2456" spans="1:3" ht="13" x14ac:dyDescent="0.15">
      <c r="A2456" s="1" t="str">
        <f ca="1">IFERROR(__xludf.DUMMYFUNCTION("GOOGLETRANSLATE(A2456, ""zh"", ""en"")"),"During the reporting period, the company strictly followed the provisions of the Company Law, the Articles of Association and the Rules of Procedure of the Board of Directors to standardize operations and make scientific decisions. The procedures for conv"&amp;"ening meetings of the Board of Directors were in compliance with relevant regulations.")</f>
        <v>During the reporting period, the company strictly followed the provisions of the Company Law, the Articles of Association and the Rules of Procedure of the Board of Directors to standardize operations and make scientific decisions. The procedures for convening meetings of the Board of Directors were in compliance with relevant regulations.</v>
      </c>
      <c r="B2456" s="1" t="str">
        <f ca="1">IFERROR(__xludf.DUMMYFUNCTION("GOOGLETRANSLATE(A2456, ""zh"", ""en"")"),"Organizational structure and operations")</f>
        <v>Organizational structure and operations</v>
      </c>
      <c r="C2456" s="1" t="str">
        <f ca="1">IFERROR(__xludf.DUMMYFUNCTION("GOOGLETRANSLATE(E2456, ""zh"", ""en"")"),"Qualitative text")</f>
        <v>Qualitative text</v>
      </c>
    </row>
    <row r="2457" spans="1:3" ht="13" x14ac:dyDescent="0.15">
      <c r="A2457" s="1" t="str">
        <f ca="1">IFERROR(__xludf.DUMMYFUNCTION("GOOGLETRANSLATE(A2457, ""zh"", ""en"")"),"3.1 Environmental Protection and Fine Management Key Performance Indicator A3.1 Description of the significant impacts of business activities on the environment and natural resources and the actions taken to manage these impacts")</f>
        <v>3.1 Environmental Protection and Fine Management Key Performance Indicator A3.1 Description of the significant impacts of business activities on the environment and natural resources and the actions taken to manage these impacts</v>
      </c>
      <c r="B2457" s="1" t="str">
        <f ca="1">IFERROR(__xludf.DUMMYFUNCTION("GOOGLETRANSLATE(A2457, ""zh"", ""en"")"),"Environmental Policy")</f>
        <v>Environmental Policy</v>
      </c>
      <c r="C2457" s="1" t="str">
        <f ca="1">IFERROR(__xludf.DUMMYFUNCTION("GOOGLETRANSLATE(E2457, ""zh"", ""en"")"),"Qualitative text")</f>
        <v>Qualitative text</v>
      </c>
    </row>
    <row r="2458" spans="1:3" ht="13" x14ac:dyDescent="0.15">
      <c r="A2458" s="1" t="str">
        <f ca="1">IFERROR(__xludf.DUMMYFUNCTION("GOOGLETRANSLATE(A2458, ""zh"", ""en"")"),"Green Charity 2022 Shanghai Electric and the Green Carbon Sink Foundation launched a green charity cooperation and planted the first Shanghai Electric low-carbon green forest on the west bank of the Yellow River in Yan'an, Shaanxi Province")</f>
        <v>Green Charity 2022 Shanghai Electric and the Green Carbon Sink Foundation launched a green charity cooperation and planted the first Shanghai Electric low-carbon green forest on the west bank of the Yellow River in Yan'an, Shaanxi Province</v>
      </c>
      <c r="B2458" s="1" t="str">
        <f ca="1">IFERROR(__xludf.DUMMYFUNCTION("GOOGLETRANSLATE(A2458, ""zh"", ""en"")"),"Public welfare and volunteer service")</f>
        <v>Public welfare and volunteer service</v>
      </c>
      <c r="C2458" s="1" t="str">
        <f ca="1">IFERROR(__xludf.DUMMYFUNCTION("GOOGLETRANSLATE(E2458, ""zh"", ""en"")"),"Qualitative text")</f>
        <v>Qualitative text</v>
      </c>
    </row>
    <row r="2459" spans="1:3" ht="13" x14ac:dyDescent="0.15">
      <c r="A2459" s="1" t="str">
        <f ca="1">IFERROR(__xludf.DUMMYFUNCTION("GOOGLETRANSLATE(A2459, ""zh"", ""en"")"),"Among them, the company served as the lead underwriter and won a bid of RMB 850 million in the issuance of the first phase of green financial bonds issued by the Export-Import Bank of China in 2022, accounting for 28% of the issuance scale.")</f>
        <v>Among them, the company served as the lead underwriter and won a bid of RMB 850 million in the issuance of the first phase of green financial bonds issued by the Export-Import Bank of China in 2022, accounting for 28% of the issuance scale.</v>
      </c>
      <c r="B2459" s="1" t="str">
        <f ca="1">IFERROR(__xludf.DUMMYFUNCTION("GOOGLETRANSLATE(A2459, ""zh"", ""en"")"),"Green Finance")</f>
        <v>Green Finance</v>
      </c>
      <c r="C2459" s="1" t="str">
        <f ca="1">IFERROR(__xludf.DUMMYFUNCTION("GOOGLETRANSLATE(E2459, ""zh"", ""en"")"),"Quantitative Text")</f>
        <v>Quantitative Text</v>
      </c>
    </row>
    <row r="2460" spans="1:3" ht="13" x14ac:dyDescent="0.15">
      <c r="A2460" s="1" t="str">
        <f ca="1">IFERROR(__xludf.DUMMYFUNCTION("GOOGLETRANSLATE(A2460, ""zh"", ""en"")"),"As of December 31, 2022, 7 enterprises with multiple functions including harmless production of raw materials, clean waste resource utilization, low-carbon energy, etc. have been selected into the list of green factories.")</f>
        <v>As of December 31, 2022, 7 enterprises with multiple functions including harmless production of raw materials, clean waste resource utilization, low-carbon energy, etc. have been selected into the list of green factories.</v>
      </c>
      <c r="B2460" s="1" t="str">
        <f ca="1">IFERROR(__xludf.DUMMYFUNCTION("GOOGLETRANSLATE(A2460, ""zh"", ""en"")"),"Waste Management")</f>
        <v>Waste Management</v>
      </c>
      <c r="C2460" s="1" t="str">
        <f ca="1">IFERROR(__xludf.DUMMYFUNCTION("GOOGLETRANSLATE(E2460, ""zh"", ""en"")"),"Quantitative Text")</f>
        <v>Quantitative Text</v>
      </c>
    </row>
    <row r="2461" spans="1:3" ht="13" x14ac:dyDescent="0.15">
      <c r="A2461" s="1" t="str">
        <f ca="1">IFERROR(__xludf.DUMMYFUNCTION("GOOGLETRANSLATE(A2461, ""zh"", ""en"")"),"Report Title Description For the convenience of presentation and reading, unless otherwise specified, Joincare Group, ""we"" and ""us"" in this report refer to Joincare Pharmaceutical Group Co., Ltd.")</f>
        <v>Report Title Description For the convenience of presentation and reading, unless otherwise specified, Joincare Group, "we" and "us" in this report refer to Joincare Pharmaceutical Group Co., Ltd.</v>
      </c>
      <c r="B2461" s="1" t="str">
        <f ca="1">IFERROR(__xludf.DUMMYFUNCTION("GOOGLETRANSLATE(A2461, ""zh"", ""en"")"),"irrelevant text")</f>
        <v>irrelevant text</v>
      </c>
      <c r="C2461" s="1" t="str">
        <f ca="1">IFERROR(__xludf.DUMMYFUNCTION("GOOGLETRANSLATE(E2461, ""zh"", ""en"")"),"irrelevant text")</f>
        <v>irrelevant text</v>
      </c>
    </row>
    <row r="2462" spans="1:3" ht="13" x14ac:dyDescent="0.15">
      <c r="A2462" s="1" t="str">
        <f ca="1">IFERROR(__xludf.DUMMYFUNCTION("GOOGLETRANSLATE(A2462, ""zh"", ""en"")"),"Patient assistance, medication insurance, and family care are all addressed in areas such as public lectures on rare diseases. The summer welfare program has benefited 1,300 children with the disease and their families.")</f>
        <v>Patient assistance, medication insurance, and family care are all addressed in areas such as public lectures on rare diseases. The summer welfare program has benefited 1,300 children with the disease and their families.</v>
      </c>
      <c r="B2462" s="1" t="str">
        <f ca="1">IFERROR(__xludf.DUMMYFUNCTION("GOOGLETRANSLATE(A2462, ""zh"", ""en"")"),"Public welfare and volunteer service")</f>
        <v>Public welfare and volunteer service</v>
      </c>
      <c r="C2462" s="1" t="str">
        <f ca="1">IFERROR(__xludf.DUMMYFUNCTION("GOOGLETRANSLATE(E2462, ""zh"", ""en"")"),"Quantitative Text")</f>
        <v>Quantitative Text</v>
      </c>
    </row>
    <row r="2463" spans="1:3" ht="13" x14ac:dyDescent="0.15">
      <c r="A2463" s="1" t="str">
        <f ca="1">IFERROR(__xludf.DUMMYFUNCTION("GOOGLETRANSLATE(A2463, ""zh"", ""en"")"),"We will fully promote green transformation based on the results of climate change risk and opportunity identification and assessment, combining our own advantages, transforming challenges into development momentum and actively embracing a zero-carbon futu"&amp;"re.")</f>
        <v>We will fully promote green transformation based on the results of climate change risk and opportunity identification and assessment, combining our own advantages, transforming challenges into development momentum and actively embracing a zero-carbon future.</v>
      </c>
      <c r="B2463" s="1" t="str">
        <f ca="1">IFERROR(__xludf.DUMMYFUNCTION("GOOGLETRANSLATE(A2463, ""zh"", ""en"")"),"Addressing climate change")</f>
        <v>Addressing climate change</v>
      </c>
      <c r="C2463" s="1" t="str">
        <f ca="1">IFERROR(__xludf.DUMMYFUNCTION("GOOGLETRANSLATE(E2463, ""zh"", ""en"")"),"Qualitative text")</f>
        <v>Qualitative text</v>
      </c>
    </row>
    <row r="2464" spans="1:3" ht="13" x14ac:dyDescent="0.15">
      <c r="A2464" s="1" t="str">
        <f ca="1">IFERROR(__xludf.DUMMYFUNCTION("GOOGLETRANSLATE(A2464, ""zh"", ""en"")"),"In 2022, the company implemented 479 energy efficiency improvement projects, saving 946,000 tons of standard coal. The comprehensive energy consumption for 10,000 yuan of output value was 1.010 tons of standard coal, a year-on-year decrease of 0.5")</f>
        <v>In 2022, the company implemented 479 energy efficiency improvement projects, saving 946,000 tons of standard coal. The comprehensive energy consumption for 10,000 yuan of output value was 1.010 tons of standard coal, a year-on-year decrease of 0.5</v>
      </c>
      <c r="B2464" s="1" t="str">
        <f ca="1">IFERROR(__xludf.DUMMYFUNCTION("GOOGLETRANSLATE(A2464, ""zh"", ""en"")"),"Energy and resource consumption")</f>
        <v>Energy and resource consumption</v>
      </c>
      <c r="C2464" s="1" t="str">
        <f ca="1">IFERROR(__xludf.DUMMYFUNCTION("GOOGLETRANSLATE(E2464, ""zh"", ""en"")"),"Quantitative Text")</f>
        <v>Quantitative Text</v>
      </c>
    </row>
    <row r="2465" spans="1:3" ht="13" x14ac:dyDescent="0.15">
      <c r="A2465" s="1" t="str">
        <f ca="1">IFERROR(__xludf.DUMMYFUNCTION("GOOGLETRANSLATE(A2465, ""zh"", ""en"")"),"Joincare is committed to promoting the internationalization of domestic inhalation preparations and working with upstream and downstream value chains and industry partners to achieve quality and risk control in all aspects of inhalation preparations.")</f>
        <v>Joincare is committed to promoting the internationalization of domestic inhalation preparations and working with upstream and downstream value chains and industry partners to achieve quality and risk control in all aspects of inhalation preparations.</v>
      </c>
      <c r="B2465" s="1" t="str">
        <f ca="1">IFERROR(__xludf.DUMMYFUNCTION("GOOGLETRANSLATE(A2465, ""zh"", ""en"")"),"supply chain management")</f>
        <v>supply chain management</v>
      </c>
      <c r="C2465" s="1" t="str">
        <f ca="1">IFERROR(__xludf.DUMMYFUNCTION("GOOGLETRANSLATE(E2465, ""zh"", ""en"")"),"Qualitative text")</f>
        <v>Qualitative text</v>
      </c>
    </row>
    <row r="2466" spans="1:3" ht="13" x14ac:dyDescent="0.15">
      <c r="A2466" s="1" t="str">
        <f ca="1">IFERROR(__xludf.DUMMYFUNCTION("GOOGLETRANSLATE(A2466, ""zh"", ""en"")"),"Incorporate the internal control inspection and evaluation of daily internal control work and the implementation of rectification into the annual performance appraisal system of management at all levels and give appraisal and recognition to the annual int"&amp;"ernal control implementation.")</f>
        <v>Incorporate the internal control inspection and evaluation of daily internal control work and the implementation of rectification into the annual performance appraisal system of management at all levels and give appraisal and recognition to the annual internal control implementation.</v>
      </c>
      <c r="B2466" s="1" t="str">
        <f ca="1">IFERROR(__xludf.DUMMYFUNCTION("GOOGLETRANSLATE(A2466, ""zh"", ""en"")"),"Organizational structure and operations")</f>
        <v>Organizational structure and operations</v>
      </c>
      <c r="C2466" s="1" t="str">
        <f ca="1">IFERROR(__xludf.DUMMYFUNCTION("GOOGLETRANSLATE(E2466, ""zh"", ""en"")"),"Qualitative text")</f>
        <v>Qualitative text</v>
      </c>
    </row>
    <row r="2467" spans="1:3" ht="13" x14ac:dyDescent="0.15">
      <c r="A2467" s="1" t="str">
        <f ca="1">IFERROR(__xludf.DUMMYFUNCTION("GOOGLETRANSLATE(A2467, ""zh"", ""en"")"),"In 2022, the company carried out a series of work to strengthen intellectual property management, completed self-inspection, and guided relevant departments to take timely corrective measures to prevent and resolve potential infringement risks.")</f>
        <v>In 2022, the company carried out a series of work to strengthen intellectual property management, completed self-inspection, and guided relevant departments to take timely corrective measures to prevent and resolve potential infringement risks.</v>
      </c>
      <c r="B2467" s="1" t="str">
        <f ca="1">IFERROR(__xludf.DUMMYFUNCTION("GOOGLETRANSLATE(A2467, ""zh"", ""en"")"),"Intellectual Property Protection")</f>
        <v>Intellectual Property Protection</v>
      </c>
      <c r="C2467" s="1" t="str">
        <f ca="1">IFERROR(__xludf.DUMMYFUNCTION("GOOGLETRANSLATE(E2467, ""zh"", ""en"")"),"Qualitative text")</f>
        <v>Qualitative text</v>
      </c>
    </row>
    <row r="2468" spans="1:3" ht="13" x14ac:dyDescent="0.15">
      <c r="A2468" s="1" t="str">
        <f ca="1">IFERROR(__xludf.DUMMYFUNCTION("GOOGLETRANSLATE(A2468, ""zh"", ""en"")"),"At the same time, the company popularized anti-money laundering knowledge to employees and the general public through online and offline means such as carrying out anti-money laundering publicity month related activities, business hall publicity, WeChat p"&amp;"ublic account, etc.")</f>
        <v>At the same time, the company popularized anti-money laundering knowledge to employees and the general public through online and offline means such as carrying out anti-money laundering publicity month related activities, business hall publicity, WeChat public account, etc.</v>
      </c>
      <c r="B2468" s="1" t="str">
        <f ca="1">IFERROR(__xludf.DUMMYFUNCTION("GOOGLETRANSLATE(A2468, ""zh"", ""en"")"),"Anti-corruption and anti-money laundering")</f>
        <v>Anti-corruption and anti-money laundering</v>
      </c>
      <c r="C2468" s="1" t="str">
        <f ca="1">IFERROR(__xludf.DUMMYFUNCTION("GOOGLETRANSLATE(E2468, ""zh"", ""en"")"),"Qualitative text")</f>
        <v>Qualitative text</v>
      </c>
    </row>
    <row r="2469" spans="1:3" ht="13" x14ac:dyDescent="0.15">
      <c r="A2469" s="1" t="str">
        <f ca="1">IFERROR(__xludf.DUMMYFUNCTION("GOOGLETRANSLATE(A2469, ""zh"", ""en"")"),"The controlling shareholder of the Group strictly exercises its rights and assumes its obligations in accordance with laws and regulations. There is no direct or indirect interference with the Group's decision-making and business activities beyond the sha"&amp;"reholders' meeting.")</f>
        <v>The controlling shareholder of the Group strictly exercises its rights and assumes its obligations in accordance with laws and regulations. There is no direct or indirect interference with the Group's decision-making and business activities beyond the shareholders' meeting.</v>
      </c>
      <c r="B2469" s="1" t="str">
        <f ca="1">IFERROR(__xludf.DUMMYFUNCTION("GOOGLETRANSLATE(A2469, ""zh"", ""en"")"),"Organizational structure and operations")</f>
        <v>Organizational structure and operations</v>
      </c>
      <c r="C2469" s="1" t="str">
        <f ca="1">IFERROR(__xludf.DUMMYFUNCTION("GOOGLETRANSLATE(E2469, ""zh"", ""en"")"),"Qualitative text")</f>
        <v>Qualitative text</v>
      </c>
    </row>
    <row r="2470" spans="1:3" ht="13" x14ac:dyDescent="0.15">
      <c r="A2470" s="1" t="str">
        <f ca="1">IFERROR(__xludf.DUMMYFUNCTION("GOOGLETRANSLATE(A2470, ""zh"", ""en"")"),"Determine the risk level based on the manifestation and cause of the integrity risk points, and formulate effective preventive measures in accordance with the system provisions, management responsibilities, work standards and job characteristics.")</f>
        <v>Determine the risk level based on the manifestation and cause of the integrity risk points, and formulate effective preventive measures in accordance with the system provisions, management responsibilities, work standards and job characteristics.</v>
      </c>
      <c r="B2470" s="1" t="str">
        <f ca="1">IFERROR(__xludf.DUMMYFUNCTION("GOOGLETRANSLATE(A2470, ""zh"", ""en"")"),"Anti-corruption and anti-money laundering")</f>
        <v>Anti-corruption and anti-money laundering</v>
      </c>
      <c r="C2470" s="1" t="str">
        <f ca="1">IFERROR(__xludf.DUMMYFUNCTION("GOOGLETRANSLATE(E2470, ""zh"", ""en"")"),"Qualitative text")</f>
        <v>Qualitative text</v>
      </c>
    </row>
    <row r="2471" spans="1:3" ht="13" x14ac:dyDescent="0.15">
      <c r="A2471" s="1" t="str">
        <f ca="1">IFERROR(__xludf.DUMMYFUNCTION("GOOGLETRANSLATE(A2471, ""zh"", ""en"")"),"The LeapX control system reduces the operating load of the entire machine and the intelligent interconnection with the independently developed Fengyun platform continuously improves the unit availability and wind farm profitability.")</f>
        <v>The LeapX control system reduces the operating load of the entire machine and the intelligent interconnection with the independently developed Fengyun platform continuously improves the unit availability and wind farm profitability.</v>
      </c>
      <c r="B2471" s="1" t="str">
        <f ca="1">IFERROR(__xludf.DUMMYFUNCTION("GOOGLETRANSLATE(A2471, ""zh"", ""en"")"),"Technological innovation")</f>
        <v>Technological innovation</v>
      </c>
      <c r="C2471" s="1" t="str">
        <f ca="1">IFERROR(__xludf.DUMMYFUNCTION("GOOGLETRANSLATE(E2471, ""zh"", ""en"")"),"Qualitative text")</f>
        <v>Qualitative text</v>
      </c>
    </row>
    <row r="2472" spans="1:3" ht="13" x14ac:dyDescent="0.15">
      <c r="A2472" s="1" t="str">
        <f ca="1">IFERROR(__xludf.DUMMYFUNCTION("GOOGLETRANSLATE(A2472, ""zh"", ""en"")"),"We adjusted and updated the materiality matrix by combining the focus and expectations of stakeholders on Shanghai Electric with the results of the previous year’s survey and interviews.")</f>
        <v>We adjusted and updated the materiality matrix by combining the focus and expectations of stakeholders on Shanghai Electric with the results of the previous year’s survey and interviews.</v>
      </c>
      <c r="B2472" s="1" t="str">
        <f ca="1">IFERROR(__xludf.DUMMYFUNCTION("GOOGLETRANSLATE(A2472, ""zh"", ""en"")"),"irrelevant text")</f>
        <v>irrelevant text</v>
      </c>
      <c r="C2472" s="1" t="str">
        <f ca="1">IFERROR(__xludf.DUMMYFUNCTION("GOOGLETRANSLATE(E2472, ""zh"", ""en"")"),"irrelevant text")</f>
        <v>irrelevant text</v>
      </c>
    </row>
    <row r="2473" spans="1:3" ht="13" x14ac:dyDescent="0.15">
      <c r="A2473" s="1" t="str">
        <f ca="1">IFERROR(__xludf.DUMMYFUNCTION("GOOGLETRANSLATE(A2473, ""zh"", ""en"")"),"The company provides a complete and comprehensive induction training program for new employees, including integration plan, centralized training, rotation training, etc., to help new employees integrate into the company more quickly and master work skills"&amp;".")</f>
        <v>The company provides a complete and comprehensive induction training program for new employees, including integration plan, centralized training, rotation training, etc., to help new employees integrate into the company more quickly and master work skills.</v>
      </c>
      <c r="B2473" s="1" t="str">
        <f ca="1">IFERROR(__xludf.DUMMYFUNCTION("GOOGLETRANSLATE(A2473, ""zh"", ""en"")"),"staff")</f>
        <v>staff</v>
      </c>
      <c r="C2473" s="1" t="str">
        <f ca="1">IFERROR(__xludf.DUMMYFUNCTION("GOOGLETRANSLATE(E2473, ""zh"", ""en"")"),"Qualitative text")</f>
        <v>Qualitative text</v>
      </c>
    </row>
    <row r="2474" spans="1:3" ht="13" x14ac:dyDescent="0.15">
      <c r="A2474" s="1" t="str">
        <f ca="1">IFERROR(__xludf.DUMMYFUNCTION("GOOGLETRANSLATE(A2474, ""zh"", ""en"")"),"The company regularly refers to human resources industry reports issued by professional institutions and securities associations to provide employees with compensation, benefits and incentive mechanisms that comply with industry standards and company stra"&amp;"tegies.")</f>
        <v>The company regularly refers to human resources industry reports issued by professional institutions and securities associations to provide employees with compensation, benefits and incentive mechanisms that comply with industry standards and company strategies.</v>
      </c>
      <c r="B2474" s="1" t="str">
        <f ca="1">IFERROR(__xludf.DUMMYFUNCTION("GOOGLETRANSLATE(A2474, ""zh"", ""en"")"),"staff")</f>
        <v>staff</v>
      </c>
      <c r="C2474" s="1" t="str">
        <f ca="1">IFERROR(__xludf.DUMMYFUNCTION("GOOGLETRANSLATE(E2474, ""zh"", ""en"")"),"Qualitative text")</f>
        <v>Qualitative text</v>
      </c>
    </row>
    <row r="2475" spans="1:3" ht="13" x14ac:dyDescent="0.15">
      <c r="A2475" s="1" t="str">
        <f ca="1">IFERROR(__xludf.DUMMYFUNCTION("GOOGLETRANSLATE(A2475, ""zh"", ""en"")"),"Shanghai Electric uses the spirit of model workers and craftsmen to encourage employees to pursue their dreams, become excellent engineers, become great craftsmen, and develop more safe, reliable, intelligent and efficient products.")</f>
        <v>Shanghai Electric uses the spirit of model workers and craftsmen to encourage employees to pursue their dreams, become excellent engineers, become great craftsmen, and develop more safe, reliable, intelligent and efficient products.</v>
      </c>
      <c r="B2475" s="1" t="str">
        <f ca="1">IFERROR(__xludf.DUMMYFUNCTION("GOOGLETRANSLATE(A2475, ""zh"", ""en"")"),"staff")</f>
        <v>staff</v>
      </c>
      <c r="C2475" s="1" t="str">
        <f ca="1">IFERROR(__xludf.DUMMYFUNCTION("GOOGLETRANSLATE(E2475, ""zh"", ""en"")"),"Qualitative text")</f>
        <v>Qualitative text</v>
      </c>
    </row>
    <row r="2476" spans="1:3" ht="13" x14ac:dyDescent="0.15">
      <c r="A2476" s="1" t="str">
        <f ca="1">IFERROR(__xludf.DUMMYFUNCTION("GOOGLETRANSLATE(A2476, ""zh"", ""en"")"),"The statistical scope for 2020 and 2021 includes all 35 domestic branches under the headquarters, the Construction Bank Training Center, Northeastern University, East China University, Beijing Production Park, and Wuhan Production Park.")</f>
        <v>The statistical scope for 2020 and 2021 includes all 35 domestic branches under the headquarters, the Construction Bank Training Center, Northeastern University, East China University, Beijing Production Park, and Wuhan Production Park.</v>
      </c>
      <c r="B2476" s="1" t="str">
        <f ca="1">IFERROR(__xludf.DUMMYFUNCTION("GOOGLETRANSLATE(A2476, ""zh"", ""en"")"),"Organizational structure and operations")</f>
        <v>Organizational structure and operations</v>
      </c>
      <c r="C2476" s="1" t="str">
        <f ca="1">IFERROR(__xludf.DUMMYFUNCTION("GOOGLETRANSLATE(E2476, ""zh"", ""en"")"),"Quantitative Text")</f>
        <v>Quantitative Text</v>
      </c>
    </row>
    <row r="2477" spans="1:3" ht="13" x14ac:dyDescent="0.15">
      <c r="A2477" s="1" t="str">
        <f ca="1">IFERROR(__xludf.DUMMYFUNCTION("GOOGLETRANSLATE(A2477, ""zh"", ""en"")"),"8 new internationally leading technologies were added. In January 2023, Haier Smart Home added 8 internationally leading scientific and technological achievements to its accreditation list, bringing the total to 253, the highest in the industry.")</f>
        <v>8 new internationally leading technologies were added. In January 2023, Haier Smart Home added 8 internationally leading scientific and technological achievements to its accreditation list, bringing the total to 253, the highest in the industry.</v>
      </c>
      <c r="B2477" s="1" t="str">
        <f ca="1">IFERROR(__xludf.DUMMYFUNCTION("GOOGLETRANSLATE(A2477, ""zh"", ""en"")"),"Technological innovation")</f>
        <v>Technological innovation</v>
      </c>
      <c r="C2477" s="1" t="str">
        <f ca="1">IFERROR(__xludf.DUMMYFUNCTION("GOOGLETRANSLATE(E2477, ""zh"", ""en"")"),"Quantitative Text")</f>
        <v>Quantitative Text</v>
      </c>
    </row>
    <row r="2478" spans="1:3" ht="13" x14ac:dyDescent="0.15">
      <c r="A2478" s="1" t="str">
        <f ca="1">IFERROR(__xludf.DUMMYFUNCTION("GOOGLETRANSLATE(A2478, ""zh"", ""en"")"),"The 20th CPC National Congress was successfully held this year, drawing up a grand blueprint for comprehensively building a modern socialist country and pointing the way for us to better serve China's modernization.")</f>
        <v>The 20th CPC National Congress was successfully held this year, drawing up a grand blueprint for comprehensively building a modern socialist country and pointing the way for us to better serve China's modernization.</v>
      </c>
      <c r="B2478" s="1" t="str">
        <f ca="1">IFERROR(__xludf.DUMMYFUNCTION("GOOGLETRANSLATE(A2478, ""zh"", ""en"")"),"irrelevant text")</f>
        <v>irrelevant text</v>
      </c>
      <c r="C2478" s="1" t="str">
        <f ca="1">IFERROR(__xludf.DUMMYFUNCTION("GOOGLETRANSLATE(E2478, ""zh"", ""en"")"),"irrelevant text")</f>
        <v>irrelevant text</v>
      </c>
    </row>
    <row r="2479" spans="1:3" ht="13" x14ac:dyDescent="0.15">
      <c r="A2479" s="1" t="str">
        <f ca="1">IFERROR(__xludf.DUMMYFUNCTION("GOOGLETRANSLATE(A2479, ""zh"", ""en"")"),"We conduct carbon inventory work to sort out the current status of carbon emissions in the company's operations, identify the carbon footprint of products, and actively explore carbon reduction models throughout the product life cycle to promote green upg"&amp;"rades in the industry.")</f>
        <v>We conduct carbon inventory work to sort out the current status of carbon emissions in the company's operations, identify the carbon footprint of products, and actively explore carbon reduction models throughout the product life cycle to promote green upgrades in the industry.</v>
      </c>
      <c r="B2479" s="1" t="str">
        <f ca="1">IFERROR(__xludf.DUMMYFUNCTION("GOOGLETRANSLATE(A2479, ""zh"", ""en"")"),"carbon emissions")</f>
        <v>carbon emissions</v>
      </c>
      <c r="C2479" s="1" t="str">
        <f ca="1">IFERROR(__xludf.DUMMYFUNCTION("GOOGLETRANSLATE(E2479, ""zh"", ""en"")"),"Qualitative text")</f>
        <v>Qualitative text</v>
      </c>
    </row>
    <row r="2480" spans="1:3" ht="13" x14ac:dyDescent="0.15">
      <c r="A2480" s="1" t="str">
        <f ca="1">IFERROR(__xludf.DUMMYFUNCTION("GOOGLETRANSLATE(A2480, ""zh"", ""en"")"),"In today's world of the Internet of Things, Haier's ecological brand, led by smart home, will bring more and more wonderful life experiences to global users and become a leader in global ecological brands.")</f>
        <v>In today's world of the Internet of Things, Haier's ecological brand, led by smart home, will bring more and more wonderful life experiences to global users and become a leader in global ecological brands.</v>
      </c>
      <c r="B2480" s="1" t="str">
        <f ca="1">IFERROR(__xludf.DUMMYFUNCTION("GOOGLETRANSLATE(A2480, ""zh"", ""en"")"),"Technological innovation")</f>
        <v>Technological innovation</v>
      </c>
      <c r="C2480" s="1" t="str">
        <f ca="1">IFERROR(__xludf.DUMMYFUNCTION("GOOGLETRANSLATE(E2480, ""zh"", ""en"")"),"Qualitative text")</f>
        <v>Qualitative text</v>
      </c>
    </row>
    <row r="2481" spans="1:3" ht="13" x14ac:dyDescent="0.15">
      <c r="A2481" s="1" t="str">
        <f ca="1">IFERROR(__xludf.DUMMYFUNCTION("GOOGLETRANSLATE(A2481, ""zh"", ""en"")"),"Haier Smart Home has been listed on Fortune Magazine's list of the world's most admired companies for consecutive years in 2020 and 2022, fully demonstrating the company's continued leadership in the IoT ecosystem.")</f>
        <v>Haier Smart Home has been listed on Fortune Magazine's list of the world's most admired companies for consecutive years in 2020 and 2022, fully demonstrating the company's continued leadership in the IoT ecosystem.</v>
      </c>
      <c r="B2481" s="1" t="str">
        <f ca="1">IFERROR(__xludf.DUMMYFUNCTION("GOOGLETRANSLATE(A2481, ""zh"", ""en"")"),"Technological innovation")</f>
        <v>Technological innovation</v>
      </c>
      <c r="C2481" s="1" t="str">
        <f ca="1">IFERROR(__xludf.DUMMYFUNCTION("GOOGLETRANSLATE(E2481, ""zh"", ""en"")"),"Quantitative Text")</f>
        <v>Quantitative Text</v>
      </c>
    </row>
    <row r="2482" spans="1:3" ht="13" x14ac:dyDescent="0.15">
      <c r="A2482" s="1" t="str">
        <f ca="1">IFERROR(__xludf.DUMMYFUNCTION("GOOGLETRANSLATE(A2482, ""zh"", ""en"")"),"Consistency Issuers should disclose in their ESG reports any changes in statistical methodologies or key performance indicators, if any, or any other relevant factors that affect meaningful comparisons.")</f>
        <v>Consistency Issuers should disclose in their ESG reports any changes in statistical methodologies or key performance indicators, if any, or any other relevant factors that affect meaningful comparisons.</v>
      </c>
      <c r="B2482" s="1" t="str">
        <f ca="1">IFERROR(__xludf.DUMMYFUNCTION("GOOGLETRANSLATE(A2482, ""zh"", ""en"")"),"irrelevant text")</f>
        <v>irrelevant text</v>
      </c>
      <c r="C2482" s="1" t="str">
        <f ca="1">IFERROR(__xludf.DUMMYFUNCTION("GOOGLETRANSLATE(E2482, ""zh"", ""en"")"),"irrelevant text")</f>
        <v>irrelevant text</v>
      </c>
    </row>
    <row r="2483" spans="1:3" ht="13" x14ac:dyDescent="0.15">
      <c r="A2483" s="1" t="str">
        <f ca="1">IFERROR(__xludf.DUMMYFUNCTION("GOOGLETRANSLATE(A2483, ""zh"", ""en"")"),"P1026353840 Scope Aspects Disclosure Requirements Index Environment A2 Resource Use General Disclosure Policies for the efficient use of resources, including energy, water, and other raw materials")</f>
        <v>P1026353840 Scope Aspects Disclosure Requirements Index Environment A2 Resource Use General Disclosure Policies for the efficient use of resources, including energy, water, and other raw materials</v>
      </c>
      <c r="B2483" s="1" t="str">
        <f ca="1">IFERROR(__xludf.DUMMYFUNCTION("GOOGLETRANSLATE(A2483, ""zh"", ""en"")"),"raw materials")</f>
        <v>raw materials</v>
      </c>
      <c r="C2483" s="1" t="str">
        <f ca="1">IFERROR(__xludf.DUMMYFUNCTION("GOOGLETRANSLATE(E2483, ""zh"", ""en"")"),"Qualitative text")</f>
        <v>Qualitative text</v>
      </c>
    </row>
    <row r="2484" spans="1:3" ht="13" x14ac:dyDescent="0.15">
      <c r="A2484" s="1" t="str">
        <f ca="1">IFERROR(__xludf.DUMMYFUNCTION("GOOGLETRANSLATE(A2484, ""zh"", ""en"")"),"The training camp combines the characteristics of the post-95s and post-00s generation, and helps new employees quickly integrate into the company environment and understand Haier culture through mentoring by senior executives and creating targeted and si"&amp;"de tasks.")</f>
        <v>The training camp combines the characteristics of the post-95s and post-00s generation, and helps new employees quickly integrate into the company environment and understand Haier culture through mentoring by senior executives and creating targeted and side tasks.</v>
      </c>
      <c r="B2484" s="1" t="str">
        <f ca="1">IFERROR(__xludf.DUMMYFUNCTION("GOOGLETRANSLATE(A2484, ""zh"", ""en"")"),"staff")</f>
        <v>staff</v>
      </c>
      <c r="C2484" s="1" t="str">
        <f ca="1">IFERROR(__xludf.DUMMYFUNCTION("GOOGLETRANSLATE(E2484, ""zh"", ""en"")"),"Qualitative text")</f>
        <v>Qualitative text</v>
      </c>
    </row>
    <row r="2485" spans="1:3" ht="13" x14ac:dyDescent="0.15">
      <c r="A2485" s="1" t="str">
        <f ca="1">IFERROR(__xludf.DUMMYFUNCTION("GOOGLETRANSLATE(A2485, ""zh"", ""en"")"),"In July and August, Hongyuan Pharmaceutical, a subsidiary of the Changle Chemical Company Group, Huanneng Chemical Company, and Logistics Company, won the third prize of the Zhejiang Provincial Science and Technology Progress Award in 2021.")</f>
        <v>In July and August, Hongyuan Pharmaceutical, a subsidiary of the Changle Chemical Company Group, Huanneng Chemical Company, and Logistics Company, won the third prize of the Zhejiang Provincial Science and Technology Progress Award in 2021.</v>
      </c>
      <c r="B2485" s="1" t="str">
        <f ca="1">IFERROR(__xludf.DUMMYFUNCTION("GOOGLETRANSLATE(A2485, ""zh"", ""en"")"),"Technological innovation")</f>
        <v>Technological innovation</v>
      </c>
      <c r="C2485" s="1" t="str">
        <f ca="1">IFERROR(__xludf.DUMMYFUNCTION("GOOGLETRANSLATE(E2485, ""zh"", ""en"")"),"Quantitative Text")</f>
        <v>Quantitative Text</v>
      </c>
    </row>
    <row r="2486" spans="1:3" ht="13" x14ac:dyDescent="0.15">
      <c r="A2486" s="1" t="str">
        <f ca="1">IFERROR(__xludf.DUMMYFUNCTION("GOOGLETRANSLATE(A2486, ""zh"", ""en"")"),"Focusing on school-enterprise cooperation and exchanges, integrating production and education to promote employment, receiving more than 10 visiting groups from provincial universities, promoting strategic cooperation between schools and enterprises, and "&amp;"further promoting the comprehensive coordinated development of school-enterprise work.")</f>
        <v>Focusing on school-enterprise cooperation and exchanges, integrating production and education to promote employment, receiving more than 10 visiting groups from provincial universities, promoting strategic cooperation between schools and enterprises, and further promoting the comprehensive coordinated development of school-enterprise work.</v>
      </c>
      <c r="B2486" s="1" t="str">
        <f ca="1">IFERROR(__xludf.DUMMYFUNCTION("GOOGLETRANSLATE(A2486, ""zh"", ""en"")"),"Promoting employment")</f>
        <v>Promoting employment</v>
      </c>
      <c r="C2486" s="1" t="str">
        <f ca="1">IFERROR(__xludf.DUMMYFUNCTION("GOOGLETRANSLATE(E2486, ""zh"", ""en"")"),"Quantitative Text")</f>
        <v>Quantitative Text</v>
      </c>
    </row>
    <row r="2487" spans="1:3" ht="13" x14ac:dyDescent="0.15">
      <c r="A2487" s="1" t="str">
        <f ca="1">IFERROR(__xludf.DUMMYFUNCTION("GOOGLETRANSLATE(A2487, ""zh"", ""en"")"),"Wuchan Zhongda Zhejiang Industrial Investment Co., Ltd. (hereinafter referred to as the Industrial Investment Company) was established on March 3, 2022 with a registered capital of RMB 1 billion and is a wholly-owned subsidiary of Wuchan Zhongda.")</f>
        <v>Wuchan Zhongda Zhejiang Industrial Investment Co., Ltd. (hereinafter referred to as the Industrial Investment Company) was established on March 3, 2022 with a registered capital of RMB 1 billion and is a wholly-owned subsidiary of Wuchan Zhongda.</v>
      </c>
      <c r="B2487" s="1" t="str">
        <f ca="1">IFERROR(__xludf.DUMMYFUNCTION("GOOGLETRANSLATE(A2487, ""zh"", ""en"")"),"irrelevant text")</f>
        <v>irrelevant text</v>
      </c>
      <c r="C2487" s="1" t="str">
        <f ca="1">IFERROR(__xludf.DUMMYFUNCTION("GOOGLETRANSLATE(E2487, ""zh"", ""en"")"),"irrelevant text")</f>
        <v>irrelevant text</v>
      </c>
    </row>
    <row r="2488" spans="1:3" ht="13" x14ac:dyDescent="0.15">
      <c r="A2488" s="1" t="str">
        <f ca="1">IFERROR(__xludf.DUMMYFUNCTION("GOOGLETRANSLATE(A2488, ""zh"", ""en"")"),"The successful selection of the Deqing factory project as a pilot enterprise for the Zhejiang Province Future Factory Project will further enhance the company's confidence and driving force in its transformation from manufacturing to intelligent manufactu"&amp;"ring.")</f>
        <v>The successful selection of the Deqing factory project as a pilot enterprise for the Zhejiang Province Future Factory Project will further enhance the company's confidence and driving force in its transformation from manufacturing to intelligent manufacturing.</v>
      </c>
      <c r="B2488" s="1" t="str">
        <f ca="1">IFERROR(__xludf.DUMMYFUNCTION("GOOGLETRANSLATE(A2488, ""zh"", ""en"")"),"Technological innovation")</f>
        <v>Technological innovation</v>
      </c>
      <c r="C2488" s="1" t="str">
        <f ca="1">IFERROR(__xludf.DUMMYFUNCTION("GOOGLETRANSLATE(E2488, ""zh"", ""en"")"),"Qualitative text")</f>
        <v>Qualitative text</v>
      </c>
    </row>
    <row r="2489" spans="1:3" ht="13" x14ac:dyDescent="0.15">
      <c r="A2489" s="1" t="str">
        <f ca="1">IFERROR(__xludf.DUMMYFUNCTION("GOOGLETRANSLATE(A2489, ""zh"", ""en"")"),"A complete set of safety production management network system has been formed to effectively protect the personal safety of employees and the property safety of the company, and promote the steady development of the company's safety production work.")</f>
        <v>A complete set of safety production management network system has been formed to effectively protect the personal safety of employees and the property safety of the company, and promote the steady development of the company's safety production work.</v>
      </c>
      <c r="B2489" s="1" t="str">
        <f ca="1">IFERROR(__xludf.DUMMYFUNCTION("GOOGLETRANSLATE(A2489, ""zh"", ""en"")"),"staff")</f>
        <v>staff</v>
      </c>
      <c r="C2489" s="1" t="str">
        <f ca="1">IFERROR(__xludf.DUMMYFUNCTION("GOOGLETRANSLATE(E2489, ""zh"", ""en"")"),"Qualitative text")</f>
        <v>Qualitative text</v>
      </c>
    </row>
    <row r="2490" spans="1:3" ht="13" x14ac:dyDescent="0.15">
      <c r="A2490" s="1" t="str">
        <f ca="1">IFERROR(__xludf.DUMMYFUNCTION("GOOGLETRANSLATE(A2490, ""zh"", ""en"")"),"In 1997, the company was approved by the Zhejiang Provincial People's Government to complete the shareholding system transformation and change its name to Zhejiang Sunshine Group Co., Ltd. and held its first shareholders' meeting and founding meeting.")</f>
        <v>In 1997, the company was approved by the Zhejiang Provincial People's Government to complete the shareholding system transformation and change its name to Zhejiang Sunshine Group Co., Ltd. and held its first shareholders' meeting and founding meeting.</v>
      </c>
      <c r="B2490" s="1" t="str">
        <f ca="1">IFERROR(__xludf.DUMMYFUNCTION("GOOGLETRANSLATE(A2490, ""zh"", ""en"")"),"Shareholder and creditor rights")</f>
        <v>Shareholder and creditor rights</v>
      </c>
      <c r="C2490" s="1" t="str">
        <f ca="1">IFERROR(__xludf.DUMMYFUNCTION("GOOGLETRANSLATE(E2490, ""zh"", ""en"")"),"Qualitative text")</f>
        <v>Qualitative text</v>
      </c>
    </row>
    <row r="2491" spans="1:3" ht="13" x14ac:dyDescent="0.15">
      <c r="A2491" s="1" t="str">
        <f ca="1">IFERROR(__xludf.DUMMYFUNCTION("GOOGLETRANSLATE(A2491, ""zh"", ""en"")"),"Construction and development of course resources and lecturer resources. Accumulated training courseware and other learning materials of about 3,800 pieces. About 500 company-level lecturers provide employees with rich learning resources.")</f>
        <v>Construction and development of course resources and lecturer resources. Accumulated training courseware and other learning materials of about 3,800 pieces. About 500 company-level lecturers provide employees with rich learning resources.</v>
      </c>
      <c r="B2491" s="1" t="str">
        <f ca="1">IFERROR(__xludf.DUMMYFUNCTION("GOOGLETRANSLATE(A2491, ""zh"", ""en"")"),"staff")</f>
        <v>staff</v>
      </c>
      <c r="C2491" s="1" t="str">
        <f ca="1">IFERROR(__xludf.DUMMYFUNCTION("GOOGLETRANSLATE(E2491, ""zh"", ""en"")"),"Quantitative Text")</f>
        <v>Quantitative Text</v>
      </c>
    </row>
    <row r="2492" spans="1:3" ht="13" x14ac:dyDescent="0.15">
      <c r="A2492" s="1" t="str">
        <f ca="1">IFERROR(__xludf.DUMMYFUNCTION("GOOGLETRANSLATE(A2492, ""zh"", ""en"")"),"In October 2022, at the Hubei Division of the China Innovation Method Competition, Yichang Renfu's 11 participating projects won 3 first prizes, 6 second prizes and 2 third prizes.")</f>
        <v>In October 2022, at the Hubei Division of the China Innovation Method Competition, Yichang Renfu's 11 participating projects won 3 first prizes, 6 second prizes and 2 third prizes.</v>
      </c>
      <c r="B2492" s="1" t="str">
        <f ca="1">IFERROR(__xludf.DUMMYFUNCTION("GOOGLETRANSLATE(A2492, ""zh"", ""en"")"),"Technological innovation")</f>
        <v>Technological innovation</v>
      </c>
      <c r="C2492" s="1" t="str">
        <f ca="1">IFERROR(__xludf.DUMMYFUNCTION("GOOGLETRANSLATE(E2492, ""zh"", ""en"")"),"Quantitative Text")</f>
        <v>Quantitative Text</v>
      </c>
    </row>
    <row r="2493" spans="1:3" ht="13" x14ac:dyDescent="0.15">
      <c r="A2493" s="1" t="str">
        <f ca="1">IFERROR(__xludf.DUMMYFUNCTION("GOOGLETRANSLATE(A2493, ""zh"", ""en"")"),"Employee Rights and Interests Employee Growth Elite Plan Elite Plan Management Channel Professional and Technical Channel The company regularly holds management competition conferences to maintain the vitality of the management team.")</f>
        <v>Employee Rights and Interests Employee Growth Elite Plan Elite Plan Management Channel Professional and Technical Channel The company regularly holds management competition conferences to maintain the vitality of the management team.</v>
      </c>
      <c r="B2493" s="1" t="str">
        <f ca="1">IFERROR(__xludf.DUMMYFUNCTION("GOOGLETRANSLATE(A2493, ""zh"", ""en"")"),"staff")</f>
        <v>staff</v>
      </c>
      <c r="C2493" s="1" t="str">
        <f ca="1">IFERROR(__xludf.DUMMYFUNCTION("GOOGLETRANSLATE(E2493, ""zh"", ""en"")"),"Qualitative text")</f>
        <v>Qualitative text</v>
      </c>
    </row>
    <row r="2494" spans="1:3" ht="13" x14ac:dyDescent="0.15">
      <c r="A2494" s="1" t="str">
        <f ca="1">IFERROR(__xludf.DUMMYFUNCTION("GOOGLETRANSLATE(A2494, ""zh"", ""en"")"),"The learning growth map covers five major series and 64 professional subcategories. Through the professional internal online learning platform Hisense Academy, an independent zero-violation and personnel awareness learning channel is established for emplo"&amp;"yees.")</f>
        <v>The learning growth map covers five major series and 64 professional subcategories. Through the professional internal online learning platform Hisense Academy, an independent zero-violation and personnel awareness learning channel is established for employees.</v>
      </c>
      <c r="B2494" s="1" t="str">
        <f ca="1">IFERROR(__xludf.DUMMYFUNCTION("GOOGLETRANSLATE(A2494, ""zh"", ""en"")"),"staff")</f>
        <v>staff</v>
      </c>
      <c r="C2494" s="1" t="str">
        <f ca="1">IFERROR(__xludf.DUMMYFUNCTION("GOOGLETRANSLATE(E2494, ""zh"", ""en"")"),"Qualitative text")</f>
        <v>Qualitative text</v>
      </c>
    </row>
    <row r="2495" spans="1:3" ht="13" x14ac:dyDescent="0.15">
      <c r="A2495" s="1" t="str">
        <f ca="1">IFERROR(__xludf.DUMMYFUNCTION("GOOGLETRANSLATE(A2495, ""zh"", ""en"")"),"The company strictly complies with national and local policies and regulations to pay basic pension insurance and other social insurance for employees on time and in full, achieving 100% coverage of social insurance payments.")</f>
        <v>The company strictly complies with national and local policies and regulations to pay basic pension insurance and other social insurance for employees on time and in full, achieving 100% coverage of social insurance payments.</v>
      </c>
      <c r="B2495" s="1" t="str">
        <f ca="1">IFERROR(__xludf.DUMMYFUNCTION("GOOGLETRANSLATE(A2495, ""zh"", ""en"")"),"staff")</f>
        <v>staff</v>
      </c>
      <c r="C2495" s="1" t="str">
        <f ca="1">IFERROR(__xludf.DUMMYFUNCTION("GOOGLETRANSLATE(E2495, ""zh"", ""en"")"),"Quantitative Text")</f>
        <v>Quantitative Text</v>
      </c>
    </row>
    <row r="2496" spans="1:3" ht="13" x14ac:dyDescent="0.15">
      <c r="A2496" s="1" t="str">
        <f ca="1">IFERROR(__xludf.DUMMYFUNCTION("GOOGLETRANSLATE(A2496, ""zh"", ""en"")"),"In terms of the Yi Nonferrous Platform, the Yi Nonferrous Supply Chain Management System has been fully launched and put into operation, achieving full coverage of Chengtong commodity business varieties and completing the first phase construction goals of"&amp;" the Yi Nonferrous Platform.")</f>
        <v>In terms of the Yi Nonferrous Platform, the Yi Nonferrous Supply Chain Management System has been fully launched and put into operation, achieving full coverage of Chengtong commodity business varieties and completing the first phase construction goals of the Yi Nonferrous Platform.</v>
      </c>
      <c r="B2496" s="1" t="str">
        <f ca="1">IFERROR(__xludf.DUMMYFUNCTION("GOOGLETRANSLATE(A2496, ""zh"", ""en"")"),"supply chain management")</f>
        <v>supply chain management</v>
      </c>
      <c r="C2496" s="1" t="str">
        <f ca="1">IFERROR(__xludf.DUMMYFUNCTION("GOOGLETRANSLATE(E2496, ""zh"", ""en"")"),"Qualitative text")</f>
        <v>Qualitative text</v>
      </c>
    </row>
    <row r="2497" spans="1:3" ht="13" x14ac:dyDescent="0.15">
      <c r="A2497" s="1" t="str">
        <f ca="1">IFERROR(__xludf.DUMMYFUNCTION("GOOGLETRANSLATE(A2497, ""zh"", ""en"")"),"Invested 100,000 yuan in the practical technical personnel training project in Xiaochang County and organized 50 people to go to Huazhong Agricultural University for technical training to help cultivate technical talents for rural revitalization.")</f>
        <v>Invested 100,000 yuan in the practical technical personnel training project in Xiaochang County and organized 50 people to go to Huazhong Agricultural University for technical training to help cultivate technical talents for rural revitalization.</v>
      </c>
      <c r="B2497" s="1" t="str">
        <f ca="1">IFERROR(__xludf.DUMMYFUNCTION("GOOGLETRANSLATE(A2497, ""zh"", ""en"")"),"Rural assistance")</f>
        <v>Rural assistance</v>
      </c>
      <c r="C2497" s="1" t="str">
        <f ca="1">IFERROR(__xludf.DUMMYFUNCTION("GOOGLETRANSLATE(E2497, ""zh"", ""en"")"),"Quantitative Text")</f>
        <v>Quantitative Text</v>
      </c>
    </row>
    <row r="2498" spans="1:3" ht="13" x14ac:dyDescent="0.15">
      <c r="A2498" s="1" t="str">
        <f ca="1">IFERROR(__xludf.DUMMYFUNCTION("GOOGLETRANSLATE(A2498, ""zh"", ""en"")"),"Organizational Scope: 360 Safety Technology Co., Ltd. and its subsidiaries. Time Range: (Year/Month/Day) to (Year/Month/Day). To improve the completeness of the report, some data exceeds the above scope.")</f>
        <v>Organizational Scope: 360 Safety Technology Co., Ltd. and its subsidiaries. Time Range: (Year/Month/Day) to (Year/Month/Day). To improve the completeness of the report, some data exceeds the above scope.</v>
      </c>
      <c r="B2498" s="1" t="str">
        <f ca="1">IFERROR(__xludf.DUMMYFUNCTION("GOOGLETRANSLATE(A2498, ""zh"", ""en"")"),"irrelevant text")</f>
        <v>irrelevant text</v>
      </c>
      <c r="C2498" s="1" t="str">
        <f ca="1">IFERROR(__xludf.DUMMYFUNCTION("GOOGLETRANSLATE(E2498, ""zh"", ""en"")"),"irrelevant text")</f>
        <v>irrelevant text</v>
      </c>
    </row>
    <row r="2499" spans="1:3" ht="13" x14ac:dyDescent="0.15">
      <c r="A2499" s="1" t="str">
        <f ca="1">IFERROR(__xludf.DUMMYFUNCTION("GOOGLETRANSLATE(A2499, ""zh"", ""en"")"),"These activities cover data security laws, personal information protection laws, phishing tips, office security awareness, and other aspects, aiming to enhance employees' data security awareness and skills.")</f>
        <v>These activities cover data security laws, personal information protection laws, phishing tips, office security awareness, and other aspects, aiming to enhance employees' data security awareness and skills.</v>
      </c>
      <c r="B2499" s="1" t="str">
        <f ca="1">IFERROR(__xludf.DUMMYFUNCTION("GOOGLETRANSLATE(A2499, ""zh"", ""en"")"),"Data security")</f>
        <v>Data security</v>
      </c>
      <c r="C2499" s="1" t="str">
        <f ca="1">IFERROR(__xludf.DUMMYFUNCTION("GOOGLETRANSLATE(E2499, ""zh"", ""en"")"),"Qualitative text")</f>
        <v>Qualitative text</v>
      </c>
    </row>
    <row r="2500" spans="1:3" ht="13" x14ac:dyDescent="0.15">
      <c r="A2500" s="1" t="str">
        <f ca="1">IFERROR(__xludf.DUMMYFUNCTION("GOOGLETRANSLATE(A2500, ""zh"", ""en"")"),"Secondly, the company actively encourages employees to participate in healthy exercise and fitness activities. The company's office building is equipped with gyms and other employee activity areas to provide all-round protection for the health of employee"&amp;"s.")</f>
        <v>Secondly, the company actively encourages employees to participate in healthy exercise and fitness activities. The company's office building is equipped with gyms and other employee activity areas to provide all-round protection for the health of employees.</v>
      </c>
      <c r="B2500" s="1" t="str">
        <f ca="1">IFERROR(__xludf.DUMMYFUNCTION("GOOGLETRANSLATE(A2500, ""zh"", ""en"")"),"staff")</f>
        <v>staff</v>
      </c>
      <c r="C2500" s="1" t="str">
        <f ca="1">IFERROR(__xludf.DUMMYFUNCTION("GOOGLETRANSLATE(E2500, ""zh"", ""en"")"),"Qualitative text")</f>
        <v>Qualitative text</v>
      </c>
    </row>
    <row r="2501" spans="1:3" ht="13" x14ac:dyDescent="0.15">
      <c r="A2501" s="1" t="str">
        <f ca="1">IFERROR(__xludf.DUMMYFUNCTION("GOOGLETRANSLATE(A2501, ""zh"", ""en"")"),"Over the years, the company has always regarded the guarantee of agricultural machinery oil as a key task, and has adopted preferential and preferential high-quality oil supply and other service measures to ensure the smooth progress of agricultural produ"&amp;"ction during important farming seasons in various places.")</f>
        <v>Over the years, the company has always regarded the guarantee of agricultural machinery oil as a key task, and has adopted preferential and preferential high-quality oil supply and other service measures to ensure the smooth progress of agricultural production during important farming seasons in various places.</v>
      </c>
      <c r="B2501" s="1" t="str">
        <f ca="1">IFERROR(__xludf.DUMMYFUNCTION("GOOGLETRANSLATE(A2501, ""zh"", ""en"")"),"Rural assistance")</f>
        <v>Rural assistance</v>
      </c>
      <c r="C2501" s="1" t="str">
        <f ca="1">IFERROR(__xludf.DUMMYFUNCTION("GOOGLETRANSLATE(E2501, ""zh"", ""en"")"),"Qualitative text")</f>
        <v>Qualitative text</v>
      </c>
    </row>
    <row r="2502" spans="1:3" ht="13" x14ac:dyDescent="0.15">
      <c r="A2502" s="1" t="str">
        <f ca="1">IFERROR(__xludf.DUMMYFUNCTION("GOOGLETRANSLATE(A2502, ""zh"", ""en"")"),"Consistency Issuers should disclose in their ESG reports any changes in statistical methodologies or key performance indicators, if any, or any other relevant factors that affect meaningful comparisons.")</f>
        <v>Consistency Issuers should disclose in their ESG reports any changes in statistical methodologies or key performance indicators, if any, or any other relevant factors that affect meaningful comparisons.</v>
      </c>
      <c r="B2502" s="1" t="str">
        <f ca="1">IFERROR(__xludf.DUMMYFUNCTION("GOOGLETRANSLATE(A2502, ""zh"", ""en"")"),"irrelevant text")</f>
        <v>irrelevant text</v>
      </c>
      <c r="C2502" s="1" t="str">
        <f ca="1">IFERROR(__xludf.DUMMYFUNCTION("GOOGLETRANSLATE(E2502, ""zh"", ""en"")"),"irrelevant text")</f>
        <v>irrelevant text</v>
      </c>
    </row>
    <row r="2503" spans="1:3" ht="13" x14ac:dyDescent="0.15">
      <c r="A2503" s="1" t="str">
        <f ca="1">IFERROR(__xludf.DUMMYFUNCTION("GOOGLETRANSLATE(A2503, ""zh"", ""en"")"),"Consistency: This year's report has been prepared in the same manner as in previous years. Changes that may affect meaningful comparisons with previous reports have been noted accordingly.")</f>
        <v>Consistency: This year's report has been prepared in the same manner as in previous years. Changes that may affect meaningful comparisons with previous reports have been noted accordingly.</v>
      </c>
      <c r="B2503" s="1" t="str">
        <f ca="1">IFERROR(__xludf.DUMMYFUNCTION("GOOGLETRANSLATE(A2503, ""zh"", ""en"")"),"irrelevant text")</f>
        <v>irrelevant text</v>
      </c>
      <c r="C2503" s="1" t="str">
        <f ca="1">IFERROR(__xludf.DUMMYFUNCTION("GOOGLETRANSLATE(E2503, ""zh"", ""en"")"),"irrelevant text")</f>
        <v>irrelevant text</v>
      </c>
    </row>
    <row r="2504" spans="1:3" ht="13" x14ac:dyDescent="0.15">
      <c r="A2504" s="1" t="str">
        <f ca="1">IFERROR(__xludf.DUMMYFUNCTION("GOOGLETRANSLATE(A2504, ""zh"", ""en"")"),"Formulate and revise special emergency response plans for environmental emergencies, detail the responsibilities of each department and level at the headquarters, improve the operability of the plans, and ensure that each enterprise regularly conducts eme"&amp;"rgency drills for handling environmental emergencies.")</f>
        <v>Formulate and revise special emergency response plans for environmental emergencies, detail the responsibilities of each department and level at the headquarters, improve the operability of the plans, and ensure that each enterprise regularly conducts emergency drills for handling environmental emergencies.</v>
      </c>
      <c r="B2504" s="1" t="str">
        <f ca="1">IFERROR(__xludf.DUMMYFUNCTION("GOOGLETRANSLATE(A2504, ""zh"", ""en"")"),"Environmental Policy")</f>
        <v>Environmental Policy</v>
      </c>
      <c r="C2504" s="1" t="str">
        <f ca="1">IFERROR(__xludf.DUMMYFUNCTION("GOOGLETRANSLATE(E2504, ""zh"", ""en"")"),"Qualitative text")</f>
        <v>Qualitative text</v>
      </c>
    </row>
    <row r="2505" spans="1:3" ht="13" x14ac:dyDescent="0.15">
      <c r="A2505" s="1" t="str">
        <f ca="1">IFERROR(__xludf.DUMMYFUNCTION("GOOGLETRANSLATE(A2505, ""zh"", ""en"")"),"P338. Actively increase responsibility for environmental protection, save energy and reduce emissions, strengthen energy management, carry out wastewater, waste gas and waste reduction management, respond to climate change and reduce greenhouse gas emissi"&amp;"ons.")</f>
        <v>P338. Actively increase responsibility for environmental protection, save energy and reduce emissions, strengthen energy management, carry out wastewater, waste gas and waste reduction management, respond to climate change and reduce greenhouse gas emissions.</v>
      </c>
      <c r="B2505" s="1" t="str">
        <f ca="1">IFERROR(__xludf.DUMMYFUNCTION("GOOGLETRANSLATE(A2505, ""zh"", ""en"")"),"Addressing climate change")</f>
        <v>Addressing climate change</v>
      </c>
      <c r="C2505" s="1" t="str">
        <f ca="1">IFERROR(__xludf.DUMMYFUNCTION("GOOGLETRANSLATE(E2505, ""zh"", ""en"")"),"Qualitative text")</f>
        <v>Qualitative text</v>
      </c>
    </row>
    <row r="2506" spans="1:3" ht="13" x14ac:dyDescent="0.15">
      <c r="A2506" s="1" t="str">
        <f ca="1">IFERROR(__xludf.DUMMYFUNCTION("GOOGLETRANSLATE(A2506, ""zh"", ""en"")"),"Accelerate the adjustment of energy consumption structure by promoting energy management and control, carrying out energy-saving technology innovation, implementing energy system optimization and other measures to continuously improve energy utilization e"&amp;"fficiency and strive to reduce energy consumption.")</f>
        <v>Accelerate the adjustment of energy consumption structure by promoting energy management and control, carrying out energy-saving technology innovation, implementing energy system optimization and other measures to continuously improve energy utilization efficiency and strive to reduce energy consumption.</v>
      </c>
      <c r="B2506" s="1" t="str">
        <f ca="1">IFERROR(__xludf.DUMMYFUNCTION("GOOGLETRANSLATE(A2506, ""zh"", ""en"")"),"Energy and resource consumption")</f>
        <v>Energy and resource consumption</v>
      </c>
      <c r="C2506" s="1" t="str">
        <f ca="1">IFERROR(__xludf.DUMMYFUNCTION("GOOGLETRANSLATE(E2506, ""zh"", ""en"")"),"Qualitative text")</f>
        <v>Qualitative text</v>
      </c>
    </row>
    <row r="2507" spans="1:3" ht="13" x14ac:dyDescent="0.15">
      <c r="A2507" s="1" t="str">
        <f ca="1">IFERROR(__xludf.DUMMYFUNCTION("GOOGLETRANSLATE(A2507, ""zh"", ""en"")"),"In 2022, the company organized and participated in 9 vocational skills competitions at all levels. Employees won 41 gold medals, 71 silver medals, and 111 bronze medals in competitions at the company level and above.")</f>
        <v>In 2022, the company organized and participated in 9 vocational skills competitions at all levels. Employees won 41 gold medals, 71 silver medals, and 111 bronze medals in competitions at the company level and above.</v>
      </c>
      <c r="B2507" s="1" t="str">
        <f ca="1">IFERROR(__xludf.DUMMYFUNCTION("GOOGLETRANSLATE(A2507, ""zh"", ""en"")"),"staff")</f>
        <v>staff</v>
      </c>
      <c r="C2507" s="1" t="str">
        <f ca="1">IFERROR(__xludf.DUMMYFUNCTION("GOOGLETRANSLATE(E2507, ""zh"", ""en"")"),"Quantitative Text")</f>
        <v>Quantitative Text</v>
      </c>
    </row>
    <row r="2508" spans="1:3" ht="13" x14ac:dyDescent="0.15">
      <c r="A2508" s="1" t="str">
        <f ca="1">IFERROR(__xludf.DUMMYFUNCTION("GOOGLETRANSLATE(A2508, ""zh"", ""en"")"),"Scientifically and rationally determine the development indicators of member companies in 2022. Develop personalized assessment methods and targets for member companies that undertake national, provincial, and municipal strategic functional tasks.")</f>
        <v>Scientifically and rationally determine the development indicators of member companies in 2022. Develop personalized assessment methods and targets for member companies that undertake national, provincial, and municipal strategic functional tasks.</v>
      </c>
      <c r="B2508" s="1" t="str">
        <f ca="1">IFERROR(__xludf.DUMMYFUNCTION("GOOGLETRANSLATE(A2508, ""zh"", ""en"")"),"Organizational structure and operations")</f>
        <v>Organizational structure and operations</v>
      </c>
      <c r="C2508" s="1" t="str">
        <f ca="1">IFERROR(__xludf.DUMMYFUNCTION("GOOGLETRANSLATE(E2508, ""zh"", ""en"")"),"Qualitative text")</f>
        <v>Qualitative text</v>
      </c>
    </row>
    <row r="2509" spans="1:3" ht="13" x14ac:dyDescent="0.15">
      <c r="A2509" s="1" t="str">
        <f ca="1">IFERROR(__xludf.DUMMYFUNCTION("GOOGLETRANSLATE(A2509, ""zh"", ""en"")"),"Deepen the Young Eagle Action to promote the cultivation of innovative achievements, obtain industry recognition and exemption from awards, achieve nearly 40 innovative achievements, add one central guidance fund project, and two provincial pioneer and le"&amp;"ading science and technology projects.")</f>
        <v>Deepen the Young Eagle Action to promote the cultivation of innovative achievements, obtain industry recognition and exemption from awards, achieve nearly 40 innovative achievements, add one central guidance fund project, and two provincial pioneer and leading science and technology projects.</v>
      </c>
      <c r="B2509" s="1" t="str">
        <f ca="1">IFERROR(__xludf.DUMMYFUNCTION("GOOGLETRANSLATE(A2509, ""zh"", ""en"")"),"Technological innovation")</f>
        <v>Technological innovation</v>
      </c>
      <c r="C2509" s="1" t="str">
        <f ca="1">IFERROR(__xludf.DUMMYFUNCTION("GOOGLETRANSLATE(E2509, ""zh"", ""en"")"),"Quantitative Text")</f>
        <v>Quantitative Text</v>
      </c>
    </row>
    <row r="2510" spans="1:3" ht="13" x14ac:dyDescent="0.15">
      <c r="A2510" s="1" t="str">
        <f ca="1">IFERROR(__xludf.DUMMYFUNCTION("GOOGLETRANSLATE(A2510, ""zh"", ""en"")"),"During the Safety Production Month, the company actively participated in the group's safety knowledge competition. During the online competition, 4,284 people participated in the competition, and 34 people were among the top 500 in the group.")</f>
        <v>During the Safety Production Month, the company actively participated in the group's safety knowledge competition. During the online competition, 4,284 people participated in the competition, and 34 people were among the top 500 in the group.</v>
      </c>
      <c r="B2510" s="1" t="str">
        <f ca="1">IFERROR(__xludf.DUMMYFUNCTION("GOOGLETRANSLATE(A2510, ""zh"", ""en"")"),"staff")</f>
        <v>staff</v>
      </c>
      <c r="C2510" s="1" t="str">
        <f ca="1">IFERROR(__xludf.DUMMYFUNCTION("GOOGLETRANSLATE(E2510, ""zh"", ""en"")"),"Quantitative Text")</f>
        <v>Quantitative Text</v>
      </c>
    </row>
    <row r="2511" spans="1:3" ht="13" x14ac:dyDescent="0.15">
      <c r="A2511" s="1" t="str">
        <f ca="1">IFERROR(__xludf.DUMMYFUNCTION("GOOGLETRANSLATE(A2511, ""zh"", ""en"")"),"Launch the Wuchan Zhongda Happy Home Union brand, formulate an implementation plan for union brand building, launch the Five Colors Five Homes construction and the Ten Happiness Principles, and strive to build a beautiful home that enhances employees' sen"&amp;"se of happiness.")</f>
        <v>Launch the Wuchan Zhongda Happy Home Union brand, formulate an implementation plan for union brand building, launch the Five Colors Five Homes construction and the Ten Happiness Principles, and strive to build a beautiful home that enhances employees' sense of happiness.</v>
      </c>
      <c r="B2511" s="1" t="str">
        <f ca="1">IFERROR(__xludf.DUMMYFUNCTION("GOOGLETRANSLATE(A2511, ""zh"", ""en"")"),"staff")</f>
        <v>staff</v>
      </c>
      <c r="C2511" s="1" t="str">
        <f ca="1">IFERROR(__xludf.DUMMYFUNCTION("GOOGLETRANSLATE(E2511, ""zh"", ""en"")"),"Qualitative text")</f>
        <v>Qualitative text</v>
      </c>
    </row>
    <row r="2512" spans="1:3" ht="13" x14ac:dyDescent="0.15">
      <c r="A2512" s="1" t="str">
        <f ca="1">IFERROR(__xludf.DUMMYFUNCTION("GOOGLETRANSLATE(A2512, ""zh"", ""en"")"),"Safety production training, safety hazard inspection, and special operations such as hazardous chemical leakage inspection and rectification, gas special inspection and rectification, and special treatment of safety hazards in long-distance oil and gas pi"&amp;"pelines.")</f>
        <v>Safety production training, safety hazard inspection, and special operations such as hazardous chemical leakage inspection and rectification, gas special inspection and rectification, and special treatment of safety hazards in long-distance oil and gas pipelines.</v>
      </c>
      <c r="B2512" s="1" t="str">
        <f ca="1">IFERROR(__xludf.DUMMYFUNCTION("GOOGLETRANSLATE(A2512, ""zh"", ""en"")"),"staff")</f>
        <v>staff</v>
      </c>
      <c r="C2512" s="1" t="str">
        <f ca="1">IFERROR(__xludf.DUMMYFUNCTION("GOOGLETRANSLATE(E2512, ""zh"", ""en"")"),"Qualitative text")</f>
        <v>Qualitative text</v>
      </c>
    </row>
    <row r="2513" spans="1:3" ht="13" x14ac:dyDescent="0.15">
      <c r="A2513" s="1" t="str">
        <f ca="1">IFERROR(__xludf.DUMMYFUNCTION("GOOGLETRANSLATE(A2513, ""zh"", ""en"")"),"Focusing on the internal cultivation of high-level and scarce talents, we have successfully applied for 2 young and middle-aged experts with outstanding contributions to the province, 1 provincial 10,000-person plan science and technology innovation leade"&amp;"r, and 11 senior professional titles.")</f>
        <v>Focusing on the internal cultivation of high-level and scarce talents, we have successfully applied for 2 young and middle-aged experts with outstanding contributions to the province, 1 provincial 10,000-person plan science and technology innovation leader, and 11 senior professional titles.</v>
      </c>
      <c r="B2513" s="1" t="str">
        <f ca="1">IFERROR(__xludf.DUMMYFUNCTION("GOOGLETRANSLATE(A2513, ""zh"", ""en"")"),"staff")</f>
        <v>staff</v>
      </c>
      <c r="C2513" s="1" t="str">
        <f ca="1">IFERROR(__xludf.DUMMYFUNCTION("GOOGLETRANSLATE(E2513, ""zh"", ""en"")"),"Quantitative Text")</f>
        <v>Quantitative Text</v>
      </c>
    </row>
    <row r="2514" spans="1:3" ht="13" x14ac:dyDescent="0.15">
      <c r="A2514" s="1" t="str">
        <f ca="1">IFERROR(__xludf.DUMMYFUNCTION("GOOGLETRANSLATE(A2514, ""zh"", ""en"")"),"Safety production management work is closely centered around the three annual work goals of ensuring safety production and focusing on the 112N safety production management system to win the final battle of the three-year comprehensive safety production m"&amp;"anagement action.")</f>
        <v>Safety production management work is closely centered around the three annual work goals of ensuring safety production and focusing on the 112N safety production management system to win the final battle of the three-year comprehensive safety production management action.</v>
      </c>
      <c r="B2514" s="1" t="str">
        <f ca="1">IFERROR(__xludf.DUMMYFUNCTION("GOOGLETRANSLATE(A2514, ""zh"", ""en"")"),"staff")</f>
        <v>staff</v>
      </c>
      <c r="C2514" s="1" t="str">
        <f ca="1">IFERROR(__xludf.DUMMYFUNCTION("GOOGLETRANSLATE(E2514, ""zh"", ""en"")"),"Qualitative text")</f>
        <v>Qualitative text</v>
      </c>
    </row>
    <row r="2515" spans="1:3" ht="13" x14ac:dyDescent="0.15">
      <c r="A2515" s="1" t="str">
        <f ca="1">IFERROR(__xludf.DUMMYFUNCTION("GOOGLETRANSLATE(A2515, ""zh"", ""en"")"),"New projects should give priority to avoiding ecologically sensitive areas. If it is really impossible to avoid it, special demonstrations should be carried out in accordance with the requirements of the competent authorities of ecologically sensitive are"&amp;"as to obtain permission from the competent authorities to cross the area.")</f>
        <v>New projects should give priority to avoiding ecologically sensitive areas. If it is really impossible to avoid it, special demonstrations should be carried out in accordance with the requirements of the competent authorities of ecologically sensitive areas to obtain permission from the competent authorities to cross the area.</v>
      </c>
      <c r="B2515" s="1" t="str">
        <f ca="1">IFERROR(__xludf.DUMMYFUNCTION("GOOGLETRANSLATE(A2515, ""zh"", ""en"")"),"biodiversity")</f>
        <v>biodiversity</v>
      </c>
      <c r="C2515" s="1" t="str">
        <f ca="1">IFERROR(__xludf.DUMMYFUNCTION("GOOGLETRANSLATE(E2515, ""zh"", ""en"")"),"Qualitative text")</f>
        <v>Qualitative text</v>
      </c>
    </row>
    <row r="2516" spans="1:3" ht="13" x14ac:dyDescent="0.15">
      <c r="A2516" s="1" t="str">
        <f ca="1">IFERROR(__xludf.DUMMYFUNCTION("GOOGLETRANSLATE(A2516, ""zh"", ""en"")"),"After identifying topics, engaging stakeholders, analyzing survey results, and ranking topics of importance, we have updated this year's important topics as the basis for compiling this report.")</f>
        <v>After identifying topics, engaging stakeholders, analyzing survey results, and ranking topics of importance, we have updated this year's important topics as the basis for compiling this report.</v>
      </c>
      <c r="B2516" s="1" t="str">
        <f ca="1">IFERROR(__xludf.DUMMYFUNCTION("GOOGLETRANSLATE(A2516, ""zh"", ""en"")"),"irrelevant text")</f>
        <v>irrelevant text</v>
      </c>
      <c r="C2516" s="1" t="str">
        <f ca="1">IFERROR(__xludf.DUMMYFUNCTION("GOOGLETRANSLATE(E2516, ""zh"", ""en"")"),"irrelevant text")</f>
        <v>irrelevant text</v>
      </c>
    </row>
    <row r="2517" spans="1:3" ht="13" x14ac:dyDescent="0.15">
      <c r="A2517" s="1" t="str">
        <f ca="1">IFERROR(__xludf.DUMMYFUNCTION("GOOGLETRANSLATE(A2517, ""zh"", ""en"")"),"International company Huanneng Company 0430 adheres to the core values ​​of customer-centricity, entrepreneurship-oriented and pursuit of truth, goodness and beauty and sincerely cooperates with partners to achieve win-win development for both parties.")</f>
        <v>International company Huanneng Company 0430 adheres to the core values ​​of customer-centricity, entrepreneurship-oriented and pursuit of truth, goodness and beauty and sincerely cooperates with partners to achieve win-win development for both parties.</v>
      </c>
      <c r="B2517" s="1" t="str">
        <f ca="1">IFERROR(__xludf.DUMMYFUNCTION("GOOGLETRANSLATE(A2517, ""zh"", ""en"")"),"Customers and Consumers")</f>
        <v>Customers and Consumers</v>
      </c>
      <c r="C2517" s="1" t="str">
        <f ca="1">IFERROR(__xludf.DUMMYFUNCTION("GOOGLETRANSLATE(E2517, ""zh"", ""en"")"),"Qualitative text")</f>
        <v>Qualitative text</v>
      </c>
    </row>
    <row r="2518" spans="1:3" ht="13" x14ac:dyDescent="0.15">
      <c r="A2518" s="1" t="str">
        <f ca="1">IFERROR(__xludf.DUMMYFUNCTION("GOOGLETRANSLATE(A2518, ""zh"", ""en"")"),"Actively cooperate with the Anqing Municipal Government to carry out the revision of the National Aquatic Germplasm Resources Protection Zone for Longnose Catfish, Largemouth Catfish and Mandarin Fish in the Anqing section of the Yangtze River, and invest"&amp;" 800,000 yuan to support this work")</f>
        <v>Actively cooperate with the Anqing Municipal Government to carry out the revision of the National Aquatic Germplasm Resources Protection Zone for Longnose Catfish, Largemouth Catfish and Mandarin Fish in the Anqing section of the Yangtze River, and invest 800,000 yuan to support this work</v>
      </c>
      <c r="B2518" s="1" t="str">
        <f ca="1">IFERROR(__xludf.DUMMYFUNCTION("GOOGLETRANSLATE(A2518, ""zh"", ""en"")"),"biodiversity")</f>
        <v>biodiversity</v>
      </c>
      <c r="C2518" s="1" t="str">
        <f ca="1">IFERROR(__xludf.DUMMYFUNCTION("GOOGLETRANSLATE(E2518, ""zh"", ""en"")"),"Quantitative Text")</f>
        <v>Quantitative Text</v>
      </c>
    </row>
    <row r="2519" spans="1:3" ht="13" x14ac:dyDescent="0.15">
      <c r="A2519" s="1" t="str">
        <f ca="1">IFERROR(__xludf.DUMMYFUNCTION("GOOGLETRANSLATE(A2519, ""zh"", ""en"")"),"For details on risk management and materiality assessment, please refer to the Corporate Governance Report (H shares) or Corporate Governance (A shares) in the 2022 Annual Report and the Materiality Assessment section of this report.")</f>
        <v>For details on risk management and materiality assessment, please refer to the Corporate Governance Report (H shares) or Corporate Governance (A shares) in the 2022 Annual Report and the Materiality Assessment section of this report.</v>
      </c>
      <c r="B2519" s="1" t="str">
        <f ca="1">IFERROR(__xludf.DUMMYFUNCTION("GOOGLETRANSLATE(A2519, ""zh"", ""en"")"),"irrelevant text")</f>
        <v>irrelevant text</v>
      </c>
      <c r="C2519" s="1" t="str">
        <f ca="1">IFERROR(__xludf.DUMMYFUNCTION("GOOGLETRANSLATE(E2519, ""zh"", ""en"")"),"irrelevant text")</f>
        <v>irrelevant text</v>
      </c>
    </row>
    <row r="2520" spans="1:3" ht="13" x14ac:dyDescent="0.15">
      <c r="A2520" s="1" t="str">
        <f ca="1">IFERROR(__xludf.DUMMYFUNCTION("GOOGLETRANSLATE(A2520, ""zh"", ""en"")"),"Service Model Innovation Haier Smart Home focuses on the best user experience and is committed to achieving a transformation from high-quality products and services to experiential services for all scenarios of smart home life.")</f>
        <v>Service Model Innovation Haier Smart Home focuses on the best user experience and is committed to achieving a transformation from high-quality products and services to experiential services for all scenarios of smart home life.</v>
      </c>
      <c r="B2520" s="1" t="str">
        <f ca="1">IFERROR(__xludf.DUMMYFUNCTION("GOOGLETRANSLATE(A2520, ""zh"", ""en"")"),"Product quality")</f>
        <v>Product quality</v>
      </c>
      <c r="C2520" s="1" t="str">
        <f ca="1">IFERROR(__xludf.DUMMYFUNCTION("GOOGLETRANSLATE(E2520, ""zh"", ""en"")"),"Qualitative text")</f>
        <v>Qualitative text</v>
      </c>
    </row>
    <row r="2521" spans="1:3" ht="13" x14ac:dyDescent="0.15">
      <c r="A2521" s="1" t="str">
        <f ca="1">IFERROR(__xludf.DUMMYFUNCTION("GOOGLETRANSLATE(A2521, ""zh"", ""en"")"),"7.1.1 Diversity and Equality We are committed to building a workplace culture that advocates diversity, equality, and inclusion, attracting and gathering outstanding talents and encouraging employees from different backgrounds to fully develop their talen"&amp;"ts.")</f>
        <v>7.1.1 Diversity and Equality We are committed to building a workplace culture that advocates diversity, equality, and inclusion, attracting and gathering outstanding talents and encouraging employees from different backgrounds to fully develop their talents.</v>
      </c>
      <c r="B2521" s="1" t="str">
        <f ca="1">IFERROR(__xludf.DUMMYFUNCTION("GOOGLETRANSLATE(A2521, ""zh"", ""en"")"),"staff")</f>
        <v>staff</v>
      </c>
      <c r="C2521" s="1" t="str">
        <f ca="1">IFERROR(__xludf.DUMMYFUNCTION("GOOGLETRANSLATE(E2521, ""zh"", ""en"")"),"Qualitative text")</f>
        <v>Qualitative text</v>
      </c>
    </row>
    <row r="2522" spans="1:3" ht="13" x14ac:dyDescent="0.15">
      <c r="A2522" s="1" t="str">
        <f ca="1">IFERROR(__xludf.DUMMYFUNCTION("GOOGLETRANSLATE(A2522, ""zh"", ""en"")"),"In addition, we are promoting the platformization of the entire service process, displaying policy issues that users care about through multiple channels such as the Haier Official App and the Haier Service Mini Program, and adding a number of free servic"&amp;"e items.")</f>
        <v>In addition, we are promoting the platformization of the entire service process, displaying policy issues that users care about through multiple channels such as the Haier Official App and the Haier Service Mini Program, and adding a number of free service items.</v>
      </c>
      <c r="B2522" s="1" t="str">
        <f ca="1">IFERROR(__xludf.DUMMYFUNCTION("GOOGLETRANSLATE(A2522, ""zh"", ""en"")"),"Customers and Consumers")</f>
        <v>Customers and Consumers</v>
      </c>
      <c r="C2522" s="1" t="str">
        <f ca="1">IFERROR(__xludf.DUMMYFUNCTION("GOOGLETRANSLATE(E2522, ""zh"", ""en"")"),"Qualitative text")</f>
        <v>Qualitative text</v>
      </c>
    </row>
    <row r="2523" spans="1:3" ht="13" x14ac:dyDescent="0.15">
      <c r="A2523" s="1" t="str">
        <f ca="1">IFERROR(__xludf.DUMMYFUNCTION("GOOGLETRANSLATE(A2523, ""zh"", ""en"")"),"Guided by the document, we established a global antitrust compliance team to sort out and optimize the antitrust systems in each of our operating locations and held a special antitrust presentation at the Global Legal Affairs Summit.")</f>
        <v>Guided by the document, we established a global antitrust compliance team to sort out and optimize the antitrust systems in each of our operating locations and held a special antitrust presentation at the Global Legal Affairs Summit.</v>
      </c>
      <c r="B2523" s="1" t="str">
        <f ca="1">IFERROR(__xludf.DUMMYFUNCTION("GOOGLETRANSLATE(A2523, ""zh"", ""en"")"),"Anti-unfair competition")</f>
        <v>Anti-unfair competition</v>
      </c>
      <c r="C2523" s="1" t="str">
        <f ca="1">IFERROR(__xludf.DUMMYFUNCTION("GOOGLETRANSLATE(E2523, ""zh"", ""en"")"),"Qualitative text")</f>
        <v>Qualitative text</v>
      </c>
    </row>
    <row r="2524" spans="1:3" ht="13" x14ac:dyDescent="0.15">
      <c r="A2524" s="1" t="str">
        <f ca="1">IFERROR(__xludf.DUMMYFUNCTION("GOOGLETRANSLATE(A2524, ""zh"", ""en"")"),"Haier's frost-free freezers use new renewable materials, with a recycling rate of over 90%, which is higher than the national standard requirement of 73% for household refrigerators.")</f>
        <v>Haier's frost-free freezers use new renewable materials, with a recycling rate of over 90%, which is higher than the national standard requirement of 73% for household refrigerators.</v>
      </c>
      <c r="B2524" s="1" t="str">
        <f ca="1">IFERROR(__xludf.DUMMYFUNCTION("GOOGLETRANSLATE(A2524, ""zh"", ""en"")"),"raw materials")</f>
        <v>raw materials</v>
      </c>
      <c r="C2524" s="1" t="str">
        <f ca="1">IFERROR(__xludf.DUMMYFUNCTION("GOOGLETRANSLATE(E2524, ""zh"", ""en"")"),"Quantitative Text")</f>
        <v>Quantitative Text</v>
      </c>
    </row>
    <row r="2525" spans="1:3" ht="13" x14ac:dyDescent="0.15">
      <c r="A2525" s="1" t="str">
        <f ca="1">IFERROR(__xludf.DUMMYFUNCTION("GOOGLETRANSLATE(A2525, ""zh"", ""en"")"),"In 2022, the company achieved breakthroughs in both consumer robots and smart lighting scenarios. In the future, the company will develop more IoT home appliances in the fields of elderly-friendly home appliances, cleaning robots, and smart whole-home app"&amp;"liances.")</f>
        <v>In 2022, the company achieved breakthroughs in both consumer robots and smart lighting scenarios. In the future, the company will develop more IoT home appliances in the fields of elderly-friendly home appliances, cleaning robots, and smart whole-home appliances.</v>
      </c>
      <c r="B2525" s="1" t="str">
        <f ca="1">IFERROR(__xludf.DUMMYFUNCTION("GOOGLETRANSLATE(A2525, ""zh"", ""en"")"),"Technological innovation")</f>
        <v>Technological innovation</v>
      </c>
      <c r="C2525" s="1" t="str">
        <f ca="1">IFERROR(__xludf.DUMMYFUNCTION("GOOGLETRANSLATE(E2525, ""zh"", ""en"")"),"Qualitative text")</f>
        <v>Qualitative text</v>
      </c>
    </row>
    <row r="2526" spans="1:3" ht="13" x14ac:dyDescent="0.15">
      <c r="A2526" s="1" t="str">
        <f ca="1">IFERROR(__xludf.DUMMYFUNCTION("GOOGLETRANSLATE(A2526, ""zh"", ""en"")"),"Disclaimer This report contains forward-looking statements, which are statements other than statements of historical facts that the Company anticipates or expects to happen in the future or in the future.")</f>
        <v>Disclaimer This report contains forward-looking statements, which are statements other than statements of historical facts that the Company anticipates or expects to happen in the future or in the future.</v>
      </c>
      <c r="B2526" s="1" t="str">
        <f ca="1">IFERROR(__xludf.DUMMYFUNCTION("GOOGLETRANSLATE(A2526, ""zh"", ""en"")"),"irrelevant text")</f>
        <v>irrelevant text</v>
      </c>
      <c r="C2526" s="1" t="str">
        <f ca="1">IFERROR(__xludf.DUMMYFUNCTION("GOOGLETRANSLATE(E2526, ""zh"", ""en"")"),"irrelevant text")</f>
        <v>irrelevant text</v>
      </c>
    </row>
    <row r="2527" spans="1:3" ht="13" x14ac:dyDescent="0.15">
      <c r="A2527" s="1" t="str">
        <f ca="1">IFERROR(__xludf.DUMMYFUNCTION("GOOGLETRANSLATE(A2527, ""zh"", ""en"")"),"The physical examination time for occupational health exposure personnel who underwent physical examinations in November and December was postponed to mid-March 2023. No new confirmed or suspected cases of occupational disease hazards occurred throughout "&amp;"the year.")</f>
        <v>The physical examination time for occupational health exposure personnel who underwent physical examinations in November and December was postponed to mid-March 2023. No new confirmed or suspected cases of occupational disease hazards occurred throughout the year.</v>
      </c>
      <c r="B2527" s="1" t="str">
        <f ca="1">IFERROR(__xludf.DUMMYFUNCTION("GOOGLETRANSLATE(A2527, ""zh"", ""en"")"),"staff")</f>
        <v>staff</v>
      </c>
      <c r="C2527" s="1" t="str">
        <f ca="1">IFERROR(__xludf.DUMMYFUNCTION("GOOGLETRANSLATE(E2527, ""zh"", ""en"")"),"Quantitative Text")</f>
        <v>Quantitative Text</v>
      </c>
    </row>
    <row r="2528" spans="1:3" ht="13" x14ac:dyDescent="0.15">
      <c r="A2528" s="1" t="str">
        <f ca="1">IFERROR(__xludf.DUMMYFUNCTION("GOOGLETRANSLATE(A2528, ""zh"", ""en"")"),"In addition, the company strictly implements the zero accident policy during holidays. This year's special holiday safety inspection found and rectified 4,312 problems to ensure that all parks spent the holidays safely.")</f>
        <v>In addition, the company strictly implements the zero accident policy during holidays. This year's special holiday safety inspection found and rectified 4,312 problems to ensure that all parks spent the holidays safely.</v>
      </c>
      <c r="B2528" s="1" t="str">
        <f ca="1">IFERROR(__xludf.DUMMYFUNCTION("GOOGLETRANSLATE(A2528, ""zh"", ""en"")"),"staff")</f>
        <v>staff</v>
      </c>
      <c r="C2528" s="1" t="str">
        <f ca="1">IFERROR(__xludf.DUMMYFUNCTION("GOOGLETRANSLATE(E2528, ""zh"", ""en"")"),"Quantitative Text")</f>
        <v>Quantitative Text</v>
      </c>
    </row>
    <row r="2529" spans="1:3" ht="13" x14ac:dyDescent="0.15">
      <c r="A2529" s="1" t="str">
        <f ca="1">IFERROR(__xludf.DUMMYFUNCTION("GOOGLETRANSLATE(A2529, ""zh"", ""en"")"),"Solid waste management measures: Jiaozuo Jiankangyuan's solid waste dump has a separate recyclable garbage storage area, which classifies recyclable items in advance to strengthen resource recycling.")</f>
        <v>Solid waste management measures: Jiaozuo Jiankangyuan's solid waste dump has a separate recyclable garbage storage area, which classifies recyclable items in advance to strengthen resource recycling.</v>
      </c>
      <c r="B2529" s="1" t="str">
        <f ca="1">IFERROR(__xludf.DUMMYFUNCTION("GOOGLETRANSLATE(A2529, ""zh"", ""en"")"),"Waste Management")</f>
        <v>Waste Management</v>
      </c>
      <c r="C2529" s="1" t="str">
        <f ca="1">IFERROR(__xludf.DUMMYFUNCTION("GOOGLETRANSLATE(E2529, ""zh"", ""en"")"),"Qualitative text")</f>
        <v>Qualitative text</v>
      </c>
    </row>
    <row r="2530" spans="1:3" ht="13" x14ac:dyDescent="0.15">
      <c r="A2530" s="1" t="str">
        <f ca="1">IFERROR(__xludf.DUMMYFUNCTION("GOOGLETRANSLATE(A2530, ""zh"", ""en"")"),"The Group's production subsidiaries insist on implementing waste gas management through actions and adopt a variety of effective measures based on actual production and operation conditions to reduce the impact of waste gas emissions on the environment.")</f>
        <v>The Group's production subsidiaries insist on implementing waste gas management through actions and adopt a variety of effective measures based on actual production and operation conditions to reduce the impact of waste gas emissions on the environment.</v>
      </c>
      <c r="B2530" s="1" t="str">
        <f ca="1">IFERROR(__xludf.DUMMYFUNCTION("GOOGLETRANSLATE(A2530, ""zh"", ""en"")"),"Waste Management")</f>
        <v>Waste Management</v>
      </c>
      <c r="C2530" s="1" t="str">
        <f ca="1">IFERROR(__xludf.DUMMYFUNCTION("GOOGLETRANSLATE(E2530, ""zh"", ""en"")"),"Qualitative text")</f>
        <v>Qualitative text</v>
      </c>
    </row>
    <row r="2531" spans="1:3" ht="13" x14ac:dyDescent="0.15">
      <c r="A2531" s="1" t="str">
        <f ca="1">IFERROR(__xludf.DUMMYFUNCTION("GOOGLETRANSLATE(A2531, ""zh"", ""en"")"),"The national carbon emissions trading market has been established and implemented. The carbon quota system may be included in key emission industries such as petrochemicals in the future, which may increase the company's carbon emissions compliance costs.")</f>
        <v>The national carbon emissions trading market has been established and implemented. The carbon quota system may be included in key emission industries such as petrochemicals in the future, which may increase the company's carbon emissions compliance costs.</v>
      </c>
      <c r="B2531" s="1" t="str">
        <f ca="1">IFERROR(__xludf.DUMMYFUNCTION("GOOGLETRANSLATE(A2531, ""zh"", ""en"")"),"carbon emissions")</f>
        <v>carbon emissions</v>
      </c>
      <c r="C2531" s="1" t="str">
        <f ca="1">IFERROR(__xludf.DUMMYFUNCTION("GOOGLETRANSLATE(E2531, ""zh"", ""en"")"),"Qualitative text")</f>
        <v>Qualitative text</v>
      </c>
    </row>
    <row r="2532" spans="1:3" ht="13" x14ac:dyDescent="0.15">
      <c r="A2532" s="1" t="str">
        <f ca="1">IFERROR(__xludf.DUMMYFUNCTION("GOOGLETRANSLATE(A2532, ""zh"", ""en"")"),"In 2022, the Group recycled a total of 878 tons of packaging materials, accounting for 4.52% of the total consumption of packaging materials and streamlined product packaging in the product manufacturing process.")</f>
        <v>In 2022, the Group recycled a total of 878 tons of packaging materials, accounting for 4.52% of the total consumption of packaging materials and streamlined product packaging in the product manufacturing process.</v>
      </c>
      <c r="B2532" s="1" t="str">
        <f ca="1">IFERROR(__xludf.DUMMYFUNCTION("GOOGLETRANSLATE(A2532, ""zh"", ""en"")"),"raw materials")</f>
        <v>raw materials</v>
      </c>
      <c r="C2532" s="1" t="str">
        <f ca="1">IFERROR(__xludf.DUMMYFUNCTION("GOOGLETRANSLATE(E2532, ""zh"", ""en"")"),"Quantitative Text")</f>
        <v>Quantitative Text</v>
      </c>
    </row>
    <row r="2533" spans="1:3" ht="13" x14ac:dyDescent="0.15">
      <c r="A2533" s="1" t="str">
        <f ca="1">IFERROR(__xludf.DUMMYFUNCTION("GOOGLETRANSLATE(A2533, ""zh"", ""en"")"),"The company has formulated a salary assessment management system to uniformly regulate and manage employee salaries and fully consider the impact of monetary factors in salary adjustments.")</f>
        <v>The company has formulated a salary assessment management system to uniformly regulate and manage employee salaries and fully consider the impact of monetary factors in salary adjustments.</v>
      </c>
      <c r="B2533" s="1" t="str">
        <f ca="1">IFERROR(__xludf.DUMMYFUNCTION("GOOGLETRANSLATE(A2533, ""zh"", ""en"")"),"staff")</f>
        <v>staff</v>
      </c>
      <c r="C2533" s="1" t="str">
        <f ca="1">IFERROR(__xludf.DUMMYFUNCTION("GOOGLETRANSLATE(E2533, ""zh"", ""en"")"),"Qualitative text")</f>
        <v>Qualitative text</v>
      </c>
    </row>
    <row r="2534" spans="1:3" ht="13" x14ac:dyDescent="0.15">
      <c r="A2534" s="1" t="str">
        <f ca="1">IFERROR(__xludf.DUMMYFUNCTION("GOOGLETRANSLATE(A2534, ""zh"", ""en"")"),"Strengthen greenhouse gas emission monitoring, comprehensively carry out carbon emission inventory and verification of affiliated enterprises, actively participate in national carbon trading, optimize trading strategies and complete carbon quota fulfillme"&amp;"nt tasks in compliance.")</f>
        <v>Strengthen greenhouse gas emission monitoring, comprehensively carry out carbon emission inventory and verification of affiliated enterprises, actively participate in national carbon trading, optimize trading strategies and complete carbon quota fulfillment tasks in compliance.</v>
      </c>
      <c r="B2534" s="1" t="str">
        <f ca="1">IFERROR(__xludf.DUMMYFUNCTION("GOOGLETRANSLATE(A2534, ""zh"", ""en"")"),"carbon emissions")</f>
        <v>carbon emissions</v>
      </c>
      <c r="C2534" s="1" t="str">
        <f ca="1">IFERROR(__xludf.DUMMYFUNCTION("GOOGLETRANSLATE(E2534, ""zh"", ""en"")"),"Qualitative text")</f>
        <v>Qualitative text</v>
      </c>
    </row>
    <row r="2535" spans="1:3" ht="13" x14ac:dyDescent="0.15">
      <c r="A2535" s="1" t="str">
        <f ca="1">IFERROR(__xludf.DUMMYFUNCTION("GOOGLETRANSLATE(A2535, ""zh"", ""en"")"),"Accelerate digital transformation in oil and gas production, refining, oil product sales and other business areas, including launching intelligent applications, upgrading smart factories, and creating new fuel card systems.")</f>
        <v>Accelerate digital transformation in oil and gas production, refining, oil product sales and other business areas, including launching intelligent applications, upgrading smart factories, and creating new fuel card systems.</v>
      </c>
      <c r="B2535" s="1" t="str">
        <f ca="1">IFERROR(__xludf.DUMMYFUNCTION("GOOGLETRANSLATE(A2535, ""zh"", ""en"")"),"Technological innovation")</f>
        <v>Technological innovation</v>
      </c>
      <c r="C2535" s="1" t="str">
        <f ca="1">IFERROR(__xludf.DUMMYFUNCTION("GOOGLETRANSLATE(E2535, ""zh"", ""en"")"),"Qualitative text")</f>
        <v>Qualitative text</v>
      </c>
    </row>
    <row r="2536" spans="1:3" ht="13" x14ac:dyDescent="0.15">
      <c r="A2536" s="1" t="str">
        <f ca="1">IFERROR(__xludf.DUMMYFUNCTION("GOOGLETRANSLATE(A2536, ""zh"", ""en"")"),"The Group has implemented measures such as regular internal safety system audits, employee safety education and training, and strengthening safety production infrastructure to ensure a stable environment for safety production.")</f>
        <v>The Group has implemented measures such as regular internal safety system audits, employee safety education and training, and strengthening safety production infrastructure to ensure a stable environment for safety production.</v>
      </c>
      <c r="B2536" s="1" t="str">
        <f ca="1">IFERROR(__xludf.DUMMYFUNCTION("GOOGLETRANSLATE(A2536, ""zh"", ""en"")"),"staff")</f>
        <v>staff</v>
      </c>
      <c r="C2536" s="1" t="str">
        <f ca="1">IFERROR(__xludf.DUMMYFUNCTION("GOOGLETRANSLATE(E2536, ""zh"", ""en"")"),"Qualitative text")</f>
        <v>Qualitative text</v>
      </c>
    </row>
    <row r="2537" spans="1:3" ht="13" x14ac:dyDescent="0.15">
      <c r="A2537" s="1" t="str">
        <f ca="1">IFERROR(__xludf.DUMMYFUNCTION("GOOGLETRANSLATE(A2537, ""zh"", ""en"")"),"Reporting Standards This report includes forward-looking statements, which are statements, other than statements of historical facts, that the Company anticipates or expects that future business activities, events, or developments may occur or will occur.")</f>
        <v>Reporting Standards This report includes forward-looking statements, which are statements, other than statements of historical facts, that the Company anticipates or expects that future business activities, events, or developments may occur or will occur.</v>
      </c>
      <c r="B2537" s="1" t="str">
        <f ca="1">IFERROR(__xludf.DUMMYFUNCTION("GOOGLETRANSLATE(A2537, ""zh"", ""en"")"),"irrelevant text")</f>
        <v>irrelevant text</v>
      </c>
      <c r="C2537" s="1" t="str">
        <f ca="1">IFERROR(__xludf.DUMMYFUNCTION("GOOGLETRANSLATE(E2537, ""zh"", ""en"")"),"irrelevant text")</f>
        <v>irrelevant text</v>
      </c>
    </row>
    <row r="2538" spans="1:3" ht="13" x14ac:dyDescent="0.15">
      <c r="A2538" s="1" t="str">
        <f ca="1">IFERROR(__xludf.DUMMYFUNCTION("GOOGLETRANSLATE(A2538, ""zh"", ""en"")"),"The project site in Salta Province, Argentina, is located in the Andes Mountains to the west and borders the Toro Canyon, Calchaquis Valley, and Lerma Valley to the east. This is the habitat of the guanaco, an indigenous animal of South America.")</f>
        <v>The project site in Salta Province, Argentina, is located in the Andes Mountains to the west and borders the Toro Canyon, Calchaquis Valley, and Lerma Valley to the east. This is the habitat of the guanaco, an indigenous animal of South America.</v>
      </c>
      <c r="B2538" s="1" t="str">
        <f ca="1">IFERROR(__xludf.DUMMYFUNCTION("GOOGLETRANSLATE(A2538, ""zh"", ""en"")"),"biodiversity")</f>
        <v>biodiversity</v>
      </c>
      <c r="C2538" s="1" t="str">
        <f ca="1">IFERROR(__xludf.DUMMYFUNCTION("GOOGLETRANSLATE(E2538, ""zh"", ""en"")"),"Qualitative text")</f>
        <v>Qualitative text</v>
      </c>
    </row>
    <row r="2539" spans="1:3" ht="13" x14ac:dyDescent="0.15">
      <c r="A2539" s="1" t="str">
        <f ca="1">IFERROR(__xludf.DUMMYFUNCTION("GOOGLETRANSLATE(A2539, ""zh"", ""en"")"),"Municipal Trade Union Membership Card Fosun Pharma Group is happy at work and in balance. In 2022, Fosun Pharma and its member enterprise trade unions firmly believe that happiness can be passed on to colleagues, customers and patients.")</f>
        <v>Municipal Trade Union Membership Card Fosun Pharma Group is happy at work and in balance. In 2022, Fosun Pharma and its member enterprise trade unions firmly believe that happiness can be passed on to colleagues, customers and patients.</v>
      </c>
      <c r="B2539" s="1" t="str">
        <f ca="1">IFERROR(__xludf.DUMMYFUNCTION("GOOGLETRANSLATE(A2539, ""zh"", ""en"")"),"staff")</f>
        <v>staff</v>
      </c>
      <c r="C2539" s="1" t="str">
        <f ca="1">IFERROR(__xludf.DUMMYFUNCTION("GOOGLETRANSLATE(E2539, ""zh"", ""en"")"),"Qualitative text")</f>
        <v>Qualitative text</v>
      </c>
    </row>
    <row r="2540" spans="1:3" ht="13" x14ac:dyDescent="0.15">
      <c r="A2540" s="1" t="str">
        <f ca="1">IFERROR(__xludf.DUMMYFUNCTION("GOOGLETRANSLATE(A2540, ""zh"", ""en"")"),"The Social Responsibility Committee of the Board of Directors is responsible for formulating EHS-related strategies and systems, including environmental management and resource utilization, and regularly reviewing their implementation and reporting to the"&amp;" Board of Directors on various matters.")</f>
        <v>The Social Responsibility Committee of the Board of Directors is responsible for formulating EHS-related strategies and systems, including environmental management and resource utilization, and regularly reviewing their implementation and reporting to the Board of Directors on various matters.</v>
      </c>
      <c r="B2540" s="1" t="str">
        <f ca="1">IFERROR(__xludf.DUMMYFUNCTION("GOOGLETRANSLATE(A2540, ""zh"", ""en"")"),"Organizational structure and operations")</f>
        <v>Organizational structure and operations</v>
      </c>
      <c r="C2540" s="1" t="str">
        <f ca="1">IFERROR(__xludf.DUMMYFUNCTION("GOOGLETRANSLATE(E2540, ""zh"", ""en"")"),"Qualitative text")</f>
        <v>Qualitative text</v>
      </c>
    </row>
    <row r="2541" spans="1:3" ht="13" x14ac:dyDescent="0.15">
      <c r="A2541" s="1" t="str">
        <f ca="1">IFERROR(__xludf.DUMMYFUNCTION("GOOGLETRANSLATE(A2541, ""zh"", ""en"")"),"We attach great importance to the development of career advancement paths for employees and are committed to creating diverse and rich career development opportunities for all types of outstanding employees. The development paths for each career category "&amp;"and level are open and transparent.")</f>
        <v>We attach great importance to the development of career advancement paths for employees and are committed to creating diverse and rich career development opportunities for all types of outstanding employees. The development paths for each career category and level are open and transparent.</v>
      </c>
      <c r="B2541" s="1" t="str">
        <f ca="1">IFERROR(__xludf.DUMMYFUNCTION("GOOGLETRANSLATE(A2541, ""zh"", ""en"")"),"staff")</f>
        <v>staff</v>
      </c>
      <c r="C2541" s="1" t="str">
        <f ca="1">IFERROR(__xludf.DUMMYFUNCTION("GOOGLETRANSLATE(E2541, ""zh"", ""en"")"),"Qualitative text")</f>
        <v>Qualitative text</v>
      </c>
    </row>
    <row r="2542" spans="1:3" ht="13" x14ac:dyDescent="0.15">
      <c r="A2542" s="1" t="str">
        <f ca="1">IFERROR(__xludf.DUMMYFUNCTION("GOOGLETRANSLATE(A2542, ""zh"", ""en"")"),"Promote paperless office to increase the recycling rate of office supplies and reduce the generation of office supplies waste. From 2022 to 2026, the average office paper consumption per person at the head office will be reduced by 5%.")</f>
        <v>Promote paperless office to increase the recycling rate of office supplies and reduce the generation of office supplies waste. From 2022 to 2026, the average office paper consumption per person at the head office will be reduced by 5%.</v>
      </c>
      <c r="B2542" s="1" t="str">
        <f ca="1">IFERROR(__xludf.DUMMYFUNCTION("GOOGLETRANSLATE(A2542, ""zh"", ""en"")"),"Waste Management")</f>
        <v>Waste Management</v>
      </c>
      <c r="C2542" s="1" t="str">
        <f ca="1">IFERROR(__xludf.DUMMYFUNCTION("GOOGLETRANSLATE(E2542, ""zh"", ""en"")"),"Quantitative Text")</f>
        <v>Quantitative Text</v>
      </c>
    </row>
    <row r="2543" spans="1:3" ht="13" x14ac:dyDescent="0.15">
      <c r="A2543" s="1" t="str">
        <f ca="1">IFERROR(__xludf.DUMMYFUNCTION("GOOGLETRANSLATE(A2543, ""zh"", ""en"")"),"We interpret social responsibility and explore harmonious and win-win situations. This year, we care about the employment rights of our employees, provide an excellent working environment and health protection, and pay attention to their career developmen"&amp;"t and work quality.")</f>
        <v>We interpret social responsibility and explore harmonious and win-win situations. This year, we care about the employment rights of our employees, provide an excellent working environment and health protection, and pay attention to their career development and work quality.</v>
      </c>
      <c r="B2543" s="1" t="str">
        <f ca="1">IFERROR(__xludf.DUMMYFUNCTION("GOOGLETRANSLATE(A2543, ""zh"", ""en"")"),"staff")</f>
        <v>staff</v>
      </c>
      <c r="C2543" s="1" t="str">
        <f ca="1">IFERROR(__xludf.DUMMYFUNCTION("GOOGLETRANSLATE(E2543, ""zh"", ""en"")"),"Qualitative text")</f>
        <v>Qualitative text</v>
      </c>
    </row>
    <row r="2544" spans="1:3" ht="13" x14ac:dyDescent="0.15">
      <c r="A2544" s="1" t="str">
        <f ca="1">IFERROR(__xludf.DUMMYFUNCTION("GOOGLETRANSLATE(A2544, ""zh"", ""en"")"),"Talent cultivation and development Build a professional talent team Through continuous efforts to build a strong talent team and a professional and diverse management team to continuously promote the development and innovation of the company")</f>
        <v>Talent cultivation and development Build a professional talent team Through continuous efforts to build a strong talent team and a professional and diverse management team to continuously promote the development and innovation of the company</v>
      </c>
      <c r="B2544" s="1" t="str">
        <f ca="1">IFERROR(__xludf.DUMMYFUNCTION("GOOGLETRANSLATE(A2544, ""zh"", ""en"")"),"staff")</f>
        <v>staff</v>
      </c>
      <c r="C2544" s="1" t="str">
        <f ca="1">IFERROR(__xludf.DUMMYFUNCTION("GOOGLETRANSLATE(E2544, ""zh"", ""en"")"),"Qualitative text")</f>
        <v>Qualitative text</v>
      </c>
    </row>
    <row r="2545" spans="1:3" ht="13" x14ac:dyDescent="0.15">
      <c r="A2545" s="1" t="str">
        <f ca="1">IFERROR(__xludf.DUMMYFUNCTION("GOOGLETRANSLATE(A2545, ""zh"", ""en"")"),"It solves the problems of lack of environment and practical difficulties in the process of network security research, helps China to innovate practical network security technology and supports the transformation of theoretical results into practical appli"&amp;"cations.")</f>
        <v>It solves the problems of lack of environment and practical difficulties in the process of network security research, helps China to innovate practical network security technology and supports the transformation of theoretical results into practical applications.</v>
      </c>
      <c r="B2545" s="1" t="str">
        <f ca="1">IFERROR(__xludf.DUMMYFUNCTION("GOOGLETRANSLATE(A2545, ""zh"", ""en"")"),"Data security")</f>
        <v>Data security</v>
      </c>
      <c r="C2545" s="1" t="str">
        <f ca="1">IFERROR(__xludf.DUMMYFUNCTION("GOOGLETRANSLATE(E2545, ""zh"", ""en"")"),"Qualitative text")</f>
        <v>Qualitative text</v>
      </c>
    </row>
    <row r="2546" spans="1:3" ht="13" x14ac:dyDescent="0.15">
      <c r="A2546" s="1" t="str">
        <f ca="1">IFERROR(__xludf.DUMMYFUNCTION("GOOGLETRANSLATE(A2546, ""zh"", ""en"")"),"Case Study: Respecting the Rights of Indigenous Peoples. In the northeastern region of the Rumaila project in Iraq, there are more than 20 ancient monuments and protected areas of varying sizes, covering a total area of ​​67 square kilometers.")</f>
        <v>Case Study: Respecting the Rights of Indigenous Peoples. In the northeastern region of the Rumaila project in Iraq, there are more than 20 ancient monuments and protected areas of varying sizes, covering a total area of ​​67 square kilometers.</v>
      </c>
      <c r="B2546" s="1" t="str">
        <f ca="1">IFERROR(__xludf.DUMMYFUNCTION("GOOGLETRANSLATE(A2546, ""zh"", ""en"")"),"biodiversity")</f>
        <v>biodiversity</v>
      </c>
      <c r="C2546" s="1" t="str">
        <f ca="1">IFERROR(__xludf.DUMMYFUNCTION("GOOGLETRANSLATE(E2546, ""zh"", ""en"")"),"Quantitative Text")</f>
        <v>Quantitative Text</v>
      </c>
    </row>
    <row r="2547" spans="1:3" ht="13" x14ac:dyDescent="0.15">
      <c r="A2547" s="1" t="str">
        <f ca="1">IFERROR(__xludf.DUMMYFUNCTION("GOOGLETRANSLATE(A2547, ""zh"", ""en"")"),"The project can save 465.5 tons of natural gas equivalent and reduce carbon dioxide emissions by about 1256.85 tons per year. The total boiler exhaust emissions also decreased by 4.42%.")</f>
        <v>The project can save 465.5 tons of natural gas equivalent and reduce carbon dioxide emissions by about 1256.85 tons per year. The total boiler exhaust emissions also decreased by 4.42%.</v>
      </c>
      <c r="B2547" s="1" t="str">
        <f ca="1">IFERROR(__xludf.DUMMYFUNCTION("GOOGLETRANSLATE(A2547, ""zh"", ""en"")"),"carbon emissions")</f>
        <v>carbon emissions</v>
      </c>
      <c r="C2547" s="1" t="str">
        <f ca="1">IFERROR(__xludf.DUMMYFUNCTION("GOOGLETRANSLATE(E2547, ""zh"", ""en"")"),"Quantitative Text")</f>
        <v>Quantitative Text</v>
      </c>
    </row>
    <row r="2548" spans="1:3" ht="13" x14ac:dyDescent="0.15">
      <c r="A2548" s="1" t="str">
        <f ca="1">IFERROR(__xludf.DUMMYFUNCTION("GOOGLETRANSLATE(A2548, ""zh"", ""en"")"),"3940 solicited rational suggestions from all employees around the theme of energy conservation, cost reduction, production increase and efficiency improvement, encouraged employees to actively carry out technological innovation, reduce production energy a"&amp;"nd improve resource recycling")</f>
        <v>3940 solicited rational suggestions from all employees around the theme of energy conservation, cost reduction, production increase and efficiency improvement, encouraged employees to actively carry out technological innovation, reduce production energy and improve resource recycling</v>
      </c>
      <c r="B2548" s="1" t="str">
        <f ca="1">IFERROR(__xludf.DUMMYFUNCTION("GOOGLETRANSLATE(A2548, ""zh"", ""en"")"),"Energy and resource consumption")</f>
        <v>Energy and resource consumption</v>
      </c>
      <c r="C2548" s="1" t="str">
        <f ca="1">IFERROR(__xludf.DUMMYFUNCTION("GOOGLETRANSLATE(E2548, ""zh"", ""en"")"),"Qualitative text")</f>
        <v>Qualitative text</v>
      </c>
    </row>
    <row r="2549" spans="1:3" ht="13" x14ac:dyDescent="0.15">
      <c r="A2549" s="1" t="str">
        <f ca="1">IFERROR(__xludf.DUMMYFUNCTION("GOOGLETRANSLATE(A2549, ""zh"", ""en"")"),"This year, the world is undergoing unprecedented changes at an accelerated pace. International energy prices are fluctuating at a high level, and the energy transition is experiencing new setbacks. The energy industry faces increasing uncertainty.")</f>
        <v>This year, the world is undergoing unprecedented changes at an accelerated pace. International energy prices are fluctuating at a high level, and the energy transition is experiencing new setbacks. The energy industry faces increasing uncertainty.</v>
      </c>
      <c r="B2549" s="1" t="str">
        <f ca="1">IFERROR(__xludf.DUMMYFUNCTION("GOOGLETRANSLATE(A2549, ""zh"", ""en"")"),"Energy and resource consumption")</f>
        <v>Energy and resource consumption</v>
      </c>
      <c r="C2549" s="1" t="str">
        <f ca="1">IFERROR(__xludf.DUMMYFUNCTION("GOOGLETRANSLATE(E2549, ""zh"", ""en"")"),"Qualitative text")</f>
        <v>Qualitative text</v>
      </c>
    </row>
    <row r="2550" spans="1:3" ht="13" x14ac:dyDescent="0.15">
      <c r="A2550" s="1" t="str">
        <f ca="1">IFERROR(__xludf.DUMMYFUNCTION("GOOGLETRANSLATE(A2550, ""zh"", ""en"")"),"Party building foundation Party organization construction Party theory study In November 2022, Renfu Pharmaceutical held an expanded meeting of the Party Committee Theory Study Center Group to study and discuss the spirit of the 20th National Congress of "&amp;"the Communist Party of China")</f>
        <v>Party building foundation Party organization construction Party theory study In November 2022, Renfu Pharmaceutical held an expanded meeting of the Party Committee Theory Study Center Group to study and discuss the spirit of the 20th National Congress of the Communist Party of China</v>
      </c>
      <c r="B2550" s="1" t="str">
        <f ca="1">IFERROR(__xludf.DUMMYFUNCTION("GOOGLETRANSLATE(A2550, ""zh"", ""en"")"),"Organizational structure and operations")</f>
        <v>Organizational structure and operations</v>
      </c>
      <c r="C2550" s="1" t="str">
        <f ca="1">IFERROR(__xludf.DUMMYFUNCTION("GOOGLETRANSLATE(E2550, ""zh"", ""en"")"),"Qualitative text")</f>
        <v>Qualitative text</v>
      </c>
    </row>
    <row r="2551" spans="1:3" ht="13" x14ac:dyDescent="0.15">
      <c r="A2551" s="1" t="str">
        <f ca="1">IFERROR(__xludf.DUMMYFUNCTION("GOOGLETRANSLATE(A2551, ""zh"", ""en"")"),"The Dima Industrial Communication Command Vehicle was delivered to Egypt for a perfect delivery. The C919 large passenger aircraft is my country's first independently developed jet mainline passenger aircraft in accordance with international airworthiness"&amp;" standards.")</f>
        <v>The Dima Industrial Communication Command Vehicle was delivered to Egypt for a perfect delivery. The C919 large passenger aircraft is my country's first independently developed jet mainline passenger aircraft in accordance with international airworthiness standards.</v>
      </c>
      <c r="B2551" s="1" t="str">
        <f ca="1">IFERROR(__xludf.DUMMYFUNCTION("GOOGLETRANSLATE(A2551, ""zh"", ""en"")"),"Technological innovation")</f>
        <v>Technological innovation</v>
      </c>
      <c r="C2551" s="1" t="str">
        <f ca="1">IFERROR(__xludf.DUMMYFUNCTION("GOOGLETRANSLATE(E2551, ""zh"", ""en"")"),"Qualitative text")</f>
        <v>Qualitative text</v>
      </c>
    </row>
    <row r="2552" spans="1:3" ht="13" x14ac:dyDescent="0.15">
      <c r="A2552" s="1" t="str">
        <f ca="1">IFERROR(__xludf.DUMMYFUNCTION("GOOGLETRANSLATE(A2552, ""zh"", ""en"")"),"The No. 8 Radio WeChat official account plans to open a WeChat official account for internal information sharing to further promote cross-sector communication and exchange of ideas among employees. The official account has been set up.")</f>
        <v>The No. 8 Radio WeChat official account plans to open a WeChat official account for internal information sharing to further promote cross-sector communication and exchange of ideas among employees. The official account has been set up.</v>
      </c>
      <c r="B2552" s="1" t="str">
        <f ca="1">IFERROR(__xludf.DUMMYFUNCTION("GOOGLETRANSLATE(A2552, ""zh"", ""en"")"),"staff")</f>
        <v>staff</v>
      </c>
      <c r="C2552" s="1" t="str">
        <f ca="1">IFERROR(__xludf.DUMMYFUNCTION("GOOGLETRANSLATE(E2552, ""zh"", ""en"")"),"Qualitative text")</f>
        <v>Qualitative text</v>
      </c>
    </row>
    <row r="2553" spans="1:3" ht="13" x14ac:dyDescent="0.15">
      <c r="A2553" s="1" t="str">
        <f ca="1">IFERROR(__xludf.DUMMYFUNCTION("GOOGLETRANSLATE(A2553, ""zh"", ""en"")"),"Thanks to the remarkable achievements of New Finance in fulfilling its social responsibilities, China Construction Bank has been rated A by MSCI ESG for three consecutive years and has been awarded the title of Best Socially Responsible Bank by many media"&amp;" outlets.")</f>
        <v>Thanks to the remarkable achievements of New Finance in fulfilling its social responsibilities, China Construction Bank has been rated A by MSCI ESG for three consecutive years and has been awarded the title of Best Socially Responsible Bank by many media outlets.</v>
      </c>
      <c r="B2553" s="1" t="str">
        <f ca="1">IFERROR(__xludf.DUMMYFUNCTION("GOOGLETRANSLATE(A2553, ""zh"", ""en"")"),"Sustainable certification")</f>
        <v>Sustainable certification</v>
      </c>
      <c r="C2553" s="1" t="str">
        <f ca="1">IFERROR(__xludf.DUMMYFUNCTION("GOOGLETRANSLATE(E2553, ""zh"", ""en"")"),"Quantitative Text")</f>
        <v>Quantitative Text</v>
      </c>
    </row>
    <row r="2554" spans="1:3" ht="13" x14ac:dyDescent="0.15">
      <c r="A2554" s="1" t="str">
        <f ca="1">IFERROR(__xludf.DUMMYFUNCTION("GOOGLETRANSLATE(A2554, ""zh"", ""en"")"),"Creating a new pattern of open collaboration: Shanghai Electric Group Co., Ltd. 85 Under the dual-carbon trend, the industry is actively promoting the transformation of traditional energy and the innovative development of new energy.")</f>
        <v>Creating a new pattern of open collaboration: Shanghai Electric Group Co., Ltd. 85 Under the dual-carbon trend, the industry is actively promoting the transformation of traditional energy and the innovative development of new energy.</v>
      </c>
      <c r="B2554" s="1" t="str">
        <f ca="1">IFERROR(__xludf.DUMMYFUNCTION("GOOGLETRANSLATE(A2554, ""zh"", ""en"")"),"Energy and resource consumption")</f>
        <v>Energy and resource consumption</v>
      </c>
      <c r="C2554" s="1" t="str">
        <f ca="1">IFERROR(__xludf.DUMMYFUNCTION("GOOGLETRANSLATE(E2554, ""zh"", ""en"")"),"Qualitative text")</f>
        <v>Qualitative text</v>
      </c>
    </row>
    <row r="2555" spans="1:3" ht="13" x14ac:dyDescent="0.15">
      <c r="A2555" s="1" t="str">
        <f ca="1">IFERROR(__xludf.DUMMYFUNCTION("GOOGLETRANSLATE(A2555, ""zh"", ""en"")"),"Shanghai Electric Wuhe Power Plant is one of the five biomass cogeneration projects invested and built by Shanghai Electric Environmental Protection Group in Anhui Province. It has the world's most advanced desulfurization and denitrification environmenta"&amp;"l protection technology.")</f>
        <v>Shanghai Electric Wuhe Power Plant is one of the five biomass cogeneration projects invested and built by Shanghai Electric Environmental Protection Group in Anhui Province. It has the world's most advanced desulfurization and denitrification environmental protection technology.</v>
      </c>
      <c r="B2555" s="1" t="str">
        <f ca="1">IFERROR(__xludf.DUMMYFUNCTION("GOOGLETRANSLATE(A2555, ""zh"", ""en"")"),"Clean Technology")</f>
        <v>Clean Technology</v>
      </c>
      <c r="C2555" s="1" t="str">
        <f ca="1">IFERROR(__xludf.DUMMYFUNCTION("GOOGLETRANSLATE(E2555, ""zh"", ""en"")"),"Qualitative text")</f>
        <v>Qualitative text</v>
      </c>
    </row>
    <row r="2556" spans="1:3" ht="13" x14ac:dyDescent="0.15">
      <c r="A2556" s="1" t="str">
        <f ca="1">IFERROR(__xludf.DUMMYFUNCTION("GOOGLETRANSLATE(A2556, ""zh"", ""en"")"),"Benchmarking industry customer requirements to improve organizational integration capabilities and promote capacity improvement in various aspects such as technology, equipment, system quality control, etc., to accelerate the improvement of service qualit"&amp;"y in each business line of the company.")</f>
        <v>Benchmarking industry customer requirements to improve organizational integration capabilities and promote capacity improvement in various aspects such as technology, equipment, system quality control, etc., to accelerate the improvement of service quality in each business line of the company.</v>
      </c>
      <c r="B2556" s="1" t="str">
        <f ca="1">IFERROR(__xludf.DUMMYFUNCTION("GOOGLETRANSLATE(A2556, ""zh"", ""en"")"),"Product quality")</f>
        <v>Product quality</v>
      </c>
      <c r="C2556" s="1" t="str">
        <f ca="1">IFERROR(__xludf.DUMMYFUNCTION("GOOGLETRANSLATE(E2556, ""zh"", ""en"")"),"Qualitative text")</f>
        <v>Qualitative text</v>
      </c>
    </row>
    <row r="2557" spans="1:3" ht="13" x14ac:dyDescent="0.15">
      <c r="A2557" s="1" t="str">
        <f ca="1">IFERROR(__xludf.DUMMYFUNCTION("GOOGLETRANSLATE(A2557, ""zh"", ""en"")"),"CITIC Securities participated in the Angel Project Rural Medical Service Capacity Enhancement Program and donated RMB 250,000 to equip 500 village doctors in Yuanyang County, Yunnan Province with digital medical packages and provide training.")</f>
        <v>CITIC Securities participated in the Angel Project Rural Medical Service Capacity Enhancement Program and donated RMB 250,000 to equip 500 village doctors in Yuanyang County, Yunnan Province with digital medical packages and provide training.</v>
      </c>
      <c r="B2557" s="1" t="str">
        <f ca="1">IFERROR(__xludf.DUMMYFUNCTION("GOOGLETRANSLATE(A2557, ""zh"", ""en"")"),"Rural assistance")</f>
        <v>Rural assistance</v>
      </c>
      <c r="C2557" s="1" t="str">
        <f ca="1">IFERROR(__xludf.DUMMYFUNCTION("GOOGLETRANSLATE(E2557, ""zh"", ""en"")"),"Quantitative Text")</f>
        <v>Quantitative Text</v>
      </c>
    </row>
    <row r="2558" spans="1:3" ht="13" x14ac:dyDescent="0.15">
      <c r="A2558" s="1" t="str">
        <f ca="1">IFERROR(__xludf.DUMMYFUNCTION("GOOGLETRANSLATE(A2558, ""zh"", ""en"")"),"This year, the company promoted safety production-related training to all employees through the intranet and promoted a number of safety-related articles such as fire safety knowledge and escape to employees through multimedia channels.")</f>
        <v>This year, the company promoted safety production-related training to all employees through the intranet and promoted a number of safety-related articles such as fire safety knowledge and escape to employees through multimedia channels.</v>
      </c>
      <c r="B2558" s="1" t="str">
        <f ca="1">IFERROR(__xludf.DUMMYFUNCTION("GOOGLETRANSLATE(A2558, ""zh"", ""en"")"),"staff")</f>
        <v>staff</v>
      </c>
      <c r="C2558" s="1" t="str">
        <f ca="1">IFERROR(__xludf.DUMMYFUNCTION("GOOGLETRANSLATE(E2558, ""zh"", ""en"")"),"Qualitative text")</f>
        <v>Qualitative text</v>
      </c>
    </row>
    <row r="2559" spans="1:3" ht="13" x14ac:dyDescent="0.15">
      <c r="A2559" s="1" t="str">
        <f ca="1">IFERROR(__xludf.DUMMYFUNCTION("GOOGLETRANSLATE(A2559, ""zh"", ""en"")"),"Please refer to CITIC Securities Co., Ltd.'s Anti-Commercial Bribery and Integrity Practice Policy and CITIC Securities Co., Ltd.'s Reporting and Whistleblower Protection Policy for more information.")</f>
        <v>Please refer to CITIC Securities Co., Ltd.'s Anti-Commercial Bribery and Integrity Practice Policy and CITIC Securities Co., Ltd.'s Reporting and Whistleblower Protection Policy for more information.</v>
      </c>
      <c r="B2559" s="1" t="str">
        <f ca="1">IFERROR(__xludf.DUMMYFUNCTION("GOOGLETRANSLATE(A2559, ""zh"", ""en"")"),"Reporting System")</f>
        <v>Reporting System</v>
      </c>
      <c r="C2559" s="1" t="str">
        <f ca="1">IFERROR(__xludf.DUMMYFUNCTION("GOOGLETRANSLATE(E2559, ""zh"", ""en"")"),"Qualitative text")</f>
        <v>Qualitative text</v>
      </c>
    </row>
    <row r="2560" spans="1:3" ht="13" x14ac:dyDescent="0.15">
      <c r="A2560" s="1" t="str">
        <f ca="1">IFERROR(__xludf.DUMMYFUNCTION("GOOGLETRANSLATE(A2560, ""zh"", ""en"")"),"5.1 People-oriented, inclusive and sharing 1302022 Social Responsibility Report Appendix Level B5 Supply Chain Management General Disclosure Policy on Managing Environmental and Social Risks in the Supply Chain")</f>
        <v>5.1 People-oriented, inclusive and sharing 1302022 Social Responsibility Report Appendix Level B5 Supply Chain Management General Disclosure Policy on Managing Environmental and Social Risks in the Supply Chain</v>
      </c>
      <c r="B2560" s="1" t="str">
        <f ca="1">IFERROR(__xludf.DUMMYFUNCTION("GOOGLETRANSLATE(A2560, ""zh"", ""en"")"),"supply chain management")</f>
        <v>supply chain management</v>
      </c>
      <c r="C2560" s="1" t="str">
        <f ca="1">IFERROR(__xludf.DUMMYFUNCTION("GOOGLETRANSLATE(E2560, ""zh"", ""en"")"),"Qualitative text")</f>
        <v>Qualitative text</v>
      </c>
    </row>
    <row r="2561" spans="1:3" ht="13" x14ac:dyDescent="0.15">
      <c r="A2561" s="1" t="str">
        <f ca="1">IFERROR(__xludf.DUMMYFUNCTION("GOOGLETRANSLATE(A2561, ""zh"", ""en"")"),"3.2 Managing Resources Circular Economy Key Performance Indicator A1.3 Total amount of hazardous waste generated (in tons) and, if applicable, density (e.g., per unit of production per facility)")</f>
        <v>3.2 Managing Resources Circular Economy Key Performance Indicator A1.3 Total amount of hazardous waste generated (in tons) and, if applicable, density (e.g., per unit of production per facility)</v>
      </c>
      <c r="B2561" s="1" t="str">
        <f ca="1">IFERROR(__xludf.DUMMYFUNCTION("GOOGLETRANSLATE(A2561, ""zh"", ""en"")"),"Waste Management")</f>
        <v>Waste Management</v>
      </c>
      <c r="C2561" s="1" t="str">
        <f ca="1">IFERROR(__xludf.DUMMYFUNCTION("GOOGLETRANSLATE(E2561, ""zh"", ""en"")"),"Quantitative Text")</f>
        <v>Quantitative Text</v>
      </c>
    </row>
    <row r="2562" spans="1:3" ht="13" x14ac:dyDescent="0.15">
      <c r="A2562" s="1" t="str">
        <f ca="1">IFERROR(__xludf.DUMMYFUNCTION("GOOGLETRANSLATE(A2562, ""zh"", ""en"")"),"Leng Weiqing, Party Secretary, Chairman and CEO, Shanghai Electric Group Co., Ltd. 3. Speech by President Liu Ping: In 2022, we will celebrate the 120th anniversary of Shanghai Electric.")</f>
        <v>Leng Weiqing, Party Secretary, Chairman and CEO, Shanghai Electric Group Co., Ltd. 3. Speech by President Liu Ping: In 2022, we will celebrate the 120th anniversary of Shanghai Electric.</v>
      </c>
      <c r="B2562" s="1" t="str">
        <f ca="1">IFERROR(__xludf.DUMMYFUNCTION("GOOGLETRANSLATE(A2562, ""zh"", ""en"")"),"Organizational structure and operations")</f>
        <v>Organizational structure and operations</v>
      </c>
      <c r="C2562" s="1" t="str">
        <f ca="1">IFERROR(__xludf.DUMMYFUNCTION("GOOGLETRANSLATE(E2562, ""zh"", ""en"")"),"Qualitative text")</f>
        <v>Qualitative text</v>
      </c>
    </row>
    <row r="2563" spans="1:3" ht="13" x14ac:dyDescent="0.15">
      <c r="A2563" s="1" t="str">
        <f ca="1">IFERROR(__xludf.DUMMYFUNCTION("GOOGLETRANSLATE(A2563, ""zh"", ""en"")"),"SDIC Taikang Trust is developing digital capabilities in asset management, operational risk management, and other areas. It has launched a feature-rich, user-friendly smartphone app to provide strong support for its business transformation.")</f>
        <v>SDIC Taikang Trust is developing digital capabilities in asset management, operational risk management, and other areas. It has launched a feature-rich, user-friendly smartphone app to provide strong support for its business transformation.</v>
      </c>
      <c r="B2563" s="1" t="str">
        <f ca="1">IFERROR(__xludf.DUMMYFUNCTION("GOOGLETRANSLATE(A2563, ""zh"", ""en"")"),"Technological innovation")</f>
        <v>Technological innovation</v>
      </c>
      <c r="C2563" s="1" t="str">
        <f ca="1">IFERROR(__xludf.DUMMYFUNCTION("GOOGLETRANSLATE(E2563, ""zh"", ""en"")"),"Qualitative text")</f>
        <v>Qualitative text</v>
      </c>
    </row>
    <row r="2564" spans="1:3" ht="13" x14ac:dyDescent="0.15">
      <c r="A2564" s="1" t="str">
        <f ca="1">IFERROR(__xludf.DUMMYFUNCTION("GOOGLETRANSLATE(A2564, ""zh"", ""en"")"),"Level 105 B4 Labour Standards General Disclosure: a) Policies on preventing child labour or forced labour and b) Compliance with relevant laws and regulations that have a significant impact on the issuer")</f>
        <v>Level 105 B4 Labour Standards General Disclosure: a) Policies on preventing child labour or forced labour and b) Compliance with relevant laws and regulations that have a significant impact on the issuer</v>
      </c>
      <c r="B2564" s="1" t="str">
        <f ca="1">IFERROR(__xludf.DUMMYFUNCTION("GOOGLETRANSLATE(A2564, ""zh"", ""en"")"),"staff")</f>
        <v>staff</v>
      </c>
      <c r="C2564" s="1" t="str">
        <f ca="1">IFERROR(__xludf.DUMMYFUNCTION("GOOGLETRANSLATE(E2564, ""zh"", ""en"")"),"Qualitative text")</f>
        <v>Qualitative text</v>
      </c>
    </row>
    <row r="2565" spans="1:3" ht="13" x14ac:dyDescent="0.15">
      <c r="A2565" s="1" t="str">
        <f ca="1">IFERROR(__xludf.DUMMYFUNCTION("GOOGLETRANSLATE(A2565, ""zh"", ""en"")"),"The course was easy to understand and combined with pictures, texts and historical objects to vividly present a great era picture of the Xinhai Revolution to high school students in Xi County, which was widely praised.")</f>
        <v>The course was easy to understand and combined with pictures, texts and historical objects to vividly present a great era picture of the Xinhai Revolution to high school students in Xi County, which was widely praised.</v>
      </c>
      <c r="B2565" s="1" t="str">
        <f ca="1">IFERROR(__xludf.DUMMYFUNCTION("GOOGLETRANSLATE(A2565, ""zh"", ""en"")"),"irrelevant text")</f>
        <v>irrelevant text</v>
      </c>
      <c r="C2565" s="1" t="str">
        <f ca="1">IFERROR(__xludf.DUMMYFUNCTION("GOOGLETRANSLATE(E2565, ""zh"", ""en"")"),"irrelevant text")</f>
        <v>irrelevant text</v>
      </c>
    </row>
    <row r="2566" spans="1:3" ht="13" x14ac:dyDescent="0.15">
      <c r="A2566" s="1" t="str">
        <f ca="1">IFERROR(__xludf.DUMMYFUNCTION("GOOGLETRANSLATE(A2566, ""zh"", ""en"")"),"31 provincial and municipal companies have completed the centralized customer service hotline and online customer service operations and have all been transferred to the national unified customer service center.")</f>
        <v>31 provincial and municipal companies have completed the centralized customer service hotline and online customer service operations and have all been transferred to the national unified customer service center.</v>
      </c>
      <c r="B2566" s="1" t="str">
        <f ca="1">IFERROR(__xludf.DUMMYFUNCTION("GOOGLETRANSLATE(A2566, ""zh"", ""en"")"),"Customers and Consumers")</f>
        <v>Customers and Consumers</v>
      </c>
      <c r="C2566" s="1" t="str">
        <f ca="1">IFERROR(__xludf.DUMMYFUNCTION("GOOGLETRANSLATE(E2566, ""zh"", ""en"")"),"Quantitative Text")</f>
        <v>Quantitative Text</v>
      </c>
    </row>
    <row r="2567" spans="1:3" ht="13" x14ac:dyDescent="0.15">
      <c r="A2567" s="1" t="str">
        <f ca="1">IFERROR(__xludf.DUMMYFUNCTION("GOOGLETRANSLATE(A2567, ""zh"", ""en"")"),"Since 2011, Jinling Petrochemical has established and continuously improved its environmental protection reporting reward system, set up a company-wide environmental protection reporting hotline, and actively accepted environmental supervision from surrou"&amp;"nding residents and all employees.")</f>
        <v>Since 2011, Jinling Petrochemical has established and continuously improved its environmental protection reporting reward system, set up a company-wide environmental protection reporting hotline, and actively accepted environmental supervision from surrounding residents and all employees.</v>
      </c>
      <c r="B2567" s="1" t="str">
        <f ca="1">IFERROR(__xludf.DUMMYFUNCTION("GOOGLETRANSLATE(A2567, ""zh"", ""en"")"),"Reporting System")</f>
        <v>Reporting System</v>
      </c>
      <c r="C2567" s="1" t="str">
        <f ca="1">IFERROR(__xludf.DUMMYFUNCTION("GOOGLETRANSLATE(E2567, ""zh"", ""en"")"),"Qualitative text")</f>
        <v>Qualitative text</v>
      </c>
    </row>
    <row r="2568" spans="1:3" ht="13" x14ac:dyDescent="0.15">
      <c r="A2568" s="1" t="str">
        <f ca="1">IFERROR(__xludf.DUMMYFUNCTION("GOOGLETRANSLATE(A2568, ""zh"", ""en"")"),"We are fully aware that Shanghai Electric's 120 years of vigorous development is inseparable from the strong support of customers, capital, government, business partners and friends from all walks of life, and more importantly, the hard work of all electr"&amp;"ical people.")</f>
        <v>We are fully aware that Shanghai Electric's 120 years of vigorous development is inseparable from the strong support of customers, capital, government, business partners and friends from all walks of life, and more importantly, the hard work of all electrical people.</v>
      </c>
      <c r="B2568" s="1" t="str">
        <f ca="1">IFERROR(__xludf.DUMMYFUNCTION("GOOGLETRANSLATE(A2568, ""zh"", ""en"")"),"Customers and Consumers")</f>
        <v>Customers and Consumers</v>
      </c>
      <c r="C2568" s="1" t="str">
        <f ca="1">IFERROR(__xludf.DUMMYFUNCTION("GOOGLETRANSLATE(E2568, ""zh"", ""en"")"),"Qualitative text")</f>
        <v>Qualitative text</v>
      </c>
    </row>
    <row r="2569" spans="1:3" ht="13" x14ac:dyDescent="0.15">
      <c r="A2569" s="1" t="str">
        <f ca="1">IFERROR(__xludf.DUMMYFUNCTION("GOOGLETRANSLATE(A2569, ""zh"", ""en"")"),"At the same time, the company has a labor union that regularly holds employee representative conferences to fully solicit employee opinions and suggestions to ensure that the legitimate rights and interests of employees are protected and to serve as a war"&amp;"m home and strong backing for employees.")</f>
        <v>At the same time, the company has a labor union that regularly holds employee representative conferences to fully solicit employee opinions and suggestions to ensure that the legitimate rights and interests of employees are protected and to serve as a warm home and strong backing for employees.</v>
      </c>
      <c r="B2569" s="1" t="str">
        <f ca="1">IFERROR(__xludf.DUMMYFUNCTION("GOOGLETRANSLATE(A2569, ""zh"", ""en"")"),"staff")</f>
        <v>staff</v>
      </c>
      <c r="C2569" s="1" t="str">
        <f ca="1">IFERROR(__xludf.DUMMYFUNCTION("GOOGLETRANSLATE(E2569, ""zh"", ""en"")"),"Qualitative text")</f>
        <v>Qualitative text</v>
      </c>
    </row>
    <row r="2570" spans="1:3" ht="13" x14ac:dyDescent="0.15">
      <c r="A2570" s="1" t="str">
        <f ca="1">IFERROR(__xludf.DUMMYFUNCTION("GOOGLETRANSLATE(A2570, ""zh"", ""en"")"),"The company publishes performance feedback questionnaires every quarter and year and establishes employee complaint channels to receive and handle employee performance complaints to ensure that employee complaints are effectively responded to and resolved"&amp;" in a timely manner.")</f>
        <v>The company publishes performance feedback questionnaires every quarter and year and establishes employee complaint channels to receive and handle employee performance complaints to ensure that employee complaints are effectively responded to and resolved in a timely manner.</v>
      </c>
      <c r="B2570" s="1" t="str">
        <f ca="1">IFERROR(__xludf.DUMMYFUNCTION("GOOGLETRANSLATE(A2570, ""zh"", ""en"")"),"staff")</f>
        <v>staff</v>
      </c>
      <c r="C2570" s="1" t="str">
        <f ca="1">IFERROR(__xludf.DUMMYFUNCTION("GOOGLETRANSLATE(E2570, ""zh"", ""en"")"),"Qualitative text")</f>
        <v>Qualitative text</v>
      </c>
    </row>
    <row r="2571" spans="1:3" ht="13" x14ac:dyDescent="0.15">
      <c r="A2571" s="1" t="str">
        <f ca="1">IFERROR(__xludf.DUMMYFUNCTION("GOOGLETRANSLATE(A2571, ""zh"", ""en"")"),"His Case Occupational Disease Prevention and Control Law Publicity Week Activities In April 2022, Hisense Visual Huangdao Base and the District Health and Health Bureau jointly carried out the Occupational Disease Prevention and Control Law Publicity Week"&amp;" Activities")</f>
        <v>His Case Occupational Disease Prevention and Control Law Publicity Week Activities In April 2022, Hisense Visual Huangdao Base and the District Health and Health Bureau jointly carried out the Occupational Disease Prevention and Control Law Publicity Week Activities</v>
      </c>
      <c r="B2571" s="1" t="str">
        <f ca="1">IFERROR(__xludf.DUMMYFUNCTION("GOOGLETRANSLATE(A2571, ""zh"", ""en"")"),"staff")</f>
        <v>staff</v>
      </c>
      <c r="C2571" s="1" t="str">
        <f ca="1">IFERROR(__xludf.DUMMYFUNCTION("GOOGLETRANSLATE(E2571, ""zh"", ""en"")"),"Qualitative text")</f>
        <v>Qualitative text</v>
      </c>
    </row>
    <row r="2572" spans="1:3" ht="13" x14ac:dyDescent="0.15">
      <c r="A2572" s="1" t="str">
        <f ca="1">IFERROR(__xludf.DUMMYFUNCTION("GOOGLETRANSLATE(A2572, ""zh"", ""en"")"),"Based on the global layout, we carry out international talent training projects to meet the needs of overseas assignments and cultivate highly mature talents with global vision, senior experts and senior managers.")</f>
        <v>Based on the global layout, we carry out international talent training projects to meet the needs of overseas assignments and cultivate highly mature talents with global vision, senior experts and senior managers.</v>
      </c>
      <c r="B2572" s="1" t="str">
        <f ca="1">IFERROR(__xludf.DUMMYFUNCTION("GOOGLETRANSLATE(A2572, ""zh"", ""en"")"),"staff")</f>
        <v>staff</v>
      </c>
      <c r="C2572" s="1" t="str">
        <f ca="1">IFERROR(__xludf.DUMMYFUNCTION("GOOGLETRANSLATE(E2572, ""zh"", ""en"")"),"Qualitative text")</f>
        <v>Qualitative text</v>
      </c>
    </row>
    <row r="2573" spans="1:3" ht="13" x14ac:dyDescent="0.15">
      <c r="A2573" s="1" t="str">
        <f ca="1">IFERROR(__xludf.DUMMYFUNCTION("GOOGLETRANSLATE(A2573, ""zh"", ""en"")"),"The company adheres to targeted talent recruitment and actively leverages external forces and resources to continuously introduce high-level talents from home and abroad through the National High-level Talent Introduction Program and Sinopec's ""Double Hu"&amp;"ndred"" Program.")</f>
        <v>The company adheres to targeted talent recruitment and actively leverages external forces and resources to continuously introduce high-level talents from home and abroad through the National High-level Talent Introduction Program and Sinopec's "Double Hundred" Program.</v>
      </c>
      <c r="B2573" s="1" t="str">
        <f ca="1">IFERROR(__xludf.DUMMYFUNCTION("GOOGLETRANSLATE(A2573, ""zh"", ""en"")"),"staff")</f>
        <v>staff</v>
      </c>
      <c r="C2573" s="1" t="str">
        <f ca="1">IFERROR(__xludf.DUMMYFUNCTION("GOOGLETRANSLATE(E2573, ""zh"", ""en"")"),"Qualitative text")</f>
        <v>Qualitative text</v>
      </c>
    </row>
    <row r="2574" spans="1:3" ht="13" x14ac:dyDescent="0.15">
      <c r="A2574" s="1" t="str">
        <f ca="1">IFERROR(__xludf.DUMMYFUNCTION("GOOGLETRANSLATE(A2574, ""zh"", ""en"")"),"Deepened cooperation with the China Children and Teenagers' Fund to implement the Spring Bud Refueling Station initiative to care for girls, building 11 girl-friendly growth spaces and distributing 1,500 Spring Bud love backpacks.")</f>
        <v>Deepened cooperation with the China Children and Teenagers' Fund to implement the Spring Bud Refueling Station initiative to care for girls, building 11 girl-friendly growth spaces and distributing 1,500 Spring Bud love backpacks.</v>
      </c>
      <c r="B2574" s="1" t="str">
        <f ca="1">IFERROR(__xludf.DUMMYFUNCTION("GOOGLETRANSLATE(A2574, ""zh"", ""en"")"),"Public welfare and volunteer service")</f>
        <v>Public welfare and volunteer service</v>
      </c>
      <c r="C2574" s="1" t="str">
        <f ca="1">IFERROR(__xludf.DUMMYFUNCTION("GOOGLETRANSLATE(E2574, ""zh"", ""en"")"),"Quantitative Text")</f>
        <v>Quantitative Text</v>
      </c>
    </row>
    <row r="2575" spans="1:3" ht="13" x14ac:dyDescent="0.15">
      <c r="A2575" s="1" t="str">
        <f ca="1">IFERROR(__xludf.DUMMYFUNCTION("GOOGLETRANSLATE(A2575, ""zh"", ""en"")"),"In 2022, Zhongchu Hengke attached great importance to the construction of talent team, flexibly introduced 8 national-level scientific and technological talents, 5 provincial and ministerial-level scientific and technological talents, and introduced 22 yo"&amp;"ung scientific and technological talents on a full-time basis.")</f>
        <v>In 2022, Zhongchu Hengke attached great importance to the construction of talent team, flexibly introduced 8 national-level scientific and technological talents, 5 provincial and ministerial-level scientific and technological talents, and introduced 22 young scientific and technological talents on a full-time basis.</v>
      </c>
      <c r="B2575" s="1" t="str">
        <f ca="1">IFERROR(__xludf.DUMMYFUNCTION("GOOGLETRANSLATE(A2575, ""zh"", ""en"")"),"staff")</f>
        <v>staff</v>
      </c>
      <c r="C2575" s="1" t="str">
        <f ca="1">IFERROR(__xludf.DUMMYFUNCTION("GOOGLETRANSLATE(E2575, ""zh"", ""en"")"),"Quantitative Text")</f>
        <v>Quantitative Text</v>
      </c>
    </row>
    <row r="2576" spans="1:3" ht="13" x14ac:dyDescent="0.15">
      <c r="A2576" s="1" t="str">
        <f ca="1">IFERROR(__xludf.DUMMYFUNCTION("GOOGLETRANSLATE(A2576, ""zh"", ""en"")"),"In 2022, the company will carry out systematic information risk identification and formulate and implement a series of targeted risk prevention and control strategies and measures to comprehensively improve the level of information security management.")</f>
        <v>In 2022, the company will carry out systematic information risk identification and formulate and implement a series of targeted risk prevention and control strategies and measures to comprehensively improve the level of information security management.</v>
      </c>
      <c r="B2576" s="1" t="str">
        <f ca="1">IFERROR(__xludf.DUMMYFUNCTION("GOOGLETRANSLATE(A2576, ""zh"", ""en"")"),"Data security")</f>
        <v>Data security</v>
      </c>
      <c r="C2576" s="1" t="str">
        <f ca="1">IFERROR(__xludf.DUMMYFUNCTION("GOOGLETRANSLATE(E2576, ""zh"", ""en"")"),"Qualitative text")</f>
        <v>Qualitative text</v>
      </c>
    </row>
    <row r="2577" spans="1:3" ht="13" x14ac:dyDescent="0.15">
      <c r="A2577" s="1" t="str">
        <f ca="1">IFERROR(__xludf.DUMMYFUNCTION("GOOGLETRANSLATE(A2577, ""zh"", ""en"")"),"Strengthen supervision and inspection efforts to effectively promote the company's hazardous chemical risk prevention and control work through system audits, professional inspections, safety supervision, and identification of violations of new laws and re"&amp;"gulations.")</f>
        <v>Strengthen supervision and inspection efforts to effectively promote the company's hazardous chemical risk prevention and control work through system audits, professional inspections, safety supervision, and identification of violations of new laws and regulations.</v>
      </c>
      <c r="B2577" s="1" t="str">
        <f ca="1">IFERROR(__xludf.DUMMYFUNCTION("GOOGLETRANSLATE(A2577, ""zh"", ""en"")"),"Chemical Safety")</f>
        <v>Chemical Safety</v>
      </c>
      <c r="C2577" s="1" t="str">
        <f ca="1">IFERROR(__xludf.DUMMYFUNCTION("GOOGLETRANSLATE(E2577, ""zh"", ""en"")"),"Qualitative text")</f>
        <v>Qualitative text</v>
      </c>
    </row>
    <row r="2578" spans="1:3" ht="13" x14ac:dyDescent="0.15">
      <c r="A2578" s="1" t="str">
        <f ca="1">IFERROR(__xludf.DUMMYFUNCTION("GOOGLETRANSLATE(A2578, ""zh"", ""en"")"),"In 2022, the Qingnuan Station was transformed and upgraded, adding 243 new gas stations to provide nearly 20 free convenience services such as emergency medicines, hot water, hot food, etc. to outdoor workers and left-behind people.")</f>
        <v>In 2022, the Qingnuan Station was transformed and upgraded, adding 243 new gas stations to provide nearly 20 free convenience services such as emergency medicines, hot water, hot food, etc. to outdoor workers and left-behind people.</v>
      </c>
      <c r="B2578" s="1" t="str">
        <f ca="1">IFERROR(__xludf.DUMMYFUNCTION("GOOGLETRANSLATE(A2578, ""zh"", ""en"")"),"Public welfare and volunteer service")</f>
        <v>Public welfare and volunteer service</v>
      </c>
      <c r="C2578" s="1" t="str">
        <f ca="1">IFERROR(__xludf.DUMMYFUNCTION("GOOGLETRANSLATE(E2578, ""zh"", ""en"")"),"Quantitative Text")</f>
        <v>Quantitative Text</v>
      </c>
    </row>
    <row r="2579" spans="1:3" ht="13" x14ac:dyDescent="0.15">
      <c r="A2579" s="1" t="str">
        <f ca="1">IFERROR(__xludf.DUMMYFUNCTION("GOOGLETRANSLATE(A2579, ""zh"", ""en"")"),"The company has established an occupational health professional subcommittee under the HSE committee to coordinate and plan employee occupational health management, track the implementation of key indicators and ensure the occupational health of employees"&amp;".")</f>
        <v>The company has established an occupational health professional subcommittee under the HSE committee to coordinate and plan employee occupational health management, track the implementation of key indicators and ensure the occupational health of employees.</v>
      </c>
      <c r="B2579" s="1" t="str">
        <f ca="1">IFERROR(__xludf.DUMMYFUNCTION("GOOGLETRANSLATE(A2579, ""zh"", ""en"")"),"staff")</f>
        <v>staff</v>
      </c>
      <c r="C2579" s="1" t="str">
        <f ca="1">IFERROR(__xludf.DUMMYFUNCTION("GOOGLETRANSLATE(E2579, ""zh"", ""en"")"),"Qualitative text")</f>
        <v>Qualitative text</v>
      </c>
    </row>
    <row r="2580" spans="1:3" ht="13" x14ac:dyDescent="0.15">
      <c r="A2580" s="1" t="str">
        <f ca="1">IFERROR(__xludf.DUMMYFUNCTION("GOOGLETRANSLATE(A2580, ""zh"", ""en"")"),"To help fresh graduates quickly understand Kangyuan's culture, system and development and take the first step in their transition from academic to professional life, we have designed a dedicated training program for campus recruits.")</f>
        <v>To help fresh graduates quickly understand Kangyuan's culture, system and development and take the first step in their transition from academic to professional life, we have designed a dedicated training program for campus recruits.</v>
      </c>
      <c r="B2580" s="1" t="str">
        <f ca="1">IFERROR(__xludf.DUMMYFUNCTION("GOOGLETRANSLATE(A2580, ""zh"", ""en"")"),"Promoting employment")</f>
        <v>Promoting employment</v>
      </c>
      <c r="C2580" s="1" t="str">
        <f ca="1">IFERROR(__xludf.DUMMYFUNCTION("GOOGLETRANSLATE(E2580, ""zh"", ""en"")"),"Qualitative text")</f>
        <v>Qualitative text</v>
      </c>
    </row>
    <row r="2581" spans="1:3" ht="13" x14ac:dyDescent="0.15">
      <c r="A2581" s="1" t="str">
        <f ca="1">IFERROR(__xludf.DUMMYFUNCTION("GOOGLETRANSLATE(A2581, ""zh"", ""en"")"),"The company carries out quantitative scoring assessment for contractors, and conducts full-process assessment of contractors' safety, quality and comprehensive management, etc., to promote contractors to comprehensively review and improve their compliance"&amp;" behavior.")</f>
        <v>The company carries out quantitative scoring assessment for contractors, and conducts full-process assessment of contractors' safety, quality and comprehensive management, etc., to promote contractors to comprehensively review and improve their compliance behavior.</v>
      </c>
      <c r="B2581" s="1" t="str">
        <f ca="1">IFERROR(__xludf.DUMMYFUNCTION("GOOGLETRANSLATE(A2581, ""zh"", ""en"")"),"supply chain management")</f>
        <v>supply chain management</v>
      </c>
      <c r="C2581" s="1" t="str">
        <f ca="1">IFERROR(__xludf.DUMMYFUNCTION("GOOGLETRANSLATE(E2581, ""zh"", ""en"")"),"Qualitative text")</f>
        <v>Qualitative text</v>
      </c>
    </row>
    <row r="2582" spans="1:3" ht="13" x14ac:dyDescent="0.15">
      <c r="A2582" s="1" t="str">
        <f ca="1">IFERROR(__xludf.DUMMYFUNCTION("GOOGLETRANSLATE(A2582, ""zh"", ""en"")"),"Sinopec actively implements the Labor Contract Law, builds harmonious labor relations, practices the basic values ​​of decent work, and enhances employees' sense of gain, happiness, and security regarding human rights protection.")</f>
        <v>Sinopec actively implements the Labor Contract Law, builds harmonious labor relations, practices the basic values ​​of decent work, and enhances employees' sense of gain, happiness, and security regarding human rights protection.</v>
      </c>
      <c r="B2582" s="1" t="str">
        <f ca="1">IFERROR(__xludf.DUMMYFUNCTION("GOOGLETRANSLATE(A2582, ""zh"", ""en"")"),"staff")</f>
        <v>staff</v>
      </c>
      <c r="C2582" s="1" t="str">
        <f ca="1">IFERROR(__xludf.DUMMYFUNCTION("GOOGLETRANSLATE(E2582, ""zh"", ""en"")"),"Qualitative text")</f>
        <v>Qualitative text</v>
      </c>
    </row>
    <row r="2583" spans="1:3" ht="13" x14ac:dyDescent="0.15">
      <c r="A2583" s="1" t="str">
        <f ca="1">IFERROR(__xludf.DUMMYFUNCTION("GOOGLETRANSLATE(A2583, ""zh"", ""en"")"),"Level 75 B7 Anti-Corruption General Disclosure Information on a) Policies and b) Compliance with relevant laws and regulations that have a significant impact on the issuer regarding the prevention of bribery, extortion, fraud and money laundering")</f>
        <v>Level 75 B7 Anti-Corruption General Disclosure Information on a) Policies and b) Compliance with relevant laws and regulations that have a significant impact on the issuer regarding the prevention of bribery, extortion, fraud and money laundering</v>
      </c>
      <c r="B2583" s="1" t="str">
        <f ca="1">IFERROR(__xludf.DUMMYFUNCTION("GOOGLETRANSLATE(A2583, ""zh"", ""en"")"),"Anti-corruption and anti-money laundering")</f>
        <v>Anti-corruption and anti-money laundering</v>
      </c>
      <c r="C2583" s="1" t="str">
        <f ca="1">IFERROR(__xludf.DUMMYFUNCTION("GOOGLETRANSLATE(E2583, ""zh"", ""en"")"),"Qualitative text")</f>
        <v>Qualitative text</v>
      </c>
    </row>
    <row r="2584" spans="1:3" ht="13" x14ac:dyDescent="0.15">
      <c r="A2584" s="1" t="str">
        <f ca="1">IFERROR(__xludf.DUMMYFUNCTION("GOOGLETRANSLATE(A2584, ""zh"", ""en"")"),"Note 2: The company has calculated and disclosed the lost time accident rate per 200,000 man-hours and the fatality rate per 200,000 man-hours according to the international OSHA standards. These indicators are not applicable to this indicator.")</f>
        <v>Note 2: The company has calculated and disclosed the lost time accident rate per 200,000 man-hours and the fatality rate per 200,000 man-hours according to the international OSHA standards. These indicators are not applicable to this indicator.</v>
      </c>
      <c r="B2584" s="1" t="str">
        <f ca="1">IFERROR(__xludf.DUMMYFUNCTION("GOOGLETRANSLATE(A2584, ""zh"", ""en"")"),"staff")</f>
        <v>staff</v>
      </c>
      <c r="C2584" s="1" t="str">
        <f ca="1">IFERROR(__xludf.DUMMYFUNCTION("GOOGLETRANSLATE(E2584, ""zh"", ""en"")"),"Quantitative Text")</f>
        <v>Quantitative Text</v>
      </c>
    </row>
    <row r="2585" spans="1:3" ht="13" x14ac:dyDescent="0.15">
      <c r="A2585" s="1" t="str">
        <f ca="1">IFERROR(__xludf.DUMMYFUNCTION("GOOGLETRANSLATE(A2585, ""zh"", ""en"")"),"In terms of employee compensation, the company has been committed to building a forward-looking compensation system to ensure that employees can get reasonable returns for their work, fully tap their potential and mobilize their enthusiasm.")</f>
        <v>In terms of employee compensation, the company has been committed to building a forward-looking compensation system to ensure that employees can get reasonable returns for their work, fully tap their potential and mobilize their enthusiasm.</v>
      </c>
      <c r="B2585" s="1" t="str">
        <f ca="1">IFERROR(__xludf.DUMMYFUNCTION("GOOGLETRANSLATE(A2585, ""zh"", ""en"")"),"staff")</f>
        <v>staff</v>
      </c>
      <c r="C2585" s="1" t="str">
        <f ca="1">IFERROR(__xludf.DUMMYFUNCTION("GOOGLETRANSLATE(E2585, ""zh"", ""en"")"),"Qualitative text")</f>
        <v>Qualitative text</v>
      </c>
    </row>
    <row r="2586" spans="1:3" ht="13" x14ac:dyDescent="0.15">
      <c r="A2586" s="1" t="str">
        <f ca="1">IFERROR(__xludf.DUMMYFUNCTION("GOOGLETRANSLATE(A2586, ""zh"", ""en"")"),"Strengthening compliance management, the company has established a five-in-one legal compliance, internal control and risk control system, and plans to promote the identification, monitoring, inspection and reporting of compliance risks.")</f>
        <v>Strengthening compliance management, the company has established a five-in-one legal compliance, internal control and risk control system, and plans to promote the identification, monitoring, inspection and reporting of compliance risks.</v>
      </c>
      <c r="B2586" s="1" t="str">
        <f ca="1">IFERROR(__xludf.DUMMYFUNCTION("GOOGLETRANSLATE(A2586, ""zh"", ""en"")"),"Legal proceedings and external sanctions")</f>
        <v>Legal proceedings and external sanctions</v>
      </c>
      <c r="C2586" s="1" t="str">
        <f ca="1">IFERROR(__xludf.DUMMYFUNCTION("GOOGLETRANSLATE(E2586, ""zh"", ""en"")"),"Qualitative text")</f>
        <v>Qualitative text</v>
      </c>
    </row>
    <row r="2587" spans="1:3" ht="13" x14ac:dyDescent="0.15">
      <c r="A2587" s="1" t="str">
        <f ca="1">IFERROR(__xludf.DUMMYFUNCTION("GOOGLETRANSLATE(A2587, ""zh"", ""en"")"),"The Group also requires each of its subordinate units to appoint a dedicated person to be responsible for recording complaints, organizing investigations, analyzing and handling complaints, properly resolving them within a specified timeframe, and providi"&amp;"ng a satisfactory response to the complainant.")</f>
        <v>The Group also requires each of its subordinate units to appoint a dedicated person to be responsible for recording complaints, organizing investigations, analyzing and handling complaints, properly resolving them within a specified timeframe, and providing a satisfactory response to the complainant.</v>
      </c>
      <c r="B2587" s="1" t="str">
        <f ca="1">IFERROR(__xludf.DUMMYFUNCTION("GOOGLETRANSLATE(A2587, ""zh"", ""en"")"),"Reporting System")</f>
        <v>Reporting System</v>
      </c>
      <c r="C2587" s="1" t="str">
        <f ca="1">IFERROR(__xludf.DUMMYFUNCTION("GOOGLETRANSLATE(E2587, ""zh"", ""en"")"),"Qualitative text")</f>
        <v>Qualitative text</v>
      </c>
    </row>
    <row r="2588" spans="1:3" ht="13" x14ac:dyDescent="0.15">
      <c r="A2588" s="1" t="str">
        <f ca="1">IFERROR(__xludf.DUMMYFUNCTION("GOOGLETRANSLATE(A2588, ""zh"", ""en"")"),"The Waigang Bearing Base, the bearing manufacturing and operation headquarters unveiled in Jiading New Town, will focus on import substitution of bearings for high-end equipment such as rail transportation, new energy vehicles, aerospace, etc.")</f>
        <v>The Waigang Bearing Base, the bearing manufacturing and operation headquarters unveiled in Jiading New Town, will focus on import substitution of bearings for high-end equipment such as rail transportation, new energy vehicles, aerospace, etc.</v>
      </c>
      <c r="B2588" s="1" t="str">
        <f ca="1">IFERROR(__xludf.DUMMYFUNCTION("GOOGLETRANSLATE(A2588, ""zh"", ""en"")"),"Technological innovation")</f>
        <v>Technological innovation</v>
      </c>
      <c r="C2588" s="1" t="str">
        <f ca="1">IFERROR(__xludf.DUMMYFUNCTION("GOOGLETRANSLATE(E2588, ""zh"", ""en"")"),"Qualitative text")</f>
        <v>Qualitative text</v>
      </c>
    </row>
    <row r="2589" spans="1:3" ht="13" x14ac:dyDescent="0.15">
      <c r="A2589" s="1" t="str">
        <f ca="1">IFERROR(__xludf.DUMMYFUNCTION("GOOGLETRANSLATE(A2589, ""zh"", ""en"")"),"04 Addressing Climate Change 1. Managing Climate Change Risks and Opportunities 2. Green Operations A2 General Disclosure of Resource Use Policies for the efficient use of resources, including energy, water, and other raw materials")</f>
        <v>04 Addressing Climate Change 1. Managing Climate Change Risks and Opportunities 2. Green Operations A2 General Disclosure of Resource Use Policies for the efficient use of resources, including energy, water, and other raw materials</v>
      </c>
      <c r="B2589" s="1" t="str">
        <f ca="1">IFERROR(__xludf.DUMMYFUNCTION("GOOGLETRANSLATE(A2589, ""zh"", ""en"")"),"Addressing climate change")</f>
        <v>Addressing climate change</v>
      </c>
      <c r="C2589" s="1" t="str">
        <f ca="1">IFERROR(__xludf.DUMMYFUNCTION("GOOGLETRANSLATE(E2589, ""zh"", ""en"")"),"Qualitative text")</f>
        <v>Qualitative text</v>
      </c>
    </row>
    <row r="2590" spans="1:3" ht="13" x14ac:dyDescent="0.15">
      <c r="A2590" s="1" t="str">
        <f ca="1">IFERROR(__xludf.DUMMYFUNCTION("GOOGLETRANSLATE(A2590, ""zh"", ""en"")"),"About this ReportReporting PrinciplesReporting ScopeExplain the reporting scope of the ESG report and describe the process for selecting entities or businesses to include in the ESG report")</f>
        <v>About this ReportReporting PrinciplesReporting ScopeExplain the reporting scope of the ESG report and describe the process for selecting entities or businesses to include in the ESG report</v>
      </c>
      <c r="B2590" s="1" t="str">
        <f ca="1">IFERROR(__xludf.DUMMYFUNCTION("GOOGLETRANSLATE(A2590, ""zh"", ""en"")"),"irrelevant text")</f>
        <v>irrelevant text</v>
      </c>
      <c r="C2590" s="1" t="str">
        <f ca="1">IFERROR(__xludf.DUMMYFUNCTION("GOOGLETRANSLATE(E2590, ""zh"", ""en"")"),"irrelevant text")</f>
        <v>irrelevant text</v>
      </c>
    </row>
    <row r="2591" spans="1:3" ht="13" x14ac:dyDescent="0.15">
      <c r="A2591" s="1" t="str">
        <f ca="1">IFERROR(__xludf.DUMMYFUNCTION("GOOGLETRANSLATE(A2591, ""zh"", ""en"")"),"In addition, we continue to focus on digital construction projects such as the credit risk system and contract management system for related parties, and achieve orderly and secure sharing of data on the group platform by strengthening data governance.")</f>
        <v>In addition, we continue to focus on digital construction projects such as the credit risk system and contract management system for related parties, and achieve orderly and secure sharing of data on the group platform by strengthening data governance.</v>
      </c>
      <c r="B2591" s="1" t="str">
        <f ca="1">IFERROR(__xludf.DUMMYFUNCTION("GOOGLETRANSLATE(A2591, ""zh"", ""en"")"),"Data security")</f>
        <v>Data security</v>
      </c>
      <c r="C2591" s="1" t="str">
        <f ca="1">IFERROR(__xludf.DUMMYFUNCTION("GOOGLETRANSLATE(E2591, ""zh"", ""en"")"),"Qualitative text")</f>
        <v>Qualitative text</v>
      </c>
    </row>
    <row r="2592" spans="1:3" ht="13" x14ac:dyDescent="0.15">
      <c r="A2592" s="1" t="str">
        <f ca="1">IFERROR(__xludf.DUMMYFUNCTION("GOOGLETRANSLATE(A2592, ""zh"", ""en"")"),"We provide not only high-end equipment and technical services with leading advantages, but also green, low-carbon and smart solutions that meet diverse needs and are committed to creating a better life.")</f>
        <v>We provide not only high-end equipment and technical services with leading advantages, but also green, low-carbon and smart solutions that meet diverse needs and are committed to creating a better life.</v>
      </c>
      <c r="B2592" s="1" t="str">
        <f ca="1">IFERROR(__xludf.DUMMYFUNCTION("GOOGLETRANSLATE(A2592, ""zh"", ""en"")"),"Technological innovation")</f>
        <v>Technological innovation</v>
      </c>
      <c r="C2592" s="1" t="str">
        <f ca="1">IFERROR(__xludf.DUMMYFUNCTION("GOOGLETRANSLATE(E2592, ""zh"", ""en"")"),"Qualitative text")</f>
        <v>Qualitative text</v>
      </c>
    </row>
    <row r="2593" spans="1:3" ht="13" x14ac:dyDescent="0.15">
      <c r="A2593" s="1" t="str">
        <f ca="1">IFERROR(__xludf.DUMMYFUNCTION("GOOGLETRANSLATE(A2593, ""zh"", ""en"")"),"The forum also invited experts and scholars from universities and media to have in-depth discussions with leaders from Shanghai Electric's energy departments on hot topics such as energy security under extreme weather conditions.")</f>
        <v>The forum also invited experts and scholars from universities and media to have in-depth discussions with leaders from Shanghai Electric's energy departments on hot topics such as energy security under extreme weather conditions.</v>
      </c>
      <c r="B2593" s="1" t="str">
        <f ca="1">IFERROR(__xludf.DUMMYFUNCTION("GOOGLETRANSLATE(A2593, ""zh"", ""en"")"),"Energy and resource consumption")</f>
        <v>Energy and resource consumption</v>
      </c>
      <c r="C2593" s="1" t="str">
        <f ca="1">IFERROR(__xludf.DUMMYFUNCTION("GOOGLETRANSLATE(E2593, ""zh"", ""en"")"),"Qualitative text")</f>
        <v>Qualitative text</v>
      </c>
    </row>
    <row r="2594" spans="1:3" ht="13" x14ac:dyDescent="0.15">
      <c r="A2594" s="1" t="str">
        <f ca="1">IFERROR(__xludf.DUMMYFUNCTION("GOOGLETRANSLATE(A2594, ""zh"", ""en"")"),"The company conducts risk management and internal control self-assessments every year. The internal environment assessment involves ESG-related risks such as governance structure, social responsibility, corporate culture, human resources, etc.")</f>
        <v>The company conducts risk management and internal control self-assessments every year. The internal environment assessment involves ESG-related risks such as governance structure, social responsibility, corporate culture, human resources, etc.</v>
      </c>
      <c r="B2594" s="1" t="str">
        <f ca="1">IFERROR(__xludf.DUMMYFUNCTION("GOOGLETRANSLATE(A2594, ""zh"", ""en"")"),"Organizational structure and operations")</f>
        <v>Organizational structure and operations</v>
      </c>
      <c r="C2594" s="1" t="str">
        <f ca="1">IFERROR(__xludf.DUMMYFUNCTION("GOOGLETRANSLATE(E2594, ""zh"", ""en"")"),"Qualitative text")</f>
        <v>Qualitative text</v>
      </c>
    </row>
    <row r="2595" spans="1:3" ht="13" x14ac:dyDescent="0.15">
      <c r="A2595" s="1" t="str">
        <f ca="1">IFERROR(__xludf.DUMMYFUNCTION("GOOGLETRANSLATE(A2595, ""zh"", ""en"")"),"We have updated the user privacy information authorization form, third-party access to personal information list, privacy protection clause summary, legal person account opening documents and other documents to ensure the security of customer transaction "&amp;"information.")</f>
        <v>We have updated the user privacy information authorization form, third-party access to personal information list, privacy protection clause summary, legal person account opening documents and other documents to ensure the security of customer transaction information.</v>
      </c>
      <c r="B2595" s="1" t="str">
        <f ca="1">IFERROR(__xludf.DUMMYFUNCTION("GOOGLETRANSLATE(A2595, ""zh"", ""en"")"),"Data security")</f>
        <v>Data security</v>
      </c>
      <c r="C2595" s="1" t="str">
        <f ca="1">IFERROR(__xludf.DUMMYFUNCTION("GOOGLETRANSLATE(E2595, ""zh"", ""en"")"),"Qualitative text")</f>
        <v>Qualitative text</v>
      </c>
    </row>
    <row r="2596" spans="1:3" ht="13" x14ac:dyDescent="0.15">
      <c r="A2596" s="1" t="str">
        <f ca="1">IFERROR(__xludf.DUMMYFUNCTION("GOOGLETRANSLATE(A2596, ""zh"", ""en"")"),"They have different professional backgrounds and have a professional knowledge base and rich experience in business management, technology development, financial management, strategic investment, human resources management, etc.")</f>
        <v>They have different professional backgrounds and have a professional knowledge base and rich experience in business management, technology development, financial management, strategic investment, human resources management, etc.</v>
      </c>
      <c r="B2596" s="1" t="str">
        <f ca="1">IFERROR(__xludf.DUMMYFUNCTION("GOOGLETRANSLATE(A2596, ""zh"", ""en"")"),"Organizational structure and operations")</f>
        <v>Organizational structure and operations</v>
      </c>
      <c r="C2596" s="1" t="str">
        <f ca="1">IFERROR(__xludf.DUMMYFUNCTION("GOOGLETRANSLATE(E2596, ""zh"", ""en"")"),"Qualitative text")</f>
        <v>Qualitative text</v>
      </c>
    </row>
    <row r="2597" spans="1:3" ht="13" x14ac:dyDescent="0.15">
      <c r="A2597" s="1" t="str">
        <f ca="1">IFERROR(__xludf.DUMMYFUNCTION("GOOGLETRANSLATE(A2597, ""zh"", ""en"")"),"Strengthen the sharing of audit information and results, implement the joint meeting mechanism for supervisory work, strengthen the joint assessment of problems and risks by supervisory departments and functional lines, and work together to promote proble"&amp;"m rectification.")</f>
        <v>Strengthen the sharing of audit information and results, implement the joint meeting mechanism for supervisory work, strengthen the joint assessment of problems and risks by supervisory departments and functional lines, and work together to promote problem rectification.</v>
      </c>
      <c r="B2597" s="1" t="str">
        <f ca="1">IFERROR(__xludf.DUMMYFUNCTION("GOOGLETRANSLATE(A2597, ""zh"", ""en"")"),"Audit work")</f>
        <v>Audit work</v>
      </c>
      <c r="C2597" s="1" t="str">
        <f ca="1">IFERROR(__xludf.DUMMYFUNCTION("GOOGLETRANSLATE(E2597, ""zh"", ""en"")"),"Qualitative text")</f>
        <v>Qualitative text</v>
      </c>
    </row>
    <row r="2598" spans="1:3" ht="13" x14ac:dyDescent="0.15">
      <c r="A2598" s="1" t="str">
        <f ca="1">IFERROR(__xludf.DUMMYFUNCTION("GOOGLETRANSLATE(A2598, ""zh"", ""en"")"),"The Hohhot data center has been completed and put into use, and the backbone network has been upgraded. The company's application backup capabilities, cloud resource capabilities, and video conferencing support capabilities have been greatly enhanced.")</f>
        <v>The Hohhot data center has been completed and put into use, and the backbone network has been upgraded. The company's application backup capabilities, cloud resource capabilities, and video conferencing support capabilities have been greatly enhanced.</v>
      </c>
      <c r="B2598" s="1" t="str">
        <f ca="1">IFERROR(__xludf.DUMMYFUNCTION("GOOGLETRANSLATE(A2598, ""zh"", ""en"")"),"Technological innovation")</f>
        <v>Technological innovation</v>
      </c>
      <c r="C2598" s="1" t="str">
        <f ca="1">IFERROR(__xludf.DUMMYFUNCTION("GOOGLETRANSLATE(E2598, ""zh"", ""en"")"),"Qualitative text")</f>
        <v>Qualitative text</v>
      </c>
    </row>
    <row r="2599" spans="1:3" ht="13" x14ac:dyDescent="0.15">
      <c r="A2599" s="1" t="str">
        <f ca="1">IFERROR(__xludf.DUMMYFUNCTION("GOOGLETRANSLATE(A2599, ""zh"", ""en"")"),"In 2022, a total of 2,937 suppliers of the company passed the legal person credit certification, with a total of 10,327 suppliers passing the certification. Six suppliers were punished for violating the integrity regulations.")</f>
        <v>In 2022, a total of 2,937 suppliers of the company passed the legal person credit certification, with a total of 10,327 suppliers passing the certification. Six suppliers were punished for violating the integrity regulations.</v>
      </c>
      <c r="B2599" s="1" t="str">
        <f ca="1">IFERROR(__xludf.DUMMYFUNCTION("GOOGLETRANSLATE(A2599, ""zh"", ""en"")"),"Anti-corruption and anti-money laundering")</f>
        <v>Anti-corruption and anti-money laundering</v>
      </c>
      <c r="C2599" s="1" t="str">
        <f ca="1">IFERROR(__xludf.DUMMYFUNCTION("GOOGLETRANSLATE(E2599, ""zh"", ""en"")"),"Quantitative Text")</f>
        <v>Quantitative Text</v>
      </c>
    </row>
    <row r="2600" spans="1:3" ht="13" x14ac:dyDescent="0.15">
      <c r="A2600" s="1" t="str">
        <f ca="1">IFERROR(__xludf.DUMMYFUNCTION("GOOGLETRANSLATE(A2600, ""zh"", ""en"")"),"The workstation was approved for establishment in mid-August this year. The Central Research Institute is responsible for its daily operations and is dedicated to serving the intellectual property rights protection assistance needs of enterprises within t"&amp;"he entire Shanghai Electric system.")</f>
        <v>The workstation was approved for establishment in mid-August this year. The Central Research Institute is responsible for its daily operations and is dedicated to serving the intellectual property rights protection assistance needs of enterprises within the entire Shanghai Electric system.</v>
      </c>
      <c r="B2600" s="1" t="str">
        <f ca="1">IFERROR(__xludf.DUMMYFUNCTION("GOOGLETRANSLATE(A2600, ""zh"", ""en"")"),"Intellectual Property Protection")</f>
        <v>Intellectual Property Protection</v>
      </c>
      <c r="C2600" s="1" t="str">
        <f ca="1">IFERROR(__xludf.DUMMYFUNCTION("GOOGLETRANSLATE(E2600, ""zh"", ""en"")"),"Qualitative text")</f>
        <v>Qualitative text</v>
      </c>
    </row>
    <row r="2601" spans="1:3" ht="13" x14ac:dyDescent="0.15">
      <c r="A2601" s="1" t="str">
        <f ca="1">IFERROR(__xludf.DUMMYFUNCTION("GOOGLETRANSLATE(A2601, ""zh"", ""en"")"),"Focus on rectifying problems found in audits, promote root cause rectification by strengthening cause analysis and proposing control suggestions, and improve rectification results by strengthening system implementation and consolidating rectification resp"&amp;"onsibilities.")</f>
        <v>Focus on rectifying problems found in audits, promote root cause rectification by strengthening cause analysis and proposing control suggestions, and improve rectification results by strengthening system implementation and consolidating rectification responsibilities.</v>
      </c>
      <c r="B2601" s="1" t="str">
        <f ca="1">IFERROR(__xludf.DUMMYFUNCTION("GOOGLETRANSLATE(A2601, ""zh"", ""en"")"),"Audit work")</f>
        <v>Audit work</v>
      </c>
      <c r="C2601" s="1" t="str">
        <f ca="1">IFERROR(__xludf.DUMMYFUNCTION("GOOGLETRANSLATE(E2601, ""zh"", ""en"")"),"Qualitative text")</f>
        <v>Qualitative text</v>
      </c>
    </row>
    <row r="2602" spans="1:3" ht="13" x14ac:dyDescent="0.15">
      <c r="A2602" s="1" t="str">
        <f ca="1">IFERROR(__xludf.DUMMYFUNCTION("GOOGLETRANSLATE(A2602, ""zh"", ""en"")"),"Key points in the design of corporate governance indicators focus on the compliance of listed companies' governance and attempt to evaluate the effectiveness of their governance structures based on investment logic and understanding to enhance indicator c"&amp;"ertainty.")</f>
        <v>Key points in the design of corporate governance indicators focus on the compliance of listed companies' governance and attempt to evaluate the effectiveness of their governance structures based on investment logic and understanding to enhance indicator certainty.</v>
      </c>
      <c r="B2602" s="1" t="str">
        <f ca="1">IFERROR(__xludf.DUMMYFUNCTION("GOOGLETRANSLATE(A2602, ""zh"", ""en"")"),"Organizational structure and operations")</f>
        <v>Organizational structure and operations</v>
      </c>
      <c r="C2602" s="1" t="str">
        <f ca="1">IFERROR(__xludf.DUMMYFUNCTION("GOOGLETRANSLATE(E2602, ""zh"", ""en"")"),"Qualitative text")</f>
        <v>Qualitative text</v>
      </c>
    </row>
    <row r="2603" spans="1:3" ht="13" x14ac:dyDescent="0.15">
      <c r="A2603" s="1" t="str">
        <f ca="1">IFERROR(__xludf.DUMMYFUNCTION("GOOGLETRANSLATE(A2603, ""zh"", ""en"")"),"2. The supplier management company fully respects and protects the legitimate rights and interests of suppliers and maintains a good cooperative relationship with suppliers based on the principles of honesty, trustworthiness, mutual benefit, legality and "&amp;"compliance.")</f>
        <v>2. The supplier management company fully respects and protects the legitimate rights and interests of suppliers and maintains a good cooperative relationship with suppliers based on the principles of honesty, trustworthiness, mutual benefit, legality and compliance.</v>
      </c>
      <c r="B2603" s="1" t="str">
        <f ca="1">IFERROR(__xludf.DUMMYFUNCTION("GOOGLETRANSLATE(A2603, ""zh"", ""en"")"),"supply chain management")</f>
        <v>supply chain management</v>
      </c>
      <c r="C2603" s="1" t="str">
        <f ca="1">IFERROR(__xludf.DUMMYFUNCTION("GOOGLETRANSLATE(E2603, ""zh"", ""en"")"),"Qualitative text")</f>
        <v>Qualitative text</v>
      </c>
    </row>
    <row r="2604" spans="1:3" ht="13" x14ac:dyDescent="0.15">
      <c r="A2604" s="1" t="str">
        <f ca="1">IFERROR(__xludf.DUMMYFUNCTION("GOOGLETRANSLATE(A2604, ""zh"", ""en"")"),"Sustainability Report About this Report This is the seventeenth Sustainability Report issued by China Petroleum &amp; Chemical Corporation (hereinafter referred to as Sinopec)")</f>
        <v>Sustainability Report About this Report This is the seventeenth Sustainability Report issued by China Petroleum &amp; Chemical Corporation (hereinafter referred to as Sinopec)</v>
      </c>
      <c r="B2604" s="1" t="str">
        <f ca="1">IFERROR(__xludf.DUMMYFUNCTION("GOOGLETRANSLATE(A2604, ""zh"", ""en"")"),"irrelevant text")</f>
        <v>irrelevant text</v>
      </c>
      <c r="C2604" s="1" t="str">
        <f ca="1">IFERROR(__xludf.DUMMYFUNCTION("GOOGLETRANSLATE(E2604, ""zh"", ""en"")"),"irrelevant text")</f>
        <v>irrelevant text</v>
      </c>
    </row>
    <row r="2605" spans="1:3" ht="13" x14ac:dyDescent="0.15">
      <c r="A2605" s="1" t="str">
        <f ca="1">IFERROR(__xludf.DUMMYFUNCTION("GOOGLETRANSLATE(A2605, ""zh"", ""en"")"),"The forward-looking statements in this report are made as of March 24, 2023, and the company undertakes no obligation or responsibility to update any forward-looking statements unless otherwise required by regulatory authorities.")</f>
        <v>The forward-looking statements in this report are made as of March 24, 2023, and the company undertakes no obligation or responsibility to update any forward-looking statements unless otherwise required by regulatory authorities.</v>
      </c>
      <c r="B2605" s="1" t="str">
        <f ca="1">IFERROR(__xludf.DUMMYFUNCTION("GOOGLETRANSLATE(A2605, ""zh"", ""en"")"),"irrelevant text")</f>
        <v>irrelevant text</v>
      </c>
      <c r="C2605" s="1" t="str">
        <f ca="1">IFERROR(__xludf.DUMMYFUNCTION("GOOGLETRANSLATE(E2605, ""zh"", ""en"")"),"irrelevant text")</f>
        <v>irrelevant text</v>
      </c>
    </row>
    <row r="2606" spans="1:3" ht="13" x14ac:dyDescent="0.15">
      <c r="A2606" s="1" t="str">
        <f ca="1">IFERROR(__xludf.DUMMYFUNCTION("GOOGLETRANSLATE(A2606, ""zh"", ""en"")"),"1.1 Compliance Operations and Self-Discipline Key Performance Indicator B7.1 Number of concluded corruption lawsuits filed against the issuer or its employees during the reporting period, and the outcomes of the lawsuits")</f>
        <v>1.1 Compliance Operations and Self-Discipline Key Performance Indicator B7.1 Number of concluded corruption lawsuits filed against the issuer or its employees during the reporting period, and the outcomes of the lawsuits</v>
      </c>
      <c r="B2606" s="1" t="str">
        <f ca="1">IFERROR(__xludf.DUMMYFUNCTION("GOOGLETRANSLATE(A2606, ""zh"", ""en"")"),"Legal proceedings and external sanctions")</f>
        <v>Legal proceedings and external sanctions</v>
      </c>
      <c r="C2606" s="1" t="str">
        <f ca="1">IFERROR(__xludf.DUMMYFUNCTION("GOOGLETRANSLATE(E2606, ""zh"", ""en"")"),"Quantitative Text")</f>
        <v>Quantitative Text</v>
      </c>
    </row>
    <row r="2607" spans="1:3" ht="13" x14ac:dyDescent="0.15">
      <c r="A2607" s="1" t="str">
        <f ca="1">IFERROR(__xludf.DUMMYFUNCTION("GOOGLETRANSLATE(A2607, ""zh"", ""en"")"),"Encourage enterprises to formulate special reward systems and plans for major project R&amp;D topics and explore corresponding assessment incentive models as milestone rewards for major scientific and technological projects of enterprises, which can be increa"&amp;"sed in total wages.")</f>
        <v>Encourage enterprises to formulate special reward systems and plans for major project R&amp;D topics and explore corresponding assessment incentive models as milestone rewards for major scientific and technological projects of enterprises, which can be increased in total wages.</v>
      </c>
      <c r="B2607" s="1" t="str">
        <f ca="1">IFERROR(__xludf.DUMMYFUNCTION("GOOGLETRANSLATE(A2607, ""zh"", ""en"")"),"Technological innovation")</f>
        <v>Technological innovation</v>
      </c>
      <c r="C2607" s="1" t="str">
        <f ca="1">IFERROR(__xludf.DUMMYFUNCTION("GOOGLETRANSLATE(E2607, ""zh"", ""en"")"),"Qualitative text")</f>
        <v>Qualitative text</v>
      </c>
    </row>
    <row r="2608" spans="1:3" ht="13" x14ac:dyDescent="0.15">
      <c r="A2608" s="1" t="str">
        <f ca="1">IFERROR(__xludf.DUMMYFUNCTION("GOOGLETRANSLATE(A2608, ""zh"", ""en"")"),"At the same time, through resource integration and in-depth cooperation, we actively promote the common development of R&amp;D business and social construction with global partners and establish a good cooperative relationship that is inclusive, open, sincere"&amp;" and mutually beneficial.")</f>
        <v>At the same time, through resource integration and in-depth cooperation, we actively promote the common development of R&amp;D business and social construction with global partners and establish a good cooperative relationship that is inclusive, open, sincere and mutually beneficial.</v>
      </c>
      <c r="B2608" s="1" t="str">
        <f ca="1">IFERROR(__xludf.DUMMYFUNCTION("GOOGLETRANSLATE(A2608, ""zh"", ""en"")"),"Technological innovation")</f>
        <v>Technological innovation</v>
      </c>
      <c r="C2608" s="1" t="str">
        <f ca="1">IFERROR(__xludf.DUMMYFUNCTION("GOOGLETRANSLATE(E2608, ""zh"", ""en"")"),"Qualitative text")</f>
        <v>Qualitative text</v>
      </c>
    </row>
    <row r="2609" spans="1:3" ht="13" x14ac:dyDescent="0.15">
      <c r="A2609" s="1" t="str">
        <f ca="1">IFERROR(__xludf.DUMMYFUNCTION("GOOGLETRANSLATE(A2609, ""zh"", ""en"")"),"ESG is the concrete reflection of the concept of sustainable development at the micro level of enterprises, which is highly consistent with the essential requirement of high-quality development proposed by the Chinese government to promote harmonious coex"&amp;"istence between man and nature.")</f>
        <v>ESG is the concrete reflection of the concept of sustainable development at the micro level of enterprises, which is highly consistent with the essential requirement of high-quality development proposed by the Chinese government to promote harmonious coexistence between man and nature.</v>
      </c>
      <c r="B2609" s="1" t="str">
        <f ca="1">IFERROR(__xludf.DUMMYFUNCTION("GOOGLETRANSLATE(A2609, ""zh"", ""en"")"),"irrelevant text")</f>
        <v>irrelevant text</v>
      </c>
      <c r="C2609" s="1" t="str">
        <f ca="1">IFERROR(__xludf.DUMMYFUNCTION("GOOGLETRANSLATE(E2609, ""zh"", ""en"")"),"irrelevant text")</f>
        <v>irrelevant text</v>
      </c>
    </row>
    <row r="2610" spans="1:3" ht="13" x14ac:dyDescent="0.15">
      <c r="A2610" s="1" t="str">
        <f ca="1">IFERROR(__xludf.DUMMYFUNCTION("GOOGLETRANSLATE(A2610, ""zh"", ""en"")"),"As the Spring Festival approaches, the group leaders have carried out pre-holiday visits and condolences to model workers and employees in need, expressing their sincere greetings and New Year's blessings, and sending warmth and care.")</f>
        <v>As the Spring Festival approaches, the group leaders have carried out pre-holiday visits and condolences to model workers and employees in need, expressing their sincere greetings and New Year's blessings, and sending warmth and care.</v>
      </c>
      <c r="B2610" s="1" t="str">
        <f ca="1">IFERROR(__xludf.DUMMYFUNCTION("GOOGLETRANSLATE(A2610, ""zh"", ""en"")"),"staff")</f>
        <v>staff</v>
      </c>
      <c r="C2610" s="1" t="str">
        <f ca="1">IFERROR(__xludf.DUMMYFUNCTION("GOOGLETRANSLATE(E2610, ""zh"", ""en"")"),"Qualitative text")</f>
        <v>Qualitative text</v>
      </c>
    </row>
    <row r="2611" spans="1:3" ht="13" x14ac:dyDescent="0.15">
      <c r="A2611" s="1" t="str">
        <f ca="1">IFERROR(__xludf.DUMMYFUNCTION("GOOGLETRANSLATE(A2611, ""zh"", ""en"")"),"942022 Social Responsibility Report: Cultivating a positive atmosphere of respect and appreciation for talent. Shanghai Electric has been listed as a Forbes Best Employer for two consecutive years.")</f>
        <v>942022 Social Responsibility Report: Cultivating a positive atmosphere of respect and appreciation for talent. Shanghai Electric has been listed as a Forbes Best Employer for two consecutive years.</v>
      </c>
      <c r="B2611" s="1" t="str">
        <f ca="1">IFERROR(__xludf.DUMMYFUNCTION("GOOGLETRANSLATE(A2611, ""zh"", ""en"")"),"staff")</f>
        <v>staff</v>
      </c>
      <c r="C2611" s="1" t="str">
        <f ca="1">IFERROR(__xludf.DUMMYFUNCTION("GOOGLETRANSLATE(E2611, ""zh"", ""en"")"),"Quantitative Text")</f>
        <v>Quantitative Text</v>
      </c>
    </row>
    <row r="2612" spans="1:3" ht="13" x14ac:dyDescent="0.15">
      <c r="A2612" s="1" t="str">
        <f ca="1">IFERROR(__xludf.DUMMYFUNCTION("GOOGLETRANSLATE(A2612, ""zh"", ""en"")"),"Case Study: CCUS project with an annual carbon dioxide injection capacity of 110,000 tons. The company vigorously develops key technologies for the entire CCUS industry chain, effectively improving the level of carbon capture and utilization.")</f>
        <v>Case Study: CCUS project with an annual carbon dioxide injection capacity of 110,000 tons. The company vigorously develops key technologies for the entire CCUS industry chain, effectively improving the level of carbon capture and utilization.</v>
      </c>
      <c r="B2612" s="1" t="str">
        <f ca="1">IFERROR(__xludf.DUMMYFUNCTION("GOOGLETRANSLATE(A2612, ""zh"", ""en"")"),"carbon emissions")</f>
        <v>carbon emissions</v>
      </c>
      <c r="C2612" s="1" t="str">
        <f ca="1">IFERROR(__xludf.DUMMYFUNCTION("GOOGLETRANSLATE(E2612, ""zh"", ""en"")"),"Quantitative Text")</f>
        <v>Quantitative Text</v>
      </c>
    </row>
    <row r="2613" spans="1:3" ht="13" x14ac:dyDescent="0.15">
      <c r="A2613" s="1" t="str">
        <f ca="1">IFERROR(__xludf.DUMMYFUNCTION("GOOGLETRANSLATE(A2613, ""zh"", ""en"")"),"China National Petroleum Corporation 2022 Environmental, Social and Governance Report 20 Supervisors and the Board of Supervisors The term of office of the Company’s supervisors is three years and they may be re-elected upon the expiration of their term.")</f>
        <v>China National Petroleum Corporation 2022 Environmental, Social and Governance Report 20 Supervisors and the Board of Supervisors The term of office of the Company’s supervisors is three years and they may be re-elected upon the expiration of their term.</v>
      </c>
      <c r="B2613" s="1" t="str">
        <f ca="1">IFERROR(__xludf.DUMMYFUNCTION("GOOGLETRANSLATE(A2613, ""zh"", ""en"")"),"Organizational structure and operations")</f>
        <v>Organizational structure and operations</v>
      </c>
      <c r="C2613" s="1" t="str">
        <f ca="1">IFERROR(__xludf.DUMMYFUNCTION("GOOGLETRANSLATE(E2613, ""zh"", ""en"")"),"Qualitative text")</f>
        <v>Qualitative text</v>
      </c>
    </row>
    <row r="2614" spans="1:3" ht="13" x14ac:dyDescent="0.15">
      <c r="A2614" s="1" t="str">
        <f ca="1">IFERROR(__xludf.DUMMYFUNCTION("GOOGLETRANSLATE(A2614, ""zh"", ""en"")"),"Governance Content: Starting in 2020, the company established a leading group for deepening reform and continued to promote deepening reform. A series of positive progress has been made in the reform of important areas and key links.")</f>
        <v>Governance Content: Starting in 2020, the company established a leading group for deepening reform and continued to promote deepening reform. A series of positive progress has been made in the reform of important areas and key links.</v>
      </c>
      <c r="B2614" s="1" t="str">
        <f ca="1">IFERROR(__xludf.DUMMYFUNCTION("GOOGLETRANSLATE(A2614, ""zh"", ""en"")"),"Organizational structure and operations")</f>
        <v>Organizational structure and operations</v>
      </c>
      <c r="C2614" s="1" t="str">
        <f ca="1">IFERROR(__xludf.DUMMYFUNCTION("GOOGLETRANSLATE(E2614, ""zh"", ""en"")"),"Qualitative text")</f>
        <v>Qualitative text</v>
      </c>
    </row>
    <row r="2615" spans="1:3" ht="13" x14ac:dyDescent="0.15">
      <c r="A2615" s="1" t="str">
        <f ca="1">IFERROR(__xludf.DUMMYFUNCTION("GOOGLETRANSLATE(A2615, ""zh"", ""en"")"),"We strictly abide by applicable laws and regulations regarding dismissal hours. Each subsidiary has formulated management regulations and implementation rules covering all employees and the entire process based on actual conditions.")</f>
        <v>We strictly abide by applicable laws and regulations regarding dismissal hours. Each subsidiary has formulated management regulations and implementation rules covering all employees and the entire process based on actual conditions.</v>
      </c>
      <c r="B2615" s="1" t="str">
        <f ca="1">IFERROR(__xludf.DUMMYFUNCTION("GOOGLETRANSLATE(A2615, ""zh"", ""en"")"),"staff")</f>
        <v>staff</v>
      </c>
      <c r="C2615" s="1" t="str">
        <f ca="1">IFERROR(__xludf.DUMMYFUNCTION("GOOGLETRANSLATE(E2615, ""zh"", ""en"")"),"Qualitative text")</f>
        <v>Qualitative text</v>
      </c>
    </row>
    <row r="2616" spans="1:3" ht="13" x14ac:dyDescent="0.15">
      <c r="A2616" s="1" t="str">
        <f ca="1">IFERROR(__xludf.DUMMYFUNCTION("GOOGLETRANSLATE(A2616, ""zh"", ""en"")"),"In 2022, the company launched the 14th Five-Year Plan for Employee Education and Training, implementing more than 25,000 training projects and 33,000 training sessions in a classified and graded manner, with an employee training coverage rate of 100%.")</f>
        <v>In 2022, the company launched the 14th Five-Year Plan for Employee Education and Training, implementing more than 25,000 training projects and 33,000 training sessions in a classified and graded manner, with an employee training coverage rate of 100%.</v>
      </c>
      <c r="B2616" s="1" t="str">
        <f ca="1">IFERROR(__xludf.DUMMYFUNCTION("GOOGLETRANSLATE(A2616, ""zh"", ""en"")"),"staff")</f>
        <v>staff</v>
      </c>
      <c r="C2616" s="1" t="str">
        <f ca="1">IFERROR(__xludf.DUMMYFUNCTION("GOOGLETRANSLATE(E2616, ""zh"", ""en"")"),"Quantitative Text")</f>
        <v>Quantitative Text</v>
      </c>
    </row>
    <row r="2617" spans="1:3" ht="13" x14ac:dyDescent="0.15">
      <c r="A2617" s="1" t="str">
        <f ca="1">IFERROR(__xludf.DUMMYFUNCTION("GOOGLETRANSLATE(A2617, ""zh"", ""en"")"),"During the project construction process, environmental protection technologies were widely used, multi-level risk prevention and control measures were taken to limit the interference with the natural ecology and minimize the impact on biodiversity.")</f>
        <v>During the project construction process, environmental protection technologies were widely used, multi-level risk prevention and control measures were taken to limit the interference with the natural ecology and minimize the impact on biodiversity.</v>
      </c>
      <c r="B2617" s="1" t="str">
        <f ca="1">IFERROR(__xludf.DUMMYFUNCTION("GOOGLETRANSLATE(A2617, ""zh"", ""en"")"),"biodiversity")</f>
        <v>biodiversity</v>
      </c>
      <c r="C2617" s="1" t="str">
        <f ca="1">IFERROR(__xludf.DUMMYFUNCTION("GOOGLETRANSLATE(E2617, ""zh"", ""en"")"),"Qualitative text")</f>
        <v>Qualitative text</v>
      </c>
    </row>
    <row r="2618" spans="1:3" ht="13" x14ac:dyDescent="0.15">
      <c r="A2618" s="1" t="str">
        <f ca="1">IFERROR(__xludf.DUMMYFUNCTION("GOOGLETRANSLATE(A2618, ""zh"", ""en"")"),"The desert botanical garden in the tower has become a paradise for animals. More than 100 species of birds migrate and inhabit the desert in the tower. Wild animals such as Bactrian camels, hares, and gerbils have become regular visitors to the oasis.")</f>
        <v>The desert botanical garden in the tower has become a paradise for animals. More than 100 species of birds migrate and inhabit the desert in the tower. Wild animals such as Bactrian camels, hares, and gerbils have become regular visitors to the oasis.</v>
      </c>
      <c r="B2618" s="1" t="str">
        <f ca="1">IFERROR(__xludf.DUMMYFUNCTION("GOOGLETRANSLATE(A2618, ""zh"", ""en"")"),"biodiversity")</f>
        <v>biodiversity</v>
      </c>
      <c r="C2618" s="1" t="str">
        <f ca="1">IFERROR(__xludf.DUMMYFUNCTION("GOOGLETRANSLATE(E2618, ""zh"", ""en"")"),"Qualitative text")</f>
        <v>Qualitative text</v>
      </c>
    </row>
    <row r="2619" spans="1:3" ht="13" x14ac:dyDescent="0.15">
      <c r="A2619" s="1" t="str">
        <f ca="1">IFERROR(__xludf.DUMMYFUNCTION("GOOGLETRANSLATE(A2619, ""zh"", ""en"")"),"The company continues to strengthen quality education and training to enhance employees' understanding of pharmaceutical laws and regulations, improve the professional quality and quality safety awareness of all employees, and evaluate the training result"&amp;"s in a timely manner.")</f>
        <v>The company continues to strengthen quality education and training to enhance employees' understanding of pharmaceutical laws and regulations, improve the professional quality and quality safety awareness of all employees, and evaluate the training results in a timely manner.</v>
      </c>
      <c r="B2619" s="1" t="str">
        <f ca="1">IFERROR(__xludf.DUMMYFUNCTION("GOOGLETRANSLATE(A2619, ""zh"", ""en"")"),"staff")</f>
        <v>staff</v>
      </c>
      <c r="C2619" s="1" t="str">
        <f ca="1">IFERROR(__xludf.DUMMYFUNCTION("GOOGLETRANSLATE(E2619, ""zh"", ""en"")"),"Qualitative text")</f>
        <v>Qualitative text</v>
      </c>
    </row>
    <row r="2620" spans="1:3" ht="13" x14ac:dyDescent="0.15">
      <c r="A2620" s="1" t="str">
        <f ca="1">IFERROR(__xludf.DUMMYFUNCTION("GOOGLETRANSLATE(A2620, ""zh"", ""en"")"),"P22P25B7 Anti-Corruption General Disclosure Information on policies to prevent bribery, extortion, fraud and money laundering and compliance with relevant laws and regulations that have a significant impact on the issuer")</f>
        <v>P22P25B7 Anti-Corruption General Disclosure Information on policies to prevent bribery, extortion, fraud and money laundering and compliance with relevant laws and regulations that have a significant impact on the issuer</v>
      </c>
      <c r="B2620" s="1" t="str">
        <f ca="1">IFERROR(__xludf.DUMMYFUNCTION("GOOGLETRANSLATE(A2620, ""zh"", ""en"")"),"Anti-corruption and anti-money laundering")</f>
        <v>Anti-corruption and anti-money laundering</v>
      </c>
      <c r="C2620" s="1" t="str">
        <f ca="1">IFERROR(__xludf.DUMMYFUNCTION("GOOGLETRANSLATE(E2620, ""zh"", ""en"")"),"Qualitative text")</f>
        <v>Qualitative text</v>
      </c>
    </row>
    <row r="2621" spans="1:3" ht="13" x14ac:dyDescent="0.15">
      <c r="A2621" s="1" t="str">
        <f ca="1">IFERROR(__xludf.DUMMYFUNCTION("GOOGLETRANSLATE(A2621, ""zh"", ""en"")"),"On June 1, 2022, Yichang Renfu and the Yimi Sunshine Patient Group jointly held a lecture on caring for children with epilepsy to spread health knowledge and popularize health concepts to the public.")</f>
        <v>On June 1, 2022, Yichang Renfu and the Yimi Sunshine Patient Group jointly held a lecture on caring for children with epilepsy to spread health knowledge and popularize health concepts to the public.</v>
      </c>
      <c r="B2621" s="1" t="str">
        <f ca="1">IFERROR(__xludf.DUMMYFUNCTION("GOOGLETRANSLATE(A2621, ""zh"", ""en"")"),"Public welfare and volunteer service")</f>
        <v>Public welfare and volunteer service</v>
      </c>
      <c r="C2621" s="1" t="str">
        <f ca="1">IFERROR(__xludf.DUMMYFUNCTION("GOOGLETRANSLATE(E2621, ""zh"", ""en"")"),"Qualitative text")</f>
        <v>Qualitative text</v>
      </c>
    </row>
    <row r="2622" spans="1:3" ht="13" x14ac:dyDescent="0.15">
      <c r="A2622" s="1" t="str">
        <f ca="1">IFERROR(__xludf.DUMMYFUNCTION("GOOGLETRANSLATE(A2622, ""zh"", ""en"")"),"The statistical scope of engine oil has been adjusted since 2021. Most of the company's engine oil is consumed during equipment maintenance and is not considered actual energy consumption. This part will no longer be counted.")</f>
        <v>The statistical scope of engine oil has been adjusted since 2021. Most of the company's engine oil is consumed during equipment maintenance and is not considered actual energy consumption. This part will no longer be counted.</v>
      </c>
      <c r="B2622" s="1" t="str">
        <f ca="1">IFERROR(__xludf.DUMMYFUNCTION("GOOGLETRANSLATE(A2622, ""zh"", ""en"")"),"Energy and resource consumption")</f>
        <v>Energy and resource consumption</v>
      </c>
      <c r="C2622" s="1" t="str">
        <f ca="1">IFERROR(__xludf.DUMMYFUNCTION("GOOGLETRANSLATE(E2622, ""zh"", ""en"")"),"Qualitative text")</f>
        <v>Qualitative text</v>
      </c>
    </row>
    <row r="2623" spans="1:3" ht="13" x14ac:dyDescent="0.15">
      <c r="A2623" s="1" t="str">
        <f ca="1">IFERROR(__xludf.DUMMYFUNCTION("GOOGLETRANSLATE(A2623, ""zh"", ""en"")"),"The project has established an electronic bidding platform and has produced manuals for suppliers and contractors in English and Arabic. They are distributed free of charge along with the bidding documents to encourage local suppliers and contractors to r"&amp;"egister and use the platform free of charge.")</f>
        <v>The project has established an electronic bidding platform and has produced manuals for suppliers and contractors in English and Arabic. They are distributed free of charge along with the bidding documents to encourage local suppliers and contractors to register and use the platform free of charge.</v>
      </c>
      <c r="B2623" s="1" t="str">
        <f ca="1">IFERROR(__xludf.DUMMYFUNCTION("GOOGLETRANSLATE(A2623, ""zh"", ""en"")"),"supply chain management")</f>
        <v>supply chain management</v>
      </c>
      <c r="C2623" s="1" t="str">
        <f ca="1">IFERROR(__xludf.DUMMYFUNCTION("GOOGLETRANSLATE(E2623, ""zh"", ""en"")"),"Qualitative text")</f>
        <v>Qualitative text</v>
      </c>
    </row>
    <row r="2624" spans="1:3" ht="13" x14ac:dyDescent="0.15">
      <c r="A2624" s="1" t="str">
        <f ca="1">IFERROR(__xludf.DUMMYFUNCTION("GOOGLETRANSLATE(A2624, ""zh"", ""en"")"),"Protecting the historical sites at the Rumaila project site in Iraq. Our Canadian subsidiary focuses on respecting and protecting the rights of indigenous peoples and strives to establish mutually beneficial relationships with indigenous communities.")</f>
        <v>Protecting the historical sites at the Rumaila project site in Iraq. Our Canadian subsidiary focuses on respecting and protecting the rights of indigenous peoples and strives to establish mutually beneficial relationships with indigenous communities.</v>
      </c>
      <c r="B2624" s="1" t="str">
        <f ca="1">IFERROR(__xludf.DUMMYFUNCTION("GOOGLETRANSLATE(A2624, ""zh"", ""en"")"),"biodiversity")</f>
        <v>biodiversity</v>
      </c>
      <c r="C2624" s="1" t="str">
        <f ca="1">IFERROR(__xludf.DUMMYFUNCTION("GOOGLETRANSLATE(E2624, ""zh"", ""en"")"),"Qualitative text")</f>
        <v>Qualitative text</v>
      </c>
    </row>
    <row r="2625" spans="1:3" ht="13" x14ac:dyDescent="0.15">
      <c r="A2625" s="1" t="str">
        <f ca="1">IFERROR(__xludf.DUMMYFUNCTION("GOOGLETRANSLATE(A2625, ""zh"", ""en"")"),"p.822013 Defined benefit plan obligations and other retirement plan benefits include retirement-related defined benefit plans. The Group provides statutory pension insurance for all employees.")</f>
        <v>p.822013 Defined benefit plan obligations and other retirement plan benefits include retirement-related defined benefit plans. The Group provides statutory pension insurance for all employees.</v>
      </c>
      <c r="B2625" s="1" t="str">
        <f ca="1">IFERROR(__xludf.DUMMYFUNCTION("GOOGLETRANSLATE(A2625, ""zh"", ""en"")"),"staff")</f>
        <v>staff</v>
      </c>
      <c r="C2625" s="1" t="str">
        <f ca="1">IFERROR(__xludf.DUMMYFUNCTION("GOOGLETRANSLATE(E2625, ""zh"", ""en"")"),"Qualitative text")</f>
        <v>Qualitative text</v>
      </c>
    </row>
    <row r="2626" spans="1:3" ht="13" x14ac:dyDescent="0.15">
      <c r="A2626" s="1" t="str">
        <f ca="1">IFERROR(__xludf.DUMMYFUNCTION("GOOGLETRANSLATE(A2626, ""zh"", ""en"")"),"Information Security Guotou Capital attaches great importance to customer information security and privacy protection. Through training and actual combat exercises, etc., we enhance the cybersecurity awareness of all employees and effectively respond to c"&amp;"ybersecurity challenges.")</f>
        <v>Information Security Guotou Capital attaches great importance to customer information security and privacy protection. Through training and actual combat exercises, etc., we enhance the cybersecurity awareness of all employees and effectively respond to cybersecurity challenges.</v>
      </c>
      <c r="B2626" s="1" t="str">
        <f ca="1">IFERROR(__xludf.DUMMYFUNCTION("GOOGLETRANSLATE(A2626, ""zh"", ""en"")"),"Data security")</f>
        <v>Data security</v>
      </c>
      <c r="C2626" s="1" t="str">
        <f ca="1">IFERROR(__xludf.DUMMYFUNCTION("GOOGLETRANSLATE(E2626, ""zh"", ""en"")"),"Qualitative text")</f>
        <v>Qualitative text</v>
      </c>
    </row>
    <row r="2627" spans="1:3" ht="13" x14ac:dyDescent="0.15">
      <c r="A2627" s="1" t="str">
        <f ca="1">IFERROR(__xludf.DUMMYFUNCTION("GOOGLETRANSLATE(A2627, ""zh"", ""en"")"),"The company has built a new intellectual property management system to cover the entire life cycle of patent applications, improve user stickiness in community operations, deeply explore user needs and enhance service experience.")</f>
        <v>The company has built a new intellectual property management system to cover the entire life cycle of patent applications, improve user stickiness in community operations, deeply explore user needs and enhance service experience.</v>
      </c>
      <c r="B2627" s="1" t="str">
        <f ca="1">IFERROR(__xludf.DUMMYFUNCTION("GOOGLETRANSLATE(A2627, ""zh"", ""en"")"),"Intellectual Property Protection")</f>
        <v>Intellectual Property Protection</v>
      </c>
      <c r="C2627" s="1" t="str">
        <f ca="1">IFERROR(__xludf.DUMMYFUNCTION("GOOGLETRANSLATE(E2627, ""zh"", ""en"")"),"Qualitative text")</f>
        <v>Qualitative text</v>
      </c>
    </row>
    <row r="2628" spans="1:3" ht="13" x14ac:dyDescent="0.15">
      <c r="A2628" s="1" t="str">
        <f ca="1">IFERROR(__xludf.DUMMYFUNCTION("GOOGLETRANSLATE(A2628, ""zh"", ""en"")"),"The company firmly establishes the awareness of the four red lines of safety, quality, integrity and honesty. Through publicity and training, case presentations and other measures, the company cultivates a compliance culture and guides all employees to pr"&amp;"actice the concept of compliance management.")</f>
        <v>The company firmly establishes the awareness of the four red lines of safety, quality, integrity and honesty. Through publicity and training, case presentations and other measures, the company cultivates a compliance culture and guides all employees to practice the concept of compliance management.</v>
      </c>
      <c r="B2628" s="1" t="str">
        <f ca="1">IFERROR(__xludf.DUMMYFUNCTION("GOOGLETRANSLATE(A2628, ""zh"", ""en"")"),"Anti-corruption and anti-money laundering")</f>
        <v>Anti-corruption and anti-money laundering</v>
      </c>
      <c r="C2628" s="1" t="str">
        <f ca="1">IFERROR(__xludf.DUMMYFUNCTION("GOOGLETRANSLATE(E2628, ""zh"", ""en"")"),"Qualitative text")</f>
        <v>Qualitative text</v>
      </c>
    </row>
    <row r="2629" spans="1:3" ht="13" x14ac:dyDescent="0.15">
      <c r="A2629" s="1" t="str">
        <f ca="1">IFERROR(__xludf.DUMMYFUNCTION("GOOGLETRANSLATE(A2629, ""zh"", ""en"")"),"During the reporting period, the Company and Hisense Finance's Board of Directors were the Company's operational decision-making bodies. During the reporting period, the Company's Board of Directors consisted of 8 directors, including 3 independent direct"&amp;"ors and 1 female director.")</f>
        <v>During the reporting period, the Company and Hisense Finance's Board of Directors were the Company's operational decision-making bodies. During the reporting period, the Company's Board of Directors consisted of 8 directors, including 3 independent directors and 1 female director.</v>
      </c>
      <c r="B2629" s="1" t="str">
        <f ca="1">IFERROR(__xludf.DUMMYFUNCTION("GOOGLETRANSLATE(A2629, ""zh"", ""en"")"),"Organizational structure and operations")</f>
        <v>Organizational structure and operations</v>
      </c>
      <c r="C2629" s="1" t="str">
        <f ca="1">IFERROR(__xludf.DUMMYFUNCTION("GOOGLETRANSLATE(E2629, ""zh"", ""en"")"),"Quantitative Text")</f>
        <v>Quantitative Text</v>
      </c>
    </row>
    <row r="2630" spans="1:3" ht="13" x14ac:dyDescent="0.15">
      <c r="A2630" s="1" t="str">
        <f ca="1">IFERROR(__xludf.DUMMYFUNCTION("GOOGLETRANSLATE(A2630, ""zh"", ""en"")"),"2. Activities and Workers 26 Activity Value Chain and Other Business Relationships P2 27 Employees P46 48 28 Workers Other Than Employees There are no workers other than employees")</f>
        <v>2. Activities and Workers 26 Activity Value Chain and Other Business Relationships P2 27 Employees P46 48 28 Workers Other Than Employees There are no workers other than employees</v>
      </c>
      <c r="B2630" s="1" t="str">
        <f ca="1">IFERROR(__xludf.DUMMYFUNCTION("GOOGLETRANSLATE(A2630, ""zh"", ""en"")"),"staff")</f>
        <v>staff</v>
      </c>
      <c r="C2630" s="1" t="str">
        <f ca="1">IFERROR(__xludf.DUMMYFUNCTION("GOOGLETRANSLATE(E2630, ""zh"", ""en"")"),"Quantitative Text")</f>
        <v>Quantitative Text</v>
      </c>
    </row>
    <row r="2631" spans="1:3" ht="13" x14ac:dyDescent="0.15">
      <c r="A2631" s="1" t="str">
        <f ca="1">IFERROR(__xludf.DUMMYFUNCTION("GOOGLETRANSLATE(A2631, ""zh"", ""en"")"),"The management team is responsible for formulating and promoting the implementation of ESG work objectives, supervising relevant departments, domestic and overseas branches and subsidiaries to implement specific tasks and comprehensively improve the group"&amp;"'s ESG management level.")</f>
        <v>The management team is responsible for formulating and promoting the implementation of ESG work objectives, supervising relevant departments, domestic and overseas branches and subsidiaries to implement specific tasks and comprehensively improve the group's ESG management level.</v>
      </c>
      <c r="B2631" s="1" t="str">
        <f ca="1">IFERROR(__xludf.DUMMYFUNCTION("GOOGLETRANSLATE(A2631, ""zh"", ""en"")"),"Organizational structure and operations")</f>
        <v>Organizational structure and operations</v>
      </c>
      <c r="C2631" s="1" t="str">
        <f ca="1">IFERROR(__xludf.DUMMYFUNCTION("GOOGLETRANSLATE(E2631, ""zh"", ""en"")"),"Qualitative text")</f>
        <v>Qualitative text</v>
      </c>
    </row>
    <row r="2632" spans="1:3" ht="13" x14ac:dyDescent="0.15">
      <c r="A2632" s="1" t="str">
        <f ca="1">IFERROR(__xludf.DUMMYFUNCTION("GOOGLETRANSLATE(A2632, ""zh"", ""en"")"),"Top 10 Best Corporate Governance Companies of 2022 In July 2022, Haier Smart Home was awarded the Top 10 Best Corporate Governance Companies of 2022 by Cailianshe.")</f>
        <v>Top 10 Best Corporate Governance Companies of 2022 In July 2022, Haier Smart Home was awarded the Top 10 Best Corporate Governance Companies of 2022 by Cailianshe.</v>
      </c>
      <c r="B2632" s="1" t="str">
        <f ca="1">IFERROR(__xludf.DUMMYFUNCTION("GOOGLETRANSLATE(A2632, ""zh"", ""en"")"),"Organizational structure and operations")</f>
        <v>Organizational structure and operations</v>
      </c>
      <c r="C2632" s="1" t="str">
        <f ca="1">IFERROR(__xludf.DUMMYFUNCTION("GOOGLETRANSLATE(E2632, ""zh"", ""en"")"),"Quantitative Text")</f>
        <v>Quantitative Text</v>
      </c>
    </row>
    <row r="2633" spans="1:3" ht="13" x14ac:dyDescent="0.15">
      <c r="A2633" s="1" t="str">
        <f ca="1">IFERROR(__xludf.DUMMYFUNCTION("GOOGLETRANSLATE(A2633, ""zh"", ""en"")"),"For key consumables such as liquid medicine filters, which are supplied by exclusive suppliers, Kangyuan Haibin actively explores domestic and foreign resources to alleviate production risks caused by the single supply of key materials.")</f>
        <v>For key consumables such as liquid medicine filters, which are supplied by exclusive suppliers, Kangyuan Haibin actively explores domestic and foreign resources to alleviate production risks caused by the single supply of key materials.</v>
      </c>
      <c r="B2633" s="1" t="str">
        <f ca="1">IFERROR(__xludf.DUMMYFUNCTION("GOOGLETRANSLATE(A2633, ""zh"", ""en"")"),"raw materials")</f>
        <v>raw materials</v>
      </c>
      <c r="C2633" s="1" t="str">
        <f ca="1">IFERROR(__xludf.DUMMYFUNCTION("GOOGLETRANSLATE(E2633, ""zh"", ""en"")"),"Qualitative text")</f>
        <v>Qualitative text</v>
      </c>
    </row>
    <row r="2634" spans="1:3" ht="13" x14ac:dyDescent="0.15">
      <c r="A2634" s="1" t="str">
        <f ca="1">IFERROR(__xludf.DUMMYFUNCTION("GOOGLETRANSLATE(A2634, ""zh"", ""en"")"),"By 2022, 1,500 Quantum Stores have been built and plans are in place to further expand the scope of store services and operations, continuously improving community consumer service capabilities and providing more convenience for users.")</f>
        <v>By 2022, 1,500 Quantum Stores have been built and plans are in place to further expand the scope of store services and operations, continuously improving community consumer service capabilities and providing more convenience for users.</v>
      </c>
      <c r="B2634" s="1" t="str">
        <f ca="1">IFERROR(__xludf.DUMMYFUNCTION("GOOGLETRANSLATE(A2634, ""zh"", ""en"")"),"Customers and Consumers")</f>
        <v>Customers and Consumers</v>
      </c>
      <c r="C2634" s="1" t="str">
        <f ca="1">IFERROR(__xludf.DUMMYFUNCTION("GOOGLETRANSLATE(E2634, ""zh"", ""en"")"),"Quantitative Text")</f>
        <v>Quantitative Text</v>
      </c>
    </row>
    <row r="2635" spans="1:3" ht="13" x14ac:dyDescent="0.15">
      <c r="A2635" s="1" t="str">
        <f ca="1">IFERROR(__xludf.DUMMYFUNCTION("GOOGLETRANSLATE(A2635, ""zh"", ""en"")"),"We have further improved our environmental management system, formulated environmental management plans and measures that are in line with the company's development based on its actual situation, and continuously improved and refined them during implement"&amp;"ation.")</f>
        <v>We have further improved our environmental management system, formulated environmental management plans and measures that are in line with the company's development based on its actual situation, and continuously improved and refined them during implementation.</v>
      </c>
      <c r="B2635" s="1" t="str">
        <f ca="1">IFERROR(__xludf.DUMMYFUNCTION("GOOGLETRANSLATE(A2635, ""zh"", ""en"")"),"Environmental Policy")</f>
        <v>Environmental Policy</v>
      </c>
      <c r="C2635" s="1" t="str">
        <f ca="1">IFERROR(__xludf.DUMMYFUNCTION("GOOGLETRANSLATE(E2635, ""zh"", ""en"")"),"Qualitative text")</f>
        <v>Qualitative text</v>
      </c>
    </row>
    <row r="2636" spans="1:3" ht="13" x14ac:dyDescent="0.15">
      <c r="A2636" s="1" t="str">
        <f ca="1">IFERROR(__xludf.DUMMYFUNCTION("GOOGLETRANSLATE(A2636, ""zh"", ""en"")"),"P3334A2.1 Total direct and/or indirect energy consumption by type (e.g., electricity or oil) in thousands of kilowatt-hours and density (e.g., per unit of production per facility)")</f>
        <v>P3334A2.1 Total direct and/or indirect energy consumption by type (e.g., electricity or oil) in thousands of kilowatt-hours and density (e.g., per unit of production per facility)</v>
      </c>
      <c r="B2636" s="1" t="str">
        <f ca="1">IFERROR(__xludf.DUMMYFUNCTION("GOOGLETRANSLATE(A2636, ""zh"", ""en"")"),"Energy and resource consumption")</f>
        <v>Energy and resource consumption</v>
      </c>
      <c r="C2636" s="1" t="str">
        <f ca="1">IFERROR(__xludf.DUMMYFUNCTION("GOOGLETRANSLATE(E2636, ""zh"", ""en"")"),"Qualitative text")</f>
        <v>Qualitative text</v>
      </c>
    </row>
    <row r="2637" spans="1:3" ht="13" x14ac:dyDescent="0.15">
      <c r="A2637" s="1" t="str">
        <f ca="1">IFERROR(__xludf.DUMMYFUNCTION("GOOGLETRANSLATE(A2637, ""zh"", ""en"")"),"During the reporting period, Tibet Zhufeng collaborated with suppliers to successfully launch innovative and environmentally friendly production equipment, marking the company's Argentina project's further progress towards green and sustainable lithium ex"&amp;"traction.")</f>
        <v>During the reporting period, Tibet Zhufeng collaborated with suppliers to successfully launch innovative and environmentally friendly production equipment, marking the company's Argentina project's further progress towards green and sustainable lithium extraction.</v>
      </c>
      <c r="B2637" s="1" t="str">
        <f ca="1">IFERROR(__xludf.DUMMYFUNCTION("GOOGLETRANSLATE(A2637, ""zh"", ""en"")"),"Technological innovation")</f>
        <v>Technological innovation</v>
      </c>
      <c r="C2637" s="1" t="str">
        <f ca="1">IFERROR(__xludf.DUMMYFUNCTION("GOOGLETRANSLATE(E2637, ""zh"", ""en"")"),"Qualitative text")</f>
        <v>Qualitative text</v>
      </c>
    </row>
    <row r="2638" spans="1:3" ht="13" x14ac:dyDescent="0.15">
      <c r="A2638" s="1" t="str">
        <f ca="1">IFERROR(__xludf.DUMMYFUNCTION("GOOGLETRANSLATE(A2638, ""zh"", ""en"")"),"The innovative big data inclusive finance cross-border quick loan series provides small and micro enterprises with online pure credit and low-interest trade financing support, helping small and medium-sized foreign trade enterprises to secure orders and e"&amp;"xpand markets.")</f>
        <v>The innovative big data inclusive finance cross-border quick loan series provides small and micro enterprises with online pure credit and low-interest trade financing support, helping small and medium-sized foreign trade enterprises to secure orders and expand markets.</v>
      </c>
      <c r="B2638" s="1" t="str">
        <f ca="1">IFERROR(__xludf.DUMMYFUNCTION("GOOGLETRANSLATE(A2638, ""zh"", ""en"")"),"Technological innovation")</f>
        <v>Technological innovation</v>
      </c>
      <c r="C2638" s="1" t="str">
        <f ca="1">IFERROR(__xludf.DUMMYFUNCTION("GOOGLETRANSLATE(E2638, ""zh"", ""en"")"),"Qualitative text")</f>
        <v>Qualitative text</v>
      </c>
    </row>
    <row r="2639" spans="1:3" ht="13" x14ac:dyDescent="0.15">
      <c r="A2639" s="1" t="str">
        <f ca="1">IFERROR(__xludf.DUMMYFUNCTION("GOOGLETRANSLATE(A2639, ""zh"", ""en"")"),"Jinggong Construction System actively promotes prefabricated insulation and sound insulation floor construction, extruded polystyrene foam board dry and wet floor heating system, and takes the lead in implementing it in the Jiangwan Yinyue project in the "&amp;"southwest region.")</f>
        <v>Jinggong Construction System actively promotes prefabricated insulation and sound insulation floor construction, extruded polystyrene foam board dry and wet floor heating system, and takes the lead in implementing it in the Jiangwan Yinyue project in the southwest region.</v>
      </c>
      <c r="B2639" s="1" t="str">
        <f ca="1">IFERROR(__xludf.DUMMYFUNCTION("GOOGLETRANSLATE(A2639, ""zh"", ""en"")"),"Green Building")</f>
        <v>Green Building</v>
      </c>
      <c r="C2639" s="1" t="str">
        <f ca="1">IFERROR(__xludf.DUMMYFUNCTION("GOOGLETRANSLATE(E2639, ""zh"", ""en"")"),"Qualitative text")</f>
        <v>Qualitative text</v>
      </c>
    </row>
    <row r="2640" spans="1:3" ht="13" x14ac:dyDescent="0.15">
      <c r="A2640" s="1" t="str">
        <f ca="1">IFERROR(__xludf.DUMMYFUNCTION("GOOGLETRANSLATE(A2640, ""zh"", ""en"")"),"The quality and effectiveness of training will be enhanced. In 2022, the company will optimize and upgrade its compensation system, taking the service strategy as the starting point, and use the compensation mechanism to align individual and organizationa"&amp;"l goals and share dividends.")</f>
        <v>The quality and effectiveness of training will be enhanced. In 2022, the company will optimize and upgrade its compensation system, taking the service strategy as the starting point, and use the compensation mechanism to align individual and organizational goals and share dividends.</v>
      </c>
      <c r="B2640" s="1" t="str">
        <f ca="1">IFERROR(__xludf.DUMMYFUNCTION("GOOGLETRANSLATE(A2640, ""zh"", ""en"")"),"staff")</f>
        <v>staff</v>
      </c>
      <c r="C2640" s="1" t="str">
        <f ca="1">IFERROR(__xludf.DUMMYFUNCTION("GOOGLETRANSLATE(E2640, ""zh"", ""en"")"),"Qualitative text")</f>
        <v>Qualitative text</v>
      </c>
    </row>
    <row r="2641" spans="1:3" ht="13" x14ac:dyDescent="0.15">
      <c r="A2641" s="1" t="str">
        <f ca="1">IFERROR(__xludf.DUMMYFUNCTION("GOOGLETRANSLATE(A2641, ""zh"", ""en"")"),"Multiple training programs are being carried out simultaneously. In 2022, the Dima Industrial talent training system will continue to focus on the Taishan, Nanshan, Guangyang Island plan, covering high school, grassroots and key core positions.")</f>
        <v>Multiple training programs are being carried out simultaneously. In 2022, the Dima Industrial talent training system will continue to focus on the Taishan, Nanshan, Guangyang Island plan, covering high school, grassroots and key core positions.</v>
      </c>
      <c r="B2641" s="1" t="str">
        <f ca="1">IFERROR(__xludf.DUMMYFUNCTION("GOOGLETRANSLATE(A2641, ""zh"", ""en"")"),"staff")</f>
        <v>staff</v>
      </c>
      <c r="C2641" s="1" t="str">
        <f ca="1">IFERROR(__xludf.DUMMYFUNCTION("GOOGLETRANSLATE(E2641, ""zh"", ""en"")"),"Qualitative text")</f>
        <v>Qualitative text</v>
      </c>
    </row>
    <row r="2642" spans="1:3" ht="13" x14ac:dyDescent="0.15">
      <c r="A2642" s="1" t="str">
        <f ca="1">IFERROR(__xludf.DUMMYFUNCTION("GOOGLETRANSLATE(A2642, ""zh"", ""en"")"),"Substantially increase green asset allocation, accelerate the coordinated development of green finance, housing leasing, inclusive finance, rural revitalization and other strategies, and continuously enhance the ability to serve the green transformation o"&amp;"f industrial structure.")</f>
        <v>Substantially increase green asset allocation, accelerate the coordinated development of green finance, housing leasing, inclusive finance, rural revitalization and other strategies, and continuously enhance the ability to serve the green transformation of industrial structure.</v>
      </c>
      <c r="B2642" s="1" t="str">
        <f ca="1">IFERROR(__xludf.DUMMYFUNCTION("GOOGLETRANSLATE(A2642, ""zh"", ""en"")"),"Green Finance")</f>
        <v>Green Finance</v>
      </c>
      <c r="C2642" s="1" t="str">
        <f ca="1">IFERROR(__xludf.DUMMYFUNCTION("GOOGLETRANSLATE(E2642, ""zh"", ""en"")"),"Qualitative text")</f>
        <v>Qualitative text</v>
      </c>
    </row>
    <row r="2643" spans="1:3" ht="13" x14ac:dyDescent="0.15">
      <c r="A2643" s="1" t="str">
        <f ca="1">IFERROR(__xludf.DUMMYFUNCTION("GOOGLETRANSLATE(A2643, ""zh"", ""en"")"),"We identify and assess the impact of climate change on our operations, prepare for climate-related financial disclosures, and work with ecosystem partners to move towards a greener, more sustainable future.")</f>
        <v>We identify and assess the impact of climate change on our operations, prepare for climate-related financial disclosures, and work with ecosystem partners to move towards a greener, more sustainable future.</v>
      </c>
      <c r="B2643" s="1" t="str">
        <f ca="1">IFERROR(__xludf.DUMMYFUNCTION("GOOGLETRANSLATE(A2643, ""zh"", ""en"")"),"Addressing climate change")</f>
        <v>Addressing climate change</v>
      </c>
      <c r="C2643" s="1" t="str">
        <f ca="1">IFERROR(__xludf.DUMMYFUNCTION("GOOGLETRANSLATE(E2643, ""zh"", ""en"")"),"Qualitative text")</f>
        <v>Qualitative text</v>
      </c>
    </row>
    <row r="2644" spans="1:3" ht="13" x14ac:dyDescent="0.15">
      <c r="A2644" s="1" t="str">
        <f ca="1">IFERROR(__xludf.DUMMYFUNCTION("GOOGLETRANSLATE(A2644, ""zh"", ""en"")"),"The Social Responsibility Committee has the right to raise questions about major issues in production and operation that affect the Group's fulfillment of its social responsibilities and is responsible for inspecting and supervising the handling of releva"&amp;"nt matters.")</f>
        <v>The Social Responsibility Committee has the right to raise questions about major issues in production and operation that affect the Group's fulfillment of its social responsibilities and is responsible for inspecting and supervising the handling of relevant matters.</v>
      </c>
      <c r="B2644" s="1" t="str">
        <f ca="1">IFERROR(__xludf.DUMMYFUNCTION("GOOGLETRANSLATE(A2644, ""zh"", ""en"")"),"Organizational structure and operations")</f>
        <v>Organizational structure and operations</v>
      </c>
      <c r="C2644" s="1" t="str">
        <f ca="1">IFERROR(__xludf.DUMMYFUNCTION("GOOGLETRANSLATE(E2644, ""zh"", ""en"")"),"Qualitative text")</f>
        <v>Qualitative text</v>
      </c>
    </row>
    <row r="2645" spans="1:3" ht="13" x14ac:dyDescent="0.15">
      <c r="A2645" s="1" t="str">
        <f ca="1">IFERROR(__xludf.DUMMYFUNCTION("GOOGLETRANSLATE(A2645, ""zh"", ""en"")"),"The Environmental, Social and Governance Committee is responsible for formulating effective ESG strategies to balance the company's ESG goals with its business objectives and continuously explore and improve the company's ESG performance.")</f>
        <v>The Environmental, Social and Governance Committee is responsible for formulating effective ESG strategies to balance the company's ESG goals with its business objectives and continuously explore and improve the company's ESG performance.</v>
      </c>
      <c r="B2645" s="1" t="str">
        <f ca="1">IFERROR(__xludf.DUMMYFUNCTION("GOOGLETRANSLATE(A2645, ""zh"", ""en"")"),"Organizational structure and operations")</f>
        <v>Organizational structure and operations</v>
      </c>
      <c r="C2645" s="1" t="str">
        <f ca="1">IFERROR(__xludf.DUMMYFUNCTION("GOOGLETRANSLATE(E2645, ""zh"", ""en"")"),"Qualitative text")</f>
        <v>Qualitative text</v>
      </c>
    </row>
    <row r="2646" spans="1:3" ht="13" x14ac:dyDescent="0.15">
      <c r="A2646" s="1" t="str">
        <f ca="1">IFERROR(__xludf.DUMMYFUNCTION("GOOGLETRANSLATE(A2646, ""zh"", ""en"")"),"The water purification product line organized 6 factories to carry out various quality month activities, such as brazing skills training and competitions, and the release of outstanding quality improvement projects, to create a good quality atmosphere.")</f>
        <v>The water purification product line organized 6 factories to carry out various quality month activities, such as brazing skills training and competitions, and the release of outstanding quality improvement projects, to create a good quality atmosphere.</v>
      </c>
      <c r="B2646" s="1" t="str">
        <f ca="1">IFERROR(__xludf.DUMMYFUNCTION("GOOGLETRANSLATE(A2646, ""zh"", ""en"")"),"Product quality")</f>
        <v>Product quality</v>
      </c>
      <c r="C2646" s="1" t="str">
        <f ca="1">IFERROR(__xludf.DUMMYFUNCTION("GOOGLETRANSLATE(E2646, ""zh"", ""en"")"),"Qualitative text")</f>
        <v>Qualitative text</v>
      </c>
    </row>
    <row r="2647" spans="1:3" ht="13" x14ac:dyDescent="0.15">
      <c r="A2647" s="1" t="str">
        <f ca="1">IFERROR(__xludf.DUMMYFUNCTION("GOOGLETRANSLATE(A2647, ""zh"", ""en"")"),"The project focuses on approximately 20,000 young employees within two years of joining the bank. It aims to help new employees quickly overcome their career confusion and enhance their sense of belonging to CCB through continuous follow-up training.")</f>
        <v>The project focuses on approximately 20,000 young employees within two years of joining the bank. It aims to help new employees quickly overcome their career confusion and enhance their sense of belonging to CCB through continuous follow-up training.</v>
      </c>
      <c r="B2647" s="1" t="str">
        <f ca="1">IFERROR(__xludf.DUMMYFUNCTION("GOOGLETRANSLATE(A2647, ""zh"", ""en"")"),"staff")</f>
        <v>staff</v>
      </c>
      <c r="C2647" s="1" t="str">
        <f ca="1">IFERROR(__xludf.DUMMYFUNCTION("GOOGLETRANSLATE(E2647, ""zh"", ""en"")"),"Quantitative Text")</f>
        <v>Quantitative Text</v>
      </c>
    </row>
    <row r="2648" spans="1:3" ht="13" x14ac:dyDescent="0.15">
      <c r="A2648" s="1" t="str">
        <f ca="1">IFERROR(__xludf.DUMMYFUNCTION("GOOGLETRANSLATE(A2648, ""zh"", ""en"")"),"We are committed to driving product upgrades through technological innovation, continuously bringing users a more personalized, intelligent and beautiful lifestyle, creating the best experience and becoming a leader in global ecological brands.")</f>
        <v>We are committed to driving product upgrades through technological innovation, continuously bringing users a more personalized, intelligent and beautiful lifestyle, creating the best experience and becoming a leader in global ecological brands.</v>
      </c>
      <c r="B2648" s="1" t="str">
        <f ca="1">IFERROR(__xludf.DUMMYFUNCTION("GOOGLETRANSLATE(A2648, ""zh"", ""en"")"),"Technological innovation")</f>
        <v>Technological innovation</v>
      </c>
      <c r="C2648" s="1" t="str">
        <f ca="1">IFERROR(__xludf.DUMMYFUNCTION("GOOGLETRANSLATE(E2648, ""zh"", ""en"")"),"Qualitative text")</f>
        <v>Qualitative text</v>
      </c>
    </row>
    <row r="2649" spans="1:3" ht="13" x14ac:dyDescent="0.15">
      <c r="A2649" s="1" t="str">
        <f ca="1">IFERROR(__xludf.DUMMYFUNCTION("GOOGLETRANSLATE(A2649, ""zh"", ""en"")"),"The company continues to upgrade and optimize the quality management system of the three certificates of OEM ecological products, including birth permit certificate, birth certificate and medical examination certificate, and continues to strengthen the tw"&amp;"o-way management mechanism to further improve the construction of the quality management system.")</f>
        <v>The company continues to upgrade and optimize the quality management system of the three certificates of OEM ecological products, including birth permit certificate, birth certificate and medical examination certificate, and continues to strengthen the two-way management mechanism to further improve the construction of the quality management system.</v>
      </c>
      <c r="B2649" s="1" t="str">
        <f ca="1">IFERROR(__xludf.DUMMYFUNCTION("GOOGLETRANSLATE(A2649, ""zh"", ""en"")"),"Product quality")</f>
        <v>Product quality</v>
      </c>
      <c r="C2649" s="1" t="str">
        <f ca="1">IFERROR(__xludf.DUMMYFUNCTION("GOOGLETRANSLATE(E2649, ""zh"", ""en"")"),"Qualitative text")</f>
        <v>Qualitative text</v>
      </c>
    </row>
    <row r="2650" spans="1:3" ht="13" x14ac:dyDescent="0.15">
      <c r="A2650" s="1" t="str">
        <f ca="1">IFERROR(__xludf.DUMMYFUNCTION("GOOGLETRANSLATE(A2650, ""zh"", ""en"")"),"The number of employees in Northeast China refers to the number of employees in the entire China Construction Bank, excluding domestic and overseas branches and subsidiaries, in Northeast my country as of the end of the reporting period.")</f>
        <v>The number of employees in Northeast China refers to the number of employees in the entire China Construction Bank, excluding domestic and overseas branches and subsidiaries, in Northeast my country as of the end of the reporting period.</v>
      </c>
      <c r="B2650" s="1" t="str">
        <f ca="1">IFERROR(__xludf.DUMMYFUNCTION("GOOGLETRANSLATE(A2650, ""zh"", ""en"")"),"staff")</f>
        <v>staff</v>
      </c>
      <c r="C2650" s="1" t="str">
        <f ca="1">IFERROR(__xludf.DUMMYFUNCTION("GOOGLETRANSLATE(E2650, ""zh"", ""en"")"),"Qualitative text")</f>
        <v>Qualitative text</v>
      </c>
    </row>
    <row r="2651" spans="1:3" ht="13" x14ac:dyDescent="0.15">
      <c r="A2651" s="1" t="str">
        <f ca="1">IFERROR(__xludf.DUMMYFUNCTION("GOOGLETRANSLATE(A2651, ""zh"", ""en"")"),"The number of employees in the western region refers to the number of employees in the entire China Construction Bank, excluding domestic and overseas branches and subsidiaries, in the western region of my country as of the end of the reporting period.")</f>
        <v>The number of employees in the western region refers to the number of employees in the entire China Construction Bank, excluding domestic and overseas branches and subsidiaries, in the western region of my country as of the end of the reporting period.</v>
      </c>
      <c r="B2651" s="1" t="str">
        <f ca="1">IFERROR(__xludf.DUMMYFUNCTION("GOOGLETRANSLATE(A2651, ""zh"", ""en"")"),"staff")</f>
        <v>staff</v>
      </c>
      <c r="C2651" s="1" t="str">
        <f ca="1">IFERROR(__xludf.DUMMYFUNCTION("GOOGLETRANSLATE(E2651, ""zh"", ""en"")"),"Qualitative text")</f>
        <v>Qualitative text</v>
      </c>
    </row>
    <row r="2652" spans="1:3" ht="13" x14ac:dyDescent="0.15">
      <c r="A2652" s="1" t="str">
        <f ca="1">IFERROR(__xludf.DUMMYFUNCTION("GOOGLETRANSLATE(A2652, ""zh"", ""en"")"),"The number of employees in the central region refers to the number of employees in the entire China Construction Bank, excluding domestic and overseas branches and subsidiaries, in the central region of my country as of the end of the reporting period.")</f>
        <v>The number of employees in the central region refers to the number of employees in the entire China Construction Bank, excluding domestic and overseas branches and subsidiaries, in the central region of my country as of the end of the reporting period.</v>
      </c>
      <c r="B2652" s="1" t="str">
        <f ca="1">IFERROR(__xludf.DUMMYFUNCTION("GOOGLETRANSLATE(A2652, ""zh"", ""en"")"),"staff")</f>
        <v>staff</v>
      </c>
      <c r="C2652" s="1" t="str">
        <f ca="1">IFERROR(__xludf.DUMMYFUNCTION("GOOGLETRANSLATE(E2652, ""zh"", ""en"")"),"Qualitative text")</f>
        <v>Qualitative text</v>
      </c>
    </row>
    <row r="2653" spans="1:3" ht="13" x14ac:dyDescent="0.15">
      <c r="A2653" s="1" t="str">
        <f ca="1">IFERROR(__xludf.DUMMYFUNCTION("GOOGLETRANSLATE(A2653, ""zh"", ""en"")"),"To facilitate independent learning, we have established an online learning platform at home and abroad. The platform supports 24 languages ​​to meet the language needs of employees in various overseas regions.")</f>
        <v>To facilitate independent learning, we have established an online learning platform at home and abroad. The platform supports 24 languages ​​to meet the language needs of employees in various overseas regions.</v>
      </c>
      <c r="B2653" s="1" t="str">
        <f ca="1">IFERROR(__xludf.DUMMYFUNCTION("GOOGLETRANSLATE(A2653, ""zh"", ""en"")"),"staff")</f>
        <v>staff</v>
      </c>
      <c r="C2653" s="1" t="str">
        <f ca="1">IFERROR(__xludf.DUMMYFUNCTION("GOOGLETRANSLATE(E2653, ""zh"", ""en"")"),"Qualitative text")</f>
        <v>Qualitative text</v>
      </c>
    </row>
    <row r="2654" spans="1:3" ht="13" x14ac:dyDescent="0.15">
      <c r="A2654" s="1" t="str">
        <f ca="1">IFERROR(__xludf.DUMMYFUNCTION("GOOGLETRANSLATE(A2654, ""zh"", ""en"")"),"About 360 Digital Security Leader, China's largest digital security company, and the world's leading cybersecurity service provider. The only company in the digital security industry to be listed in Forbes' list of China's Digital Economy Powerhouses.")</f>
        <v>About 360 Digital Security Leader, China's largest digital security company, and the world's leading cybersecurity service provider. The only company in the digital security industry to be listed in Forbes' list of China's Digital Economy Powerhouses.</v>
      </c>
      <c r="B2654" s="1" t="str">
        <f ca="1">IFERROR(__xludf.DUMMYFUNCTION("GOOGLETRANSLATE(A2654, ""zh"", ""en"")"),"Data security")</f>
        <v>Data security</v>
      </c>
      <c r="C2654" s="1" t="str">
        <f ca="1">IFERROR(__xludf.DUMMYFUNCTION("GOOGLETRANSLATE(E2654, ""zh"", ""en"")"),"Qualitative text")</f>
        <v>Qualitative text</v>
      </c>
    </row>
    <row r="2655" spans="1:3" ht="13" x14ac:dyDescent="0.15">
      <c r="A2655" s="1" t="str">
        <f ca="1">IFERROR(__xludf.DUMMYFUNCTION("GOOGLETRANSLATE(A2655, ""zh"", ""en"")"),"In the digital age, as advanced cyber threats continue to intensify and spread, digital security is becoming increasingly important for the fundamental and systematic protection of economic operations and social governance.")</f>
        <v>In the digital age, as advanced cyber threats continue to intensify and spread, digital security is becoming increasingly important for the fundamental and systematic protection of economic operations and social governance.</v>
      </c>
      <c r="B2655" s="1" t="str">
        <f ca="1">IFERROR(__xludf.DUMMYFUNCTION("GOOGLETRANSLATE(A2655, ""zh"", ""en"")"),"Data security")</f>
        <v>Data security</v>
      </c>
      <c r="C2655" s="1" t="str">
        <f ca="1">IFERROR(__xludf.DUMMYFUNCTION("GOOGLETRANSLATE(E2655, ""zh"", ""en"")"),"Qualitative text")</f>
        <v>Qualitative text</v>
      </c>
    </row>
    <row r="2656" spans="1:3" ht="13" x14ac:dyDescent="0.15">
      <c r="A2656" s="1" t="str">
        <f ca="1">IFERROR(__xludf.DUMMYFUNCTION("GOOGLETRANSLATE(A2656, ""zh"", ""en"")"),"Donated 100,000 yuan to the Disabled Persons Welfare Foundation to support the development of the disabled cause; donated 490,000 yuan to the Red Cross; and donated more than 40,000 yuan to other public welfare relief and public welfare projects.")</f>
        <v>Donated 100,000 yuan to the Disabled Persons Welfare Foundation to support the development of the disabled cause; donated 490,000 yuan to the Red Cross; and donated more than 40,000 yuan to other public welfare relief and public welfare projects.</v>
      </c>
      <c r="B2656" s="1" t="str">
        <f ca="1">IFERROR(__xludf.DUMMYFUNCTION("GOOGLETRANSLATE(A2656, ""zh"", ""en"")"),"Public welfare and volunteer service")</f>
        <v>Public welfare and volunteer service</v>
      </c>
      <c r="C2656" s="1" t="str">
        <f ca="1">IFERROR(__xludf.DUMMYFUNCTION("GOOGLETRANSLATE(E2656, ""zh"", ""en"")"),"Quantitative Text")</f>
        <v>Quantitative Text</v>
      </c>
    </row>
    <row r="2657" spans="1:3" ht="13" x14ac:dyDescent="0.15">
      <c r="A2657" s="1" t="str">
        <f ca="1">IFERROR(__xludf.DUMMYFUNCTION("GOOGLETRANSLATE(A2657, ""zh"", ""en"")"),"The Wenzhou branch of China Zheshang Bank provides comprehensive credit services to factoring companies, including banking, supply chain finance, and factoring services. The initial strategic cooperation amount is RMB 1 billion.")</f>
        <v>The Wenzhou branch of China Zheshang Bank provides comprehensive credit services to factoring companies, including banking, supply chain finance, and factoring services. The initial strategic cooperation amount is RMB 1 billion.</v>
      </c>
      <c r="B2657" s="1" t="str">
        <f ca="1">IFERROR(__xludf.DUMMYFUNCTION("GOOGLETRANSLATE(A2657, ""zh"", ""en"")"),"supply chain management")</f>
        <v>supply chain management</v>
      </c>
      <c r="C2657" s="1" t="str">
        <f ca="1">IFERROR(__xludf.DUMMYFUNCTION("GOOGLETRANSLATE(E2657, ""zh"", ""en"")"),"Quantitative Text")</f>
        <v>Quantitative Text</v>
      </c>
    </row>
    <row r="2658" spans="1:3" ht="13" x14ac:dyDescent="0.15">
      <c r="A2658" s="1" t="str">
        <f ca="1">IFERROR(__xludf.DUMMYFUNCTION("GOOGLETRANSLATE(A2658, ""zh"", ""en"")"),"Participated in the Group's 2022 Ankang Cup Safety Production Month Knowledge Quiz and won the second prize with a total score of third, showing the importance and enthusiasm of logistics personnel for safety production activities.")</f>
        <v>Participated in the Group's 2022 Ankang Cup Safety Production Month Knowledge Quiz and won the second prize with a total score of third, showing the importance and enthusiasm of logistics personnel for safety production activities.</v>
      </c>
      <c r="B2658" s="1" t="str">
        <f ca="1">IFERROR(__xludf.DUMMYFUNCTION("GOOGLETRANSLATE(A2658, ""zh"", ""en"")"),"staff")</f>
        <v>staff</v>
      </c>
      <c r="C2658" s="1" t="str">
        <f ca="1">IFERROR(__xludf.DUMMYFUNCTION("GOOGLETRANSLATE(E2658, ""zh"", ""en"")"),"Qualitative text")</f>
        <v>Qualitative text</v>
      </c>
    </row>
    <row r="2659" spans="1:3" ht="13" x14ac:dyDescent="0.15">
      <c r="A2659" s="1" t="str">
        <f ca="1">IFERROR(__xludf.DUMMYFUNCTION("GOOGLETRANSLATE(A2659, ""zh"", ""en"")"),"The first batch of training courses in cooperation with Wuchan Zhongda International College has been successfully completed. Since the training, 8 trainees have been promoted, 3 of whom have been promoted to middle-level management of the company.")</f>
        <v>The first batch of training courses in cooperation with Wuchan Zhongda International College has been successfully completed. Since the training, 8 trainees have been promoted, 3 of whom have been promoted to middle-level management of the company.</v>
      </c>
      <c r="B2659" s="1" t="str">
        <f ca="1">IFERROR(__xludf.DUMMYFUNCTION("GOOGLETRANSLATE(A2659, ""zh"", ""en"")"),"staff")</f>
        <v>staff</v>
      </c>
      <c r="C2659" s="1" t="str">
        <f ca="1">IFERROR(__xludf.DUMMYFUNCTION("GOOGLETRANSLATE(E2659, ""zh"", ""en"")"),"Quantitative Text")</f>
        <v>Quantitative Text</v>
      </c>
    </row>
    <row r="2660" spans="1:3" ht="13" x14ac:dyDescent="0.15">
      <c r="A2660" s="1" t="str">
        <f ca="1">IFERROR(__xludf.DUMMYFUNCTION("GOOGLETRANSLATE(A2660, ""zh"", ""en"")"),"Approved as the first batch of pilot projects for comprehensive reform of talent development system and mechanism in the province, it became the only provincial enterprise selected and will carry out social evaluation of supply chain management profession"&amp;"al skills in a one-test-two-certification model.")</f>
        <v>Approved as the first batch of pilot projects for comprehensive reform of talent development system and mechanism in the province, it became the only provincial enterprise selected and will carry out social evaluation of supply chain management professional skills in a one-test-two-certification model.</v>
      </c>
      <c r="B2660" s="1" t="str">
        <f ca="1">IFERROR(__xludf.DUMMYFUNCTION("GOOGLETRANSLATE(A2660, ""zh"", ""en"")"),"supply chain management")</f>
        <v>supply chain management</v>
      </c>
      <c r="C2660" s="1" t="str">
        <f ca="1">IFERROR(__xludf.DUMMYFUNCTION("GOOGLETRANSLATE(E2660, ""zh"", ""en"")"),"Qualitative text")</f>
        <v>Qualitative text</v>
      </c>
    </row>
    <row r="2661" spans="1:3" ht="13" x14ac:dyDescent="0.15">
      <c r="A2661" s="1" t="str">
        <f ca="1">IFERROR(__xludf.DUMMYFUNCTION("GOOGLETRANSLATE(A2661, ""zh"", ""en"")"),"The company has established a multi-level talent recruitment system with the group's unified campus special recruitment and unified online recruitment portal as the main body, social recruitment and internal recommendation and other social recruitment pla"&amp;"tforms as supplements.")</f>
        <v>The company has established a multi-level talent recruitment system with the group's unified campus special recruitment and unified online recruitment portal as the main body, social recruitment and internal recommendation and other social recruitment platforms as supplements.</v>
      </c>
      <c r="B2661" s="1" t="str">
        <f ca="1">IFERROR(__xludf.DUMMYFUNCTION("GOOGLETRANSLATE(A2661, ""zh"", ""en"")"),"Promoting employment")</f>
        <v>Promoting employment</v>
      </c>
      <c r="C2661" s="1" t="str">
        <f ca="1">IFERROR(__xludf.DUMMYFUNCTION("GOOGLETRANSLATE(E2661, ""zh"", ""en"")"),"Qualitative text")</f>
        <v>Qualitative text</v>
      </c>
    </row>
    <row r="2662" spans="1:3" ht="13" x14ac:dyDescent="0.15">
      <c r="A2662" s="1" t="str">
        <f ca="1">IFERROR(__xludf.DUMMYFUNCTION("GOOGLETRANSLATE(A2662, ""zh"", ""en"")"),"Implemented the ""Five Reductions and One Increase"" project, established 32 cost reduction and efficiency improvement projects, and reduced spare parts consumption, raw material and auxiliary material energy consumption, quality loss, and management expe"&amp;"nses through the development of high-end differentiated products.")</f>
        <v>Implemented the "Five Reductions and One Increase" project, established 32 cost reduction and efficiency improvement projects, and reduced spare parts consumption, raw material and auxiliary material energy consumption, quality loss, and management expenses through the development of high-end differentiated products.</v>
      </c>
      <c r="B2662" s="1" t="str">
        <f ca="1">IFERROR(__xludf.DUMMYFUNCTION("GOOGLETRANSLATE(A2662, ""zh"", ""en"")"),"raw materials")</f>
        <v>raw materials</v>
      </c>
      <c r="C2662" s="1" t="str">
        <f ca="1">IFERROR(__xludf.DUMMYFUNCTION("GOOGLETRANSLATE(E2662, ""zh"", ""en"")"),"Qualitative text")</f>
        <v>Qualitative text</v>
      </c>
    </row>
    <row r="2663" spans="1:3" ht="13" x14ac:dyDescent="0.15">
      <c r="A2663" s="1" t="str">
        <f ca="1">IFERROR(__xludf.DUMMYFUNCTION("GOOGLETRANSLATE(A2663, ""zh"", ""en"")"),"In addition, the company attaches importance to and strengthens the labor protection of female employees in the production process, organizes and carries out health inspections of the working environment of female employees, and continuously improves the "&amp;"working conditions of female employees.")</f>
        <v>In addition, the company attaches importance to and strengthens the labor protection of female employees in the production process, organizes and carries out health inspections of the working environment of female employees, and continuously improves the working conditions of female employees.</v>
      </c>
      <c r="B2663" s="1" t="str">
        <f ca="1">IFERROR(__xludf.DUMMYFUNCTION("GOOGLETRANSLATE(A2663, ""zh"", ""en"")"),"staff")</f>
        <v>staff</v>
      </c>
      <c r="C2663" s="1" t="str">
        <f ca="1">IFERROR(__xludf.DUMMYFUNCTION("GOOGLETRANSLATE(E2663, ""zh"", ""en"")"),"Qualitative text")</f>
        <v>Qualitative text</v>
      </c>
    </row>
    <row r="2664" spans="1:3" ht="13" x14ac:dyDescent="0.15">
      <c r="A2664" s="1" t="str">
        <f ca="1">IFERROR(__xludf.DUMMYFUNCTION("GOOGLETRANSLATE(A2664, ""zh"", ""en"")"),"Assess the company's risk mitigation capabilities through internal attack and defense exercises, continuously track and rectify issues discovered during pre-exercises, and comprehensively enhance the company's network security protection level and risk mi"&amp;"tigation capabilities.")</f>
        <v>Assess the company's risk mitigation capabilities through internal attack and defense exercises, continuously track and rectify issues discovered during pre-exercises, and comprehensively enhance the company's network security protection level and risk mitigation capabilities.</v>
      </c>
      <c r="B2664" s="1" t="str">
        <f ca="1">IFERROR(__xludf.DUMMYFUNCTION("GOOGLETRANSLATE(A2664, ""zh"", ""en"")"),"Data security")</f>
        <v>Data security</v>
      </c>
      <c r="C2664" s="1" t="str">
        <f ca="1">IFERROR(__xludf.DUMMYFUNCTION("GOOGLETRANSLATE(E2664, ""zh"", ""en"")"),"Qualitative text")</f>
        <v>Qualitative text</v>
      </c>
    </row>
    <row r="2665" spans="1:3" ht="13" x14ac:dyDescent="0.15">
      <c r="A2665" s="1" t="str">
        <f ca="1">IFERROR(__xludf.DUMMYFUNCTION("GOOGLETRANSLATE(A2665, ""zh"", ""en"")"),"At the same time, it inspires companies to use their unique product attributes and technological strength to solve social problems around innovative green and responsible development and seize new opportunities for green development through effective comm"&amp;"unication of ESG.")</f>
        <v>At the same time, it inspires companies to use their unique product attributes and technological strength to solve social problems around innovative green and responsible development and seize new opportunities for green development through effective communication of ESG.</v>
      </c>
      <c r="B2665" s="1" t="str">
        <f ca="1">IFERROR(__xludf.DUMMYFUNCTION("GOOGLETRANSLATE(A2665, ""zh"", ""en"")"),"Technological innovation")</f>
        <v>Technological innovation</v>
      </c>
      <c r="C2665" s="1" t="str">
        <f ca="1">IFERROR(__xludf.DUMMYFUNCTION("GOOGLETRANSLATE(E2665, ""zh"", ""en"")"),"Qualitative text")</f>
        <v>Qualitative text</v>
      </c>
    </row>
    <row r="2666" spans="1:3" ht="13" x14ac:dyDescent="0.15">
      <c r="A2666" s="1" t="str">
        <f ca="1">IFERROR(__xludf.DUMMYFUNCTION("GOOGLETRANSLATE(A2666, ""zh"", ""en"")"),"At the same time, the above laws and regulations require companies to independently determine their own wage distribution methods and wage levels in accordance with the law, pay employees' salaries on time and protect workers' rights to rest and vacation.")</f>
        <v>At the same time, the above laws and regulations require companies to independently determine their own wage distribution methods and wage levels in accordance with the law, pay employees' salaries on time and protect workers' rights to rest and vacation.</v>
      </c>
      <c r="B2666" s="1" t="str">
        <f ca="1">IFERROR(__xludf.DUMMYFUNCTION("GOOGLETRANSLATE(A2666, ""zh"", ""en"")"),"staff")</f>
        <v>staff</v>
      </c>
      <c r="C2666" s="1" t="str">
        <f ca="1">IFERROR(__xludf.DUMMYFUNCTION("GOOGLETRANSLATE(E2666, ""zh"", ""en"")"),"Qualitative text")</f>
        <v>Qualitative text</v>
      </c>
    </row>
    <row r="2667" spans="1:3" ht="13" x14ac:dyDescent="0.15">
      <c r="A2667" s="1" t="str">
        <f ca="1">IFERROR(__xludf.DUMMYFUNCTION("GOOGLETRANSLATE(A2667, ""zh"", ""en"")"),"We provide all employees with non-compensatory benefits, including physical examinations, commercial insurance, birthday care, holiday benefits, mutual aid funds, various employee trainings, theme activities, various sports club activities, etc.")</f>
        <v>We provide all employees with non-compensatory benefits, including physical examinations, commercial insurance, birthday care, holiday benefits, mutual aid funds, various employee trainings, theme activities, various sports club activities, etc.</v>
      </c>
      <c r="B2667" s="1" t="str">
        <f ca="1">IFERROR(__xludf.DUMMYFUNCTION("GOOGLETRANSLATE(A2667, ""zh"", ""en"")"),"staff")</f>
        <v>staff</v>
      </c>
      <c r="C2667" s="1" t="str">
        <f ca="1">IFERROR(__xludf.DUMMYFUNCTION("GOOGLETRANSLATE(E2667, ""zh"", ""en"")"),"Qualitative text")</f>
        <v>Qualitative text</v>
      </c>
    </row>
    <row r="2668" spans="1:3" ht="13" x14ac:dyDescent="0.15">
      <c r="A2668" s="1" t="str">
        <f ca="1">IFERROR(__xludf.DUMMYFUNCTION("GOOGLETRANSLATE(A2668, ""zh"", ""en"")"),"In 2022, the company revised and improved Sinopec's expert management methods and Sinopec's high-level skill position selection and management methods to improve the talent development mechanism with smooth vertical and horizontal integration.")</f>
        <v>In 2022, the company revised and improved Sinopec's expert management methods and Sinopec's high-level skill position selection and management methods to improve the talent development mechanism with smooth vertical and horizontal integration.</v>
      </c>
      <c r="B2668" s="1" t="str">
        <f ca="1">IFERROR(__xludf.DUMMYFUNCTION("GOOGLETRANSLATE(A2668, ""zh"", ""en"")"),"staff")</f>
        <v>staff</v>
      </c>
      <c r="C2668" s="1" t="str">
        <f ca="1">IFERROR(__xludf.DUMMYFUNCTION("GOOGLETRANSLATE(E2668, ""zh"", ""en"")"),"Qualitative text")</f>
        <v>Qualitative text</v>
      </c>
    </row>
    <row r="2669" spans="1:3" ht="13" x14ac:dyDescent="0.15">
      <c r="A2669" s="1" t="str">
        <f ca="1">IFERROR(__xludf.DUMMYFUNCTION("GOOGLETRANSLATE(A2669, ""zh"", ""en"")"),"In order to cultivate professional and international talents, the company invests in organizing annual professional qualification follow-up education and training every year and organizes employees to actively participate in various trainings organized by"&amp;" regulatory agencies and industry associations.")</f>
        <v>In order to cultivate professional and international talents, the company invests in organizing annual professional qualification follow-up education and training every year and organizes employees to actively participate in various trainings organized by regulatory agencies and industry associations.</v>
      </c>
      <c r="B2669" s="1" t="str">
        <f ca="1">IFERROR(__xludf.DUMMYFUNCTION("GOOGLETRANSLATE(A2669, ""zh"", ""en"")"),"staff")</f>
        <v>staff</v>
      </c>
      <c r="C2669" s="1" t="str">
        <f ca="1">IFERROR(__xludf.DUMMYFUNCTION("GOOGLETRANSLATE(E2669, ""zh"", ""en"")"),"Qualitative text")</f>
        <v>Qualitative text</v>
      </c>
    </row>
    <row r="2670" spans="1:3" ht="13" x14ac:dyDescent="0.15">
      <c r="A2670" s="1" t="str">
        <f ca="1">IFERROR(__xludf.DUMMYFUNCTION("GOOGLETRANSLATE(A2670, ""zh"", ""en"")"),"In 2022, antiviral treatment was established to effectively reduce the risk of disease progression and death. Fosun Pharma and its subsidiary, Henlius, successively provided medical services to high-risk groups such as the elderly.")</f>
        <v>In 2022, antiviral treatment was established to effectively reduce the risk of disease progression and death. Fosun Pharma and its subsidiary, Henlius, successively provided medical services to high-risk groups such as the elderly.</v>
      </c>
      <c r="B2670" s="1" t="str">
        <f ca="1">IFERROR(__xludf.DUMMYFUNCTION("GOOGLETRANSLATE(A2670, ""zh"", ""en"")"),"Fighting the epidemic")</f>
        <v>Fighting the epidemic</v>
      </c>
      <c r="C2670" s="1" t="str">
        <f ca="1">IFERROR(__xludf.DUMMYFUNCTION("GOOGLETRANSLATE(E2670, ""zh"", ""en"")"),"Qualitative text")</f>
        <v>Qualitative text</v>
      </c>
    </row>
    <row r="2671" spans="1:3" ht="13" x14ac:dyDescent="0.15">
      <c r="A2671" s="1" t="str">
        <f ca="1">IFERROR(__xludf.DUMMYFUNCTION("GOOGLETRANSLATE(A2671, ""zh"", ""en"")"),"In 2022, the Group's domestic pharmaceutical member companies underwent a total of 68 official inspections at home and abroad, all of which were successful. In 2022, Fosun Pharma Industry passed the mRNA")</f>
        <v>In 2022, the Group's domestic pharmaceutical member companies underwent a total of 68 official inspections at home and abroad, all of which were successful. In 2022, Fosun Pharma Industry passed the mRNA</v>
      </c>
      <c r="B2671" s="1" t="str">
        <f ca="1">IFERROR(__xludf.DUMMYFUNCTION("GOOGLETRANSLATE(A2671, ""zh"", ""en"")"),"Product quality")</f>
        <v>Product quality</v>
      </c>
      <c r="C2671" s="1" t="str">
        <f ca="1">IFERROR(__xludf.DUMMYFUNCTION("GOOGLETRANSLATE(E2671, ""zh"", ""en"")"),"Quantitative Text")</f>
        <v>Quantitative Text</v>
      </c>
    </row>
    <row r="2672" spans="1:3" ht="13" x14ac:dyDescent="0.15">
      <c r="A2672" s="1" t="str">
        <f ca="1">IFERROR(__xludf.DUMMYFUNCTION("GOOGLETRANSLATE(A2672, ""zh"", ""en"")"),"In 2022, the company will comprehensively sort out and clarify the scope of high-risk businesses, high-risk positions and key personnel, and promote the full integration of compliance management requirements into internal controls, business processes and "&amp;"job responsibilities.")</f>
        <v>In 2022, the company will comprehensively sort out and clarify the scope of high-risk businesses, high-risk positions and key personnel, and promote the full integration of compliance management requirements into internal controls, business processes and job responsibilities.</v>
      </c>
      <c r="B2672" s="1" t="str">
        <f ca="1">IFERROR(__xludf.DUMMYFUNCTION("GOOGLETRANSLATE(A2672, ""zh"", ""en"")"),"Legal proceedings and external sanctions")</f>
        <v>Legal proceedings and external sanctions</v>
      </c>
      <c r="C2672" s="1" t="str">
        <f ca="1">IFERROR(__xludf.DUMMYFUNCTION("GOOGLETRANSLATE(E2672, ""zh"", ""en"")"),"Qualitative text")</f>
        <v>Qualitative text</v>
      </c>
    </row>
    <row r="2673" spans="1:3" ht="13" x14ac:dyDescent="0.15">
      <c r="A2673" s="1" t="str">
        <f ca="1">IFERROR(__xludf.DUMMYFUNCTION("GOOGLETRANSLATE(A2673, ""zh"", ""en"")"),"Among enterprises, Fosun Pharma Group's performance in human capital development, product quality and safety, inclusive healthcare, etc. is at the forefront of the industry, relying on the ESG Committee of the Fosun Pharma Board of Directors and the lower")</f>
        <v>Among enterprises, Fosun Pharma Group's performance in human capital development, product quality and safety, inclusive healthcare, etc. is at the forefront of the industry, relying on the ESG Committee of the Fosun Pharma Board of Directors and the lower</v>
      </c>
      <c r="B2673" s="1" t="str">
        <f ca="1">IFERROR(__xludf.DUMMYFUNCTION("GOOGLETRANSLATE(A2673, ""zh"", ""en"")"),"staff")</f>
        <v>staff</v>
      </c>
      <c r="C2673" s="1" t="str">
        <f ca="1">IFERROR(__xludf.DUMMYFUNCTION("GOOGLETRANSLATE(E2673, ""zh"", ""en"")"),"Qualitative text")</f>
        <v>Qualitative text</v>
      </c>
    </row>
    <row r="2674" spans="1:3" ht="13" x14ac:dyDescent="0.15">
      <c r="A2674" s="1" t="str">
        <f ca="1">IFERROR(__xludf.DUMMYFUNCTION("GOOGLETRANSLATE(A2674, ""zh"", ""en"")"),"Promote the formation of learning communities between local schools and the Affiliated Middle School of Xi'an Jiaotong University, improve the overall quality of the local teaching staff in Ankang, and provide strong talent support for the economic and so"&amp;"cial development of Ankang City.")</f>
        <v>Promote the formation of learning communities between local schools and the Affiliated Middle School of Xi'an Jiaotong University, improve the overall quality of the local teaching staff in Ankang, and provide strong talent support for the economic and social development of Ankang City.</v>
      </c>
      <c r="B2674" s="1" t="str">
        <f ca="1">IFERROR(__xludf.DUMMYFUNCTION("GOOGLETRANSLATE(A2674, ""zh"", ""en"")"),"Promoting employment")</f>
        <v>Promoting employment</v>
      </c>
      <c r="C2674" s="1" t="str">
        <f ca="1">IFERROR(__xludf.DUMMYFUNCTION("GOOGLETRANSLATE(E2674, ""zh"", ""en"")"),"Qualitative text")</f>
        <v>Qualitative text</v>
      </c>
    </row>
    <row r="2675" spans="1:3" ht="13" x14ac:dyDescent="0.15">
      <c r="A2675" s="1" t="str">
        <f ca="1">IFERROR(__xludf.DUMMYFUNCTION("GOOGLETRANSLATE(A2675, ""zh"", ""en"")"),"Fosun Health advocates for ""Happiness 1"" by integrating innovation in medicine and healthcare to make it affordable for patients and their families. It is committed to doing better for users and deepening the development of the ""Three Physical Healthca"&amp;"re"" to ensure patient safety.")</f>
        <v>Fosun Health advocates for "Happiness 1" by integrating innovation in medicine and healthcare to make it affordable for patients and their families. It is committed to doing better for users and deepening the development of the "Three Physical Healthcare" to ensure patient safety.</v>
      </c>
      <c r="B2675" s="1" t="str">
        <f ca="1">IFERROR(__xludf.DUMMYFUNCTION("GOOGLETRANSLATE(A2675, ""zh"", ""en"")"),"Customers and Consumers")</f>
        <v>Customers and Consumers</v>
      </c>
      <c r="C2675" s="1" t="str">
        <f ca="1">IFERROR(__xludf.DUMMYFUNCTION("GOOGLETRANSLATE(E2675, ""zh"", ""en"")"),"Qualitative text")</f>
        <v>Qualitative text</v>
      </c>
    </row>
    <row r="2676" spans="1:3" ht="13" x14ac:dyDescent="0.15">
      <c r="A2676" s="1" t="str">
        <f ca="1">IFERROR(__xludf.DUMMYFUNCTION("GOOGLETRANSLATE(A2676, ""zh"", ""en"")"),"Orderly promote climate transition risk stress testing in key areas Signed a joint action plan for banking and financial institutions to support biodiversity conservation Leading the industry in releasing an environmental information disclosure report")</f>
        <v>Orderly promote climate transition risk stress testing in key areas Signed a joint action plan for banking and financial institutions to support biodiversity conservation Leading the industry in releasing an environmental information disclosure report</v>
      </c>
      <c r="B2676" s="1" t="str">
        <f ca="1">IFERROR(__xludf.DUMMYFUNCTION("GOOGLETRANSLATE(A2676, ""zh"", ""en"")"),"biodiversity")</f>
        <v>biodiversity</v>
      </c>
      <c r="C2676" s="1" t="str">
        <f ca="1">IFERROR(__xludf.DUMMYFUNCTION("GOOGLETRANSLATE(E2676, ""zh"", ""en"")"),"Qualitative text")</f>
        <v>Qualitative text</v>
      </c>
    </row>
    <row r="2677" spans="1:3" ht="13" x14ac:dyDescent="0.15">
      <c r="A2677" s="1" t="str">
        <f ca="1">IFERROR(__xludf.DUMMYFUNCTION("GOOGLETRANSLATE(A2677, ""zh"", ""en"")"),"In 2022, Fosun Pharma's holding subsidiary obtained MPP license to produce and supply two high-quality and affordable oral COVID-19 drugs to middle- and low-income countries in agreed regions around the world.")</f>
        <v>In 2022, Fosun Pharma's holding subsidiary obtained MPP license to produce and supply two high-quality and affordable oral COVID-19 drugs to middle- and low-income countries in agreed regions around the world.</v>
      </c>
      <c r="B2677" s="1" t="str">
        <f ca="1">IFERROR(__xludf.DUMMYFUNCTION("GOOGLETRANSLATE(A2677, ""zh"", ""en"")"),"Fighting the epidemic")</f>
        <v>Fighting the epidemic</v>
      </c>
      <c r="C2677" s="1" t="str">
        <f ca="1">IFERROR(__xludf.DUMMYFUNCTION("GOOGLETRANSLATE(E2677, ""zh"", ""en"")"),"Qualitative text")</f>
        <v>Qualitative text</v>
      </c>
    </row>
    <row r="2678" spans="1:3" ht="13" x14ac:dyDescent="0.15">
      <c r="A2678" s="1" t="str">
        <f ca="1">IFERROR(__xludf.DUMMYFUNCTION("GOOGLETRANSLATE(A2678, ""zh"", ""en"")"),"In 2022, the company headquarters and its branches and subsidiaries set up a total of 2,623 anti-corruption courses with a total training time of 15,864 hours, and the coverage rate of anti-corruption training was 100%.")</f>
        <v>In 2022, the company headquarters and its branches and subsidiaries set up a total of 2,623 anti-corruption courses with a total training time of 15,864 hours, and the coverage rate of anti-corruption training was 100%.</v>
      </c>
      <c r="B2678" s="1" t="str">
        <f ca="1">IFERROR(__xludf.DUMMYFUNCTION("GOOGLETRANSLATE(A2678, ""zh"", ""en"")"),"Anti-corruption and anti-money laundering")</f>
        <v>Anti-corruption and anti-money laundering</v>
      </c>
      <c r="C2678" s="1" t="str">
        <f ca="1">IFERROR(__xludf.DUMMYFUNCTION("GOOGLETRANSLATE(E2678, ""zh"", ""en"")"),"Quantitative Text")</f>
        <v>Quantitative Text</v>
      </c>
    </row>
    <row r="2679" spans="1:3" ht="13" x14ac:dyDescent="0.15">
      <c r="A2679" s="1" t="str">
        <f ca="1">IFERROR(__xludf.DUMMYFUNCTION("GOOGLETRANSLATE(A2679, ""zh"", ""en"")"),"CITIC Securities' 2022 Annual Social Responsibility Report also disclosed in detail that the above environmental, social and governance related matters had been reviewed and approved by the Board of Directors on March 30, 2023.")</f>
        <v>CITIC Securities' 2022 Annual Social Responsibility Report also disclosed in detail that the above environmental, social and governance related matters had been reviewed and approved by the Board of Directors on March 30, 2023.</v>
      </c>
      <c r="B2679" s="1" t="str">
        <f ca="1">IFERROR(__xludf.DUMMYFUNCTION("GOOGLETRANSLATE(A2679, ""zh"", ""en"")"),"Information Disclosure and Investor Communication")</f>
        <v>Information Disclosure and Investor Communication</v>
      </c>
      <c r="C2679" s="1" t="str">
        <f ca="1">IFERROR(__xludf.DUMMYFUNCTION("GOOGLETRANSLATE(E2679, ""zh"", ""en"")"),"Qualitative text")</f>
        <v>Qualitative text</v>
      </c>
    </row>
    <row r="2680" spans="1:3" ht="13" x14ac:dyDescent="0.15">
      <c r="A2680" s="1" t="str">
        <f ca="1">IFERROR(__xludf.DUMMYFUNCTION("GOOGLETRANSLATE(A2680, ""zh"", ""en"")"),"82. 84. Labor Regulations b. Compliance with relevant laws, policies and key areas that have a significant impact on the issuer. 84.2. Describe the information found in the regulations and the regulations.")</f>
        <v>82. 84. Labor Regulations b. Compliance with relevant laws, policies and key areas that have a significant impact on the issuer. 84.2. Describe the information found in the regulations and the regulations.</v>
      </c>
      <c r="B2680" s="1" t="str">
        <f ca="1">IFERROR(__xludf.DUMMYFUNCTION("GOOGLETRANSLATE(A2680, ""zh"", ""en"")"),"staff")</f>
        <v>staff</v>
      </c>
      <c r="C2680" s="1" t="str">
        <f ca="1">IFERROR(__xludf.DUMMYFUNCTION("GOOGLETRANSLATE(E2680, ""zh"", ""en"")"),"Qualitative text")</f>
        <v>Qualitative text</v>
      </c>
    </row>
    <row r="2681" spans="1:3" ht="13" x14ac:dyDescent="0.15">
      <c r="A2681" s="1" t="str">
        <f ca="1">IFERROR(__xludf.DUMMYFUNCTION("GOOGLETRANSLATE(A2681, ""zh"", ""en"")"),"The carbon emissions generated by gasoline consumed by Chengling Enterprise's shuttle buses and company cars will be classified as direct emission sources, scope 1, energy indirect emission sources, scope 2, and other indirect emission sources, scope 3.")</f>
        <v>The carbon emissions generated by gasoline consumed by Chengling Enterprise's shuttle buses and company cars will be classified as direct emission sources, scope 1, energy indirect emission sources, scope 2, and other indirect emission sources, scope 3.</v>
      </c>
      <c r="B2681" s="1" t="str">
        <f ca="1">IFERROR(__xludf.DUMMYFUNCTION("GOOGLETRANSLATE(A2681, ""zh"", ""en"")"),"carbon emissions")</f>
        <v>carbon emissions</v>
      </c>
      <c r="C2681" s="1" t="str">
        <f ca="1">IFERROR(__xludf.DUMMYFUNCTION("GOOGLETRANSLATE(E2681, ""zh"", ""en"")"),"Qualitative text")</f>
        <v>Qualitative text</v>
      </c>
    </row>
    <row r="2682" spans="1:3" ht="13" x14ac:dyDescent="0.15">
      <c r="A2682" s="1" t="str">
        <f ca="1">IFERROR(__xludf.DUMMYFUNCTION("GOOGLETRANSLATE(A2682, ""zh"", ""en"")"),"In 2022, the Group's domestic pharmaceutical production process received a total of 39 quality-related complaints from member companies. Through the active efforts of each member company, 100% response and handling were achieved.")</f>
        <v>In 2022, the Group's domestic pharmaceutical production process received a total of 39 quality-related complaints from member companies. Through the active efforts of each member company, 100% response and handling were achieved.</v>
      </c>
      <c r="B2682" s="1" t="str">
        <f ca="1">IFERROR(__xludf.DUMMYFUNCTION("GOOGLETRANSLATE(A2682, ""zh"", ""en"")"),"Product quality")</f>
        <v>Product quality</v>
      </c>
      <c r="C2682" s="1" t="str">
        <f ca="1">IFERROR(__xludf.DUMMYFUNCTION("GOOGLETRANSLATE(E2682, ""zh"", ""en"")"),"Quantitative Text")</f>
        <v>Quantitative Text</v>
      </c>
    </row>
    <row r="2683" spans="1:3" ht="13" x14ac:dyDescent="0.15">
      <c r="A2683" s="1" t="str">
        <f ca="1">IFERROR(__xludf.DUMMYFUNCTION("GOOGLETRANSLATE(A2683, ""zh"", ""en"")"),"The pyramid-shaped EHS culture structure has a common focus from top to bottom, and promotes the comprehensive coverage and deep implementation of EHS. After years of EHS team building and EHS professional and part-time work,")</f>
        <v>The pyramid-shaped EHS culture structure has a common focus from top to bottom, and promotes the comprehensive coverage and deep implementation of EHS. After years of EHS team building and EHS professional and part-time work,</v>
      </c>
      <c r="B2683" s="1" t="str">
        <f ca="1">IFERROR(__xludf.DUMMYFUNCTION("GOOGLETRANSLATE(A2683, ""zh"", ""en"")"),"irrelevant text")</f>
        <v>irrelevant text</v>
      </c>
      <c r="C2683" s="1" t="str">
        <f ca="1">IFERROR(__xludf.DUMMYFUNCTION("GOOGLETRANSLATE(E2683, ""zh"", ""en"")"),"irrelevant text")</f>
        <v>irrelevant text</v>
      </c>
    </row>
    <row r="2684" spans="1:3" ht="13" x14ac:dyDescent="0.15">
      <c r="A2684" s="1" t="str">
        <f ca="1">IFERROR(__xludf.DUMMYFUNCTION("GOOGLETRANSLATE(A2684, ""zh"", ""en"")"),"Frequent extreme weather events are affected by global warming and the instability of the climate system has increased. The frequency and intensity of extreme weather events have increased, which has affected the operational stability of the Group.")</f>
        <v>Frequent extreme weather events are affected by global warming and the instability of the climate system has increased. The frequency and intensity of extreme weather events have increased, which has affected the operational stability of the Group.</v>
      </c>
      <c r="B2684" s="1" t="str">
        <f ca="1">IFERROR(__xludf.DUMMYFUNCTION("GOOGLETRANSLATE(A2684, ""zh"", ""en"")"),"Addressing climate change")</f>
        <v>Addressing climate change</v>
      </c>
      <c r="C2684" s="1" t="str">
        <f ca="1">IFERROR(__xludf.DUMMYFUNCTION("GOOGLETRANSLATE(E2684, ""zh"", ""en"")"),"Qualitative text")</f>
        <v>Qualitative text</v>
      </c>
    </row>
    <row r="2685" spans="1:3" ht="13" x14ac:dyDescent="0.15">
      <c r="A2685" s="1" t="str">
        <f ca="1">IFERROR(__xludf.DUMMYFUNCTION("GOOGLETRANSLATE(A2685, ""zh"", ""en"")"),"We established on-site spiritual civilization education teaching sites in Xishui County, Guizhou Province, and Hengfeng County, Jiangxi Province. We also held over 600 themed cultural activities in Xinjiang, enriching the spiritual life of the general pub"&amp;"lic.")</f>
        <v>We established on-site spiritual civilization education teaching sites in Xishui County, Guizhou Province, and Hengfeng County, Jiangxi Province. We also held over 600 themed cultural activities in Xinjiang, enriching the spiritual life of the general public.</v>
      </c>
      <c r="B2685" s="1" t="str">
        <f ca="1">IFERROR(__xludf.DUMMYFUNCTION("GOOGLETRANSLATE(A2685, ""zh"", ""en"")"),"Public welfare and volunteer service")</f>
        <v>Public welfare and volunteer service</v>
      </c>
      <c r="C2685" s="1" t="str">
        <f ca="1">IFERROR(__xludf.DUMMYFUNCTION("GOOGLETRANSLATE(E2685, ""zh"", ""en"")"),"Quantitative Text")</f>
        <v>Quantitative Text</v>
      </c>
    </row>
    <row r="2686" spans="1:3" ht="13" x14ac:dyDescent="0.15">
      <c r="A2686" s="1" t="str">
        <f ca="1">IFERROR(__xludf.DUMMYFUNCTION("GOOGLETRANSLATE(A2686, ""zh"", ""en"")"),"A recommended catalog of consumer assistance products has been published, featuring over 3,000 products from nearly 300 poverty-stricken counties. Employees and their affiliated companies are encouraged to increase their purchases of consumer assistance p"&amp;"roducts from designated poverty alleviation counties.")</f>
        <v>A recommended catalog of consumer assistance products has been published, featuring over 3,000 products from nearly 300 poverty-stricken counties. Employees and their affiliated companies are encouraged to increase their purchases of consumer assistance products from designated poverty alleviation counties.</v>
      </c>
      <c r="B2686" s="1" t="str">
        <f ca="1">IFERROR(__xludf.DUMMYFUNCTION("GOOGLETRANSLATE(A2686, ""zh"", ""en"")"),"Rural assistance")</f>
        <v>Rural assistance</v>
      </c>
      <c r="C2686" s="1" t="str">
        <f ca="1">IFERROR(__xludf.DUMMYFUNCTION("GOOGLETRANSLATE(E2686, ""zh"", ""en"")"),"Qualitative text")</f>
        <v>Qualitative text</v>
      </c>
    </row>
    <row r="2687" spans="1:3" ht="13" x14ac:dyDescent="0.15">
      <c r="A2687" s="1" t="str">
        <f ca="1">IFERROR(__xludf.DUMMYFUNCTION("GOOGLETRANSLATE(A2687, ""zh"", ""en"")"),"Case CASE Australia Wrigley Project strictly manages and controls drainage, sewage treatment and recycling in accordance with the Australian Oil and Gas Production and Safety Act and the Water Act")</f>
        <v>Case CASE Australia Wrigley Project strictly manages and controls drainage, sewage treatment and recycling in accordance with the Australian Oil and Gas Production and Safety Act and the Water Act</v>
      </c>
      <c r="B2687" s="1" t="str">
        <f ca="1">IFERROR(__xludf.DUMMYFUNCTION("GOOGLETRANSLATE(A2687, ""zh"", ""en"")"),"Water resources")</f>
        <v>Water resources</v>
      </c>
      <c r="C2687" s="1" t="str">
        <f ca="1">IFERROR(__xludf.DUMMYFUNCTION("GOOGLETRANSLATE(E2687, ""zh"", ""en"")"),"Qualitative text")</f>
        <v>Qualitative text</v>
      </c>
    </row>
    <row r="2688" spans="1:3" ht="13" x14ac:dyDescent="0.15">
      <c r="A2688" s="1" t="str">
        <f ca="1">IFERROR(__xludf.DUMMYFUNCTION("GOOGLETRANSLATE(A2688, ""zh"", ""en"")"),"Gathering in the cloud for a healthy and warm family, we aim to build families for employees on overseas projects and enhance parent-child relationships. We help employees and their spouses learn parent-child communication skills and build families togeth"&amp;"er.")</f>
        <v>Gathering in the cloud for a healthy and warm family, we aim to build families for employees on overseas projects and enhance parent-child relationships. We help employees and their spouses learn parent-child communication skills and build families together.</v>
      </c>
      <c r="B2688" s="1" t="str">
        <f ca="1">IFERROR(__xludf.DUMMYFUNCTION("GOOGLETRANSLATE(A2688, ""zh"", ""en"")"),"staff")</f>
        <v>staff</v>
      </c>
      <c r="C2688" s="1" t="str">
        <f ca="1">IFERROR(__xludf.DUMMYFUNCTION("GOOGLETRANSLATE(E2688, ""zh"", ""en"")"),"Qualitative text")</f>
        <v>Qualitative text</v>
      </c>
    </row>
    <row r="2689" spans="1:3" ht="13" x14ac:dyDescent="0.15">
      <c r="A2689" s="1" t="str">
        <f ca="1">IFERROR(__xludf.DUMMYFUNCTION("GOOGLETRANSLATE(A2689, ""zh"", ""en"")"),"Level 103 B7 Anti-Corruption General Disclosure: Information on a) Policies and b) Compliance with relevant laws and regulations that have a significant impact on the issuer in relation to preventing bribery, extortion, fraud and money laundering")</f>
        <v>Level 103 B7 Anti-Corruption General Disclosure: Information on a) Policies and b) Compliance with relevant laws and regulations that have a significant impact on the issuer in relation to preventing bribery, extortion, fraud and money laundering</v>
      </c>
      <c r="B2689" s="1" t="str">
        <f ca="1">IFERROR(__xludf.DUMMYFUNCTION("GOOGLETRANSLATE(A2689, ""zh"", ""en"")"),"Anti-corruption and anti-money laundering")</f>
        <v>Anti-corruption and anti-money laundering</v>
      </c>
      <c r="C2689" s="1" t="str">
        <f ca="1">IFERROR(__xludf.DUMMYFUNCTION("GOOGLETRANSLATE(E2689, ""zh"", ""en"")"),"Qualitative text")</f>
        <v>Qualitative text</v>
      </c>
    </row>
    <row r="2690" spans="1:3" ht="13" x14ac:dyDescent="0.15">
      <c r="A2690" s="1" t="str">
        <f ca="1">IFERROR(__xludf.DUMMYFUNCTION("GOOGLETRANSLATE(A2690, ""zh"", ""en"")"),"Establish a greenhouse gas verification and accounting mechanism in accordance with national greenhouse gas verification and accounting standards, set up a greenhouse gas verification and accounting center to calculate greenhouse gas emissions data on a q"&amp;"uarterly basis and conduct regular verification.")</f>
        <v>Establish a greenhouse gas verification and accounting mechanism in accordance with national greenhouse gas verification and accounting standards, set up a greenhouse gas verification and accounting center to calculate greenhouse gas emissions data on a quarterly basis and conduct regular verification.</v>
      </c>
      <c r="B2690" s="1" t="str">
        <f ca="1">IFERROR(__xludf.DUMMYFUNCTION("GOOGLETRANSLATE(A2690, ""zh"", ""en"")"),"carbon emissions")</f>
        <v>carbon emissions</v>
      </c>
      <c r="C2690" s="1" t="str">
        <f ca="1">IFERROR(__xludf.DUMMYFUNCTION("GOOGLETRANSLATE(E2690, ""zh"", ""en"")"),"Qualitative text")</f>
        <v>Qualitative text</v>
      </c>
    </row>
    <row r="2691" spans="1:3" ht="13" x14ac:dyDescent="0.15">
      <c r="A2691" s="1" t="str">
        <f ca="1">IFERROR(__xludf.DUMMYFUNCTION("GOOGLETRANSLATE(A2691, ""zh"", ""en"")"),"Share CNPC's experience in participating in OGCI and fulfilling other social responsibilities under the Case Stories section of CNPC's English website")</f>
        <v>Share CNPC's experience in participating in OGCI and fulfilling other social responsibilities under the Case Stories section of CNPC's English website</v>
      </c>
      <c r="B2691" s="1" t="str">
        <f ca="1">IFERROR(__xludf.DUMMYFUNCTION("GOOGLETRANSLATE(A2691, ""zh"", ""en"")"),"irrelevant text")</f>
        <v>irrelevant text</v>
      </c>
      <c r="C2691" s="1" t="str">
        <f ca="1">IFERROR(__xludf.DUMMYFUNCTION("GOOGLETRANSLATE(E2691, ""zh"", ""en"")"),"irrelevant text")</f>
        <v>irrelevant text</v>
      </c>
    </row>
    <row r="2692" spans="1:3" ht="13" x14ac:dyDescent="0.15">
      <c r="A2692" s="1" t="str">
        <f ca="1">IFERROR(__xludf.DUMMYFUNCTION("GOOGLETRANSLATE(A2692, ""zh"", ""en"")"),"The Daqing Oilfield Spark Surface Photovoltaic Demonstration Project was connected to the grid for power generation. As the earliest oilfield discovered and put into large-scale development in my country, the Yumen Oilfield has witnessed the historical pr"&amp;"ocess of China's oil industry.")</f>
        <v>The Daqing Oilfield Spark Surface Photovoltaic Demonstration Project was connected to the grid for power generation. As the earliest oilfield discovered and put into large-scale development in my country, the Yumen Oilfield has witnessed the historical process of China's oil industry.</v>
      </c>
      <c r="B2692" s="1" t="str">
        <f ca="1">IFERROR(__xludf.DUMMYFUNCTION("GOOGLETRANSLATE(A2692, ""zh"", ""en"")"),"irrelevant text")</f>
        <v>irrelevant text</v>
      </c>
      <c r="C2692" s="1" t="str">
        <f ca="1">IFERROR(__xludf.DUMMYFUNCTION("GOOGLETRANSLATE(E2692, ""zh"", ""en"")"),"irrelevant text")</f>
        <v>irrelevant text</v>
      </c>
    </row>
    <row r="2693" spans="1:3" ht="13" x14ac:dyDescent="0.15">
      <c r="A2693" s="1" t="str">
        <f ca="1">IFERROR(__xludf.DUMMYFUNCTION("GOOGLETRANSLATE(A2693, ""zh"", ""en"")"),"When suppliers are short of funds, we can use the prepayment model to relieve the pressure on suppliers. When the company is short of funds, suppliers can provide high-value advance payment to achieve mutual support and assistance in terms of funds.")</f>
        <v>When suppliers are short of funds, we can use the prepayment model to relieve the pressure on suppliers. When the company is short of funds, suppliers can provide high-value advance payment to achieve mutual support and assistance in terms of funds.</v>
      </c>
      <c r="B2693" s="1" t="str">
        <f ca="1">IFERROR(__xludf.DUMMYFUNCTION("GOOGLETRANSLATE(A2693, ""zh"", ""en"")"),"supply chain management")</f>
        <v>supply chain management</v>
      </c>
      <c r="C2693" s="1" t="str">
        <f ca="1">IFERROR(__xludf.DUMMYFUNCTION("GOOGLETRANSLATE(E2693, ""zh"", ""en"")"),"Qualitative text")</f>
        <v>Qualitative text</v>
      </c>
    </row>
    <row r="2694" spans="1:3" ht="13" x14ac:dyDescent="0.15">
      <c r="A2694" s="1" t="str">
        <f ca="1">IFERROR(__xludf.DUMMYFUNCTION("GOOGLETRANSLATE(A2694, ""zh"", ""en"")"),"The company actively undertakes the drafting and formulation of national and industry standards. The number of patent authorizations has increased year by year. The company's soft power of science and technology continues to increase. The company's leadin"&amp;"g position in the industry and its leading position in the industry are constantly consolidated.")</f>
        <v>The company actively undertakes the drafting and formulation of national and industry standards. The number of patent authorizations has increased year by year. The company's soft power of science and technology continues to increase. The company's leading position in the industry and its leading position in the industry are constantly consolidated.</v>
      </c>
      <c r="B2694" s="1" t="str">
        <f ca="1">IFERROR(__xludf.DUMMYFUNCTION("GOOGLETRANSLATE(A2694, ""zh"", ""en"")"),"Intellectual Property Protection")</f>
        <v>Intellectual Property Protection</v>
      </c>
      <c r="C2694" s="1" t="str">
        <f ca="1">IFERROR(__xludf.DUMMYFUNCTION("GOOGLETRANSLATE(E2694, ""zh"", ""en"")"),"Qualitative text")</f>
        <v>Qualitative text</v>
      </c>
    </row>
    <row r="2695" spans="1:3" ht="13" x14ac:dyDescent="0.15">
      <c r="A2695" s="1" t="str">
        <f ca="1">IFERROR(__xludf.DUMMYFUNCTION("GOOGLETRANSLATE(A2695, ""zh"", ""en"")"),"We continue to promote employee quality improvement projects and carry out various themed exercises in flood prevention and typhoon prevention to ensure that employees' emergency response capabilities for various disasters or emergencies continue to impro"&amp;"ve.")</f>
        <v>We continue to promote employee quality improvement projects and carry out various themed exercises in flood prevention and typhoon prevention to ensure that employees' emergency response capabilities for various disasters or emergencies continue to improve.</v>
      </c>
      <c r="B2695" s="1" t="str">
        <f ca="1">IFERROR(__xludf.DUMMYFUNCTION("GOOGLETRANSLATE(A2695, ""zh"", ""en"")"),"staff")</f>
        <v>staff</v>
      </c>
      <c r="C2695" s="1" t="str">
        <f ca="1">IFERROR(__xludf.DUMMYFUNCTION("GOOGLETRANSLATE(E2695, ""zh"", ""en"")"),"Qualitative text")</f>
        <v>Qualitative text</v>
      </c>
    </row>
    <row r="2696" spans="1:3" ht="13" x14ac:dyDescent="0.15">
      <c r="A2696" s="1" t="str">
        <f ca="1">IFERROR(__xludf.DUMMYFUNCTION("GOOGLETRANSLATE(A2696, ""zh"", ""en"")"),"In response to climate change, Shenma shares always bear in mind General Secretary Xi Jinping's development concept that green mountains and clear waters are invaluable assets, actively respond to the national dual carbon goals, and establish and improve "&amp;"the company's carbon management system.")</f>
        <v>In response to climate change, Shenma shares always bear in mind General Secretary Xi Jinping's development concept that green mountains and clear waters are invaluable assets, actively respond to the national dual carbon goals, and establish and improve the company's carbon management system.</v>
      </c>
      <c r="B2696" s="1" t="str">
        <f ca="1">IFERROR(__xludf.DUMMYFUNCTION("GOOGLETRANSLATE(A2696, ""zh"", ""en"")"),"Addressing climate change")</f>
        <v>Addressing climate change</v>
      </c>
      <c r="C2696" s="1" t="str">
        <f ca="1">IFERROR(__xludf.DUMMYFUNCTION("GOOGLETRANSLATE(E2696, ""zh"", ""en"")"),"Qualitative text")</f>
        <v>Qualitative text</v>
      </c>
    </row>
    <row r="2697" spans="1:3" ht="13" x14ac:dyDescent="0.15">
      <c r="A2697" s="1" t="str">
        <f ca="1">IFERROR(__xludf.DUMMYFUNCTION("GOOGLETRANSLATE(A2697, ""zh"", ""en"")"),"Develop training programs based on the needs of different sequences and levels, and adopt diversified training activities such as offline training, online learning, live broadcast and playback, and community operations to promote the development of divers"&amp;"ified talents.")</f>
        <v>Develop training programs based on the needs of different sequences and levels, and adopt diversified training activities such as offline training, online learning, live broadcast and playback, and community operations to promote the development of diversified talents.</v>
      </c>
      <c r="B2697" s="1" t="str">
        <f ca="1">IFERROR(__xludf.DUMMYFUNCTION("GOOGLETRANSLATE(A2697, ""zh"", ""en"")"),"staff")</f>
        <v>staff</v>
      </c>
      <c r="C2697" s="1" t="str">
        <f ca="1">IFERROR(__xludf.DUMMYFUNCTION("GOOGLETRANSLATE(E2697, ""zh"", ""en"")"),"Qualitative text")</f>
        <v>Qualitative text</v>
      </c>
    </row>
    <row r="2698" spans="1:3" ht="13" x14ac:dyDescent="0.15">
      <c r="A2698" s="1" t="str">
        <f ca="1">IFERROR(__xludf.DUMMYFUNCTION("GOOGLETRANSLATE(A2698, ""zh"", ""en"")"),"Expand from simple market internationalization to comprehensive corporate governance internationalization to build world-class governance capabilities and further expand the space for survival and development of a world-class energy service company")</f>
        <v>Expand from simple market internationalization to comprehensive corporate governance internationalization to build world-class governance capabilities and further expand the space for survival and development of a world-class energy service company</v>
      </c>
      <c r="B2698" s="1" t="str">
        <f ca="1">IFERROR(__xludf.DUMMYFUNCTION("GOOGLETRANSLATE(A2698, ""zh"", ""en"")"),"Organizational structure and operations")</f>
        <v>Organizational structure and operations</v>
      </c>
      <c r="C2698" s="1" t="str">
        <f ca="1">IFERROR(__xludf.DUMMYFUNCTION("GOOGLETRANSLATE(E2698, ""zh"", ""en"")"),"Qualitative text")</f>
        <v>Qualitative text</v>
      </c>
    </row>
    <row r="2699" spans="1:3" ht="13" x14ac:dyDescent="0.15">
      <c r="A2699" s="1" t="str">
        <f ca="1">IFERROR(__xludf.DUMMYFUNCTION("GOOGLETRANSLATE(A2699, ""zh"", ""en"")"),"The company's holding subsidiary, China Storage Nanjing Smart Logistics Technology Co., Ltd. (hereinafter referred to as China Storage Smart Logistics), continues to strengthen its technology investment in digital logistics and supply chain to ensure inde"&amp;"pendent control of core technologies.")</f>
        <v>The company's holding subsidiary, China Storage Nanjing Smart Logistics Technology Co., Ltd. (hereinafter referred to as China Storage Smart Logistics), continues to strengthen its technology investment in digital logistics and supply chain to ensure independent control of core technologies.</v>
      </c>
      <c r="B2699" s="1" t="str">
        <f ca="1">IFERROR(__xludf.DUMMYFUNCTION("GOOGLETRANSLATE(A2699, ""zh"", ""en"")"),"supply chain management")</f>
        <v>supply chain management</v>
      </c>
      <c r="C2699" s="1" t="str">
        <f ca="1">IFERROR(__xludf.DUMMYFUNCTION("GOOGLETRANSLATE(E2699, ""zh"", ""en"")"),"Qualitative text")</f>
        <v>Qualitative text</v>
      </c>
    </row>
    <row r="2700" spans="1:3" ht="13" x14ac:dyDescent="0.15">
      <c r="A2700" s="1" t="str">
        <f ca="1">IFERROR(__xludf.DUMMYFUNCTION("GOOGLETRANSLATE(A2700, ""zh"", ""en"")"),"Risk Governance Structure: SDIC Capital optimizes its comprehensive risk governance structure and control model, improves its tiered and categorized risk management mechanism, and establishes a risk management governance structure with four levels and thr"&amp;"ee lines of defense.")</f>
        <v>Risk Governance Structure: SDIC Capital optimizes its comprehensive risk governance structure and control model, improves its tiered and categorized risk management mechanism, and establishes a risk management governance structure with four levels and three lines of defense.</v>
      </c>
      <c r="B2700" s="1" t="str">
        <f ca="1">IFERROR(__xludf.DUMMYFUNCTION("GOOGLETRANSLATE(A2700, ""zh"", ""en"")"),"Organizational structure and operations")</f>
        <v>Organizational structure and operations</v>
      </c>
      <c r="C2700" s="1" t="str">
        <f ca="1">IFERROR(__xludf.DUMMYFUNCTION("GOOGLETRANSLATE(E2700, ""zh"", ""en"")"),"Qualitative text")</f>
        <v>Qualitative text</v>
      </c>
    </row>
    <row r="2701" spans="1:3" ht="13" x14ac:dyDescent="0.15">
      <c r="A2701" s="1" t="str">
        <f ca="1">IFERROR(__xludf.DUMMYFUNCTION("GOOGLETRANSLATE(A2701, ""zh"", ""en"")"),"Each business department is responsible for the full participation of its subordinate units in promoting the systematic and standardized ESG work and achieving the organic integration of ESG governance and corporate operations management.")</f>
        <v>Each business department is responsible for the full participation of its subordinate units in promoting the systematic and standardized ESG work and achieving the organic integration of ESG governance and corporate operations management.</v>
      </c>
      <c r="B2701" s="1" t="str">
        <f ca="1">IFERROR(__xludf.DUMMYFUNCTION("GOOGLETRANSLATE(A2701, ""zh"", ""en"")"),"Organizational structure and operations")</f>
        <v>Organizational structure and operations</v>
      </c>
      <c r="C2701" s="1" t="str">
        <f ca="1">IFERROR(__xludf.DUMMYFUNCTION("GOOGLETRANSLATE(E2701, ""zh"", ""en"")"),"Qualitative text")</f>
        <v>Qualitative text</v>
      </c>
    </row>
    <row r="2702" spans="1:3" ht="13" x14ac:dyDescent="0.15">
      <c r="A2702" s="1" t="str">
        <f ca="1">IFERROR(__xludf.DUMMYFUNCTION("GOOGLETRANSLATE(A2702, ""zh"", ""en"")"),"COSL's production-enhancing technology helps customers increase production. In October 2022, COSL completed the Panyu 42B platform adjustment well new and improved fast drilling and completion project with high quality, exceeding expectations.")</f>
        <v>COSL's production-enhancing technology helps customers increase production. In October 2022, COSL completed the Panyu 42B platform adjustment well new and improved fast drilling and completion project with high quality, exceeding expectations.</v>
      </c>
      <c r="B2702" s="1" t="str">
        <f ca="1">IFERROR(__xludf.DUMMYFUNCTION("GOOGLETRANSLATE(A2702, ""zh"", ""en"")"),"Customers and Consumers")</f>
        <v>Customers and Consumers</v>
      </c>
      <c r="C2702" s="1" t="str">
        <f ca="1">IFERROR(__xludf.DUMMYFUNCTION("GOOGLETRANSLATE(E2702, ""zh"", ""en"")"),"Qualitative text")</f>
        <v>Qualitative text</v>
      </c>
    </row>
    <row r="2703" spans="1:3" ht="13" x14ac:dyDescent="0.15">
      <c r="A2703" s="1" t="str">
        <f ca="1">IFERROR(__xludf.DUMMYFUNCTION("GOOGLETRANSLATE(A2703, ""zh"", ""en"")"),"P494. Completely eliminate all forms of forced labor, safeguard the rights and interests of employees, and strictly abide by the Labor Law of the People's Republic of China and other laws and regulations and resist all forms of forced labor.")</f>
        <v>P494. Completely eliminate all forms of forced labor, safeguard the rights and interests of employees, and strictly abide by the Labor Law of the People's Republic of China and other laws and regulations and resist all forms of forced labor.</v>
      </c>
      <c r="B2703" s="1" t="str">
        <f ca="1">IFERROR(__xludf.DUMMYFUNCTION("GOOGLETRANSLATE(A2703, ""zh"", ""en"")"),"staff")</f>
        <v>staff</v>
      </c>
      <c r="C2703" s="1" t="str">
        <f ca="1">IFERROR(__xludf.DUMMYFUNCTION("GOOGLETRANSLATE(E2703, ""zh"", ""en"")"),"Qualitative text")</f>
        <v>Qualitative text</v>
      </c>
    </row>
    <row r="2704" spans="1:3" ht="13" x14ac:dyDescent="0.15">
      <c r="A2704" s="1" t="str">
        <f ca="1">IFERROR(__xludf.DUMMYFUNCTION("GOOGLETRANSLATE(A2704, ""zh"", ""en"")"),"We will continuously carry out system construction and implementation effectiveness evaluation based on the knowledge and skills of different positions and units, conduct systematic screening of existing systems, and implement various targeted trainings.")</f>
        <v>We will continuously carry out system construction and implementation effectiveness evaluation based on the knowledge and skills of different positions and units, conduct systematic screening of existing systems, and implement various targeted trainings.</v>
      </c>
      <c r="B2704" s="1" t="str">
        <f ca="1">IFERROR(__xludf.DUMMYFUNCTION("GOOGLETRANSLATE(A2704, ""zh"", ""en"")"),"Organizational structure and operations")</f>
        <v>Organizational structure and operations</v>
      </c>
      <c r="C2704" s="1" t="str">
        <f ca="1">IFERROR(__xludf.DUMMYFUNCTION("GOOGLETRANSLATE(E2704, ""zh"", ""en"")"),"Qualitative text")</f>
        <v>Qualitative text</v>
      </c>
    </row>
    <row r="2705" spans="1:3" ht="13" x14ac:dyDescent="0.15">
      <c r="A2705" s="1" t="str">
        <f ca="1">IFERROR(__xludf.DUMMYFUNCTION("GOOGLETRANSLATE(A2705, ""zh"", ""en"")"),"Optimize the use of materials, adopt various new environmentally friendly materials and renewable resources, use roof and wall insulation boards to prevent heat conduction between the inside and outside of the warehouse to reduce energy consumption")</f>
        <v>Optimize the use of materials, adopt various new environmentally friendly materials and renewable resources, use roof and wall insulation boards to prevent heat conduction between the inside and outside of the warehouse to reduce energy consumption</v>
      </c>
      <c r="B2705" s="1" t="str">
        <f ca="1">IFERROR(__xludf.DUMMYFUNCTION("GOOGLETRANSLATE(A2705, ""zh"", ""en"")"),"Energy and resource consumption")</f>
        <v>Energy and resource consumption</v>
      </c>
      <c r="C2705" s="1" t="str">
        <f ca="1">IFERROR(__xludf.DUMMYFUNCTION("GOOGLETRANSLATE(E2705, ""zh"", ""en"")"),"Qualitative text")</f>
        <v>Qualitative text</v>
      </c>
    </row>
    <row r="2706" spans="1:3" ht="13" x14ac:dyDescent="0.15">
      <c r="A2706" s="1" t="str">
        <f ca="1">IFERROR(__xludf.DUMMYFUNCTION("GOOGLETRANSLATE(A2706, ""zh"", ""en"")"),"The power plant can process 400,000 tons of biomass straw, agricultural and forestry waste and other biomass fuels annually, increasing local farmers' income by nearly 90 million yuan and providing employment for more than 1,500 people.")</f>
        <v>The power plant can process 400,000 tons of biomass straw, agricultural and forestry waste and other biomass fuels annually, increasing local farmers' income by nearly 90 million yuan and providing employment for more than 1,500 people.</v>
      </c>
      <c r="B2706" s="1" t="str">
        <f ca="1">IFERROR(__xludf.DUMMYFUNCTION("GOOGLETRANSLATE(A2706, ""zh"", ""en"")"),"Waste Management")</f>
        <v>Waste Management</v>
      </c>
      <c r="C2706" s="1" t="str">
        <f ca="1">IFERROR(__xludf.DUMMYFUNCTION("GOOGLETRANSLATE(E2706, ""zh"", ""en"")"),"Quantitative Text")</f>
        <v>Quantitative Text</v>
      </c>
    </row>
    <row r="2707" spans="1:3" ht="13" x14ac:dyDescent="0.15">
      <c r="A2707" s="1" t="str">
        <f ca="1">IFERROR(__xludf.DUMMYFUNCTION("GOOGLETRANSLATE(A2707, ""zh"", ""en"")"),"In 2022, we selected and recommended 12 people to participate in the calligraphy and painting exhibition and e-sports competition organized by the Municipal Federation of Trade Unions, and selected and recommended 127 employee photographs to participate i"&amp;"n the photography competition organized by the Municipal Federation of Trade Unions.")</f>
        <v>In 2022, we selected and recommended 12 people to participate in the calligraphy and painting exhibition and e-sports competition organized by the Municipal Federation of Trade Unions, and selected and recommended 127 employee photographs to participate in the photography competition organized by the Municipal Federation of Trade Unions.</v>
      </c>
      <c r="B2707" s="1" t="str">
        <f ca="1">IFERROR(__xludf.DUMMYFUNCTION("GOOGLETRANSLATE(A2707, ""zh"", ""en"")"),"staff")</f>
        <v>staff</v>
      </c>
      <c r="C2707" s="1" t="str">
        <f ca="1">IFERROR(__xludf.DUMMYFUNCTION("GOOGLETRANSLATE(E2707, ""zh"", ""en"")"),"Quantitative Text")</f>
        <v>Quantitative Text</v>
      </c>
    </row>
    <row r="2708" spans="1:3" ht="13" x14ac:dyDescent="0.15">
      <c r="A2708" s="1" t="str">
        <f ca="1">IFERROR(__xludf.DUMMYFUNCTION("GOOGLETRANSLATE(A2708, ""zh"", ""en"")"),"In addition, Shanghai Electric will continue to improve corporate awareness of talent introduction and training policies in 2022, encouraging companies to apply for various preferential policies for talents and strive to ensure that talent policies are fu"&amp;"lly enjoyed.")</f>
        <v>In addition, Shanghai Electric will continue to improve corporate awareness of talent introduction and training policies in 2022, encouraging companies to apply for various preferential policies for talents and strive to ensure that talent policies are fully enjoyed.</v>
      </c>
      <c r="B2708" s="1" t="str">
        <f ca="1">IFERROR(__xludf.DUMMYFUNCTION("GOOGLETRANSLATE(A2708, ""zh"", ""en"")"),"staff")</f>
        <v>staff</v>
      </c>
      <c r="C2708" s="1" t="str">
        <f ca="1">IFERROR(__xludf.DUMMYFUNCTION("GOOGLETRANSLATE(E2708, ""zh"", ""en"")"),"Qualitative text")</f>
        <v>Qualitative text</v>
      </c>
    </row>
    <row r="2709" spans="1:3" ht="13" x14ac:dyDescent="0.15">
      <c r="A2709" s="1" t="str">
        <f ca="1">IFERROR(__xludf.DUMMYFUNCTION("GOOGLETRANSLATE(A2709, ""zh"", ""en"")"),"In August 2022, Leng Weiqing, Chairman and Party Secretary of Shanghai Electric, visited the company to express his deepest respect and sincere condolences to the cadres and employees working on the front lines of high-temperature operations.")</f>
        <v>In August 2022, Leng Weiqing, Chairman and Party Secretary of Shanghai Electric, visited the company to express his deepest respect and sincere condolences to the cadres and employees working on the front lines of high-temperature operations.</v>
      </c>
      <c r="B2709" s="1" t="str">
        <f ca="1">IFERROR(__xludf.DUMMYFUNCTION("GOOGLETRANSLATE(A2709, ""zh"", ""en"")"),"staff")</f>
        <v>staff</v>
      </c>
      <c r="C2709" s="1" t="str">
        <f ca="1">IFERROR(__xludf.DUMMYFUNCTION("GOOGLETRANSLATE(E2709, ""zh"", ""en"")"),"Qualitative text")</f>
        <v>Qualitative text</v>
      </c>
    </row>
    <row r="2710" spans="1:3" ht="13" x14ac:dyDescent="0.15">
      <c r="A2710" s="1" t="str">
        <f ca="1">IFERROR(__xludf.DUMMYFUNCTION("GOOGLETRANSLATE(A2710, ""zh"", ""en"")"),"4.2 Supply Management Drives Progress Key Performance Indicator B5.3 Describes practices for identifying environmental and social risks at each stage of the supply chain and related implementation and monitoring methods")</f>
        <v>4.2 Supply Management Drives Progress Key Performance Indicator B5.3 Describes practices for identifying environmental and social risks at each stage of the supply chain and related implementation and monitoring methods</v>
      </c>
      <c r="B2710" s="1" t="str">
        <f ca="1">IFERROR(__xludf.DUMMYFUNCTION("GOOGLETRANSLATE(A2710, ""zh"", ""en"")"),"supply chain management")</f>
        <v>supply chain management</v>
      </c>
      <c r="C2710" s="1" t="str">
        <f ca="1">IFERROR(__xludf.DUMMYFUNCTION("GOOGLETRANSLATE(E2710, ""zh"", ""en"")"),"Qualitative text")</f>
        <v>Qualitative text</v>
      </c>
    </row>
    <row r="2711" spans="1:3" ht="13" x14ac:dyDescent="0.15">
      <c r="A2711" s="1" t="str">
        <f ca="1">IFERROR(__xludf.DUMMYFUNCTION("GOOGLETRANSLATE(A2711, ""zh"", ""en"")"),"Fund intelligent investment research and investment advisory quantitative platform uses artificial intelligence, big data and other technical tools to effectively support multiple scenarios such as account managers' ability to serve customers and investme"&amp;"nt advisory managers' research needs.")</f>
        <v>Fund intelligent investment research and investment advisory quantitative platform uses artificial intelligence, big data and other technical tools to effectively support multiple scenarios such as account managers' ability to serve customers and investment advisory managers' research needs.</v>
      </c>
      <c r="B2711" s="1" t="str">
        <f ca="1">IFERROR(__xludf.DUMMYFUNCTION("GOOGLETRANSLATE(A2711, ""zh"", ""en"")"),"Customers and Consumers")</f>
        <v>Customers and Consumers</v>
      </c>
      <c r="C2711" s="1" t="str">
        <f ca="1">IFERROR(__xludf.DUMMYFUNCTION("GOOGLETRANSLATE(E2711, ""zh"", ""en"")"),"Qualitative text")</f>
        <v>Qualitative text</v>
      </c>
    </row>
    <row r="2712" spans="1:3" ht="13" x14ac:dyDescent="0.15">
      <c r="A2712" s="1" t="str">
        <f ca="1">IFERROR(__xludf.DUMMYFUNCTION("GOOGLETRANSLATE(A2712, ""zh"", ""en"")"),"Information Security Management Framework 48 CITIC Securities 2022 Annual Social Responsibility Report The Company continues to optimize its information security-related systems to establish a reliable institutional guarantee for information security.")</f>
        <v>Information Security Management Framework 48 CITIC Securities 2022 Annual Social Responsibility Report The Company continues to optimize its information security-related systems to establish a reliable institutional guarantee for information security.</v>
      </c>
      <c r="B2712" s="1" t="str">
        <f ca="1">IFERROR(__xludf.DUMMYFUNCTION("GOOGLETRANSLATE(A2712, ""zh"", ""en"")"),"Data security")</f>
        <v>Data security</v>
      </c>
      <c r="C2712" s="1" t="str">
        <f ca="1">IFERROR(__xludf.DUMMYFUNCTION("GOOGLETRANSLATE(E2712, ""zh"", ""en"")"),"Qualitative text")</f>
        <v>Qualitative text</v>
      </c>
    </row>
    <row r="2713" spans="1:3" ht="13" x14ac:dyDescent="0.15">
      <c r="A2713" s="1" t="str">
        <f ca="1">IFERROR(__xludf.DUMMYFUNCTION("GOOGLETRANSLATE(A2713, ""zh"", ""en"")"),"This year, the company distributed the CITIC Securities Integrity Practice Compliance Manual to help each department understand the core requirements of regulatory laws and regulations on integrity practice and further clarify the company's integrity prac"&amp;"tice management mechanism.")</f>
        <v>This year, the company distributed the CITIC Securities Integrity Practice Compliance Manual to help each department understand the core requirements of regulatory laws and regulations on integrity practice and further clarify the company's integrity practice management mechanism.</v>
      </c>
      <c r="B2713" s="1" t="str">
        <f ca="1">IFERROR(__xludf.DUMMYFUNCTION("GOOGLETRANSLATE(A2713, ""zh"", ""en"")"),"Anti-corruption and anti-money laundering")</f>
        <v>Anti-corruption and anti-money laundering</v>
      </c>
      <c r="C2713" s="1" t="str">
        <f ca="1">IFERROR(__xludf.DUMMYFUNCTION("GOOGLETRANSLATE(E2713, ""zh"", ""en"")"),"Qualitative text")</f>
        <v>Qualitative text</v>
      </c>
    </row>
    <row r="2714" spans="1:3" ht="13" x14ac:dyDescent="0.15">
      <c r="A2714" s="1" t="str">
        <f ca="1">IFERROR(__xludf.DUMMYFUNCTION("GOOGLETRANSLATE(A2714, ""zh"", ""en"")"),"In 2022, the Group revised the Shanghai Electric Group R&amp;D investment deemed profit assessment system, expanded the policy coverage, and simplified the implementation procedures to stimulate the Group's investment in scientific and technological innovatio"&amp;"n.")</f>
        <v>In 2022, the Group revised the Shanghai Electric Group R&amp;D investment deemed profit assessment system, expanded the policy coverage, and simplified the implementation procedures to stimulate the Group's investment in scientific and technological innovation.</v>
      </c>
      <c r="B2714" s="1" t="str">
        <f ca="1">IFERROR(__xludf.DUMMYFUNCTION("GOOGLETRANSLATE(A2714, ""zh"", ""en"")"),"Technological innovation")</f>
        <v>Technological innovation</v>
      </c>
      <c r="C2714" s="1" t="str">
        <f ca="1">IFERROR(__xludf.DUMMYFUNCTION("GOOGLETRANSLATE(E2714, ""zh"", ""en"")"),"Qualitative text")</f>
        <v>Qualitative text</v>
      </c>
    </row>
    <row r="2715" spans="1:3" ht="13" x14ac:dyDescent="0.15">
      <c r="A2715" s="1" t="str">
        <f ca="1">IFERROR(__xludf.DUMMYFUNCTION("GOOGLETRANSLATE(A2715, ""zh"", ""en"")"),"We plan, organize and implement various investor education activities through investment education channels such as the company's official website, mobile APP, WeChat public account, and investor forum bulletin boards at various business locations.")</f>
        <v>We plan, organize and implement various investor education activities through investment education channels such as the company's official website, mobile APP, WeChat public account, and investor forum bulletin boards at various business locations.</v>
      </c>
      <c r="B2715" s="1" t="str">
        <f ca="1">IFERROR(__xludf.DUMMYFUNCTION("GOOGLETRANSLATE(A2715, ""zh"", ""en"")"),"Information Disclosure and Investor Communication")</f>
        <v>Information Disclosure and Investor Communication</v>
      </c>
      <c r="C2715" s="1" t="str">
        <f ca="1">IFERROR(__xludf.DUMMYFUNCTION("GOOGLETRANSLATE(E2715, ""zh"", ""en"")"),"Qualitative text")</f>
        <v>Qualitative text</v>
      </c>
    </row>
    <row r="2716" spans="1:3" ht="13" x14ac:dyDescent="0.15">
      <c r="A2716" s="1" t="str">
        <f ca="1">IFERROR(__xludf.DUMMYFUNCTION("GOOGLETRANSLATE(A2716, ""zh"", ""en"")"),"In 2022, we will continue to serve real estate, government, education and other industry projects and extend our service tentacles into the cultural tourism industry, achieving remarkable results in community governance and community life operations.")</f>
        <v>In 2022, we will continue to serve real estate, government, education and other industry projects and extend our service tentacles into the cultural tourism industry, achieving remarkable results in community governance and community life operations.</v>
      </c>
      <c r="B2716" s="1" t="str">
        <f ca="1">IFERROR(__xludf.DUMMYFUNCTION("GOOGLETRANSLATE(A2716, ""zh"", ""en"")"),"Public welfare and volunteer service")</f>
        <v>Public welfare and volunteer service</v>
      </c>
      <c r="C2716" s="1" t="str">
        <f ca="1">IFERROR(__xludf.DUMMYFUNCTION("GOOGLETRANSLATE(E2716, ""zh"", ""en"")"),"Qualitative text")</f>
        <v>Qualitative text</v>
      </c>
    </row>
    <row r="2717" spans="1:3" ht="13" x14ac:dyDescent="0.15">
      <c r="A2717" s="1" t="str">
        <f ca="1">IFERROR(__xludf.DUMMYFUNCTION("GOOGLETRANSLATE(A2717, ""zh"", ""en"")"),"In 2022, the company accelerated its urban service layout, covering 60 cities with a management area of ​​approximately 65.7 million square meters and an operating income of 1.342 billion yuan, a year-on-year increase of 12.5%.")</f>
        <v>In 2022, the company accelerated its urban service layout, covering 60 cities with a management area of ​​approximately 65.7 million square meters and an operating income of 1.342 billion yuan, a year-on-year increase of 12.5%.</v>
      </c>
      <c r="B2717" s="1" t="str">
        <f ca="1">IFERROR(__xludf.DUMMYFUNCTION("GOOGLETRANSLATE(A2717, ""zh"", ""en"")"),"Green Building")</f>
        <v>Green Building</v>
      </c>
      <c r="C2717" s="1" t="str">
        <f ca="1">IFERROR(__xludf.DUMMYFUNCTION("GOOGLETRANSLATE(E2717, ""zh"", ""en"")"),"Quantitative Text")</f>
        <v>Quantitative Text</v>
      </c>
    </row>
    <row r="2718" spans="1:3" ht="13" x14ac:dyDescent="0.15">
      <c r="A2718" s="1" t="str">
        <f ca="1">IFERROR(__xludf.DUMMYFUNCTION("GOOGLETRANSLATE(A2718, ""zh"", ""en"")"),"IoT smart hardware suppliers combine their own software development capabilities and hardware ecosystem to provide digital, technological and intelligent software and hardware comprehensive solutions for various types of physical spaces.")</f>
        <v>IoT smart hardware suppliers combine their own software development capabilities and hardware ecosystem to provide digital, technological and intelligent software and hardware comprehensive solutions for various types of physical spaces.</v>
      </c>
      <c r="B2718" s="1" t="str">
        <f ca="1">IFERROR(__xludf.DUMMYFUNCTION("GOOGLETRANSLATE(A2718, ""zh"", ""en"")"),"Technological innovation")</f>
        <v>Technological innovation</v>
      </c>
      <c r="C2718" s="1" t="str">
        <f ca="1">IFERROR(__xludf.DUMMYFUNCTION("GOOGLETRANSLATE(E2718, ""zh"", ""en"")"),"Qualitative text")</f>
        <v>Qualitative text</v>
      </c>
    </row>
    <row r="2719" spans="1:3" ht="13" x14ac:dyDescent="0.15">
      <c r="A2719" s="1" t="str">
        <f ca="1">IFERROR(__xludf.DUMMYFUNCTION("GOOGLETRANSLATE(A2719, ""zh"", ""en"")"),"Positioned as a site builder, Dongyuan Group has always interpreted product strength and customer value from the three dimensions of product, service and community, providing owners with warm products, warm communities and warm services.")</f>
        <v>Positioned as a site builder, Dongyuan Group has always interpreted product strength and customer value from the three dimensions of product, service and community, providing owners with warm products, warm communities and warm services.</v>
      </c>
      <c r="B2719" s="1" t="str">
        <f ca="1">IFERROR(__xludf.DUMMYFUNCTION("GOOGLETRANSLATE(A2719, ""zh"", ""en"")"),"Customers and Consumers")</f>
        <v>Customers and Consumers</v>
      </c>
      <c r="C2719" s="1" t="str">
        <f ca="1">IFERROR(__xludf.DUMMYFUNCTION("GOOGLETRANSLATE(E2719, ""zh"", ""en"")"),"Qualitative text")</f>
        <v>Qualitative text</v>
      </c>
    </row>
    <row r="2720" spans="1:3" ht="13" x14ac:dyDescent="0.15">
      <c r="A2720" s="1" t="str">
        <f ca="1">IFERROR(__xludf.DUMMYFUNCTION("GOOGLETRANSLATE(A2720, ""zh"", ""en"")"),"The institution selection upgrade provides public hospitals and multiple institutions for employees to choose from, with 180 institutions in 31 cities, and the coverage rate of public hospitals in more than 80 cities, with 16 new tertiary public hospitals"&amp;".")</f>
        <v>The institution selection upgrade provides public hospitals and multiple institutions for employees to choose from, with 180 institutions in 31 cities, and the coverage rate of public hospitals in more than 80 cities, with 16 new tertiary public hospitals.</v>
      </c>
      <c r="B2720" s="1" t="str">
        <f ca="1">IFERROR(__xludf.DUMMYFUNCTION("GOOGLETRANSLATE(A2720, ""zh"", ""en"")"),"staff")</f>
        <v>staff</v>
      </c>
      <c r="C2720" s="1" t="str">
        <f ca="1">IFERROR(__xludf.DUMMYFUNCTION("GOOGLETRANSLATE(E2720, ""zh"", ""en"")"),"Quantitative Text")</f>
        <v>Quantitative Text</v>
      </c>
    </row>
    <row r="2721" spans="1:3" ht="13" x14ac:dyDescent="0.15">
      <c r="A2721" s="1" t="str">
        <f ca="1">IFERROR(__xludf.DUMMYFUNCTION("GOOGLETRANSLATE(A2721, ""zh"", ""en"")"),"P2325B7 Anti-Corruption General Disclosure Information on 1. Policies and 2. Compliance with relevant laws and regulations that have a significant impact on the issuer regarding the prevention of bribery, extortion, fraud and money laundering")</f>
        <v>P2325B7 Anti-Corruption General Disclosure Information on 1. Policies and 2. Compliance with relevant laws and regulations that have a significant impact on the issuer regarding the prevention of bribery, extortion, fraud and money laundering</v>
      </c>
      <c r="B2721" s="1" t="str">
        <f ca="1">IFERROR(__xludf.DUMMYFUNCTION("GOOGLETRANSLATE(A2721, ""zh"", ""en"")"),"Anti-corruption and anti-money laundering")</f>
        <v>Anti-corruption and anti-money laundering</v>
      </c>
      <c r="C2721" s="1" t="str">
        <f ca="1">IFERROR(__xludf.DUMMYFUNCTION("GOOGLETRANSLATE(E2721, ""zh"", ""en"")"),"Qualitative text")</f>
        <v>Qualitative text</v>
      </c>
    </row>
    <row r="2722" spans="1:3" ht="13" x14ac:dyDescent="0.15">
      <c r="A2722" s="1" t="str">
        <f ca="1">IFERROR(__xludf.DUMMYFUNCTION("GOOGLETRANSLATE(A2722, ""zh"", ""en"")"),"Over the years, the company has supported social welfare projects such as investing in the Sunshine Nursing Home and Sunshine School, and donating RMB 8 million to establish the Sunshine Chunhui Education Scholarship Fund for Chunhui Middle School.")</f>
        <v>Over the years, the company has supported social welfare projects such as investing in the Sunshine Nursing Home and Sunshine School, and donating RMB 8 million to establish the Sunshine Chunhui Education Scholarship Fund for Chunhui Middle School.</v>
      </c>
      <c r="B2722" s="1" t="str">
        <f ca="1">IFERROR(__xludf.DUMMYFUNCTION("GOOGLETRANSLATE(A2722, ""zh"", ""en"")"),"Public welfare and volunteer service")</f>
        <v>Public welfare and volunteer service</v>
      </c>
      <c r="C2722" s="1" t="str">
        <f ca="1">IFERROR(__xludf.DUMMYFUNCTION("GOOGLETRANSLATE(E2722, ""zh"", ""en"")"),"Quantitative Text")</f>
        <v>Quantitative Text</v>
      </c>
    </row>
    <row r="2723" spans="1:3" ht="13" x14ac:dyDescent="0.15">
      <c r="A2723" s="1" t="str">
        <f ca="1">IFERROR(__xludf.DUMMYFUNCTION("GOOGLETRANSLATE(A2723, ""zh"", ""en"")"),"From 2012 to 2022, RMB 238,781,030 in cash dividends have been distributed. For eight consecutive years, the amount of cash dividends has accounted for more than 50% of the net profit attributable to shareholders of the listed company in that year.")</f>
        <v>From 2012 to 2022, RMB 238,781,030 in cash dividends have been distributed. For eight consecutive years, the amount of cash dividends has accounted for more than 50% of the net profit attributable to shareholders of the listed company in that year.</v>
      </c>
      <c r="B2723" s="1" t="str">
        <f ca="1">IFERROR(__xludf.DUMMYFUNCTION("GOOGLETRANSLATE(A2723, ""zh"", ""en"")"),"Shareholder and creditor rights")</f>
        <v>Shareholder and creditor rights</v>
      </c>
      <c r="C2723" s="1" t="str">
        <f ca="1">IFERROR(__xludf.DUMMYFUNCTION("GOOGLETRANSLATE(E2723, ""zh"", ""en"")"),"Quantitative Text")</f>
        <v>Quantitative Text</v>
      </c>
    </row>
    <row r="2724" spans="1:3" ht="13" x14ac:dyDescent="0.15">
      <c r="A2724" s="1" t="str">
        <f ca="1">IFERROR(__xludf.DUMMYFUNCTION("GOOGLETRANSLATE(A2724, ""zh"", ""en"")"),"The company's member units continue to increase investment and actively promote the construction of energy-saving and emission reduction projects, replace energy-saving equipment, improve process level, strengthen daily energy consumption management, and "&amp;"actively promote energy conservation and emission reduction work.")</f>
        <v>The company's member units continue to increase investment and actively promote the construction of energy-saving and emission reduction projects, replace energy-saving equipment, improve process level, strengthen daily energy consumption management, and actively promote energy conservation and emission reduction work.</v>
      </c>
      <c r="B2724" s="1" t="str">
        <f ca="1">IFERROR(__xludf.DUMMYFUNCTION("GOOGLETRANSLATE(A2724, ""zh"", ""en"")"),"Energy and resource consumption")</f>
        <v>Energy and resource consumption</v>
      </c>
      <c r="C2724" s="1" t="str">
        <f ca="1">IFERROR(__xludf.DUMMYFUNCTION("GOOGLETRANSLATE(E2724, ""zh"", ""en"")"),"Qualitative text")</f>
        <v>Qualitative text</v>
      </c>
    </row>
    <row r="2725" spans="1:3" ht="13" x14ac:dyDescent="0.15">
      <c r="A2725" s="1" t="str">
        <f ca="1">IFERROR(__xludf.DUMMYFUNCTION("GOOGLETRANSLATE(A2725, ""zh"", ""en"")"),"In addition, Tibet Everest fully reflects the importance of integrity and honesty in the penetration of corporate culture, strengthens the moral training and education of employees, and establishes the concept of integrity in corporate culture.")</f>
        <v>In addition, Tibet Everest fully reflects the importance of integrity and honesty in the penetration of corporate culture, strengthens the moral training and education of employees, and establishes the concept of integrity in corporate culture.</v>
      </c>
      <c r="B2725" s="1" t="str">
        <f ca="1">IFERROR(__xludf.DUMMYFUNCTION("GOOGLETRANSLATE(A2725, ""zh"", ""en"")"),"Anti-corruption and anti-money laundering")</f>
        <v>Anti-corruption and anti-money laundering</v>
      </c>
      <c r="C2725" s="1" t="str">
        <f ca="1">IFERROR(__xludf.DUMMYFUNCTION("GOOGLETRANSLATE(E2725, ""zh"", ""en"")"),"Qualitative text")</f>
        <v>Qualitative text</v>
      </c>
    </row>
    <row r="2726" spans="1:3" ht="13" x14ac:dyDescent="0.15">
      <c r="A2726" s="1" t="str">
        <f ca="1">IFERROR(__xludf.DUMMYFUNCTION("GOOGLETRANSLATE(A2726, ""zh"", ""en"")"),"At the same time, we also aim to explore new paths for regular party-building demonstration and resource collaboration through this joint party-building activity to help build ecological civilization and achieve comprehensive rural revitalization.")</f>
        <v>At the same time, we also aim to explore new paths for regular party-building demonstration and resource collaboration through this joint party-building activity to help build ecological civilization and achieve comprehensive rural revitalization.</v>
      </c>
      <c r="B2726" s="1" t="str">
        <f ca="1">IFERROR(__xludf.DUMMYFUNCTION("GOOGLETRANSLATE(A2726, ""zh"", ""en"")"),"Organizational structure and operations")</f>
        <v>Organizational structure and operations</v>
      </c>
      <c r="C2726" s="1" t="str">
        <f ca="1">IFERROR(__xludf.DUMMYFUNCTION("GOOGLETRANSLATE(E2726, ""zh"", ""en"")"),"Qualitative text")</f>
        <v>Qualitative text</v>
      </c>
    </row>
    <row r="2727" spans="1:3" ht="13" x14ac:dyDescent="0.15">
      <c r="A2727" s="1" t="str">
        <f ca="1">IFERROR(__xludf.DUMMYFUNCTION("GOOGLETRANSLATE(A2727, ""zh"", ""en"")"),"In 2022, the financial company will provide agency collection and secondary linkage services to listed companies and companies combining futures and spot transactions, guided by customer needs, to further enhance the level of settlement services.")</f>
        <v>In 2022, the financial company will provide agency collection and secondary linkage services to listed companies and companies combining futures and spot transactions, guided by customer needs, to further enhance the level of settlement services.</v>
      </c>
      <c r="B2727" s="1" t="str">
        <f ca="1">IFERROR(__xludf.DUMMYFUNCTION("GOOGLETRANSLATE(A2727, ""zh"", ""en"")"),"Customers and Consumers")</f>
        <v>Customers and Consumers</v>
      </c>
      <c r="C2727" s="1" t="str">
        <f ca="1">IFERROR(__xludf.DUMMYFUNCTION("GOOGLETRANSLATE(E2727, ""zh"", ""en"")"),"Qualitative text")</f>
        <v>Qualitative text</v>
      </c>
    </row>
    <row r="2728" spans="1:3" ht="13" x14ac:dyDescent="0.15">
      <c r="A2728" s="1" t="str">
        <f ca="1">IFERROR(__xludf.DUMMYFUNCTION("GOOGLETRANSLATE(A2728, ""zh"", ""en"")"),"The company has promoted the implementation of policies such as high-temperature allowances, children's benefits, and annual physical examinations, improved the benefits of young employees and expatriates, expanded the coverage of annuities and supplement"&amp;"ary medical care, and truly put people first.")</f>
        <v>The company has promoted the implementation of policies such as high-temperature allowances, children's benefits, and annual physical examinations, improved the benefits of young employees and expatriates, expanded the coverage of annuities and supplementary medical care, and truly put people first.</v>
      </c>
      <c r="B2728" s="1" t="str">
        <f ca="1">IFERROR(__xludf.DUMMYFUNCTION("GOOGLETRANSLATE(A2728, ""zh"", ""en"")"),"staff")</f>
        <v>staff</v>
      </c>
      <c r="C2728" s="1" t="str">
        <f ca="1">IFERROR(__xludf.DUMMYFUNCTION("GOOGLETRANSLATE(E2728, ""zh"", ""en"")"),"Qualitative text")</f>
        <v>Qualitative text</v>
      </c>
    </row>
    <row r="2729" spans="1:3" ht="13" x14ac:dyDescent="0.15">
      <c r="A2729" s="1" t="str">
        <f ca="1">IFERROR(__xludf.DUMMYFUNCTION("GOOGLETRANSLATE(A2729, ""zh"", ""en"")"),"According to the group's deployment and requirements, we carried out the Safety Production Month and Safety Thousand Miles Campaign to promote the improvement of employees' safety awareness and create a good atmosphere where everyone cares about safety.")</f>
        <v>According to the group's deployment and requirements, we carried out the Safety Production Month and Safety Thousand Miles Campaign to promote the improvement of employees' safety awareness and create a good atmosphere where everyone cares about safety.</v>
      </c>
      <c r="B2729" s="1" t="str">
        <f ca="1">IFERROR(__xludf.DUMMYFUNCTION("GOOGLETRANSLATE(A2729, ""zh"", ""en"")"),"staff")</f>
        <v>staff</v>
      </c>
      <c r="C2729" s="1" t="str">
        <f ca="1">IFERROR(__xludf.DUMMYFUNCTION("GOOGLETRANSLATE(E2729, ""zh"", ""en"")"),"Qualitative text")</f>
        <v>Qualitative text</v>
      </c>
    </row>
    <row r="2730" spans="1:3" ht="13" x14ac:dyDescent="0.15">
      <c r="A2730" s="1" t="str">
        <f ca="1">IFERROR(__xludf.DUMMYFUNCTION("GOOGLETRANSLATE(A2730, ""zh"", ""en"")"),"Livzon synthetic boiler waste heat recovery and utilization. 800,000 yuan was spent to replace the original boiler. A new waste heat recovery device was added to the original boiler. This waste heat recovery reduces energy consumption.")</f>
        <v>Livzon synthetic boiler waste heat recovery and utilization. 800,000 yuan was spent to replace the original boiler. A new waste heat recovery device was added to the original boiler. This waste heat recovery reduces energy consumption.</v>
      </c>
      <c r="B2730" s="1" t="str">
        <f ca="1">IFERROR(__xludf.DUMMYFUNCTION("GOOGLETRANSLATE(A2730, ""zh"", ""en"")"),"Energy and resource consumption")</f>
        <v>Energy and resource consumption</v>
      </c>
      <c r="C2730" s="1" t="str">
        <f ca="1">IFERROR(__xludf.DUMMYFUNCTION("GOOGLETRANSLATE(E2730, ""zh"", ""en"")"),"Quantitative Text")</f>
        <v>Quantitative Text</v>
      </c>
    </row>
    <row r="2731" spans="1:3" ht="13" x14ac:dyDescent="0.15">
      <c r="A2731" s="1" t="str">
        <f ca="1">IFERROR(__xludf.DUMMYFUNCTION("GOOGLETRANSLATE(A2731, ""zh"", ""en"")"),"Since the beginning of 2015, the Company has successively launched the 2015 Restricted Stock Incentive Plan and the 2018 Stock Option Incentive Plan to continuously improve the long-term incentive mechanism for employees.")</f>
        <v>Since the beginning of 2015, the Company has successively launched the 2015 Restricted Stock Incentive Plan and the 2018 Stock Option Incentive Plan to continuously improve the long-term incentive mechanism for employees.</v>
      </c>
      <c r="B2731" s="1" t="str">
        <f ca="1">IFERROR(__xludf.DUMMYFUNCTION("GOOGLETRANSLATE(A2731, ""zh"", ""en"")"),"staff")</f>
        <v>staff</v>
      </c>
      <c r="C2731" s="1" t="str">
        <f ca="1">IFERROR(__xludf.DUMMYFUNCTION("GOOGLETRANSLATE(E2731, ""zh"", ""en"")"),"Qualitative text")</f>
        <v>Qualitative text</v>
      </c>
    </row>
    <row r="2732" spans="1:3" ht="13" x14ac:dyDescent="0.15">
      <c r="A2732" s="1" t="str">
        <f ca="1">IFERROR(__xludf.DUMMYFUNCTION("GOOGLETRANSLATE(A2732, ""zh"", ""en"")"),"In 2022, Kangyuan invested approximately RMB 12.117 million in public welfare, of which approximately RMB 5.699 million was donated in cash and RMB 6.418 million was donated in goods.")</f>
        <v>In 2022, Kangyuan invested approximately RMB 12.117 million in public welfare, of which approximately RMB 5.699 million was donated in cash and RMB 6.418 million was donated in goods.</v>
      </c>
      <c r="B2732" s="1" t="str">
        <f ca="1">IFERROR(__xludf.DUMMYFUNCTION("GOOGLETRANSLATE(A2732, ""zh"", ""en"")"),"Public welfare and volunteer service")</f>
        <v>Public welfare and volunteer service</v>
      </c>
      <c r="C2732" s="1" t="str">
        <f ca="1">IFERROR(__xludf.DUMMYFUNCTION("GOOGLETRANSLATE(E2732, ""zh"", ""en"")"),"Quantitative Text")</f>
        <v>Quantitative Text</v>
      </c>
    </row>
    <row r="2733" spans="1:3" ht="13" x14ac:dyDescent="0.15">
      <c r="A2733" s="1" t="str">
        <f ca="1">IFERROR(__xludf.DUMMYFUNCTION("GOOGLETRANSLATE(A2733, ""zh"", ""en"")"),"We also actively practiced the concept of circular economy in our anniversary celebrations, recycling waste generated during production and operations and making commemorative gifts for employees.")</f>
        <v>We also actively practiced the concept of circular economy in our anniversary celebrations, recycling waste generated during production and operations and making commemorative gifts for employees.</v>
      </c>
      <c r="B2733" s="1" t="str">
        <f ca="1">IFERROR(__xludf.DUMMYFUNCTION("GOOGLETRANSLATE(A2733, ""zh"", ""en"")"),"Waste Management")</f>
        <v>Waste Management</v>
      </c>
      <c r="C2733" s="1" t="str">
        <f ca="1">IFERROR(__xludf.DUMMYFUNCTION("GOOGLETRANSLATE(E2733, ""zh"", ""en"")"),"Qualitative text")</f>
        <v>Qualitative text</v>
      </c>
    </row>
    <row r="2734" spans="1:3" ht="13" x14ac:dyDescent="0.15">
      <c r="A2734" s="1" t="str">
        <f ca="1">IFERROR(__xludf.DUMMYFUNCTION("GOOGLETRANSLATE(A2734, ""zh"", ""en"")"),"The Group's production subsidiaries are also actively optimizing their production equipment by adding soundproof rooms and adding nitrogen generator exhaust mufflers to minimize the impact of production noise on the surrounding environment.")</f>
        <v>The Group's production subsidiaries are also actively optimizing their production equipment by adding soundproof rooms and adding nitrogen generator exhaust mufflers to minimize the impact of production noise on the surrounding environment.</v>
      </c>
      <c r="B2734" s="1" t="str">
        <f ca="1">IFERROR(__xludf.DUMMYFUNCTION("GOOGLETRANSLATE(A2734, ""zh"", ""en"")"),"Waste Management")</f>
        <v>Waste Management</v>
      </c>
      <c r="C2734" s="1" t="str">
        <f ca="1">IFERROR(__xludf.DUMMYFUNCTION("GOOGLETRANSLATE(E2734, ""zh"", ""en"")"),"Qualitative text")</f>
        <v>Qualitative text</v>
      </c>
    </row>
    <row r="2735" spans="1:3" ht="13" x14ac:dyDescent="0.15">
      <c r="A2735" s="1" t="str">
        <f ca="1">IFERROR(__xludf.DUMMYFUNCTION("GOOGLETRANSLATE(A2735, ""zh"", ""en"")"),"At the same time, in order to reduce possible discrimination and unfair treatment, PK Company has the right to veto the job changes of security personnel. It organizes a satisfaction survey on security services every year and solves problems in a timely m"&amp;"anner.")</f>
        <v>At the same time, in order to reduce possible discrimination and unfair treatment, PK Company has the right to veto the job changes of security personnel. It organizes a satisfaction survey on security services every year and solves problems in a timely manner.</v>
      </c>
      <c r="B2735" s="1" t="str">
        <f ca="1">IFERROR(__xludf.DUMMYFUNCTION("GOOGLETRANSLATE(A2735, ""zh"", ""en"")"),"staff")</f>
        <v>staff</v>
      </c>
      <c r="C2735" s="1" t="str">
        <f ca="1">IFERROR(__xludf.DUMMYFUNCTION("GOOGLETRANSLATE(E2735, ""zh"", ""en"")"),"Qualitative text")</f>
        <v>Qualitative text</v>
      </c>
    </row>
    <row r="2736" spans="1:3" ht="13" x14ac:dyDescent="0.15">
      <c r="A2736" s="1" t="str">
        <f ca="1">IFERROR(__xludf.DUMMYFUNCTION("GOOGLETRANSLATE(A2736, ""zh"", ""en"")"),"In August 2022, the 2022 Suzhou Dialogue Inhalation Preparations Forum, hosted by the State Key Laboratory of Respiratory Diseases of the Pharmaceutical Engineering Professional Committee of the Chinese Pharmaceutical Association, was successfully held in"&amp;" Suzhou.")</f>
        <v>In August 2022, the 2022 Suzhou Dialogue Inhalation Preparations Forum, hosted by the State Key Laboratory of Respiratory Diseases of the Pharmaceutical Engineering Professional Committee of the Chinese Pharmaceutical Association, was successfully held in Suzhou.</v>
      </c>
      <c r="B2736" s="1" t="str">
        <f ca="1">IFERROR(__xludf.DUMMYFUNCTION("GOOGLETRANSLATE(A2736, ""zh"", ""en"")"),"Fighting the epidemic")</f>
        <v>Fighting the epidemic</v>
      </c>
      <c r="C2736" s="1" t="str">
        <f ca="1">IFERROR(__xludf.DUMMYFUNCTION("GOOGLETRANSLATE(E2736, ""zh"", ""en"")"),"Qualitative text")</f>
        <v>Qualitative text</v>
      </c>
    </row>
    <row r="2737" spans="1:3" ht="13" x14ac:dyDescent="0.15">
      <c r="A2737" s="1" t="str">
        <f ca="1">IFERROR(__xludf.DUMMYFUNCTION("GOOGLETRANSLATE(A2737, ""zh"", ""en"")"),"By continuously strengthening and improving the career development plans for overseas local employees, we have gradually established localized, regionalized, and internationalized career development channels, and many local employees have entered manageme"&amp;"nt positions in the company.")</f>
        <v>By continuously strengthening and improving the career development plans for overseas local employees, we have gradually established localized, regionalized, and internationalized career development channels, and many local employees have entered management positions in the company.</v>
      </c>
      <c r="B2737" s="1" t="str">
        <f ca="1">IFERROR(__xludf.DUMMYFUNCTION("GOOGLETRANSLATE(A2737, ""zh"", ""en"")"),"Promoting employment")</f>
        <v>Promoting employment</v>
      </c>
      <c r="C2737" s="1" t="str">
        <f ca="1">IFERROR(__xludf.DUMMYFUNCTION("GOOGLETRANSLATE(E2737, ""zh"", ""en"")"),"Qualitative text")</f>
        <v>Qualitative text</v>
      </c>
    </row>
    <row r="2738" spans="1:3" ht="13" x14ac:dyDescent="0.15">
      <c r="A2738" s="1" t="str">
        <f ca="1">IFERROR(__xludf.DUMMYFUNCTION("GOOGLETRANSLATE(A2738, ""zh"", ""en"")"),"Encourage employees to actively participate in biodiversity conservation actions and strive to mobilize stakeholders such as local communities, public partners, and others to jointly build a multi-party cooperation system for biodiversity conservation.")</f>
        <v>Encourage employees to actively participate in biodiversity conservation actions and strive to mobilize stakeholders such as local communities, public partners, and others to jointly build a multi-party cooperation system for biodiversity conservation.</v>
      </c>
      <c r="B2738" s="1" t="str">
        <f ca="1">IFERROR(__xludf.DUMMYFUNCTION("GOOGLETRANSLATE(A2738, ""zh"", ""en"")"),"biodiversity")</f>
        <v>biodiversity</v>
      </c>
      <c r="C2738" s="1" t="str">
        <f ca="1">IFERROR(__xludf.DUMMYFUNCTION("GOOGLETRANSLATE(E2738, ""zh"", ""en"")"),"Qualitative text")</f>
        <v>Qualitative text</v>
      </c>
    </row>
    <row r="2739" spans="1:3" ht="13" x14ac:dyDescent="0.15">
      <c r="A2739" s="1" t="str">
        <f ca="1">IFERROR(__xludf.DUMMYFUNCTION("GOOGLETRANSLATE(A2739, ""zh"", ""en"")"),"13 impoverished households and 20 villagers were provided with jobs and wages totaling over 1.5 million yuan. Sweet potato growers in the village saw an average annual increase of about 1,000 yuan per household, which boosted their household income.")</f>
        <v>13 impoverished households and 20 villagers were provided with jobs and wages totaling over 1.5 million yuan. Sweet potato growers in the village saw an average annual increase of about 1,000 yuan per household, which boosted their household income.</v>
      </c>
      <c r="B2739" s="1" t="str">
        <f ca="1">IFERROR(__xludf.DUMMYFUNCTION("GOOGLETRANSLATE(A2739, ""zh"", ""en"")"),"Promoting employment")</f>
        <v>Promoting employment</v>
      </c>
      <c r="C2739" s="1" t="str">
        <f ca="1">IFERROR(__xludf.DUMMYFUNCTION("GOOGLETRANSLATE(E2739, ""zh"", ""en"")"),"Quantitative Text")</f>
        <v>Quantitative Text</v>
      </c>
    </row>
    <row r="2740" spans="1:3" ht="13" x14ac:dyDescent="0.15">
      <c r="A2740" s="1" t="str">
        <f ca="1">IFERROR(__xludf.DUMMYFUNCTION("GOOGLETRANSLATE(A2740, ""zh"", ""en"")"),"The main responsibilities of the Strategy Committee are to study the medium- and long-term development strategy of the Group and the impact on the development of the Group.")</f>
        <v>The main responsibilities of the Strategy Committee are to study the medium- and long-term development strategy of the Group and the impact on the development of the Group.</v>
      </c>
      <c r="B2740" s="1" t="str">
        <f ca="1">IFERROR(__xludf.DUMMYFUNCTION("GOOGLETRANSLATE(A2740, ""zh"", ""en"")"),"Organizational structure and operations")</f>
        <v>Organizational structure and operations</v>
      </c>
      <c r="C2740" s="1" t="str">
        <f ca="1">IFERROR(__xludf.DUMMYFUNCTION("GOOGLETRANSLATE(E2740, ""zh"", ""en"")"),"Quantitative Text")</f>
        <v>Quantitative Text</v>
      </c>
    </row>
    <row r="2741" spans="1:3" ht="13" x14ac:dyDescent="0.15">
      <c r="A2741" s="1" t="str">
        <f ca="1">IFERROR(__xludf.DUMMYFUNCTION("GOOGLETRANSLATE(A2741, ""zh"", ""en"")"),"The contract and joint venture company Fosun Kite provided anti-corruption training once each. The letter of commitment stipulated that Fosun Pharma employees should not abuse their power. The contract also provided special training for the Fosun Health D"&amp;"ean Training Class once.")</f>
        <v>The contract and joint venture company Fosun Kite provided anti-corruption training once each. The letter of commitment stipulated that Fosun Pharma employees should not abuse their power. The contract also provided special training for the Fosun Health Dean Training Class once.</v>
      </c>
      <c r="B2741" s="1" t="str">
        <f ca="1">IFERROR(__xludf.DUMMYFUNCTION("GOOGLETRANSLATE(A2741, ""zh"", ""en"")"),"Anti-corruption and anti-money laundering")</f>
        <v>Anti-corruption and anti-money laundering</v>
      </c>
      <c r="C2741" s="1" t="str">
        <f ca="1">IFERROR(__xludf.DUMMYFUNCTION("GOOGLETRANSLATE(E2741, ""zh"", ""en"")"),"Quantitative Text")</f>
        <v>Quantitative Text</v>
      </c>
    </row>
    <row r="2742" spans="1:3" ht="13" x14ac:dyDescent="0.15">
      <c r="A2742" s="1" t="str">
        <f ca="1">IFERROR(__xludf.DUMMYFUNCTION("GOOGLETRANSLATE(A2742, ""zh"", ""en"")"),"The company continuously improves the employee rank and grade development system and provides employees with a career development platform by facilitating career development channels according to the employee rank management regulations of China Storage D"&amp;"evelopment Co., Ltd.")</f>
        <v>The company continuously improves the employee rank and grade development system and provides employees with a career development platform by facilitating career development channels according to the employee rank management regulations of China Storage Development Co., Ltd.</v>
      </c>
      <c r="B2742" s="1" t="str">
        <f ca="1">IFERROR(__xludf.DUMMYFUNCTION("GOOGLETRANSLATE(A2742, ""zh"", ""en"")"),"staff")</f>
        <v>staff</v>
      </c>
      <c r="C2742" s="1" t="str">
        <f ca="1">IFERROR(__xludf.DUMMYFUNCTION("GOOGLETRANSLATE(E2742, ""zh"", ""en"")"),"Qualitative text")</f>
        <v>Qualitative text</v>
      </c>
    </row>
    <row r="2743" spans="1:3" ht="13" x14ac:dyDescent="0.15">
      <c r="A2743" s="1" t="str">
        <f ca="1">IFERROR(__xludf.DUMMYFUNCTION("GOOGLETRANSLATE(A2743, ""zh"", ""en"")"),"In 2022, CMST actively carried out the ""Year of Safety Production Improvement"" campaign, fulfilled the main responsibility for safety production, urged and guided system units to avoid, reduce and monitor safety risks, and carried out hidden danger mana"&amp;"gement activities.")</f>
        <v>In 2022, CMST actively carried out the "Year of Safety Production Improvement" campaign, fulfilled the main responsibility for safety production, urged and guided system units to avoid, reduce and monitor safety risks, and carried out hidden danger management activities.</v>
      </c>
      <c r="B2743" s="1" t="str">
        <f ca="1">IFERROR(__xludf.DUMMYFUNCTION("GOOGLETRANSLATE(A2743, ""zh"", ""en"")"),"staff")</f>
        <v>staff</v>
      </c>
      <c r="C2743" s="1" t="str">
        <f ca="1">IFERROR(__xludf.DUMMYFUNCTION("GOOGLETRANSLATE(E2743, ""zh"", ""en"")"),"Qualitative text")</f>
        <v>Qualitative text</v>
      </c>
    </row>
    <row r="2744" spans="1:3" ht="13" x14ac:dyDescent="0.15">
      <c r="A2744" s="1" t="str">
        <f ca="1">IFERROR(__xludf.DUMMYFUNCTION("GOOGLETRANSLATE(A2744, ""zh"", ""en"")"),"At the same time, we have established an emergency response team to promptly and orderly implement corresponding measures in the event of extreme weather, continuously monitor the weather, conduct regular inspections, and formulate climate change emergenc"&amp;"y plans to minimize damage.")</f>
        <v>At the same time, we have established an emergency response team to promptly and orderly implement corresponding measures in the event of extreme weather, continuously monitor the weather, conduct regular inspections, and formulate climate change emergency plans to minimize damage.</v>
      </c>
      <c r="B2744" s="1" t="str">
        <f ca="1">IFERROR(__xludf.DUMMYFUNCTION("GOOGLETRANSLATE(A2744, ""zh"", ""en"")"),"Addressing climate change")</f>
        <v>Addressing climate change</v>
      </c>
      <c r="C2744" s="1" t="str">
        <f ca="1">IFERROR(__xludf.DUMMYFUNCTION("GOOGLETRANSLATE(E2744, ""zh"", ""en"")"),"Qualitative text")</f>
        <v>Qualitative text</v>
      </c>
    </row>
    <row r="2745" spans="1:3" ht="13" x14ac:dyDescent="0.15">
      <c r="A2745" s="1" t="str">
        <f ca="1">IFERROR(__xludf.DUMMYFUNCTION("GOOGLETRANSLATE(A2745, ""zh"", ""en"")"),"The company revised its recruitment management system, labor contract management system, training management system, salary assessment system and other documents to reasonably avoid human resource risks and create a democratic, fair and inclusive working "&amp;"environment.")</f>
        <v>The company revised its recruitment management system, labor contract management system, training management system, salary assessment system and other documents to reasonably avoid human resource risks and create a democratic, fair and inclusive working environment.</v>
      </c>
      <c r="B2745" s="1" t="str">
        <f ca="1">IFERROR(__xludf.DUMMYFUNCTION("GOOGLETRANSLATE(A2745, ""zh"", ""en"")"),"staff")</f>
        <v>staff</v>
      </c>
      <c r="C2745" s="1" t="str">
        <f ca="1">IFERROR(__xludf.DUMMYFUNCTION("GOOGLETRANSLATE(E2745, ""zh"", ""en"")"),"Qualitative text")</f>
        <v>Qualitative text</v>
      </c>
    </row>
    <row r="2746" spans="1:3" ht="13" x14ac:dyDescent="0.15">
      <c r="A2746" s="1" t="str">
        <f ca="1">IFERROR(__xludf.DUMMYFUNCTION("GOOGLETRANSLATE(A2746, ""zh"", ""en"")"),"Safety training is provided to new employees when they join the company. In addition, a safety activity day is held every week and a safety production week is held every year to ensure that all employees receive safety work training.")</f>
        <v>Safety training is provided to new employees when they join the company. In addition, a safety activity day is held every week and a safety production week is held every year to ensure that all employees receive safety work training.</v>
      </c>
      <c r="B2746" s="1" t="str">
        <f ca="1">IFERROR(__xludf.DUMMYFUNCTION("GOOGLETRANSLATE(A2746, ""zh"", ""en"")"),"staff")</f>
        <v>staff</v>
      </c>
      <c r="C2746" s="1" t="str">
        <f ca="1">IFERROR(__xludf.DUMMYFUNCTION("GOOGLETRANSLATE(E2746, ""zh"", ""en"")"),"Qualitative text")</f>
        <v>Qualitative text</v>
      </c>
    </row>
    <row r="2747" spans="1:3" ht="13" x14ac:dyDescent="0.15">
      <c r="A2747" s="1" t="str">
        <f ca="1">IFERROR(__xludf.DUMMYFUNCTION("GOOGLETRANSLATE(A2747, ""zh"", ""en"")"),"At the same time, we will actively explore talent training cooperation with domestic and foreign institutions in related fields to help my country's Chinese education and vocational education go global and promote the high-quality development of the Belt "&amp;"and Road Initiative.")</f>
        <v>At the same time, we will actively explore talent training cooperation with domestic and foreign institutions in related fields to help my country's Chinese education and vocational education go global and promote the high-quality development of the Belt and Road Initiative.</v>
      </c>
      <c r="B2747" s="1" t="str">
        <f ca="1">IFERROR(__xludf.DUMMYFUNCTION("GOOGLETRANSLATE(A2747, ""zh"", ""en"")"),"Technological innovation")</f>
        <v>Technological innovation</v>
      </c>
      <c r="C2747" s="1" t="str">
        <f ca="1">IFERROR(__xludf.DUMMYFUNCTION("GOOGLETRANSLATE(E2747, ""zh"", ""en"")"),"Qualitative text")</f>
        <v>Qualitative text</v>
      </c>
    </row>
    <row r="2748" spans="1:3" ht="13" x14ac:dyDescent="0.15">
      <c r="A2748" s="1" t="str">
        <f ca="1">IFERROR(__xludf.DUMMYFUNCTION("GOOGLETRANSLATE(A2748, ""zh"", ""en"")"),"Humanwell Pharmaceuticals adheres to a people-oriented talent philosophy, deepens democratic management mechanisms, improves and perfects its compensation and benefits system, and facilitates talent promotion channels to build a mutually beneficial and wi"&amp;"n-win cooperative relationship between the company and its employees.")</f>
        <v>Humanwell Pharmaceuticals adheres to a people-oriented talent philosophy, deepens democratic management mechanisms, improves and perfects its compensation and benefits system, and facilitates talent promotion channels to build a mutually beneficial and win-win cooperative relationship between the company and its employees.</v>
      </c>
      <c r="B2748" s="1" t="str">
        <f ca="1">IFERROR(__xludf.DUMMYFUNCTION("GOOGLETRANSLATE(A2748, ""zh"", ""en"")"),"staff")</f>
        <v>staff</v>
      </c>
      <c r="C2748" s="1" t="str">
        <f ca="1">IFERROR(__xludf.DUMMYFUNCTION("GOOGLETRANSLATE(E2748, ""zh"", ""en"")"),"Qualitative text")</f>
        <v>Qualitative text</v>
      </c>
    </row>
    <row r="2749" spans="1:3" ht="13" x14ac:dyDescent="0.15">
      <c r="A2749" s="1" t="str">
        <f ca="1">IFERROR(__xludf.DUMMYFUNCTION("GOOGLETRANSLATE(A2749, ""zh"", ""en"")"),"This drug is mainly used to treat refractory epilepsy. It is suitable for the combined treatment of epileptic seizures in patients with Lennox-Gastaut syndrome aged 2 years and above. It is a rare disease drug.")</f>
        <v>This drug is mainly used to treat refractory epilepsy. It is suitable for the combined treatment of epileptic seizures in patients with Lennox-Gastaut syndrome aged 2 years and above. It is a rare disease drug.</v>
      </c>
      <c r="B2749" s="1" t="str">
        <f ca="1">IFERROR(__xludf.DUMMYFUNCTION("GOOGLETRANSLATE(A2749, ""zh"", ""en"")"),"Product quality")</f>
        <v>Product quality</v>
      </c>
      <c r="C2749" s="1" t="str">
        <f ca="1">IFERROR(__xludf.DUMMYFUNCTION("GOOGLETRANSLATE(E2749, ""zh"", ""en"")"),"Qualitative text")</f>
        <v>Qualitative text</v>
      </c>
    </row>
    <row r="2750" spans="1:3" ht="13" x14ac:dyDescent="0.15">
      <c r="A2750" s="1" t="str">
        <f ca="1">IFERROR(__xludf.DUMMYFUNCTION("GOOGLETRANSLATE(A2750, ""zh"", ""en"")"),"Adhere to innovation to empower science and technology, deepen the reform of the system and mechanism, strengthen the selection, training and incentives of scientific research talents, fully mobilize the enthusiasm of scientific and technological personne"&amp;"l for innovation and creation, and strive to build a scientific and technological innovation ecosystem.")</f>
        <v>Adhere to innovation to empower science and technology, deepen the reform of the system and mechanism, strengthen the selection, training and incentives of scientific research talents, fully mobilize the enthusiasm of scientific and technological personnel for innovation and creation, and strive to build a scientific and technological innovation ecosystem.</v>
      </c>
      <c r="B2750" s="1" t="str">
        <f ca="1">IFERROR(__xludf.DUMMYFUNCTION("GOOGLETRANSLATE(A2750, ""zh"", ""en"")"),"Technological innovation")</f>
        <v>Technological innovation</v>
      </c>
      <c r="C2750" s="1" t="str">
        <f ca="1">IFERROR(__xludf.DUMMYFUNCTION("GOOGLETRANSLATE(E2750, ""zh"", ""en"")"),"Qualitative text")</f>
        <v>Qualitative text</v>
      </c>
    </row>
    <row r="2751" spans="1:3" ht="13" x14ac:dyDescent="0.15">
      <c r="A2751" s="1" t="str">
        <f ca="1">IFERROR(__xludf.DUMMYFUNCTION("GOOGLETRANSLATE(A2751, ""zh"", ""en"")"),"Starting from January 1, 2022, the ESG indicators will be added to the personal performance appraisal of all members of the Social Responsibility Working Group, including executive management, with a weight of 10% of the total performance system.")</f>
        <v>Starting from January 1, 2022, the ESG indicators will be added to the personal performance appraisal of all members of the Social Responsibility Working Group, including executive management, with a weight of 10% of the total performance system.</v>
      </c>
      <c r="B2751" s="1" t="str">
        <f ca="1">IFERROR(__xludf.DUMMYFUNCTION("GOOGLETRANSLATE(A2751, ""zh"", ""en"")"),"staff")</f>
        <v>staff</v>
      </c>
      <c r="C2751" s="1" t="str">
        <f ca="1">IFERROR(__xludf.DUMMYFUNCTION("GOOGLETRANSLATE(E2751, ""zh"", ""en"")"),"Quantitative Text")</f>
        <v>Quantitative Text</v>
      </c>
    </row>
    <row r="2752" spans="1:3" ht="13" x14ac:dyDescent="0.15">
      <c r="A2752" s="1" t="str">
        <f ca="1">IFERROR(__xludf.DUMMYFUNCTION("GOOGLETRANSLATE(A2752, ""zh"", ""en"")"),"External Audit: Joincare conducts an external EHS audit every year and hires a qualified third-party certification body to audit and supervise its ISO-certified production subsidiaries.")</f>
        <v>External Audit: Joincare conducts an external EHS audit every year and hires a qualified third-party certification body to audit and supervise its ISO-certified production subsidiaries.</v>
      </c>
      <c r="B2752" s="1" t="str">
        <f ca="1">IFERROR(__xludf.DUMMYFUNCTION("GOOGLETRANSLATE(A2752, ""zh"", ""en"")"),"Audit work")</f>
        <v>Audit work</v>
      </c>
      <c r="C2752" s="1" t="str">
        <f ca="1">IFERROR(__xludf.DUMMYFUNCTION("GOOGLETRANSLATE(E2752, ""zh"", ""en"")"),"Qualitative text")</f>
        <v>Qualitative text</v>
      </c>
    </row>
    <row r="2753" spans="1:3" ht="13" x14ac:dyDescent="0.15">
      <c r="A2753" s="1" t="str">
        <f ca="1">IFERROR(__xludf.DUMMYFUNCTION("GOOGLETRANSLATE(A2753, ""zh"", ""en"")"),"In the 2022 BBS Linggong Behavior Safety Double Observation Activity, a total of more than 600 behavioral safety observation cards were produced. The number of accidents caused by unsafe behaviors of Linggong has also continued to decrease.")</f>
        <v>In the 2022 BBS Linggong Behavior Safety Double Observation Activity, a total of more than 600 behavioral safety observation cards were produced. The number of accidents caused by unsafe behaviors of Linggong has also continued to decrease.</v>
      </c>
      <c r="B2753" s="1" t="str">
        <f ca="1">IFERROR(__xludf.DUMMYFUNCTION("GOOGLETRANSLATE(A2753, ""zh"", ""en"")"),"staff")</f>
        <v>staff</v>
      </c>
      <c r="C2753" s="1" t="str">
        <f ca="1">IFERROR(__xludf.DUMMYFUNCTION("GOOGLETRANSLATE(E2753, ""zh"", ""en"")"),"Quantitative Text")</f>
        <v>Quantitative Text</v>
      </c>
    </row>
    <row r="2754" spans="1:3" ht="13" x14ac:dyDescent="0.15">
      <c r="A2754" s="1" t="str">
        <f ca="1">IFERROR(__xludf.DUMMYFUNCTION("GOOGLETRANSLATE(A2754, ""zh"", ""en"")"),"Improve internal control system. The company complies with the company's articles of association, the rules of procedure and work system of the three meetings, standardize the powers of the three meetings, and ensure that the rights and responsibilities o"&amp;"f the shareholders' meeting, board of directors, board of supervisors and management are clear and efficient.")</f>
        <v>Improve internal control system. The company complies with the company's articles of association, the rules of procedure and work system of the three meetings, standardize the powers of the three meetings, and ensure that the rights and responsibilities of the shareholders' meeting, board of directors, board of supervisors and management are clear and efficient.</v>
      </c>
      <c r="B2754" s="1" t="str">
        <f ca="1">IFERROR(__xludf.DUMMYFUNCTION("GOOGLETRANSLATE(A2754, ""zh"", ""en"")"),"Organizational structure and operations")</f>
        <v>Organizational structure and operations</v>
      </c>
      <c r="C2754" s="1" t="str">
        <f ca="1">IFERROR(__xludf.DUMMYFUNCTION("GOOGLETRANSLATE(E2754, ""zh"", ""en"")"),"Qualitative text")</f>
        <v>Qualitative text</v>
      </c>
    </row>
    <row r="2755" spans="1:3" ht="13" x14ac:dyDescent="0.15">
      <c r="A2755" s="1" t="str">
        <f ca="1">IFERROR(__xludf.DUMMYFUNCTION("GOOGLETRANSLATE(A2755, ""zh"", ""en"")"),"In January, Yichang Renfu's Class 1 new drug RF16001 for injection was approved for clinical trials. This is the company's first modified complex high-end injection and will be used in the field of long-term local postoperative analgesia.")</f>
        <v>In January, Yichang Renfu's Class 1 new drug RF16001 for injection was approved for clinical trials. This is the company's first modified complex high-end injection and will be used in the field of long-term local postoperative analgesia.</v>
      </c>
      <c r="B2755" s="1" t="str">
        <f ca="1">IFERROR(__xludf.DUMMYFUNCTION("GOOGLETRANSLATE(A2755, ""zh"", ""en"")"),"Product quality")</f>
        <v>Product quality</v>
      </c>
      <c r="C2755" s="1" t="str">
        <f ca="1">IFERROR(__xludf.DUMMYFUNCTION("GOOGLETRANSLATE(E2755, ""zh"", ""en"")"),"Qualitative text")</f>
        <v>Qualitative text</v>
      </c>
    </row>
    <row r="2756" spans="1:3" ht="13" x14ac:dyDescent="0.15">
      <c r="A2756" s="1" t="str">
        <f ca="1">IFERROR(__xludf.DUMMYFUNCTION("GOOGLETRANSLATE(A2756, ""zh"", ""en"")"),"BeNeng is suitable for adults and children with infections caused by single or multiple bacteria sensitive to meropenem. It can be used alone or in combination with other antimicrobial agents to treat multiple infections.")</f>
        <v>BeNeng is suitable for adults and children with infections caused by single or multiple bacteria sensitive to meropenem. It can be used alone or in combination with other antimicrobial agents to treat multiple infections.</v>
      </c>
      <c r="B2756" s="1" t="str">
        <f ca="1">IFERROR(__xludf.DUMMYFUNCTION("GOOGLETRANSLATE(A2756, ""zh"", ""en"")"),"Product quality")</f>
        <v>Product quality</v>
      </c>
      <c r="C2756" s="1" t="str">
        <f ca="1">IFERROR(__xludf.DUMMYFUNCTION("GOOGLETRANSLATE(E2756, ""zh"", ""en"")"),"Qualitative text")</f>
        <v>Qualitative text</v>
      </c>
    </row>
    <row r="2757" spans="1:3" ht="13" x14ac:dyDescent="0.15">
      <c r="A2757" s="1" t="str">
        <f ca="1">IFERROR(__xludf.DUMMYFUNCTION("GOOGLETRANSLATE(A2757, ""zh"", ""en"")"),"The number of employees in the Bohai Rim region refers to the number of employees in the entire China Construction Bank, excluding domestic and overseas branches and subsidiaries, in the Bohai Rim region of my country as of the end of the reporting period"&amp;".")</f>
        <v>The number of employees in the Bohai Rim region refers to the number of employees in the entire China Construction Bank, excluding domestic and overseas branches and subsidiaries, in the Bohai Rim region of my country as of the end of the reporting period.</v>
      </c>
      <c r="B2757" s="1" t="str">
        <f ca="1">IFERROR(__xludf.DUMMYFUNCTION("GOOGLETRANSLATE(A2757, ""zh"", ""en"")"),"staff")</f>
        <v>staff</v>
      </c>
      <c r="C2757" s="1" t="str">
        <f ca="1">IFERROR(__xludf.DUMMYFUNCTION("GOOGLETRANSLATE(E2757, ""zh"", ""en"")"),"Qualitative text")</f>
        <v>Qualitative text</v>
      </c>
    </row>
    <row r="2758" spans="1:3" ht="13" x14ac:dyDescent="0.15">
      <c r="A2758" s="1" t="str">
        <f ca="1">IFERROR(__xludf.DUMMYFUNCTION("GOOGLETRANSLATE(A2758, ""zh"", ""en"")"),"Strengthen the bank's low-carbon capacity building, establish a bank-wide carbon emissions management platform system, consolidate the energy consumption data foundation, and enhance the statistical analysis and application capabilities of energy resource"&amp;" consumption data at all levels of institutions.")</f>
        <v>Strengthen the bank's low-carbon capacity building, establish a bank-wide carbon emissions management platform system, consolidate the energy consumption data foundation, and enhance the statistical analysis and application capabilities of energy resource consumption data at all levels of institutions.</v>
      </c>
      <c r="B2758" s="1" t="str">
        <f ca="1">IFERROR(__xludf.DUMMYFUNCTION("GOOGLETRANSLATE(A2758, ""zh"", ""en"")"),"carbon emissions")</f>
        <v>carbon emissions</v>
      </c>
      <c r="C2758" s="1" t="str">
        <f ca="1">IFERROR(__xludf.DUMMYFUNCTION("GOOGLETRANSLATE(E2758, ""zh"", ""en"")"),"Qualitative text")</f>
        <v>Qualitative text</v>
      </c>
    </row>
    <row r="2759" spans="1:3" ht="13" x14ac:dyDescent="0.15">
      <c r="A2759" s="1" t="str">
        <f ca="1">IFERROR(__xludf.DUMMYFUNCTION("GOOGLETRANSLATE(A2759, ""zh"", ""en"")"),"Highlight the important role of professional and technical personnel's academic and technical level and professional ability in professional title evaluation. Independently carry out senior professional title evaluation work. 339 senior professional title"&amp;" personnel will be identified in 2022.")</f>
        <v>Highlight the important role of professional and technical personnel's academic and technical level and professional ability in professional title evaluation. Independently carry out senior professional title evaluation work. 339 senior professional title personnel will be identified in 2022.</v>
      </c>
      <c r="B2759" s="1" t="str">
        <f ca="1">IFERROR(__xludf.DUMMYFUNCTION("GOOGLETRANSLATE(A2759, ""zh"", ""en"")"),"staff")</f>
        <v>staff</v>
      </c>
      <c r="C2759" s="1" t="str">
        <f ca="1">IFERROR(__xludf.DUMMYFUNCTION("GOOGLETRANSLATE(E2759, ""zh"", ""en"")"),"Quantitative Text")</f>
        <v>Quantitative Text</v>
      </c>
    </row>
    <row r="2760" spans="1:3" ht="13" x14ac:dyDescent="0.15">
      <c r="A2760" s="1" t="str">
        <f ca="1">IFERROR(__xludf.DUMMYFUNCTION("GOOGLETRANSLATE(A2760, ""zh"", ""en"")"),"Actively carry out green credit certification work and system optimization and development; conduct in-depth research and implement the green credit certification requirements of regulatory agencies; standardize the green credit business certification pro"&amp;"cess and strictly prevent greenwashing and greenwashing")</f>
        <v>Actively carry out green credit certification work and system optimization and development; conduct in-depth research and implement the green credit certification requirements of regulatory agencies; standardize the green credit business certification process and strictly prevent greenwashing and greenwashing</v>
      </c>
      <c r="B2760" s="1" t="str">
        <f ca="1">IFERROR(__xludf.DUMMYFUNCTION("GOOGLETRANSLATE(A2760, ""zh"", ""en"")"),"Green Finance")</f>
        <v>Green Finance</v>
      </c>
      <c r="C2760" s="1" t="str">
        <f ca="1">IFERROR(__xludf.DUMMYFUNCTION("GOOGLETRANSLATE(E2760, ""zh"", ""en"")"),"Qualitative text")</f>
        <v>Qualitative text</v>
      </c>
    </row>
    <row r="2761" spans="1:3" ht="13" x14ac:dyDescent="0.15">
      <c r="A2761" s="1" t="str">
        <f ca="1">IFERROR(__xludf.DUMMYFUNCTION("GOOGLETRANSLATE(A2761, ""zh"", ""en"")"),"Over the past 15 years, a total of RMB 166 million has been donated, benefiting nearly 100,000 high school students who have successfully completed their high school studies. Among them, more than 80,000 have realized their dream of going to college and w"&amp;"ritten a different life for themselves.")</f>
        <v>Over the past 15 years, a total of RMB 166 million has been donated, benefiting nearly 100,000 high school students who have successfully completed their high school studies. Among them, more than 80,000 have realized their dream of going to college and written a different life for themselves.</v>
      </c>
      <c r="B2761" s="1" t="str">
        <f ca="1">IFERROR(__xludf.DUMMYFUNCTION("GOOGLETRANSLATE(A2761, ""zh"", ""en"")"),"Public welfare and volunteer service")</f>
        <v>Public welfare and volunteer service</v>
      </c>
      <c r="C2761" s="1" t="str">
        <f ca="1">IFERROR(__xludf.DUMMYFUNCTION("GOOGLETRANSLATE(E2761, ""zh"", ""en"")"),"Quantitative Text")</f>
        <v>Quantitative Text</v>
      </c>
    </row>
    <row r="2762" spans="1:3" ht="13" x14ac:dyDescent="0.15">
      <c r="A2762" s="1" t="str">
        <f ca="1">IFERROR(__xludf.DUMMYFUNCTION("GOOGLETRANSLATE(A2762, ""zh"", ""en"")"),"Systematically build three teams of wealth management, investment research experts, wealth advisors, and professional and dedicated private client managers. Leveraging financial technology, we forge the core competitiveness of digital professionalism in w"&amp;"ealth management.")</f>
        <v>Systematically build three teams of wealth management, investment research experts, wealth advisors, and professional and dedicated private client managers. Leveraging financial technology, we forge the core competitiveness of digital professionalism in wealth management.</v>
      </c>
      <c r="B2762" s="1" t="str">
        <f ca="1">IFERROR(__xludf.DUMMYFUNCTION("GOOGLETRANSLATE(A2762, ""zh"", ""en"")"),"Customers and Consumers")</f>
        <v>Customers and Consumers</v>
      </c>
      <c r="C2762" s="1" t="str">
        <f ca="1">IFERROR(__xludf.DUMMYFUNCTION("GOOGLETRANSLATE(E2762, ""zh"", ""en"")"),"Qualitative text")</f>
        <v>Qualitative text</v>
      </c>
    </row>
    <row r="2763" spans="1:3" ht="13" x14ac:dyDescent="0.15">
      <c r="A2763" s="1" t="str">
        <f ca="1">IFERROR(__xludf.DUMMYFUNCTION("GOOGLETRANSLATE(A2763, ""zh"", ""en"")"),"Chongqing Fengdu County Dima Sanjian Children's Care Center is the second children's care center in Chongqing built by Dima Public Welfare Foundation and Dima Shares. Dima Public Welfare Foundation invested 500,000 yuan.")</f>
        <v>Chongqing Fengdu County Dima Sanjian Children's Care Center is the second children's care center in Chongqing built by Dima Public Welfare Foundation and Dima Shares. Dima Public Welfare Foundation invested 500,000 yuan.</v>
      </c>
      <c r="B2763" s="1" t="str">
        <f ca="1">IFERROR(__xludf.DUMMYFUNCTION("GOOGLETRANSLATE(A2763, ""zh"", ""en"")"),"Public welfare and volunteer service")</f>
        <v>Public welfare and volunteer service</v>
      </c>
      <c r="C2763" s="1" t="str">
        <f ca="1">IFERROR(__xludf.DUMMYFUNCTION("GOOGLETRANSLATE(E2763, ""zh"", ""en"")"),"Quantitative Text")</f>
        <v>Quantitative Text</v>
      </c>
    </row>
    <row r="2764" spans="1:3" ht="13" x14ac:dyDescent="0.15">
      <c r="A2764" s="1" t="str">
        <f ca="1">IFERROR(__xludf.DUMMYFUNCTION("GOOGLETRANSLATE(A2764, ""zh"", ""en"")"),"At the same time, through talent assessment and talent inventory of key positions, we can quickly identify the key capabilities of high-potential personnel and combine them with customized training programs to promote Dima's organizational reform and tale"&amp;"nt development.")</f>
        <v>At the same time, through talent assessment and talent inventory of key positions, we can quickly identify the key capabilities of high-potential personnel and combine them with customized training programs to promote Dima's organizational reform and talent development.</v>
      </c>
      <c r="B2764" s="1" t="str">
        <f ca="1">IFERROR(__xludf.DUMMYFUNCTION("GOOGLETRANSLATE(A2764, ""zh"", ""en"")"),"Organizational structure and operations")</f>
        <v>Organizational structure and operations</v>
      </c>
      <c r="C2764" s="1" t="str">
        <f ca="1">IFERROR(__xludf.DUMMYFUNCTION("GOOGLETRANSLATE(E2764, ""zh"", ""en"")"),"Qualitative text")</f>
        <v>Qualitative text</v>
      </c>
    </row>
    <row r="2765" spans="1:3" ht="13" x14ac:dyDescent="0.15">
      <c r="A2765" s="1" t="str">
        <f ca="1">IFERROR(__xludf.DUMMYFUNCTION("GOOGLETRANSLATE(A2765, ""zh"", ""en"")"),"Delivery is the visible answer to Dongyuan's insistence on quality. As the 7th project in Mianyang, Dongyuan strictly controls every level and strives for excellence, using quality and service to give owners a wonderful homecoming experience.")</f>
        <v>Delivery is the visible answer to Dongyuan's insistence on quality. As the 7th project in Mianyang, Dongyuan strictly controls every level and strives for excellence, using quality and service to give owners a wonderful homecoming experience.</v>
      </c>
      <c r="B2765" s="1" t="str">
        <f ca="1">IFERROR(__xludf.DUMMYFUNCTION("GOOGLETRANSLATE(A2765, ""zh"", ""en"")"),"Customers and Consumers")</f>
        <v>Customers and Consumers</v>
      </c>
      <c r="C2765" s="1" t="str">
        <f ca="1">IFERROR(__xludf.DUMMYFUNCTION("GOOGLETRANSLATE(E2765, ""zh"", ""en"")"),"Qualitative text")</f>
        <v>Qualitative text</v>
      </c>
    </row>
    <row r="2766" spans="1:3" ht="13" x14ac:dyDescent="0.15">
      <c r="A2766" s="1" t="str">
        <f ca="1">IFERROR(__xludf.DUMMYFUNCTION("GOOGLETRANSLATE(A2766, ""zh"", ""en"")"),"Formulate Sinopec's 2022 Cybersecurity Work Key Points, proposing 19 key tasks from four aspects: responsibility implementation, compliance management, technical security prevention, operation system construction, supervision and assessment.")</f>
        <v>Formulate Sinopec's 2022 Cybersecurity Work Key Points, proposing 19 key tasks from four aspects: responsibility implementation, compliance management, technical security prevention, operation system construction, supervision and assessment.</v>
      </c>
      <c r="B2766" s="1" t="str">
        <f ca="1">IFERROR(__xludf.DUMMYFUNCTION("GOOGLETRANSLATE(A2766, ""zh"", ""en"")"),"Data security")</f>
        <v>Data security</v>
      </c>
      <c r="C2766" s="1" t="str">
        <f ca="1">IFERROR(__xludf.DUMMYFUNCTION("GOOGLETRANSLATE(E2766, ""zh"", ""en"")"),"Quantitative Text")</f>
        <v>Quantitative Text</v>
      </c>
    </row>
    <row r="2767" spans="1:3" ht="13" x14ac:dyDescent="0.15">
      <c r="A2767" s="1" t="str">
        <f ca="1">IFERROR(__xludf.DUMMYFUNCTION("GOOGLETRANSLATE(A2767, ""zh"", ""en"")"),"Adhering to the goal-oriented performance concept and fair and objective evaluation principles, the company continuously optimizes the performance appraisal process and regularly conducts performance appraisals for all employees to continuously improve th"&amp;"e overall quality of employees.")</f>
        <v>Adhering to the goal-oriented performance concept and fair and objective evaluation principles, the company continuously optimizes the performance appraisal process and regularly conducts performance appraisals for all employees to continuously improve the overall quality of employees.</v>
      </c>
      <c r="B2767" s="1" t="str">
        <f ca="1">IFERROR(__xludf.DUMMYFUNCTION("GOOGLETRANSLATE(A2767, ""zh"", ""en"")"),"staff")</f>
        <v>staff</v>
      </c>
      <c r="C2767" s="1" t="str">
        <f ca="1">IFERROR(__xludf.DUMMYFUNCTION("GOOGLETRANSLATE(E2767, ""zh"", ""en"")"),"Qualitative text")</f>
        <v>Qualitative text</v>
      </c>
    </row>
    <row r="2768" spans="1:3" ht="13" x14ac:dyDescent="0.15">
      <c r="A2768" s="1" t="str">
        <f ca="1">IFERROR(__xludf.DUMMYFUNCTION("GOOGLETRANSLATE(A2768, ""zh"", ""en"")"),"The company conducts ecological surveys annually to track the status of flora and fauna in its operating areas, monitor the development of key species, and, to a certain extent, help identify endangered species in the region.")</f>
        <v>The company conducts ecological surveys annually to track the status of flora and fauna in its operating areas, monitor the development of key species, and, to a certain extent, help identify endangered species in the region.</v>
      </c>
      <c r="B2768" s="1" t="str">
        <f ca="1">IFERROR(__xludf.DUMMYFUNCTION("GOOGLETRANSLATE(A2768, ""zh"", ""en"")"),"biodiversity")</f>
        <v>biodiversity</v>
      </c>
      <c r="C2768" s="1" t="str">
        <f ca="1">IFERROR(__xludf.DUMMYFUNCTION("GOOGLETRANSLATE(E2768, ""zh"", ""en"")"),"Qualitative text")</f>
        <v>Qualitative text</v>
      </c>
    </row>
    <row r="2769" spans="1:3" ht="13" x14ac:dyDescent="0.15">
      <c r="A2769" s="1" t="str">
        <f ca="1">IFERROR(__xludf.DUMMYFUNCTION("GOOGLETRANSLATE(A2769, ""zh"", ""en"")"),"Organized a Song Dynasty cultural tour for female employees with over 50 participants. Organized parent-child activities for employees' children by adopting the Baguatian parent-child planting base. Organized summer camp activities for employees' children"&amp;".")</f>
        <v>Organized a Song Dynasty cultural tour for female employees with over 50 participants. Organized parent-child activities for employees' children by adopting the Baguatian parent-child planting base. Organized summer camp activities for employees' children.</v>
      </c>
      <c r="B2769" s="1" t="str">
        <f ca="1">IFERROR(__xludf.DUMMYFUNCTION("GOOGLETRANSLATE(A2769, ""zh"", ""en"")"),"staff")</f>
        <v>staff</v>
      </c>
      <c r="C2769" s="1" t="str">
        <f ca="1">IFERROR(__xludf.DUMMYFUNCTION("GOOGLETRANSLATE(E2769, ""zh"", ""en"")"),"Quantitative Text")</f>
        <v>Quantitative Text</v>
      </c>
    </row>
    <row r="2770" spans="1:3" ht="13" x14ac:dyDescent="0.15">
      <c r="A2770" s="1" t="str">
        <f ca="1">IFERROR(__xludf.DUMMYFUNCTION("GOOGLETRANSLATE(A2770, ""zh"", ""en"")"),"In 2022, Haier Smart Home upgraded its quality culture and established a User Experience Committee to focus more on user experience, improve product quality based on user pain points, and promote digital quality transformation.")</f>
        <v>In 2022, Haier Smart Home upgraded its quality culture and established a User Experience Committee to focus more on user experience, improve product quality based on user pain points, and promote digital quality transformation.</v>
      </c>
      <c r="B2770" s="1" t="str">
        <f ca="1">IFERROR(__xludf.DUMMYFUNCTION("GOOGLETRANSLATE(A2770, ""zh"", ""en"")"),"Product quality")</f>
        <v>Product quality</v>
      </c>
      <c r="C2770" s="1" t="str">
        <f ca="1">IFERROR(__xludf.DUMMYFUNCTION("GOOGLETRANSLATE(E2770, ""zh"", ""en"")"),"Qualitative text")</f>
        <v>Qualitative text</v>
      </c>
    </row>
    <row r="2771" spans="1:3" ht="13" x14ac:dyDescent="0.15">
      <c r="A2771" s="1" t="str">
        <f ca="1">IFERROR(__xludf.DUMMYFUNCTION("GOOGLETRANSLATE(A2771, ""zh"", ""en"")"),"The number of employees disclosed in the Sustainable Development Report refers to the total number of employees who have signed full-time labor contracts with Sinopec, excluding dispatched employees.")</f>
        <v>The number of employees disclosed in the Sustainable Development Report refers to the total number of employees who have signed full-time labor contracts with Sinopec, excluding dispatched employees.</v>
      </c>
      <c r="B2771" s="1" t="str">
        <f ca="1">IFERROR(__xludf.DUMMYFUNCTION("GOOGLETRANSLATE(A2771, ""zh"", ""en"")"),"staff")</f>
        <v>staff</v>
      </c>
      <c r="C2771" s="1" t="str">
        <f ca="1">IFERROR(__xludf.DUMMYFUNCTION("GOOGLETRANSLATE(E2771, ""zh"", ""en"")"),"Qualitative text")</f>
        <v>Qualitative text</v>
      </c>
    </row>
    <row r="2772" spans="1:3" ht="13" x14ac:dyDescent="0.15">
      <c r="A2772" s="1" t="str">
        <f ca="1">IFERROR(__xludf.DUMMYFUNCTION("GOOGLETRANSLATE(A2772, ""zh"", ""en"")"),"Revise and improve key systems through a combination of online and offline methods, through line promotion, video micro-classes, and enterprise-level training, to strengthen the learning, understanding, and application of the system and improve implementa"&amp;"tion effectiveness.")</f>
        <v>Revise and improve key systems through a combination of online and offline methods, through line promotion, video micro-classes, and enterprise-level training, to strengthen the learning, understanding, and application of the system and improve implementation effectiveness.</v>
      </c>
      <c r="B2772" s="1" t="str">
        <f ca="1">IFERROR(__xludf.DUMMYFUNCTION("GOOGLETRANSLATE(A2772, ""zh"", ""en"")"),"Organizational structure and operations")</f>
        <v>Organizational structure and operations</v>
      </c>
      <c r="C2772" s="1" t="str">
        <f ca="1">IFERROR(__xludf.DUMMYFUNCTION("GOOGLETRANSLATE(E2772, ""zh"", ""en"")"),"Qualitative text")</f>
        <v>Qualitative text</v>
      </c>
    </row>
    <row r="2773" spans="1:3" ht="13" x14ac:dyDescent="0.15">
      <c r="A2773" s="1" t="str">
        <f ca="1">IFERROR(__xludf.DUMMYFUNCTION("GOOGLETRANSLATE(A2773, ""zh"", ""en"")"),"According to the unified deployment of the Provincial State-owned Assets Supervision and Administration Commission, the term system and contractual management of the group's management team members were promoted. The assessment indicators were strictly im"&amp;"plemented in accordance with the requirements to determine the completion of the signing of the appointment letter and target responsibility letter.")</f>
        <v>According to the unified deployment of the Provincial State-owned Assets Supervision and Administration Commission, the term system and contractual management of the group's management team members were promoted. The assessment indicators were strictly implemented in accordance with the requirements to determine the completion of the signing of the appointment letter and target responsibility letter.</v>
      </c>
      <c r="B2773" s="1" t="str">
        <f ca="1">IFERROR(__xludf.DUMMYFUNCTION("GOOGLETRANSLATE(A2773, ""zh"", ""en"")"),"Organizational structure and operations")</f>
        <v>Organizational structure and operations</v>
      </c>
      <c r="C2773" s="1" t="str">
        <f ca="1">IFERROR(__xludf.DUMMYFUNCTION("GOOGLETRANSLATE(E2773, ""zh"", ""en"")"),"Qualitative text")</f>
        <v>Qualitative text</v>
      </c>
    </row>
    <row r="2774" spans="1:3" ht="13" x14ac:dyDescent="0.15">
      <c r="A2774" s="1" t="str">
        <f ca="1">IFERROR(__xludf.DUMMYFUNCTION("GOOGLETRANSLATE(A2774, ""zh"", ""en"")"),"Yuantong Company's outdoor labor service station Yuantong Station Yuantong Company's 2022 Warm Home Road event site Yuantong Company's Cloud Commerce Company 36 strengthens the safety production line in the financial sector")</f>
        <v>Yuantong Company's outdoor labor service station Yuantong Station Yuantong Company's 2022 Warm Home Road event site Yuantong Company's Cloud Commerce Company 36 strengthens the safety production line in the financial sector</v>
      </c>
      <c r="B2774" s="1" t="str">
        <f ca="1">IFERROR(__xludf.DUMMYFUNCTION("GOOGLETRANSLATE(A2774, ""zh"", ""en"")"),"staff")</f>
        <v>staff</v>
      </c>
      <c r="C2774" s="1" t="str">
        <f ca="1">IFERROR(__xludf.DUMMYFUNCTION("GOOGLETRANSLATE(E2774, ""zh"", ""en"")"),"Qualitative text")</f>
        <v>Qualitative text</v>
      </c>
    </row>
    <row r="2775" spans="1:3" ht="13" x14ac:dyDescent="0.15">
      <c r="A2775" s="1" t="str">
        <f ca="1">IFERROR(__xludf.DUMMYFUNCTION("GOOGLETRANSLATE(A2775, ""zh"", ""en"")"),"May 28, 2022 is World Hunger Day. Haier UK Hoover Foundation launched a charity donation campaign and set up a collection point in the office to collect supplies and cash.")</f>
        <v>May 28, 2022 is World Hunger Day. Haier UK Hoover Foundation launched a charity donation campaign and set up a collection point in the office to collect supplies and cash.</v>
      </c>
      <c r="B2775" s="1" t="str">
        <f ca="1">IFERROR(__xludf.DUMMYFUNCTION("GOOGLETRANSLATE(A2775, ""zh"", ""en"")"),"Public welfare and volunteer service")</f>
        <v>Public welfare and volunteer service</v>
      </c>
      <c r="C2775" s="1" t="str">
        <f ca="1">IFERROR(__xludf.DUMMYFUNCTION("GOOGLETRANSLATE(E2775, ""zh"", ""en"")"),"Qualitative text")</f>
        <v>Qualitative text</v>
      </c>
    </row>
    <row r="2776" spans="1:3" ht="13" x14ac:dyDescent="0.15">
      <c r="A2776" s="1" t="str">
        <f ca="1">IFERROR(__xludf.DUMMYFUNCTION("GOOGLETRANSLATE(A2776, ""zh"", ""en"")"),"Promote online psychological counseling services, understand grassroots dynamics through the Fenjin Petrochemical platform, organize and conduct online ideological surveys with over 300,000 participants, and accurately grasp the psychological status of gr"&amp;"assroots employees.")</f>
        <v>Promote online psychological counseling services, understand grassroots dynamics through the Fenjin Petrochemical platform, organize and conduct online ideological surveys with over 300,000 participants, and accurately grasp the psychological status of grassroots employees.</v>
      </c>
      <c r="B2776" s="1" t="str">
        <f ca="1">IFERROR(__xludf.DUMMYFUNCTION("GOOGLETRANSLATE(A2776, ""zh"", ""en"")"),"staff")</f>
        <v>staff</v>
      </c>
      <c r="C2776" s="1" t="str">
        <f ca="1">IFERROR(__xludf.DUMMYFUNCTION("GOOGLETRANSLATE(E2776, ""zh"", ""en"")"),"Quantitative Text")</f>
        <v>Quantitative Text</v>
      </c>
    </row>
    <row r="2777" spans="1:3" ht="13" x14ac:dyDescent="0.15">
      <c r="A2777" s="1" t="str">
        <f ca="1">IFERROR(__xludf.DUMMYFUNCTION("GOOGLETRANSLATE(A2777, ""zh"", ""en"")"),"To ensure the physical security of the computer room, the company arranges special personnel to regularly inspect the data center and computer room every day. Strengthen the registration of people entering and leaving the computer room. Non-staff members "&amp;"are required to submit an application and keep records when entering and leaving the computer room.")</f>
        <v>To ensure the physical security of the computer room, the company arranges special personnel to regularly inspect the data center and computer room every day. Strengthen the registration of people entering and leaving the computer room. Non-staff members are required to submit an application and keep records when entering and leaving the computer room.</v>
      </c>
      <c r="B2777" s="1" t="str">
        <f ca="1">IFERROR(__xludf.DUMMYFUNCTION("GOOGLETRANSLATE(A2777, ""zh"", ""en"")"),"Data security")</f>
        <v>Data security</v>
      </c>
      <c r="C2777" s="1" t="str">
        <f ca="1">IFERROR(__xludf.DUMMYFUNCTION("GOOGLETRANSLATE(E2777, ""zh"", ""en"")"),"Qualitative text")</f>
        <v>Qualitative text</v>
      </c>
    </row>
    <row r="2778" spans="1:3" ht="13" x14ac:dyDescent="0.15">
      <c r="A2778" s="1" t="str">
        <f ca="1">IFERROR(__xludf.DUMMYFUNCTION("GOOGLETRANSLATE(A2778, ""zh"", ""en"")"),"The ESG Committee is composed of the following departments: Securities Department, Strategy Department, R&amp;D Department, Internal Control Department, Human Resources Department, Legal Department, Energy Department, and Values ​​Department. They are respons"&amp;"ible for managing ESG-related work and reporting work progress regularly to the ESG Committee.")</f>
        <v>The ESG Committee is composed of the following departments: Securities Department, Strategy Department, R&amp;D Department, Internal Control Department, Human Resources Department, Legal Department, Energy Department, and Values ​​Department. They are responsible for managing ESG-related work and reporting work progress regularly to the ESG Committee.</v>
      </c>
      <c r="B2778" s="1" t="str">
        <f ca="1">IFERROR(__xludf.DUMMYFUNCTION("GOOGLETRANSLATE(A2778, ""zh"", ""en"")"),"Organizational structure and operations")</f>
        <v>Organizational structure and operations</v>
      </c>
      <c r="C2778" s="1" t="str">
        <f ca="1">IFERROR(__xludf.DUMMYFUNCTION("GOOGLETRANSLATE(E2778, ""zh"", ""en"")"),"Qualitative text")</f>
        <v>Qualitative text</v>
      </c>
    </row>
    <row r="2779" spans="1:3" ht="13" x14ac:dyDescent="0.15">
      <c r="A2779" s="1" t="str">
        <f ca="1">IFERROR(__xludf.DUMMYFUNCTION("GOOGLETRANSLATE(A2779, ""zh"", ""en"")"),"The factory not only extensively plans and deploys scenario solutions such as smart microgrids and smart lighting, establishes an energy digital management platform, but also continuously optimizes and innovates manufacturing and packaging processes.")</f>
        <v>The factory not only extensively plans and deploys scenario solutions such as smart microgrids and smart lighting, establishes an energy digital management platform, but also continuously optimizes and innovates manufacturing and packaging processes.</v>
      </c>
      <c r="B2779" s="1" t="str">
        <f ca="1">IFERROR(__xludf.DUMMYFUNCTION("GOOGLETRANSLATE(A2779, ""zh"", ""en"")"),"Energy and resource consumption")</f>
        <v>Energy and resource consumption</v>
      </c>
      <c r="C2779" s="1" t="str">
        <f ca="1">IFERROR(__xludf.DUMMYFUNCTION("GOOGLETRANSLATE(E2779, ""zh"", ""en"")"),"Qualitative text")</f>
        <v>Qualitative text</v>
      </c>
    </row>
    <row r="2780" spans="1:3" ht="13" x14ac:dyDescent="0.15">
      <c r="A2780" s="1" t="str">
        <f ca="1">IFERROR(__xludf.DUMMYFUNCTION("GOOGLETRANSLATE(A2780, ""zh"", ""en"")"),"We have built a cross-platform management system called ""Building Brain"". This system integrates 18 subsystems including electricity, water, security, etc. Each subsystem can independently adjust and coordinate to achieve energy-saving operation.")</f>
        <v>We have built a cross-platform management system called "Building Brain". This system integrates 18 subsystems including electricity, water, security, etc. Each subsystem can independently adjust and coordinate to achieve energy-saving operation.</v>
      </c>
      <c r="B2780" s="1" t="str">
        <f ca="1">IFERROR(__xludf.DUMMYFUNCTION("GOOGLETRANSLATE(A2780, ""zh"", ""en"")"),"Energy and resource consumption")</f>
        <v>Energy and resource consumption</v>
      </c>
      <c r="C2780" s="1" t="str">
        <f ca="1">IFERROR(__xludf.DUMMYFUNCTION("GOOGLETRANSLATE(E2780, ""zh"", ""en"")"),"Qualitative text")</f>
        <v>Qualitative text</v>
      </c>
    </row>
    <row r="2781" spans="1:3" ht="13" x14ac:dyDescent="0.15">
      <c r="A2781" s="1" t="str">
        <f ca="1">IFERROR(__xludf.DUMMYFUNCTION("GOOGLETRANSLATE(A2781, ""zh"", ""en"")"),"The Company's selection of candidates for the Board of Directors is based on diversity indicators including but not limited to gender, age, culture, education background, industry experience, professional skills, knowledge, years of service and other rele"&amp;"vant factors.")</f>
        <v>The Company's selection of candidates for the Board of Directors is based on diversity indicators including but not limited to gender, age, culture, education background, industry experience, professional skills, knowledge, years of service and other relevant factors.</v>
      </c>
      <c r="B2781" s="1" t="str">
        <f ca="1">IFERROR(__xludf.DUMMYFUNCTION("GOOGLETRANSLATE(A2781, ""zh"", ""en"")"),"Organizational structure and operations")</f>
        <v>Organizational structure and operations</v>
      </c>
      <c r="C2781" s="1" t="str">
        <f ca="1">IFERROR(__xludf.DUMMYFUNCTION("GOOGLETRANSLATE(E2781, ""zh"", ""en"")"),"Qualitative text")</f>
        <v>Qualitative text</v>
      </c>
    </row>
    <row r="2782" spans="1:3" ht="13" x14ac:dyDescent="0.15">
      <c r="A2782" s="1" t="str">
        <f ca="1">IFERROR(__xludf.DUMMYFUNCTION("GOOGLETRANSLATE(A2782, ""zh"", ""en"")"),"Improve the internal control system architecture, focusing on strengthening internal control weaknesses in areas such as fund management, investment management, and project management, and further improve the risk-oriented and compliance-based internal co"&amp;"ntrol system.")</f>
        <v>Improve the internal control system architecture, focusing on strengthening internal control weaknesses in areas such as fund management, investment management, and project management, and further improve the risk-oriented and compliance-based internal control system.</v>
      </c>
      <c r="B2782" s="1" t="str">
        <f ca="1">IFERROR(__xludf.DUMMYFUNCTION("GOOGLETRANSLATE(A2782, ""zh"", ""en"")"),"Organizational structure and operations")</f>
        <v>Organizational structure and operations</v>
      </c>
      <c r="C2782" s="1" t="str">
        <f ca="1">IFERROR(__xludf.DUMMYFUNCTION("GOOGLETRANSLATE(E2782, ""zh"", ""en"")"),"Qualitative text")</f>
        <v>Qualitative text</v>
      </c>
    </row>
    <row r="2783" spans="1:3" ht="13" x14ac:dyDescent="0.15">
      <c r="A2783" s="1" t="str">
        <f ca="1">IFERROR(__xludf.DUMMYFUNCTION("GOOGLETRANSLATE(A2783, ""zh"", ""en"")"),"Together we create a good atmosphere of respecting and valuing talents. In terms of talent introduction, the new talent policy focuses on guiding new tracks and industries to open up, attract and utilize talents, gather top talents, and form a strong tale"&amp;"nt support for the group.")</f>
        <v>Together we create a good atmosphere of respecting and valuing talents. In terms of talent introduction, the new talent policy focuses on guiding new tracks and industries to open up, attract and utilize talents, gather top talents, and form a strong talent support for the group.</v>
      </c>
      <c r="B2783" s="1" t="str">
        <f ca="1">IFERROR(__xludf.DUMMYFUNCTION("GOOGLETRANSLATE(A2783, ""zh"", ""en"")"),"staff")</f>
        <v>staff</v>
      </c>
      <c r="C2783" s="1" t="str">
        <f ca="1">IFERROR(__xludf.DUMMYFUNCTION("GOOGLETRANSLATE(E2783, ""zh"", ""en"")"),"Qualitative text")</f>
        <v>Qualitative text</v>
      </c>
    </row>
    <row r="2784" spans="1:3" ht="13" x14ac:dyDescent="0.15">
      <c r="A2784" s="1" t="str">
        <f ca="1">IFERROR(__xludf.DUMMYFUNCTION("GOOGLETRANSLATE(A2784, ""zh"", ""en"")"),"The five special committees under the board of directors are the Strategy Committee, Audit Committee, Nomination Committee, Remuneration and Appraisal Committee and Sustainable Development Committee.")</f>
        <v>The five special committees under the board of directors are the Strategy Committee, Audit Committee, Nomination Committee, Remuneration and Appraisal Committee and Sustainable Development Committee.</v>
      </c>
      <c r="B2784" s="1" t="str">
        <f ca="1">IFERROR(__xludf.DUMMYFUNCTION("GOOGLETRANSLATE(A2784, ""zh"", ""en"")"),"Organizational structure and operations")</f>
        <v>Organizational structure and operations</v>
      </c>
      <c r="C2784" s="1" t="str">
        <f ca="1">IFERROR(__xludf.DUMMYFUNCTION("GOOGLETRANSLATE(E2784, ""zh"", ""en"")"),"Qualitative text")</f>
        <v>Qualitative text</v>
      </c>
    </row>
    <row r="2785" spans="1:3" ht="13" x14ac:dyDescent="0.15">
      <c r="A2785" s="1" t="str">
        <f ca="1">IFERROR(__xludf.DUMMYFUNCTION("GOOGLETRANSLATE(A2785, ""zh"", ""en"")"),"Organize and carry out integrity risk inspections in key areas and critical links, scientifically assess integrity risk points from the two dimensions of external environment and internal business, improve the integrity risk database, and enhance integrit"&amp;"y risk control.")</f>
        <v>Organize and carry out integrity risk inspections in key areas and critical links, scientifically assess integrity risk points from the two dimensions of external environment and internal business, improve the integrity risk database, and enhance integrity risk control.</v>
      </c>
      <c r="B2785" s="1" t="str">
        <f ca="1">IFERROR(__xludf.DUMMYFUNCTION("GOOGLETRANSLATE(A2785, ""zh"", ""en"")"),"Anti-corruption and anti-money laundering")</f>
        <v>Anti-corruption and anti-money laundering</v>
      </c>
      <c r="C2785" s="1" t="str">
        <f ca="1">IFERROR(__xludf.DUMMYFUNCTION("GOOGLETRANSLATE(E2785, ""zh"", ""en"")"),"Qualitative text")</f>
        <v>Qualitative text</v>
      </c>
    </row>
    <row r="2786" spans="1:3" ht="13" x14ac:dyDescent="0.15">
      <c r="A2786" s="1" t="str">
        <f ca="1">IFERROR(__xludf.DUMMYFUNCTION("GOOGLETRANSLATE(A2786, ""zh"", ""en"")"),"We also use the Yuntu Guanhai Media information sharing and publishing platform, Strategic Express, and other methods to deliver the latest information such as corporate strategy and industry dynamics to employees to enhance their understanding of corpora"&amp;"te culture.")</f>
        <v>We also use the Yuntu Guanhai Media information sharing and publishing platform, Strategic Express, and other methods to deliver the latest information such as corporate strategy and industry dynamics to employees to enhance their understanding of corporate culture.</v>
      </c>
      <c r="B2786" s="1" t="str">
        <f ca="1">IFERROR(__xludf.DUMMYFUNCTION("GOOGLETRANSLATE(A2786, ""zh"", ""en"")"),"staff")</f>
        <v>staff</v>
      </c>
      <c r="C2786" s="1" t="str">
        <f ca="1">IFERROR(__xludf.DUMMYFUNCTION("GOOGLETRANSLATE(E2786, ""zh"", ""en"")"),"Qualitative text")</f>
        <v>Qualitative text</v>
      </c>
    </row>
    <row r="2787" spans="1:3" ht="13" x14ac:dyDescent="0.15">
      <c r="A2787" s="1" t="str">
        <f ca="1">IFERROR(__xludf.DUMMYFUNCTION("GOOGLETRANSLATE(A2787, ""zh"", ""en"")"),"In 2022, the company conducted an annual major risk identification and assessment in multiple dimensions based on the major risk prevention and mitigation situation and the annual risk assessment list suggestions put forward by internal and external consu"&amp;"lting agencies.")</f>
        <v>In 2022, the company conducted an annual major risk identification and assessment in multiple dimensions based on the major risk prevention and mitigation situation and the annual risk assessment list suggestions put forward by internal and external consulting agencies.</v>
      </c>
      <c r="B2787" s="1" t="str">
        <f ca="1">IFERROR(__xludf.DUMMYFUNCTION("GOOGLETRANSLATE(A2787, ""zh"", ""en"")"),"Legal proceedings and external sanctions")</f>
        <v>Legal proceedings and external sanctions</v>
      </c>
      <c r="C2787" s="1" t="str">
        <f ca="1">IFERROR(__xludf.DUMMYFUNCTION("GOOGLETRANSLATE(E2787, ""zh"", ""en"")"),"Qualitative text")</f>
        <v>Qualitative text</v>
      </c>
    </row>
    <row r="2788" spans="1:3" ht="13" x14ac:dyDescent="0.15">
      <c r="A2788" s="1" t="str">
        <f ca="1">IFERROR(__xludf.DUMMYFUNCTION("GOOGLETRANSLATE(A2788, ""zh"", ""en"")"),"Five new national and provincial-level innovation and R&amp;D platforms were added, including two provincial-level enterprise technology centers, one Zhejiang Provincial Doctoral Innovation Station, one Academician Expert Diagnosis and Treatment Center, and o"&amp;"ne national-level product R&amp;D center.")</f>
        <v>Five new national and provincial-level innovation and R&amp;D platforms were added, including two provincial-level enterprise technology centers, one Zhejiang Provincial Doctoral Innovation Station, one Academician Expert Diagnosis and Treatment Center, and one national-level product R&amp;D center.</v>
      </c>
      <c r="B2788" s="1" t="str">
        <f ca="1">IFERROR(__xludf.DUMMYFUNCTION("GOOGLETRANSLATE(A2788, ""zh"", ""en"")"),"Technological innovation")</f>
        <v>Technological innovation</v>
      </c>
      <c r="C2788" s="1" t="str">
        <f ca="1">IFERROR(__xludf.DUMMYFUNCTION("GOOGLETRANSLATE(E2788, ""zh"", ""en"")"),"Quantitative Text")</f>
        <v>Quantitative Text</v>
      </c>
    </row>
    <row r="2789" spans="1:3" ht="13" x14ac:dyDescent="0.15">
      <c r="A2789" s="1" t="str">
        <f ca="1">IFERROR(__xludf.DUMMYFUNCTION("GOOGLETRANSLATE(A2789, ""zh"", ""en"")"),"Consistency: This year's social responsibility report has been prepared in the same manner as in previous years. Changes that may affect meaningful comparisons with previous reports have been explained in the corresponding locations.")</f>
        <v>Consistency: This year's social responsibility report has been prepared in the same manner as in previous years. Changes that may affect meaningful comparisons with previous reports have been explained in the corresponding locations.</v>
      </c>
      <c r="B2789" s="1" t="str">
        <f ca="1">IFERROR(__xludf.DUMMYFUNCTION("GOOGLETRANSLATE(A2789, ""zh"", ""en"")"),"irrelevant text")</f>
        <v>irrelevant text</v>
      </c>
      <c r="C2789" s="1" t="str">
        <f ca="1">IFERROR(__xludf.DUMMYFUNCTION("GOOGLETRANSLATE(E2789, ""zh"", ""en"")"),"irrelevant text")</f>
        <v>irrelevant text</v>
      </c>
    </row>
    <row r="2790" spans="1:3" ht="13" x14ac:dyDescent="0.15">
      <c r="A2790" s="1" t="str">
        <f ca="1">IFERROR(__xludf.DUMMYFUNCTION("GOOGLETRANSLATE(A2790, ""zh"", ""en"")"),"By extending, supplementing and strengthening the chain, we will build an industrial ecosystem driven by customer needs, featuring cross-border integration, symbiosis and win-win among relevant parties, and further consolidate our leading position in the "&amp;"industrial Internet ecological supply chain.")</f>
        <v>By extending, supplementing and strengthening the chain, we will build an industrial ecosystem driven by customer needs, featuring cross-border integration, symbiosis and win-win among relevant parties, and further consolidate our leading position in the industrial Internet ecological supply chain.</v>
      </c>
      <c r="B2790" s="1" t="str">
        <f ca="1">IFERROR(__xludf.DUMMYFUNCTION("GOOGLETRANSLATE(A2790, ""zh"", ""en"")"),"supply chain management")</f>
        <v>supply chain management</v>
      </c>
      <c r="C2790" s="1" t="str">
        <f ca="1">IFERROR(__xludf.DUMMYFUNCTION("GOOGLETRANSLATE(E2790, ""zh"", ""en"")"),"Qualitative text")</f>
        <v>Qualitative text</v>
      </c>
    </row>
    <row r="2791" spans="1:3" ht="13" x14ac:dyDescent="0.15">
      <c r="A2791" s="1" t="str">
        <f ca="1">IFERROR(__xludf.DUMMYFUNCTION("GOOGLETRANSLATE(A2791, ""zh"", ""en"")"),"Under the strong leadership of the municipal party committee and government, let us stand at a new starting point and start again with practical actions of high-quality development to welcome the successful convening of the 20th National Congress of the C"&amp;"ommunist Party of China and the 120th anniversary of the group.")</f>
        <v>Under the strong leadership of the municipal party committee and government, let us stand at a new starting point and start again with practical actions of high-quality development to welcome the successful convening of the 20th National Congress of the Communist Party of China and the 120th anniversary of the group.</v>
      </c>
      <c r="B2791" s="1" t="str">
        <f ca="1">IFERROR(__xludf.DUMMYFUNCTION("GOOGLETRANSLATE(A2791, ""zh"", ""en"")"),"irrelevant text")</f>
        <v>irrelevant text</v>
      </c>
      <c r="C2791" s="1" t="str">
        <f ca="1">IFERROR(__xludf.DUMMYFUNCTION("GOOGLETRANSLATE(E2791, ""zh"", ""en"")"),"irrelevant text")</f>
        <v>irrelevant text</v>
      </c>
    </row>
    <row r="2792" spans="1:3" ht="13" x14ac:dyDescent="0.15">
      <c r="A2792" s="1" t="str">
        <f ca="1">IFERROR(__xludf.DUMMYFUNCTION("GOOGLETRANSLATE(A2792, ""zh"", ""en"")"),"In 2022, we conducted penetration tests on 62 application systems including Haier Smart Home APP and Haiji Network, and promptly remediated vulnerabilities to avoid system damage and sensitive data leakage.")</f>
        <v>In 2022, we conducted penetration tests on 62 application systems including Haier Smart Home APP and Haiji Network, and promptly remediated vulnerabilities to avoid system damage and sensitive data leakage.</v>
      </c>
      <c r="B2792" s="1" t="str">
        <f ca="1">IFERROR(__xludf.DUMMYFUNCTION("GOOGLETRANSLATE(A2792, ""zh"", ""en"")"),"Data security")</f>
        <v>Data security</v>
      </c>
      <c r="C2792" s="1" t="str">
        <f ca="1">IFERROR(__xludf.DUMMYFUNCTION("GOOGLETRANSLATE(E2792, ""zh"", ""en"")"),"Quantitative Text")</f>
        <v>Quantitative Text</v>
      </c>
    </row>
    <row r="2793" spans="1:3" ht="13" x14ac:dyDescent="0.15">
      <c r="A2793" s="1" t="str">
        <f ca="1">IFERROR(__xludf.DUMMYFUNCTION("GOOGLETRANSLATE(A2793, ""zh"", ""en"")"),"The motor core division of the waste gas emission reduction company carried out a special rectification of complaints about spray paint waste gas, and rationally optimized the air valves of the spray paint waste gas collection system to ensure compliance "&amp;"with environmental management requirements.")</f>
        <v>The motor core division of the waste gas emission reduction company carried out a special rectification of complaints about spray paint waste gas, and rationally optimized the air valves of the spray paint waste gas collection system to ensure compliance with environmental management requirements.</v>
      </c>
      <c r="B2793" s="1" t="str">
        <f ca="1">IFERROR(__xludf.DUMMYFUNCTION("GOOGLETRANSLATE(A2793, ""zh"", ""en"")"),"Waste Management")</f>
        <v>Waste Management</v>
      </c>
      <c r="C2793" s="1" t="str">
        <f ca="1">IFERROR(__xludf.DUMMYFUNCTION("GOOGLETRANSLATE(E2793, ""zh"", ""en"")"),"Qualitative text")</f>
        <v>Qualitative text</v>
      </c>
    </row>
    <row r="2794" spans="1:3" ht="13" x14ac:dyDescent="0.15">
      <c r="A2794" s="1" t="str">
        <f ca="1">IFERROR(__xludf.DUMMYFUNCTION("GOOGLETRANSLATE(A2794, ""zh"", ""en"")"),"The overall system is divided into three levels: L1, L2, and L3, covering 14 major functional areas. An ABC classification review and filing mechanism is established, and the two-level system of the company and its directly affiliated units is effectively"&amp;" connected.")</f>
        <v>The overall system is divided into three levels: L1, L2, and L3, covering 14 major functional areas. An ABC classification review and filing mechanism is established, and the two-level system of the company and its directly affiliated units is effectively connected.</v>
      </c>
      <c r="B2794" s="1" t="str">
        <f ca="1">IFERROR(__xludf.DUMMYFUNCTION("GOOGLETRANSLATE(A2794, ""zh"", ""en"")"),"Organizational structure and operations")</f>
        <v>Organizational structure and operations</v>
      </c>
      <c r="C2794" s="1" t="str">
        <f ca="1">IFERROR(__xludf.DUMMYFUNCTION("GOOGLETRANSLATE(E2794, ""zh"", ""en"")"),"Qualitative text")</f>
        <v>Qualitative text</v>
      </c>
    </row>
    <row r="2795" spans="1:3" ht="13" x14ac:dyDescent="0.15">
      <c r="A2795" s="1" t="str">
        <f ca="1">IFERROR(__xludf.DUMMYFUNCTION("GOOGLETRANSLATE(A2795, ""zh"", ""en"")"),"Two scientific and technological achievements were identified as internationally leading. In February 2022, experts from the China Light Industry Federation identified Haier Smart Home's refrigerators and wine cabinets as internationally leading.")</f>
        <v>Two scientific and technological achievements were identified as internationally leading. In February 2022, experts from the China Light Industry Federation identified Haier Smart Home's refrigerators and wine cabinets as internationally leading.</v>
      </c>
      <c r="B2795" s="1" t="str">
        <f ca="1">IFERROR(__xludf.DUMMYFUNCTION("GOOGLETRANSLATE(A2795, ""zh"", ""en"")"),"Technological innovation")</f>
        <v>Technological innovation</v>
      </c>
      <c r="C2795" s="1" t="str">
        <f ca="1">IFERROR(__xludf.DUMMYFUNCTION("GOOGLETRANSLATE(E2795, ""zh"", ""en"")"),"Quantitative Text")</f>
        <v>Quantitative Text</v>
      </c>
    </row>
    <row r="2796" spans="1:3" ht="13" x14ac:dyDescent="0.15">
      <c r="A2796" s="1" t="str">
        <f ca="1">IFERROR(__xludf.DUMMYFUNCTION("GOOGLETRANSLATE(A2796, ""zh"", ""en"")"),"The full-process key laboratory has initially acquired the capabilities to research and develop rubber fiber skeleton materials, including twisting design, adhesive solution preparation, adhesive diffusion test, and performance evaluation. The level of fo"&amp;"rward-looking applied technology research has been greatly improved.")</f>
        <v>The full-process key laboratory has initially acquired the capabilities to research and develop rubber fiber skeleton materials, including twisting design, adhesive solution preparation, adhesive diffusion test, and performance evaluation. The level of forward-looking applied technology research has been greatly improved.</v>
      </c>
      <c r="B2796" s="1" t="str">
        <f ca="1">IFERROR(__xludf.DUMMYFUNCTION("GOOGLETRANSLATE(A2796, ""zh"", ""en"")"),"Technological innovation")</f>
        <v>Technological innovation</v>
      </c>
      <c r="C2796" s="1" t="str">
        <f ca="1">IFERROR(__xludf.DUMMYFUNCTION("GOOGLETRANSLATE(E2796, ""zh"", ""en"")"),"Qualitative text")</f>
        <v>Qualitative text</v>
      </c>
    </row>
    <row r="2797" spans="1:3" ht="13" x14ac:dyDescent="0.15">
      <c r="A2797" s="1" t="str">
        <f ca="1">IFERROR(__xludf.DUMMYFUNCTION("GOOGLETRANSLATE(A2797, ""zh"", ""en"")"),"The Board of Directors consists of the Strategy Committee, the Nomination Committee, the Audit Committee, the Remuneration and Appraisal Committee. The Nomination Committee, the Remuneration and Appraisal Committee and the Audit Committee are convened by "&amp;"independent directors.")</f>
        <v>The Board of Directors consists of the Strategy Committee, the Nomination Committee, the Audit Committee, the Remuneration and Appraisal Committee. The Nomination Committee, the Remuneration and Appraisal Committee and the Audit Committee are convened by independent directors.</v>
      </c>
      <c r="B2797" s="1" t="str">
        <f ca="1">IFERROR(__xludf.DUMMYFUNCTION("GOOGLETRANSLATE(A2797, ""zh"", ""en"")"),"Organizational structure and operations")</f>
        <v>Organizational structure and operations</v>
      </c>
      <c r="C2797" s="1" t="str">
        <f ca="1">IFERROR(__xludf.DUMMYFUNCTION("GOOGLETRANSLATE(E2797, ""zh"", ""en"")"),"Qualitative text")</f>
        <v>Qualitative text</v>
      </c>
    </row>
    <row r="2798" spans="1:3" ht="13" x14ac:dyDescent="0.15">
      <c r="A2798" s="1" t="str">
        <f ca="1">IFERROR(__xludf.DUMMYFUNCTION("GOOGLETRANSLATE(A2798, ""zh"", ""en"")"),"The accident rate for hazardous chemical transportation has significantly decreased. Environmental emissions have been visually monitored across the company. Forty companies have launched a carbon asset system. Carbon inventory can be refined down to the "&amp;"unit level, and the carbon inventory cycle has been shortened by half.")</f>
        <v>The accident rate for hazardous chemical transportation has significantly decreased. Environmental emissions have been visually monitored across the company. Forty companies have launched a carbon asset system. Carbon inventory can be refined down to the unit level, and the carbon inventory cycle has been shortened by half.</v>
      </c>
      <c r="B2798" s="1" t="str">
        <f ca="1">IFERROR(__xludf.DUMMYFUNCTION("GOOGLETRANSLATE(A2798, ""zh"", ""en"")"),"carbon emissions")</f>
        <v>carbon emissions</v>
      </c>
      <c r="C2798" s="1" t="str">
        <f ca="1">IFERROR(__xludf.DUMMYFUNCTION("GOOGLETRANSLATE(E2798, ""zh"", ""en"")"),"Qualitative text")</f>
        <v>Qualitative text</v>
      </c>
    </row>
    <row r="2799" spans="1:3" ht="13" x14ac:dyDescent="0.15">
      <c r="A2799" s="1" t="str">
        <f ca="1">IFERROR(__xludf.DUMMYFUNCTION("GOOGLETRANSLATE(A2799, ""zh"", ""en"")"),"The company has established an internal control system revision mechanism to continuously sort out system and process deficiencies and dynamically update and adjust the internal control system according to policy requirements, market changes, new business"&amp;" developments and other actual conditions.")</f>
        <v>The company has established an internal control system revision mechanism to continuously sort out system and process deficiencies and dynamically update and adjust the internal control system according to policy requirements, market changes, new business developments and other actual conditions.</v>
      </c>
      <c r="B2799" s="1" t="str">
        <f ca="1">IFERROR(__xludf.DUMMYFUNCTION("GOOGLETRANSLATE(A2799, ""zh"", ""en"")"),"Organizational structure and operations")</f>
        <v>Organizational structure and operations</v>
      </c>
      <c r="C2799" s="1" t="str">
        <f ca="1">IFERROR(__xludf.DUMMYFUNCTION("GOOGLETRANSLATE(E2799, ""zh"", ""en"")"),"Qualitative text")</f>
        <v>Qualitative text</v>
      </c>
    </row>
    <row r="2800" spans="1:3" ht="13" x14ac:dyDescent="0.15">
      <c r="A2800" s="1" t="str">
        <f ca="1">IFERROR(__xludf.DUMMYFUNCTION("GOOGLETRANSLATE(A2800, ""zh"", ""en"")"),"Using Nature-Based Solutions (NbS) to explore and tap into the potential for public welfare tree planting, carbon sink forest construction, ecosystem restoration, biodiversity conservation, and ecological corridor construction.")</f>
        <v>Using Nature-Based Solutions (NbS) to explore and tap into the potential for public welfare tree planting, carbon sink forest construction, ecosystem restoration, biodiversity conservation, and ecological corridor construction.</v>
      </c>
      <c r="B2800" s="1" t="str">
        <f ca="1">IFERROR(__xludf.DUMMYFUNCTION("GOOGLETRANSLATE(A2800, ""zh"", ""en"")"),"biodiversity")</f>
        <v>biodiversity</v>
      </c>
      <c r="C2800" s="1" t="str">
        <f ca="1">IFERROR(__xludf.DUMMYFUNCTION("GOOGLETRANSLATE(E2800, ""zh"", ""en"")"),"Qualitative text")</f>
        <v>Qualitative text</v>
      </c>
    </row>
    <row r="2801" spans="1:3" ht="13" x14ac:dyDescent="0.15">
      <c r="A2801" s="1" t="str">
        <f ca="1">IFERROR(__xludf.DUMMYFUNCTION("GOOGLETRANSLATE(A2801, ""zh"", ""en"")"),"In the future, the company will further increase its investment in charging and swapping business and plans to build more than 1,000 charging and swapping stations by 2025 to upgrade and create a comprehensive energy service network that can replace and r"&amp;"echarge batteries.")</f>
        <v>In the future, the company will further increase its investment in charging and swapping business and plans to build more than 1,000 charging and swapping stations by 2025 to upgrade and create a comprehensive energy service network that can replace and recharge batteries.</v>
      </c>
      <c r="B2801" s="1" t="str">
        <f ca="1">IFERROR(__xludf.DUMMYFUNCTION("GOOGLETRANSLATE(A2801, ""zh"", ""en"")"),"Energy and resource consumption")</f>
        <v>Energy and resource consumption</v>
      </c>
      <c r="C2801" s="1" t="str">
        <f ca="1">IFERROR(__xludf.DUMMYFUNCTION("GOOGLETRANSLATE(E2801, ""zh"", ""en"")"),"Quantitative Text")</f>
        <v>Quantitative Text</v>
      </c>
    </row>
    <row r="2802" spans="1:3" ht="13" x14ac:dyDescent="0.15">
      <c r="A2802" s="1" t="str">
        <f ca="1">IFERROR(__xludf.DUMMYFUNCTION("GOOGLETRANSLATE(A2802, ""zh"", ""en"")"),"In March 2022, Renfu Pharmaceutical established the Wuhan Renfu Medical Special Fund in the Hubei University of Traditional Chinese Medicine Development Foundation and donated RMB 600,000 to the Hubei University of Traditional Chinese Medicine Education D"&amp;"evelopment Foundation.")</f>
        <v>In March 2022, Renfu Pharmaceutical established the Wuhan Renfu Medical Special Fund in the Hubei University of Traditional Chinese Medicine Development Foundation and donated RMB 600,000 to the Hubei University of Traditional Chinese Medicine Education Development Foundation.</v>
      </c>
      <c r="B2802" s="1" t="str">
        <f ca="1">IFERROR(__xludf.DUMMYFUNCTION("GOOGLETRANSLATE(A2802, ""zh"", ""en"")"),"Public welfare and volunteer service")</f>
        <v>Public welfare and volunteer service</v>
      </c>
      <c r="C2802" s="1" t="str">
        <f ca="1">IFERROR(__xludf.DUMMYFUNCTION("GOOGLETRANSLATE(E2802, ""zh"", ""en"")"),"Quantitative Text")</f>
        <v>Quantitative Text</v>
      </c>
    </row>
    <row r="2803" spans="1:3" ht="13" x14ac:dyDescent="0.15">
      <c r="A2803" s="1" t="str">
        <f ca="1">IFERROR(__xludf.DUMMYFUNCTION("GOOGLETRANSLATE(A2803, ""zh"", ""en"")"),"While expanding its international business and enhancing its international presence, Humanwell Healthcare continues to strengthen its overseas responsibilities by improving local procurement and employment practices to support the development of the local"&amp;" medical industry and employment opportunities for residents.")</f>
        <v>While expanding its international business and enhancing its international presence, Humanwell Healthcare continues to strengthen its overseas responsibilities by improving local procurement and employment practices to support the development of the local medical industry and employment opportunities for residents.</v>
      </c>
      <c r="B2803" s="1" t="str">
        <f ca="1">IFERROR(__xludf.DUMMYFUNCTION("GOOGLETRANSLATE(A2803, ""zh"", ""en"")"),"Promoting employment")</f>
        <v>Promoting employment</v>
      </c>
      <c r="C2803" s="1" t="str">
        <f ca="1">IFERROR(__xludf.DUMMYFUNCTION("GOOGLETRANSLATE(E2803, ""zh"", ""en"")"),"Qualitative text")</f>
        <v>Qualitative text</v>
      </c>
    </row>
    <row r="2804" spans="1:3" ht="13" x14ac:dyDescent="0.15">
      <c r="A2804" s="1" t="str">
        <f ca="1">IFERROR(__xludf.DUMMYFUNCTION("GOOGLETRANSLATE(A2804, ""zh"", ""en"")"),"In Chabuchaer County, Xinjiang, we assisted in the construction of national reserve forests and carbon sequestration research projects, implemented 10,000 mu of seedlings, purchased and planted them, and managed them, creating jobs for ecological forest r"&amp;"angers and other workers to promote green development in rural areas.")</f>
        <v>In Chabuchaer County, Xinjiang, we assisted in the construction of national reserve forests and carbon sequestration research projects, implemented 10,000 mu of seedlings, purchased and planted them, and managed them, creating jobs for ecological forest rangers and other workers to promote green development in rural areas.</v>
      </c>
      <c r="B2804" s="1" t="str">
        <f ca="1">IFERROR(__xludf.DUMMYFUNCTION("GOOGLETRANSLATE(A2804, ""zh"", ""en"")"),"Promoting employment")</f>
        <v>Promoting employment</v>
      </c>
      <c r="C2804" s="1" t="str">
        <f ca="1">IFERROR(__xludf.DUMMYFUNCTION("GOOGLETRANSLATE(E2804, ""zh"", ""en"")"),"Qualitative text")</f>
        <v>Qualitative text</v>
      </c>
    </row>
    <row r="2805" spans="1:3" ht="13" x14ac:dyDescent="0.15">
      <c r="A2805" s="1" t="str">
        <f ca="1">IFERROR(__xludf.DUMMYFUNCTION("GOOGLETRANSLATE(A2805, ""zh"", ""en"")"),"We care about patients and attach great importance to medical and technological innovation. We actively carry out the development of innovative drugs and complex formulations with high barriers to entry, and strengthen the construction of R&amp;D technology p"&amp;"latforms such as inhaled drug delivery antibody technology and sustained-release microspheres.")</f>
        <v>We care about patients and attach great importance to medical and technological innovation. We actively carry out the development of innovative drugs and complex formulations with high barriers to entry, and strengthen the construction of R&amp;D technology platforms such as inhaled drug delivery antibody technology and sustained-release microspheres.</v>
      </c>
      <c r="B2805" s="1" t="str">
        <f ca="1">IFERROR(__xludf.DUMMYFUNCTION("GOOGLETRANSLATE(A2805, ""zh"", ""en"")"),"Technological innovation")</f>
        <v>Technological innovation</v>
      </c>
      <c r="C2805" s="1" t="str">
        <f ca="1">IFERROR(__xludf.DUMMYFUNCTION("GOOGLETRANSLATE(E2805, ""zh"", ""en"")"),"Qualitative text")</f>
        <v>Qualitative text</v>
      </c>
    </row>
    <row r="2806" spans="1:3" ht="13" x14ac:dyDescent="0.15">
      <c r="A2806" s="1" t="str">
        <f ca="1">IFERROR(__xludf.DUMMYFUNCTION("GOOGLETRANSLATE(A2806, ""zh"", ""en"")"),"Supplier Technology Day Technical Exchange Activities In 2022, we held 6 Technology Day technical exchanges with suppliers to discuss new technologies such as new materials, applications, chips, sensors, and appearance.")</f>
        <v>Supplier Technology Day Technical Exchange Activities In 2022, we held 6 Technology Day technical exchanges with suppliers to discuss new technologies such as new materials, applications, chips, sensors, and appearance.</v>
      </c>
      <c r="B2806" s="1" t="str">
        <f ca="1">IFERROR(__xludf.DUMMYFUNCTION("GOOGLETRANSLATE(A2806, ""zh"", ""en"")"),"supply chain management")</f>
        <v>supply chain management</v>
      </c>
      <c r="C2806" s="1" t="str">
        <f ca="1">IFERROR(__xludf.DUMMYFUNCTION("GOOGLETRANSLATE(E2806, ""zh"", ""en"")"),"Quantitative Text")</f>
        <v>Quantitative Text</v>
      </c>
    </row>
    <row r="2807" spans="1:3" ht="13" x14ac:dyDescent="0.15">
      <c r="A2807" s="1" t="str">
        <f ca="1">IFERROR(__xludf.DUMMYFUNCTION("GOOGLETRANSLATE(A2807, ""zh"", ""en"")"),"Enter Tibet Qomolangma Corporate Governance Environment Industry Co-building Employee Community 41 In order to practice the spirit of giving back to society and the concept of people-oriented, Tibet Qomolangma is committed to regular public welfare care a"&amp;"ctivities")</f>
        <v>Enter Tibet Qomolangma Corporate Governance Environment Industry Co-building Employee Community 41 In order to practice the spirit of giving back to society and the concept of people-oriented, Tibet Qomolangma is committed to regular public welfare care activities</v>
      </c>
      <c r="B2807" s="1" t="str">
        <f ca="1">IFERROR(__xludf.DUMMYFUNCTION("GOOGLETRANSLATE(A2807, ""zh"", ""en"")"),"Public welfare and volunteer service")</f>
        <v>Public welfare and volunteer service</v>
      </c>
      <c r="C2807" s="1" t="str">
        <f ca="1">IFERROR(__xludf.DUMMYFUNCTION("GOOGLETRANSLATE(E2807, ""zh"", ""en"")"),"Qualitative text")</f>
        <v>Qualitative text</v>
      </c>
    </row>
    <row r="2808" spans="1:3" ht="13" x14ac:dyDescent="0.15">
      <c r="A2808" s="1" t="str">
        <f ca="1">IFERROR(__xludf.DUMMYFUNCTION("GOOGLETRANSLATE(A2808, ""zh"", ""en"")"),"4.4.2 Duties of Directors and Supervisors The Group continues to improve the management structure of the Board of Directors, continuously enhance the governance level of the Board of Directors, and reflect the diversity of the Board members in terms of ge"&amp;"nder, professional background, etc.")</f>
        <v>4.4.2 Duties of Directors and Supervisors The Group continues to improve the management structure of the Board of Directors, continuously enhance the governance level of the Board of Directors, and reflect the diversity of the Board members in terms of gender, professional background, etc.</v>
      </c>
      <c r="B2808" s="1" t="str">
        <f ca="1">IFERROR(__xludf.DUMMYFUNCTION("GOOGLETRANSLATE(A2808, ""zh"", ""en"")"),"Organizational structure and operations")</f>
        <v>Organizational structure and operations</v>
      </c>
      <c r="C2808" s="1" t="str">
        <f ca="1">IFERROR(__xludf.DUMMYFUNCTION("GOOGLETRANSLATE(E2808, ""zh"", ""en"")"),"Qualitative text")</f>
        <v>Qualitative text</v>
      </c>
    </row>
    <row r="2809" spans="1:3" ht="13" x14ac:dyDescent="0.15">
      <c r="A2809" s="1" t="str">
        <f ca="1">IFERROR(__xludf.DUMMYFUNCTION("GOOGLETRANSLATE(A2809, ""zh"", ""en"")"),"In addition, the company adopts an equity incentive mechanism to reward employees who have made significant contributions to the company in accordance with the relevant regulations of the company's medium- and long-term employee stock ownership plan, and "&amp;"enhance employee enthusiasm through equity incentives.")</f>
        <v>In addition, the company adopts an equity incentive mechanism to reward employees who have made significant contributions to the company in accordance with the relevant regulations of the company's medium- and long-term employee stock ownership plan, and enhance employee enthusiasm through equity incentives.</v>
      </c>
      <c r="B2809" s="1" t="str">
        <f ca="1">IFERROR(__xludf.DUMMYFUNCTION("GOOGLETRANSLATE(A2809, ""zh"", ""en"")"),"staff")</f>
        <v>staff</v>
      </c>
      <c r="C2809" s="1" t="str">
        <f ca="1">IFERROR(__xludf.DUMMYFUNCTION("GOOGLETRANSLATE(E2809, ""zh"", ""en"")"),"Qualitative text")</f>
        <v>Qualitative text</v>
      </c>
    </row>
    <row r="2810" spans="1:3" ht="13" x14ac:dyDescent="0.15">
      <c r="A2810" s="1" t="str">
        <f ca="1">IFERROR(__xludf.DUMMYFUNCTION("GOOGLETRANSLATE(A2810, ""zh"", ""en"")"),"Compared with systemic administration, inhaled antibiotics have the advantages of quickly accumulating drugs locally, avoiding first-pass effects, reducing systemic adverse reactions and the risk of drug resistance caused by long-term use of antibiotics.")</f>
        <v>Compared with systemic administration, inhaled antibiotics have the advantages of quickly accumulating drugs locally, avoiding first-pass effects, reducing systemic adverse reactions and the risk of drug resistance caused by long-term use of antibiotics.</v>
      </c>
      <c r="B2810" s="1" t="str">
        <f ca="1">IFERROR(__xludf.DUMMYFUNCTION("GOOGLETRANSLATE(A2810, ""zh"", ""en"")"),"Product quality")</f>
        <v>Product quality</v>
      </c>
      <c r="C2810" s="1" t="str">
        <f ca="1">IFERROR(__xludf.DUMMYFUNCTION("GOOGLETRANSLATE(E2810, ""zh"", ""en"")"),"Qualitative text")</f>
        <v>Qualitative text</v>
      </c>
    </row>
    <row r="2811" spans="1:3" ht="13" x14ac:dyDescent="0.15">
      <c r="A2811" s="1" t="str">
        <f ca="1">IFERROR(__xludf.DUMMYFUNCTION("GOOGLETRANSLATE(A2811, ""zh"", ""en"")"),"Tobramycin Inhalation Solution Effectively Controls Drug Resistance Risk Case 49 2022 Social Responsibility Report Gram-Negative Bacteria Drug Resistance Research and Development Currently, Gram-Negative Bacteria Drug Resistance is a Serious Problem")</f>
        <v>Tobramycin Inhalation Solution Effectively Controls Drug Resistance Risk Case 49 2022 Social Responsibility Report Gram-Negative Bacteria Drug Resistance Research and Development Currently, Gram-Negative Bacteria Drug Resistance is a Serious Problem</v>
      </c>
      <c r="B2811" s="1" t="str">
        <f ca="1">IFERROR(__xludf.DUMMYFUNCTION("GOOGLETRANSLATE(A2811, ""zh"", ""en"")"),"Product quality")</f>
        <v>Product quality</v>
      </c>
      <c r="C2811" s="1" t="str">
        <f ca="1">IFERROR(__xludf.DUMMYFUNCTION("GOOGLETRANSLATE(E2811, ""zh"", ""en"")"),"Qualitative text")</f>
        <v>Qualitative text</v>
      </c>
    </row>
    <row r="2812" spans="1:3" ht="13" x14ac:dyDescent="0.15">
      <c r="A2812" s="1" t="str">
        <f ca="1">IFERROR(__xludf.DUMMYFUNCTION("GOOGLETRANSLATE(A2812, ""zh"", ""en"")"),"The company attaches great importance to the safety hazards found during safety inspections, and promptly corrects and continuously controls and eliminates risks arising from the production process to prevent personal injury or property loss accidents.")</f>
        <v>The company attaches great importance to the safety hazards found during safety inspections, and promptly corrects and continuously controls and eliminates risks arising from the production process to prevent personal injury or property loss accidents.</v>
      </c>
      <c r="B2812" s="1" t="str">
        <f ca="1">IFERROR(__xludf.DUMMYFUNCTION("GOOGLETRANSLATE(A2812, ""zh"", ""en"")"),"staff")</f>
        <v>staff</v>
      </c>
      <c r="C2812" s="1" t="str">
        <f ca="1">IFERROR(__xludf.DUMMYFUNCTION("GOOGLETRANSLATE(E2812, ""zh"", ""en"")"),"Qualitative text")</f>
        <v>Qualitative text</v>
      </c>
    </row>
    <row r="2813" spans="1:3" ht="13" x14ac:dyDescent="0.15">
      <c r="A2813" s="1" t="str">
        <f ca="1">IFERROR(__xludf.DUMMYFUNCTION("GOOGLETRANSLATE(A2813, ""zh"", ""en"")"),"In November 2022, the Shanghai Electric Science and Technology Activity Month Intellectual Property Salon with the theme of ""Intellectual Property Safeguarding Development, Independent Innovation and Leading the Future"" was held at the Central Research "&amp;"Institute.")</f>
        <v>In November 2022, the Shanghai Electric Science and Technology Activity Month Intellectual Property Salon with the theme of "Intellectual Property Safeguarding Development, Independent Innovation and Leading the Future" was held at the Central Research Institute.</v>
      </c>
      <c r="B2813" s="1" t="str">
        <f ca="1">IFERROR(__xludf.DUMMYFUNCTION("GOOGLETRANSLATE(A2813, ""zh"", ""en"")"),"Intellectual Property Protection")</f>
        <v>Intellectual Property Protection</v>
      </c>
      <c r="C2813" s="1" t="str">
        <f ca="1">IFERROR(__xludf.DUMMYFUNCTION("GOOGLETRANSLATE(E2813, ""zh"", ""en"")"),"Qualitative text")</f>
        <v>Qualitative text</v>
      </c>
    </row>
    <row r="2814" spans="1:3" ht="13" x14ac:dyDescent="0.15">
      <c r="A2814" s="1" t="str">
        <f ca="1">IFERROR(__xludf.DUMMYFUNCTION("GOOGLETRANSLATE(A2814, ""zh"", ""en"")"),"By 2020, when Egypt's higher-level leaders proposed the need for a higher-end communication and command vehicle, the Egyptian Ministry of Defense immediately contacted our company based on the previous friendly cooperation.")</f>
        <v>By 2020, when Egypt's higher-level leaders proposed the need for a higher-end communication and command vehicle, the Egyptian Ministry of Defense immediately contacted our company based on the previous friendly cooperation.</v>
      </c>
      <c r="B2814" s="1" t="str">
        <f ca="1">IFERROR(__xludf.DUMMYFUNCTION("GOOGLETRANSLATE(A2814, ""zh"", ""en"")"),"Legal proceedings and external sanctions")</f>
        <v>Legal proceedings and external sanctions</v>
      </c>
      <c r="C2814" s="1" t="str">
        <f ca="1">IFERROR(__xludf.DUMMYFUNCTION("GOOGLETRANSLATE(E2814, ""zh"", ""en"")"),"Qualitative text")</f>
        <v>Qualitative text</v>
      </c>
    </row>
    <row r="2815" spans="1:3" ht="13" x14ac:dyDescent="0.15">
      <c r="A2815" s="1" t="str">
        <f ca="1">IFERROR(__xludf.DUMMYFUNCTION("GOOGLETRANSLATE(A2815, ""zh"", ""en"")"),"Major breakthroughs have been made in key technologies such as large-tow carbon fiber and high-regular polybutene 1. New progress has been made in a number of technical research projects, including ultra-deep oil and gas exploration and development, direc"&amp;"t cracking of crude oil to produce ethylene, and special rubber.")</f>
        <v>Major breakthroughs have been made in key technologies such as large-tow carbon fiber and high-regular polybutene 1. New progress has been made in a number of technical research projects, including ultra-deep oil and gas exploration and development, direct cracking of crude oil to produce ethylene, and special rubber.</v>
      </c>
      <c r="B2815" s="1" t="str">
        <f ca="1">IFERROR(__xludf.DUMMYFUNCTION("GOOGLETRANSLATE(A2815, ""zh"", ""en"")"),"Technological innovation")</f>
        <v>Technological innovation</v>
      </c>
      <c r="C2815" s="1" t="str">
        <f ca="1">IFERROR(__xludf.DUMMYFUNCTION("GOOGLETRANSLATE(E2815, ""zh"", ""en"")"),"Qualitative text")</f>
        <v>Qualitative text</v>
      </c>
    </row>
    <row r="2816" spans="1:3" ht="13" x14ac:dyDescent="0.15">
      <c r="A2816" s="1" t="str">
        <f ca="1">IFERROR(__xludf.DUMMYFUNCTION("GOOGLETRANSLATE(A2816, ""zh"", ""en"")"),"These training programs include teacher and professional training programs, entrepreneurship programs, professional internship programs, literacy programs, etc., which aim to improve people's skills and knowledge levels and promote their employment and en"&amp;"trepreneurship.")</f>
        <v>These training programs include teacher and professional training programs, entrepreneurship programs, professional internship programs, literacy programs, etc., which aim to improve people's skills and knowledge levels and promote their employment and entrepreneurship.</v>
      </c>
      <c r="B2816" s="1" t="str">
        <f ca="1">IFERROR(__xludf.DUMMYFUNCTION("GOOGLETRANSLATE(A2816, ""zh"", ""en"")"),"Promoting employment")</f>
        <v>Promoting employment</v>
      </c>
      <c r="C2816" s="1" t="str">
        <f ca="1">IFERROR(__xludf.DUMMYFUNCTION("GOOGLETRANSLATE(E2816, ""zh"", ""en"")"),"Qualitative text")</f>
        <v>Qualitative text</v>
      </c>
    </row>
    <row r="2817" spans="1:3" ht="13" x14ac:dyDescent="0.15">
      <c r="A2817" s="1" t="str">
        <f ca="1">IFERROR(__xludf.DUMMYFUNCTION("GOOGLETRANSLATE(A2817, ""zh"", ""en"")"),"All employees of the Group adhere to legal employment practices. The Group respects the political rights of its employees and complies with the relevant laws and regulations of the countries and regions where we operate.")</f>
        <v>All employees of the Group adhere to legal employment practices. The Group respects the political rights of its employees and complies with the relevant laws and regulations of the countries and regions where we operate.</v>
      </c>
      <c r="B2817" s="1" t="str">
        <f ca="1">IFERROR(__xludf.DUMMYFUNCTION("GOOGLETRANSLATE(A2817, ""zh"", ""en"")"),"staff")</f>
        <v>staff</v>
      </c>
      <c r="C2817" s="1" t="str">
        <f ca="1">IFERROR(__xludf.DUMMYFUNCTION("GOOGLETRANSLATE(E2817, ""zh"", ""en"")"),"Qualitative text")</f>
        <v>Qualitative text</v>
      </c>
    </row>
    <row r="2818" spans="1:3" ht="13" x14ac:dyDescent="0.15">
      <c r="A2818" s="1" t="str">
        <f ca="1">IFERROR(__xludf.DUMMYFUNCTION("GOOGLETRANSLATE(A2818, ""zh"", ""en"")"),"Before purchasing, the company formulates a purchasing plan and implements a purchase order policy. It conducts detailed audits and records of each purchasing activity, conducts integrity assessments on suppliers, and regularly certifies and updates them.")</f>
        <v>Before purchasing, the company formulates a purchasing plan and implements a purchase order policy. It conducts detailed audits and records of each purchasing activity, conducts integrity assessments on suppliers, and regularly certifies and updates them.</v>
      </c>
      <c r="B2818" s="1" t="str">
        <f ca="1">IFERROR(__xludf.DUMMYFUNCTION("GOOGLETRANSLATE(A2818, ""zh"", ""en"")"),"supply chain management")</f>
        <v>supply chain management</v>
      </c>
      <c r="C2818" s="1" t="str">
        <f ca="1">IFERROR(__xludf.DUMMYFUNCTION("GOOGLETRANSLATE(E2818, ""zh"", ""en"")"),"Qualitative text")</f>
        <v>Qualitative text</v>
      </c>
    </row>
    <row r="2819" spans="1:3" ht="13" x14ac:dyDescent="0.15">
      <c r="A2819" s="1" t="str">
        <f ca="1">IFERROR(__xludf.DUMMYFUNCTION("GOOGLETRANSLATE(A2819, ""zh"", ""en"")"),"Appendix 1 Key Performance Indicators Table A1.2 Direct Scope 1 and Energy Indirect Scope 2 Greenhouse Gas Emissions in Tons and, Where Applicable, Intensity in Units of Production per Facility")</f>
        <v>Appendix 1 Key Performance Indicators Table A1.2 Direct Scope 1 and Energy Indirect Scope 2 Greenhouse Gas Emissions in Tons and, Where Applicable, Intensity in Units of Production per Facility</v>
      </c>
      <c r="B2819" s="1" t="str">
        <f ca="1">IFERROR(__xludf.DUMMYFUNCTION("GOOGLETRANSLATE(A2819, ""zh"", ""en"")"),"carbon emissions")</f>
        <v>carbon emissions</v>
      </c>
      <c r="C2819" s="1" t="str">
        <f ca="1">IFERROR(__xludf.DUMMYFUNCTION("GOOGLETRANSLATE(E2819, ""zh"", ""en"")"),"Qualitative text")</f>
        <v>Qualitative text</v>
      </c>
    </row>
    <row r="2820" spans="1:3" ht="13" x14ac:dyDescent="0.15">
      <c r="A2820" s="1" t="str">
        <f ca="1">IFERROR(__xludf.DUMMYFUNCTION("GOOGLETRANSLATE(A2820, ""zh"", ""en"")"),"Haier Smart Home and its subsidiaries have all passed the ISO45001 occupational health and safety management system certification. The industrial parks in each chain group have accumulated a total of 169 HSE6S third-party reputations")</f>
        <v>Haier Smart Home and its subsidiaries have all passed the ISO45001 occupational health and safety management system certification. The industrial parks in each chain group have accumulated a total of 169 HSE6S third-party reputations</v>
      </c>
      <c r="B2820" s="1" t="str">
        <f ca="1">IFERROR(__xludf.DUMMYFUNCTION("GOOGLETRANSLATE(A2820, ""zh"", ""en"")"),"staff")</f>
        <v>staff</v>
      </c>
      <c r="C2820" s="1" t="str">
        <f ca="1">IFERROR(__xludf.DUMMYFUNCTION("GOOGLETRANSLATE(E2820, ""zh"", ""en"")"),"Quantitative Text")</f>
        <v>Quantitative Text</v>
      </c>
    </row>
    <row r="2821" spans="1:3" ht="13" x14ac:dyDescent="0.15">
      <c r="A2821" s="1" t="str">
        <f ca="1">IFERROR(__xludf.DUMMYFUNCTION("GOOGLETRANSLATE(A2821, ""zh"", ""en"")"),"If a suitable third party requests us to provide our developed medicines to least developed and low-income countries, we will consider licensing our product patents under appropriate terms and conditions.")</f>
        <v>If a suitable third party requests us to provide our developed medicines to least developed and low-income countries, we will consider licensing our product patents under appropriate terms and conditions.</v>
      </c>
      <c r="B2821" s="1" t="str">
        <f ca="1">IFERROR(__xludf.DUMMYFUNCTION("GOOGLETRANSLATE(A2821, ""zh"", ""en"")"),"Intellectual Property Protection")</f>
        <v>Intellectual Property Protection</v>
      </c>
      <c r="C2821" s="1" t="str">
        <f ca="1">IFERROR(__xludf.DUMMYFUNCTION("GOOGLETRANSLATE(E2821, ""zh"", ""en"")"),"Qualitative text")</f>
        <v>Qualitative text</v>
      </c>
    </row>
    <row r="2822" spans="1:3" ht="13" x14ac:dyDescent="0.15">
      <c r="A2822" s="1" t="str">
        <f ca="1">IFERROR(__xludf.DUMMYFUNCTION("GOOGLETRANSLATE(A2822, ""zh"", ""en"")"),"In order to ensure that the rights and interests of employees are fully protected, our company has established a strict new employee onboarding procedure and conducts appropriate background checks on the identity information, abilities and work experience"&amp;" of new employees.")</f>
        <v>In order to ensure that the rights and interests of employees are fully protected, our company has established a strict new employee onboarding procedure and conducts appropriate background checks on the identity information, abilities and work experience of new employees.</v>
      </c>
      <c r="B2822" s="1" t="str">
        <f ca="1">IFERROR(__xludf.DUMMYFUNCTION("GOOGLETRANSLATE(A2822, ""zh"", ""en"")"),"staff")</f>
        <v>staff</v>
      </c>
      <c r="C2822" s="1" t="str">
        <f ca="1">IFERROR(__xludf.DUMMYFUNCTION("GOOGLETRANSLATE(E2822, ""zh"", ""en"")"),"Qualitative text")</f>
        <v>Qualitative text</v>
      </c>
    </row>
    <row r="2823" spans="1:3" ht="13" x14ac:dyDescent="0.15">
      <c r="A2823" s="1" t="str">
        <f ca="1">IFERROR(__xludf.DUMMYFUNCTION("GOOGLETRANSLATE(A2823, ""zh"", ""en"")"),"The balance report revealed negative data and information such as the clues of fraud found in the audit of supplier fraud behavior, and briefly described the results of handling the clues after receiving the Kangzheng inspection clues. The balance perform"&amp;"ance was excellent.")</f>
        <v>The balance report revealed negative data and information such as the clues of fraud found in the audit of supplier fraud behavior, and briefly described the results of handling the clues after receiving the Kangzheng inspection clues. The balance performance was excellent.</v>
      </c>
      <c r="B2823" s="1" t="str">
        <f ca="1">IFERROR(__xludf.DUMMYFUNCTION("GOOGLETRANSLATE(A2823, ""zh"", ""en"")"),"Reporting System")</f>
        <v>Reporting System</v>
      </c>
      <c r="C2823" s="1" t="str">
        <f ca="1">IFERROR(__xludf.DUMMYFUNCTION("GOOGLETRANSLATE(E2823, ""zh"", ""en"")"),"Qualitative text")</f>
        <v>Qualitative text</v>
      </c>
    </row>
    <row r="2824" spans="1:3" ht="13" x14ac:dyDescent="0.15">
      <c r="A2824" s="1" t="str">
        <f ca="1">IFERROR(__xludf.DUMMYFUNCTION("GOOGLETRANSLATE(A2824, ""zh"", ""en"")"),"This report was verified using an intermediate review. The regulations used are those used to assess the report in accordance with GRISTANDARDS and the Hong Kong Stock Exchange's Environmental, Social and Governance Reporting Guide 2021.")</f>
        <v>This report was verified using an intermediate review. The regulations used are those used to assess the report in accordance with GRISTANDARDS and the Hong Kong Stock Exchange's Environmental, Social and Governance Reporting Guide 2021.</v>
      </c>
      <c r="B2824" s="1" t="str">
        <f ca="1">IFERROR(__xludf.DUMMYFUNCTION("GOOGLETRANSLATE(A2824, ""zh"", ""en"")"),"irrelevant text")</f>
        <v>irrelevant text</v>
      </c>
      <c r="C2824" s="1" t="str">
        <f ca="1">IFERROR(__xludf.DUMMYFUNCTION("GOOGLETRANSLATE(E2824, ""zh"", ""en"")"),"irrelevant text")</f>
        <v>irrelevant text</v>
      </c>
    </row>
    <row r="2825" spans="1:3" ht="13" x14ac:dyDescent="0.15">
      <c r="A2825" s="1" t="str">
        <f ca="1">IFERROR(__xludf.DUMMYFUNCTION("GOOGLETRANSLATE(A2825, ""zh"", ""en"")"),"Fosun Pharma Group will continue to focus on ESG from a top-down perspective and build an ESG system to support the long-term sustainable development of the company.")</f>
        <v>Fosun Pharma Group will continue to focus on ESG from a top-down perspective and build an ESG system to support the long-term sustainable development of the company.</v>
      </c>
      <c r="B2825" s="1" t="str">
        <f ca="1">IFERROR(__xludf.DUMMYFUNCTION("GOOGLETRANSLATE(A2825, ""zh"", ""en"")"),"irrelevant text")</f>
        <v>irrelevant text</v>
      </c>
      <c r="C2825" s="1" t="str">
        <f ca="1">IFERROR(__xludf.DUMMYFUNCTION("GOOGLETRANSLATE(E2825, ""zh"", ""en"")"),"irrelevant text")</f>
        <v>irrelevant text</v>
      </c>
    </row>
    <row r="2826" spans="1:3" ht="13" x14ac:dyDescent="0.15">
      <c r="A2826" s="1" t="str">
        <f ca="1">IFERROR(__xludf.DUMMYFUNCTION("GOOGLETRANSLATE(A2826, ""zh"", ""en"")"),"In 2022, the company formulated relevant systems such as the regulations on the management of managers' relatives engaging in business and running enterprises, the working methods for daily supervision and interviews, and the recording and reporting metho"&amp;"ds for managers' intervention in major matters.")</f>
        <v>In 2022, the company formulated relevant systems such as the regulations on the management of managers' relatives engaging in business and running enterprises, the working methods for daily supervision and interviews, and the recording and reporting methods for managers' intervention in major matters.</v>
      </c>
      <c r="B2826" s="1" t="str">
        <f ca="1">IFERROR(__xludf.DUMMYFUNCTION("GOOGLETRANSLATE(A2826, ""zh"", ""en"")"),"Organizational structure and operations")</f>
        <v>Organizational structure and operations</v>
      </c>
      <c r="C2826" s="1" t="str">
        <f ca="1">IFERROR(__xludf.DUMMYFUNCTION("GOOGLETRANSLATE(E2826, ""zh"", ""en"")"),"Qualitative text")</f>
        <v>Qualitative text</v>
      </c>
    </row>
    <row r="2827" spans="1:3" ht="13" x14ac:dyDescent="0.15">
      <c r="A2827" s="1" t="str">
        <f ca="1">IFERROR(__xludf.DUMMYFUNCTION("GOOGLETRANSLATE(A2827, ""zh"", ""en"")"),"Safety Culture Construction: Jiankangyuan has carried out various safety education and training and rich safety culture activities to clarify employees' safety responsibilities, cultivate their safety awareness and popularize the company's safety concept.")</f>
        <v>Safety Culture Construction: Jiankangyuan has carried out various safety education and training and rich safety culture activities to clarify employees' safety responsibilities, cultivate their safety awareness and popularize the company's safety concept.</v>
      </c>
      <c r="B2827" s="1" t="str">
        <f ca="1">IFERROR(__xludf.DUMMYFUNCTION("GOOGLETRANSLATE(A2827, ""zh"", ""en"")"),"staff")</f>
        <v>staff</v>
      </c>
      <c r="C2827" s="1" t="str">
        <f ca="1">IFERROR(__xludf.DUMMYFUNCTION("GOOGLETRANSLATE(E2827, ""zh"", ""en"")"),"Qualitative text")</f>
        <v>Qualitative text</v>
      </c>
    </row>
    <row r="2828" spans="1:3" ht="13" x14ac:dyDescent="0.15">
      <c r="A2828" s="1" t="str">
        <f ca="1">IFERROR(__xludf.DUMMYFUNCTION("GOOGLETRANSLATE(A2828, ""zh"", ""en"")"),"In 2022, a total of 1 meeting was held to review and approve the report on the implementation of the remuneration system for directors, supervisors and senior management in 2021. The committee meeting attendance rate reached 100%.")</f>
        <v>In 2022, a total of 1 meeting was held to review and approve the report on the implementation of the remuneration system for directors, supervisors and senior management in 2021. The committee meeting attendance rate reached 100%.</v>
      </c>
      <c r="B2828" s="1" t="str">
        <f ca="1">IFERROR(__xludf.DUMMYFUNCTION("GOOGLETRANSLATE(A2828, ""zh"", ""en"")"),"Organizational structure and operations")</f>
        <v>Organizational structure and operations</v>
      </c>
      <c r="C2828" s="1" t="str">
        <f ca="1">IFERROR(__xludf.DUMMYFUNCTION("GOOGLETRANSLATE(E2828, ""zh"", ""en"")"),"Quantitative Text")</f>
        <v>Quantitative Text</v>
      </c>
    </row>
    <row r="2829" spans="1:3" ht="13" x14ac:dyDescent="0.15">
      <c r="A2829" s="1" t="str">
        <f ca="1">IFERROR(__xludf.DUMMYFUNCTION("GOOGLETRANSLATE(A2829, ""zh"", ""en"")"),"The Group's EHS department is responsible for drafting and formulating carbon emission targets for the Group and its subsidiaries, submitting them to the Board's Social Responsibility Committee for approval and issuing them, and following up on the Group'"&amp;"s carbon emission target completion status every quarter.")</f>
        <v>The Group's EHS department is responsible for drafting and formulating carbon emission targets for the Group and its subsidiaries, submitting them to the Board's Social Responsibility Committee for approval and issuing them, and following up on the Group's carbon emission target completion status every quarter.</v>
      </c>
      <c r="B2829" s="1" t="str">
        <f ca="1">IFERROR(__xludf.DUMMYFUNCTION("GOOGLETRANSLATE(A2829, ""zh"", ""en"")"),"carbon emissions")</f>
        <v>carbon emissions</v>
      </c>
      <c r="C2829" s="1" t="str">
        <f ca="1">IFERROR(__xludf.DUMMYFUNCTION("GOOGLETRANSLATE(E2829, ""zh"", ""en"")"),"Qualitative text")</f>
        <v>Qualitative text</v>
      </c>
    </row>
    <row r="2830" spans="1:3" ht="13" x14ac:dyDescent="0.15">
      <c r="A2830" s="1" t="str">
        <f ca="1">IFERROR(__xludf.DUMMYFUNCTION("GOOGLETRANSLATE(A2830, ""zh"", ""en"")"),"In terms of electronic information transmission media, employees are required to only transmit documents involving company trade secrets, employee personal privacy and other non-public information through the company's office system to prevent and control"&amp;" information leakage risks.")</f>
        <v>In terms of electronic information transmission media, employees are required to only transmit documents involving company trade secrets, employee personal privacy and other non-public information through the company's office system to prevent and control information leakage risks.</v>
      </c>
      <c r="B2830" s="1" t="str">
        <f ca="1">IFERROR(__xludf.DUMMYFUNCTION("GOOGLETRANSLATE(A2830, ""zh"", ""en"")"),"Data security")</f>
        <v>Data security</v>
      </c>
      <c r="C2830" s="1" t="str">
        <f ca="1">IFERROR(__xludf.DUMMYFUNCTION("GOOGLETRANSLATE(E2830, ""zh"", ""en"")"),"Qualitative text")</f>
        <v>Qualitative text</v>
      </c>
    </row>
    <row r="2831" spans="1:3" ht="13" x14ac:dyDescent="0.15">
      <c r="A2831" s="1" t="str">
        <f ca="1">IFERROR(__xludf.DUMMYFUNCTION("GOOGLETRANSLATE(A2831, ""zh"", ""en"")"),"In 2022, the company completed the national-level cybersecurity attack and defense exercises with high quality, strengthened information security defense work, intercepted more than 930,000 attacks, achieved active tracing and countermeasures, and objecti"&amp;"vely summarized")</f>
        <v>In 2022, the company completed the national-level cybersecurity attack and defense exercises with high quality, strengthened information security defense work, intercepted more than 930,000 attacks, achieved active tracing and countermeasures, and objectively summarized</v>
      </c>
      <c r="B2831" s="1" t="str">
        <f ca="1">IFERROR(__xludf.DUMMYFUNCTION("GOOGLETRANSLATE(A2831, ""zh"", ""en"")"),"Data security")</f>
        <v>Data security</v>
      </c>
      <c r="C2831" s="1" t="str">
        <f ca="1">IFERROR(__xludf.DUMMYFUNCTION("GOOGLETRANSLATE(E2831, ""zh"", ""en"")"),"Quantitative Text")</f>
        <v>Quantitative Text</v>
      </c>
    </row>
    <row r="2832" spans="1:3" ht="13" x14ac:dyDescent="0.15">
      <c r="A2832" s="1" t="str">
        <f ca="1">IFERROR(__xludf.DUMMYFUNCTION("GOOGLETRANSLATE(A2832, ""zh"", ""en"")"),"Starting salaries for all positions at CITIC Securities and its subsidiaries are no less than national and local base salary standards. Employee salary management is based on fair and reasonable principles and does not discriminate based on gender or othe"&amp;"r factors.")</f>
        <v>Starting salaries for all positions at CITIC Securities and its subsidiaries are no less than national and local base salary standards. Employee salary management is based on fair and reasonable principles and does not discriminate based on gender or other factors.</v>
      </c>
      <c r="B2832" s="1" t="str">
        <f ca="1">IFERROR(__xludf.DUMMYFUNCTION("GOOGLETRANSLATE(A2832, ""zh"", ""en"")"),"staff")</f>
        <v>staff</v>
      </c>
      <c r="C2832" s="1" t="str">
        <f ca="1">IFERROR(__xludf.DUMMYFUNCTION("GOOGLETRANSLATE(E2832, ""zh"", ""en"")"),"Qualitative text")</f>
        <v>Qualitative text</v>
      </c>
    </row>
    <row r="2833" spans="1:3" ht="13" x14ac:dyDescent="0.15">
      <c r="A2833" s="1" t="str">
        <f ca="1">IFERROR(__xludf.DUMMYFUNCTION("GOOGLETRANSLATE(A2833, ""zh"", ""en"")"),"Core Values: Ingenuity, Excellence, Innovation, Win-win Cooperation, Achieve Customer Success, Be a National Key Equipment Leader, Deeply Engage in High-end Equipment, Carry the Mission of National Industrial Development, and Focus on Achieving High-quali"&amp;"ty Development")</f>
        <v>Core Values: Ingenuity, Excellence, Innovation, Win-win Cooperation, Achieve Customer Success, Be a National Key Equipment Leader, Deeply Engage in High-end Equipment, Carry the Mission of National Industrial Development, and Focus on Achieving High-quality Development</v>
      </c>
      <c r="B2833" s="1" t="str">
        <f ca="1">IFERROR(__xludf.DUMMYFUNCTION("GOOGLETRANSLATE(A2833, ""zh"", ""en"")"),"Customers and Consumers")</f>
        <v>Customers and Consumers</v>
      </c>
      <c r="C2833" s="1" t="str">
        <f ca="1">IFERROR(__xludf.DUMMYFUNCTION("GOOGLETRANSLATE(E2833, ""zh"", ""en"")"),"Qualitative text")</f>
        <v>Qualitative text</v>
      </c>
    </row>
    <row r="2834" spans="1:3" ht="13" x14ac:dyDescent="0.15">
      <c r="A2834" s="1" t="str">
        <f ca="1">IFERROR(__xludf.DUMMYFUNCTION("GOOGLETRANSLATE(A2834, ""zh"", ""en"")"),"A total of various online and offline training activities were held throughout the year, covering nearly 10,000 employees and lasting nearly 20 hours. Training feedback was divided into internal lecturers and the content was closer to the actual business "&amp;"of the enterprise.")</f>
        <v>A total of various online and offline training activities were held throughout the year, covering nearly 10,000 employees and lasting nearly 20 hours. Training feedback was divided into internal lecturers and the content was closer to the actual business of the enterprise.</v>
      </c>
      <c r="B2834" s="1" t="str">
        <f ca="1">IFERROR(__xludf.DUMMYFUNCTION("GOOGLETRANSLATE(A2834, ""zh"", ""en"")"),"staff")</f>
        <v>staff</v>
      </c>
      <c r="C2834" s="1" t="str">
        <f ca="1">IFERROR(__xludf.DUMMYFUNCTION("GOOGLETRANSLATE(E2834, ""zh"", ""en"")"),"Quantitative Text")</f>
        <v>Quantitative Text</v>
      </c>
    </row>
    <row r="2835" spans="1:3" ht="13" x14ac:dyDescent="0.15">
      <c r="A2835" s="1" t="str">
        <f ca="1">IFERROR(__xludf.DUMMYFUNCTION("GOOGLETRANSLATE(A2835, ""zh"", ""en"")"),"At the same time, each member company has also formulated management systems based on actual conditions and clarified the division of responsibilities. It can basically organize and carry out bidding and procurement activities in accordance with requireme"&amp;"nts. No major violations have been found so far.")</f>
        <v>At the same time, each member company has also formulated management systems based on actual conditions and clarified the division of responsibilities. It can basically organize and carry out bidding and procurement activities in accordance with requirements. No major violations have been found so far.</v>
      </c>
      <c r="B2835" s="1" t="str">
        <f ca="1">IFERROR(__xludf.DUMMYFUNCTION("GOOGLETRANSLATE(A2835, ""zh"", ""en"")"),"supply chain management")</f>
        <v>supply chain management</v>
      </c>
      <c r="C2835" s="1" t="str">
        <f ca="1">IFERROR(__xludf.DUMMYFUNCTION("GOOGLETRANSLATE(E2835, ""zh"", ""en"")"),"Qualitative text")</f>
        <v>Qualitative text</v>
      </c>
    </row>
    <row r="2836" spans="1:3" ht="13" x14ac:dyDescent="0.15">
      <c r="A2836" s="1" t="str">
        <f ca="1">IFERROR(__xludf.DUMMYFUNCTION("GOOGLETRANSLATE(A2836, ""zh"", ""en"")"),"When purchasing products and services, we give priority to equipment and materials that are reliable, energy-efficient, efficient, and environmentally friendly, and require suppliers to have ISO14001 environmental management system certification.")</f>
        <v>When purchasing products and services, we give priority to equipment and materials that are reliable, energy-efficient, efficient, and environmentally friendly, and require suppliers to have ISO14001 environmental management system certification.</v>
      </c>
      <c r="B2836" s="1" t="str">
        <f ca="1">IFERROR(__xludf.DUMMYFUNCTION("GOOGLETRANSLATE(A2836, ""zh"", ""en"")"),"raw materials")</f>
        <v>raw materials</v>
      </c>
      <c r="C2836" s="1" t="str">
        <f ca="1">IFERROR(__xludf.DUMMYFUNCTION("GOOGLETRANSLATE(E2836, ""zh"", ""en"")"),"Qualitative text")</f>
        <v>Qualitative text</v>
      </c>
    </row>
    <row r="2837" spans="1:3" ht="13" x14ac:dyDescent="0.15">
      <c r="A2837" s="1" t="str">
        <f ca="1">IFERROR(__xludf.DUMMYFUNCTION("GOOGLETRANSLATE(A2837, ""zh"", ""en"")"),"The online version can be viewed and downloaded on the Shanghai Stock Exchange website www.sse.com.cn and the Company's website httpwww.yankon.com.cn")</f>
        <v>The online version can be viewed and downloaded on the Shanghai Stock Exchange website www.sse.com.cn and the Company's website httpwww.yankon.com.cn</v>
      </c>
      <c r="B2837" s="1" t="str">
        <f ca="1">IFERROR(__xludf.DUMMYFUNCTION("GOOGLETRANSLATE(A2837, ""zh"", ""en"")"),"irrelevant text")</f>
        <v>irrelevant text</v>
      </c>
      <c r="C2837" s="1" t="str">
        <f ca="1">IFERROR(__xludf.DUMMYFUNCTION("GOOGLETRANSLATE(E2837, ""zh"", ""en"")"),"irrelevant text")</f>
        <v>irrelevant text</v>
      </c>
    </row>
    <row r="2838" spans="1:3" ht="13" x14ac:dyDescent="0.15">
      <c r="A2838" s="1" t="str">
        <f ca="1">IFERROR(__xludf.DUMMYFUNCTION("GOOGLETRANSLATE(A2838, ""zh"", ""en"")"),"For example, the Gongyi project in Henan and the Shijiazhuang project in Hebei have attracted a large number of businesses to settle in, contributing to local tax revenue while directly and indirectly providing a large number of jobs and driving the devel"&amp;"opment of the local economy.")</f>
        <v>For example, the Gongyi project in Henan and the Shijiazhuang project in Hebei have attracted a large number of businesses to settle in, contributing to local tax revenue while directly and indirectly providing a large number of jobs and driving the development of the local economy.</v>
      </c>
      <c r="B2838" s="1" t="str">
        <f ca="1">IFERROR(__xludf.DUMMYFUNCTION("GOOGLETRANSLATE(A2838, ""zh"", ""en"")"),"Promoting employment")</f>
        <v>Promoting employment</v>
      </c>
      <c r="C2838" s="1" t="str">
        <f ca="1">IFERROR(__xludf.DUMMYFUNCTION("GOOGLETRANSLATE(E2838, ""zh"", ""en"")"),"Qualitative text")</f>
        <v>Qualitative text</v>
      </c>
    </row>
    <row r="2839" spans="1:3" ht="13" x14ac:dyDescent="0.15">
      <c r="A2839" s="1" t="str">
        <f ca="1">IFERROR(__xludf.DUMMYFUNCTION("GOOGLETRANSLATE(A2839, ""zh"", ""en"")"),"Leading the preparation of the Group's accounting archive management measures, solidly promoting the construction of the image archive system, laying the foundation for the paperless accounting archives of the Group, and gradually realizing the transition"&amp;" from paper to electronic archiving.")</f>
        <v>Leading the preparation of the Group's accounting archive management measures, solidly promoting the construction of the image archive system, laying the foundation for the paperless accounting archives of the Group, and gradually realizing the transition from paper to electronic archiving.</v>
      </c>
      <c r="B2839" s="1" t="str">
        <f ca="1">IFERROR(__xludf.DUMMYFUNCTION("GOOGLETRANSLATE(A2839, ""zh"", ""en"")"),"Organizational structure and operations")</f>
        <v>Organizational structure and operations</v>
      </c>
      <c r="C2839" s="1" t="str">
        <f ca="1">IFERROR(__xludf.DUMMYFUNCTION("GOOGLETRANSLATE(E2839, ""zh"", ""en"")"),"Qualitative text")</f>
        <v>Qualitative text</v>
      </c>
    </row>
    <row r="2840" spans="1:3" ht="13" x14ac:dyDescent="0.15">
      <c r="A2840" s="1" t="str">
        <f ca="1">IFERROR(__xludf.DUMMYFUNCTION("GOOGLETRANSLATE(A2840, ""zh"", ""en"")"),"In October 2022, Shanghai Institute of Dianji visited the headquarters of Shanghai Electric Group for research and exchange. The two sides had in-depth exchanges on further deepening the integration of industry and education and exploring new models and n"&amp;"ew ideas for school-enterprise cooperation.")</f>
        <v>In October 2022, Shanghai Institute of Dianji visited the headquarters of Shanghai Electric Group for research and exchange. The two sides had in-depth exchanges on further deepening the integration of industry and education and exploring new models and new ideas for school-enterprise cooperation.</v>
      </c>
      <c r="B2840" s="1" t="str">
        <f ca="1">IFERROR(__xludf.DUMMYFUNCTION("GOOGLETRANSLATE(A2840, ""zh"", ""en"")"),"Promoting employment")</f>
        <v>Promoting employment</v>
      </c>
      <c r="C2840" s="1" t="str">
        <f ca="1">IFERROR(__xludf.DUMMYFUNCTION("GOOGLETRANSLATE(E2840, ""zh"", ""en"")"),"Qualitative text")</f>
        <v>Qualitative text</v>
      </c>
    </row>
    <row r="2841" spans="1:3" ht="13" x14ac:dyDescent="0.15">
      <c r="A2841" s="1" t="str">
        <f ca="1">IFERROR(__xludf.DUMMYFUNCTION("GOOGLETRANSLATE(A2841, ""zh"", ""en"")"),"Invite the National People's Congress environmental law enforcement experts and the China Circular Economy Industry Association Hazardous Waste Committee experts to conduct centralized training for the company's environmental management staff to comprehen"&amp;"sively improve the professional skills of management personnel.")</f>
        <v>Invite the National People's Congress environmental law enforcement experts and the China Circular Economy Industry Association Hazardous Waste Committee experts to conduct centralized training for the company's environmental management staff to comprehensively improve the professional skills of management personnel.</v>
      </c>
      <c r="B2841" s="1" t="str">
        <f ca="1">IFERROR(__xludf.DUMMYFUNCTION("GOOGLETRANSLATE(A2841, ""zh"", ""en"")"),"Waste Management")</f>
        <v>Waste Management</v>
      </c>
      <c r="C2841" s="1" t="str">
        <f ca="1">IFERROR(__xludf.DUMMYFUNCTION("GOOGLETRANSLATE(E2841, ""zh"", ""en"")"),"Qualitative text")</f>
        <v>Qualitative text</v>
      </c>
    </row>
    <row r="2842" spans="1:3" ht="13" x14ac:dyDescent="0.15">
      <c r="A2842" s="1" t="str">
        <f ca="1">IFERROR(__xludf.DUMMYFUNCTION("GOOGLETRANSLATE(A2842, ""zh"", ""en"")"),"Land parks strictly follow the local authorities to install real-time monitoring systems for pollutant emissions. Offshore facilities regularly conduct COD testing on domestic sewage to ensure that wastewater discharges meet standards.")</f>
        <v>Land parks strictly follow the local authorities to install real-time monitoring systems for pollutant emissions. Offshore facilities regularly conduct COD testing on domestic sewage to ensure that wastewater discharges meet standards.</v>
      </c>
      <c r="B2842" s="1" t="str">
        <f ca="1">IFERROR(__xludf.DUMMYFUNCTION("GOOGLETRANSLATE(A2842, ""zh"", ""en"")"),"Waste Management")</f>
        <v>Waste Management</v>
      </c>
      <c r="C2842" s="1" t="str">
        <f ca="1">IFERROR(__xludf.DUMMYFUNCTION("GOOGLETRANSLATE(E2842, ""zh"", ""en"")"),"Qualitative text")</f>
        <v>Qualitative text</v>
      </c>
    </row>
    <row r="2843" spans="1:3" ht="13" x14ac:dyDescent="0.15">
      <c r="A2843" s="1" t="str">
        <f ca="1">IFERROR(__xludf.DUMMYFUNCTION("GOOGLETRANSLATE(A2843, ""zh"", ""en"")"),"1022022 Social Responsibility Report Shanghai Electric hopes to make its employees feel the warmth of a big family at all times, not only experiencing care at work but also integrating care into every aspect of life.")</f>
        <v>1022022 Social Responsibility Report Shanghai Electric hopes to make its employees feel the warmth of a big family at all times, not only experiencing care at work but also integrating care into every aspect of life.</v>
      </c>
      <c r="B2843" s="1" t="str">
        <f ca="1">IFERROR(__xludf.DUMMYFUNCTION("GOOGLETRANSLATE(A2843, ""zh"", ""en"")"),"staff")</f>
        <v>staff</v>
      </c>
      <c r="C2843" s="1" t="str">
        <f ca="1">IFERROR(__xludf.DUMMYFUNCTION("GOOGLETRANSLATE(E2843, ""zh"", ""en"")"),"Qualitative text")</f>
        <v>Qualitative text</v>
      </c>
    </row>
    <row r="2844" spans="1:3" ht="13" x14ac:dyDescent="0.15">
      <c r="A2844" s="1" t="str">
        <f ca="1">IFERROR(__xludf.DUMMYFUNCTION("GOOGLETRANSLATE(A2844, ""zh"", ""en"")"),"Shanghai Electric Group Co., Ltd. 77 Shanghai Electric continues to strengthen the management of packaging materials and explores the possibilities of packaging materials in terms of performance, consumption, reduction, recycling and reuse.")</f>
        <v>Shanghai Electric Group Co., Ltd. 77 Shanghai Electric continues to strengthen the management of packaging materials and explores the possibilities of packaging materials in terms of performance, consumption, reduction, recycling and reuse.</v>
      </c>
      <c r="B2844" s="1" t="str">
        <f ca="1">IFERROR(__xludf.DUMMYFUNCTION("GOOGLETRANSLATE(A2844, ""zh"", ""en"")"),"raw materials")</f>
        <v>raw materials</v>
      </c>
      <c r="C2844" s="1" t="str">
        <f ca="1">IFERROR(__xludf.DUMMYFUNCTION("GOOGLETRANSLATE(E2844, ""zh"", ""en"")"),"Qualitative text")</f>
        <v>Qualitative text</v>
      </c>
    </row>
    <row r="2845" spans="1:3" ht="13" x14ac:dyDescent="0.15">
      <c r="A2845" s="1" t="str">
        <f ca="1">IFERROR(__xludf.DUMMYFUNCTION("GOOGLETRANSLATE(A2845, ""zh"", ""en"")"),"China Patent Award Gold Award: The results of the 23rd China Patent Award in April 2022 have been officially announced. Haier Smart Home has once again won the China Patent Gold Award, becoming the only brand in the home appliance industry to receive a go"&amp;"ld award.")</f>
        <v>China Patent Award Gold Award: The results of the 23rd China Patent Award in April 2022 have been officially announced. Haier Smart Home has once again won the China Patent Gold Award, becoming the only brand in the home appliance industry to receive a gold award.</v>
      </c>
      <c r="B2845" s="1" t="str">
        <f ca="1">IFERROR(__xludf.DUMMYFUNCTION("GOOGLETRANSLATE(A2845, ""zh"", ""en"")"),"Intellectual Property Protection")</f>
        <v>Intellectual Property Protection</v>
      </c>
      <c r="C2845" s="1" t="str">
        <f ca="1">IFERROR(__xludf.DUMMYFUNCTION("GOOGLETRANSLATE(E2845, ""zh"", ""en"")"),"Quantitative Text")</f>
        <v>Quantitative Text</v>
      </c>
    </row>
    <row r="2846" spans="1:3" ht="13" x14ac:dyDescent="0.15">
      <c r="A2846" s="1" t="str">
        <f ca="1">IFERROR(__xludf.DUMMYFUNCTION("GOOGLETRANSLATE(A2846, ""zh"", ""en"")"),"The company adheres to the four major solid waste management principles of reduction, resource utilization, harmlessness and planning, and refers to the company's solid waste management goals and tasks during the 14th Five-Year Plan period to continuously"&amp;" improve relevant policies and systems.")</f>
        <v>The company adheres to the four major solid waste management principles of reduction, resource utilization, harmlessness and planning, and refers to the company's solid waste management goals and tasks during the 14th Five-Year Plan period to continuously improve relevant policies and systems.</v>
      </c>
      <c r="B2846" s="1" t="str">
        <f ca="1">IFERROR(__xludf.DUMMYFUNCTION("GOOGLETRANSLATE(A2846, ""zh"", ""en"")"),"Waste Management")</f>
        <v>Waste Management</v>
      </c>
      <c r="C2846" s="1" t="str">
        <f ca="1">IFERROR(__xludf.DUMMYFUNCTION("GOOGLETRANSLATE(E2846, ""zh"", ""en"")"),"Qualitative text")</f>
        <v>Qualitative text</v>
      </c>
    </row>
    <row r="2847" spans="1:3" ht="13" x14ac:dyDescent="0.15">
      <c r="A2847" s="1" t="str">
        <f ca="1">IFERROR(__xludf.DUMMYFUNCTION("GOOGLETRANSLATE(A2847, ""zh"", ""en"")"),"We set up a gym that is close to the lives and interests of employees, produced original intention gift boxes, and held a series of activities such as the Garden Party and the Women's Day in conjunction with the January One event to gather positive energy"&amp;" for hard work.")</f>
        <v>We set up a gym that is close to the lives and interests of employees, produced original intention gift boxes, and held a series of activities such as the Garden Party and the Women's Day in conjunction with the January One event to gather positive energy for hard work.</v>
      </c>
      <c r="B2847" s="1" t="str">
        <f ca="1">IFERROR(__xludf.DUMMYFUNCTION("GOOGLETRANSLATE(A2847, ""zh"", ""en"")"),"staff")</f>
        <v>staff</v>
      </c>
      <c r="C2847" s="1" t="str">
        <f ca="1">IFERROR(__xludf.DUMMYFUNCTION("GOOGLETRANSLATE(E2847, ""zh"", ""en"")"),"Qualitative text")</f>
        <v>Qualitative text</v>
      </c>
    </row>
    <row r="2848" spans="1:3" ht="13" x14ac:dyDescent="0.15">
      <c r="A2848" s="1" t="str">
        <f ca="1">IFERROR(__xludf.DUMMYFUNCTION("GOOGLETRANSLATE(A2848, ""zh"", ""en"")"),"In terms of environmental compliance management, we are guided by corporate environmental issues and focus on key governance tasks. We benchmark Shanghai Electric's negative list of corporate environmental management and actively promote relevant risk gov"&amp;"ernance work.")</f>
        <v>In terms of environmental compliance management, we are guided by corporate environmental issues and focus on key governance tasks. We benchmark Shanghai Electric's negative list of corporate environmental management and actively promote relevant risk governance work.</v>
      </c>
      <c r="B2848" s="1" t="str">
        <f ca="1">IFERROR(__xludf.DUMMYFUNCTION("GOOGLETRANSLATE(A2848, ""zh"", ""en"")"),"Environmental Policy")</f>
        <v>Environmental Policy</v>
      </c>
      <c r="C2848" s="1" t="str">
        <f ca="1">IFERROR(__xludf.DUMMYFUNCTION("GOOGLETRANSLATE(E2848, ""zh"", ""en"")"),"Qualitative text")</f>
        <v>Qualitative text</v>
      </c>
    </row>
    <row r="2849" spans="1:3" ht="13" x14ac:dyDescent="0.15">
      <c r="A2849" s="1" t="str">
        <f ca="1">IFERROR(__xludf.DUMMYFUNCTION("GOOGLETRANSLATE(A2849, ""zh"", ""en"")"),"Rongzu Company 59 carried out a solid job of investigating and treating hidden dangers. This year, the company conducted 373 safety inspections of various types, of which 138 were led by the main leaders of the company and its branches and subsidiaries.")</f>
        <v>Rongzu Company 59 carried out a solid job of investigating and treating hidden dangers. This year, the company conducted 373 safety inspections of various types, of which 138 were led by the main leaders of the company and its branches and subsidiaries.</v>
      </c>
      <c r="B2849" s="1" t="str">
        <f ca="1">IFERROR(__xludf.DUMMYFUNCTION("GOOGLETRANSLATE(A2849, ""zh"", ""en"")"),"staff")</f>
        <v>staff</v>
      </c>
      <c r="C2849" s="1" t="str">
        <f ca="1">IFERROR(__xludf.DUMMYFUNCTION("GOOGLETRANSLATE(E2849, ""zh"", ""en"")"),"Quantitative Text")</f>
        <v>Quantitative Text</v>
      </c>
    </row>
    <row r="2850" spans="1:3" ht="13" x14ac:dyDescent="0.15">
      <c r="A2850" s="1" t="str">
        <f ca="1">IFERROR(__xludf.DUMMYFUNCTION("GOOGLETRANSLATE(A2850, ""zh"", ""en"")"),"The Board of Directors has improved the company's internal control environment and internal control structure by strengthening the arrangements for internal control related work, making internal control and risk management an essential part of the company"&amp;"'s decision-making.")</f>
        <v>The Board of Directors has improved the company's internal control environment and internal control structure by strengthening the arrangements for internal control related work, making internal control and risk management an essential part of the company's decision-making.</v>
      </c>
      <c r="B2850" s="1" t="str">
        <f ca="1">IFERROR(__xludf.DUMMYFUNCTION("GOOGLETRANSLATE(A2850, ""zh"", ""en"")"),"Organizational structure and operations")</f>
        <v>Organizational structure and operations</v>
      </c>
      <c r="C2850" s="1" t="str">
        <f ca="1">IFERROR(__xludf.DUMMYFUNCTION("GOOGLETRANSLATE(E2850, ""zh"", ""en"")"),"Qualitative text")</f>
        <v>Qualitative text</v>
      </c>
    </row>
    <row r="2851" spans="1:3" ht="13" x14ac:dyDescent="0.15">
      <c r="A2851" s="1" t="str">
        <f ca="1">IFERROR(__xludf.DUMMYFUNCTION("GOOGLETRANSLATE(A2851, ""zh"", ""en"")"),"Sinopec Cyber ​​Security Emergency Response Center (SSRC) dynamically monitors the company's entire network situation, proactively discovers hidden dangers and vulnerabilities, analyzes network attacks in real time, and promptly handles abnormal network b"&amp;"ehavior threats.")</f>
        <v>Sinopec Cyber ​​Security Emergency Response Center (SSRC) dynamically monitors the company's entire network situation, proactively discovers hidden dangers and vulnerabilities, analyzes network attacks in real time, and promptly handles abnormal network behavior threats.</v>
      </c>
      <c r="B2851" s="1" t="str">
        <f ca="1">IFERROR(__xludf.DUMMYFUNCTION("GOOGLETRANSLATE(A2851, ""zh"", ""en"")"),"Data security")</f>
        <v>Data security</v>
      </c>
      <c r="C2851" s="1" t="str">
        <f ca="1">IFERROR(__xludf.DUMMYFUNCTION("GOOGLETRANSLATE(E2851, ""zh"", ""en"")"),"Qualitative text")</f>
        <v>Qualitative text</v>
      </c>
    </row>
    <row r="2852" spans="1:3" ht="13" x14ac:dyDescent="0.15">
      <c r="A2852" s="1" t="str">
        <f ca="1">IFERROR(__xludf.DUMMYFUNCTION("GOOGLETRANSLATE(A2852, ""zh"", ""en"")"),"Sinopec values ​​the all-round development of its employees and actively promotes the diversification of its workforce. It is committed to building a diverse workplace and providing employees with fair and equitable career development opportunities and co"&amp;"mpensation.")</f>
        <v>Sinopec values ​​the all-round development of its employees and actively promotes the diversification of its workforce. It is committed to building a diverse workplace and providing employees with fair and equitable career development opportunities and compensation.</v>
      </c>
      <c r="B2852" s="1" t="str">
        <f ca="1">IFERROR(__xludf.DUMMYFUNCTION("GOOGLETRANSLATE(A2852, ""zh"", ""en"")"),"staff")</f>
        <v>staff</v>
      </c>
      <c r="C2852" s="1" t="str">
        <f ca="1">IFERROR(__xludf.DUMMYFUNCTION("GOOGLETRANSLATE(E2852, ""zh"", ""en"")"),"Qualitative text")</f>
        <v>Qualitative text</v>
      </c>
    </row>
    <row r="2853" spans="1:3" ht="13" x14ac:dyDescent="0.15">
      <c r="A2853" s="1" t="str">
        <f ca="1">IFERROR(__xludf.DUMMYFUNCTION("GOOGLETRANSLATE(A2853, ""zh"", ""en"")"),"The amount of hazardous waste disclosed in the Sustainable Development Report refers to the amount of hazardous waste outsourced for disposal as recorded in the Environmental Protection Information System of Sinopec.")</f>
        <v>The amount of hazardous waste disclosed in the Sustainable Development Report refers to the amount of hazardous waste outsourced for disposal as recorded in the Environmental Protection Information System of Sinopec.</v>
      </c>
      <c r="B2853" s="1" t="str">
        <f ca="1">IFERROR(__xludf.DUMMYFUNCTION("GOOGLETRANSLATE(A2853, ""zh"", ""en"")"),"Waste Management")</f>
        <v>Waste Management</v>
      </c>
      <c r="C2853" s="1" t="str">
        <f ca="1">IFERROR(__xludf.DUMMYFUNCTION("GOOGLETRANSLATE(E2853, ""zh"", ""en"")"),"Quantitative Text")</f>
        <v>Quantitative Text</v>
      </c>
    </row>
    <row r="2854" spans="1:3" ht="13" x14ac:dyDescent="0.15">
      <c r="A2854" s="1" t="str">
        <f ca="1">IFERROR(__xludf.DUMMYFUNCTION("GOOGLETRANSLATE(A2854, ""zh"", ""en"")"),"The 2022 branch manager training program focused on three core tasks: team management, goal management, and performance management. Developed 13 high-quality courses and trained over 500 new branch managers.")</f>
        <v>The 2022 branch manager training program focused on three core tasks: team management, goal management, and performance management. Developed 13 high-quality courses and trained over 500 new branch managers.</v>
      </c>
      <c r="B2854" s="1" t="str">
        <f ca="1">IFERROR(__xludf.DUMMYFUNCTION("GOOGLETRANSLATE(A2854, ""zh"", ""en"")"),"Organizational structure and operations")</f>
        <v>Organizational structure and operations</v>
      </c>
      <c r="C2854" s="1" t="str">
        <f ca="1">IFERROR(__xludf.DUMMYFUNCTION("GOOGLETRANSLATE(E2854, ""zh"", ""en"")"),"Quantitative Text")</f>
        <v>Quantitative Text</v>
      </c>
    </row>
    <row r="2855" spans="1:3" ht="13" x14ac:dyDescent="0.15">
      <c r="A2855" s="1" t="str">
        <f ca="1">IFERROR(__xludf.DUMMYFUNCTION("GOOGLETRANSLATE(A2855, ""zh"", ""en"")"),"103104 Key Performance Indicator A1.2 Direct Scope 1 and Energy Indirect Scope 2 Greenhouse Gas Emissions in tonnes and, where applicable, density per unit of production per facility")</f>
        <v>103104 Key Performance Indicator A1.2 Direct Scope 1 and Energy Indirect Scope 2 Greenhouse Gas Emissions in tonnes and, where applicable, density per unit of production per facility</v>
      </c>
      <c r="B2855" s="1" t="str">
        <f ca="1">IFERROR(__xludf.DUMMYFUNCTION("GOOGLETRANSLATE(A2855, ""zh"", ""en"")"),"carbon emissions")</f>
        <v>carbon emissions</v>
      </c>
      <c r="C2855" s="1" t="str">
        <f ca="1">IFERROR(__xludf.DUMMYFUNCTION("GOOGLETRANSLATE(E2855, ""zh"", ""en"")"),"Qualitative text")</f>
        <v>Qualitative text</v>
      </c>
    </row>
    <row r="2856" spans="1:3" ht="13" x14ac:dyDescent="0.15">
      <c r="A2856" s="1" t="str">
        <f ca="1">IFERROR(__xludf.DUMMYFUNCTION("GOOGLETRANSLATE(A2856, ""zh"", ""en"")"),"Performance interviews and grievance mechanisms establish communication channels between employees and their immediate superiors, help reach consensus, avoid deviations, and jointly analyze performance results to help employees develop in the long term.")</f>
        <v>Performance interviews and grievance mechanisms establish communication channels between employees and their immediate superiors, help reach consensus, avoid deviations, and jointly analyze performance results to help employees develop in the long term.</v>
      </c>
      <c r="B2856" s="1" t="str">
        <f ca="1">IFERROR(__xludf.DUMMYFUNCTION("GOOGLETRANSLATE(A2856, ""zh"", ""en"")"),"staff")</f>
        <v>staff</v>
      </c>
      <c r="C2856" s="1" t="str">
        <f ca="1">IFERROR(__xludf.DUMMYFUNCTION("GOOGLETRANSLATE(E2856, ""zh"", ""en"")"),"Qualitative text")</f>
        <v>Qualitative text</v>
      </c>
    </row>
    <row r="2857" spans="1:3" ht="13" x14ac:dyDescent="0.15">
      <c r="A2857" s="1" t="str">
        <f ca="1">IFERROR(__xludf.DUMMYFUNCTION("GOOGLETRANSLATE(A2857, ""zh"", ""en"")"),"In 2022, Shanghai Electric and Ideal Wanlihui Semiconductor Equipment Co., Ltd. signed an innovation cooperation agreement to jointly promote pan-semiconductor industry innovation in market technology and equipment integration.")</f>
        <v>In 2022, Shanghai Electric and Ideal Wanlihui Semiconductor Equipment Co., Ltd. signed an innovation cooperation agreement to jointly promote pan-semiconductor industry innovation in market technology and equipment integration.</v>
      </c>
      <c r="B2857" s="1" t="str">
        <f ca="1">IFERROR(__xludf.DUMMYFUNCTION("GOOGLETRANSLATE(A2857, ""zh"", ""en"")"),"Technological innovation")</f>
        <v>Technological innovation</v>
      </c>
      <c r="C2857" s="1" t="str">
        <f ca="1">IFERROR(__xludf.DUMMYFUNCTION("GOOGLETRANSLATE(E2857, ""zh"", ""en"")"),"Qualitative text")</f>
        <v>Qualitative text</v>
      </c>
    </row>
    <row r="2858" spans="1:3" ht="13" x14ac:dyDescent="0.15">
      <c r="A2858" s="1" t="str">
        <f ca="1">IFERROR(__xludf.DUMMYFUNCTION("GOOGLETRANSLATE(A2858, ""zh"", ""en"")"),"As of the end of the reporting period, the sustained-release microsphere R&amp;D platform had a total of 6 ongoing projects, including 1 under review for marketing authorization, 3 Phase I clinical trials, 2 BE trials, and 1 Phase I clinical trial in preparat"&amp;"ion.")</f>
        <v>As of the end of the reporting period, the sustained-release microsphere R&amp;D platform had a total of 6 ongoing projects, including 1 under review for marketing authorization, 3 Phase I clinical trials, 2 BE trials, and 1 Phase I clinical trial in preparation.</v>
      </c>
      <c r="B2858" s="1" t="str">
        <f ca="1">IFERROR(__xludf.DUMMYFUNCTION("GOOGLETRANSLATE(A2858, ""zh"", ""en"")"),"Technological innovation")</f>
        <v>Technological innovation</v>
      </c>
      <c r="C2858" s="1" t="str">
        <f ca="1">IFERROR(__xludf.DUMMYFUNCTION("GOOGLETRANSLATE(E2858, ""zh"", ""en"")"),"Quantitative Text")</f>
        <v>Quantitative Text</v>
      </c>
    </row>
    <row r="2859" spans="1:3" ht="13" x14ac:dyDescent="0.15">
      <c r="A2859" s="1" t="str">
        <f ca="1">IFERROR(__xludf.DUMMYFUNCTION("GOOGLETRANSLATE(A2859, ""zh"", ""en"")"),"Shanghai Electric continues to adhere to open collaboration and win-win cooperation, focusing on promoting the dual-intelligence linkage of smart energy and intelligent manufacturing, and the dual-wheel drive of intelligent service industrialization to em"&amp;"power global industrial development with science and technology.")</f>
        <v>Shanghai Electric continues to adhere to open collaboration and win-win cooperation, focusing on promoting the dual-intelligence linkage of smart energy and intelligent manufacturing, and the dual-wheel drive of intelligent service industrialization to empower global industrial development with science and technology.</v>
      </c>
      <c r="B2859" s="1" t="str">
        <f ca="1">IFERROR(__xludf.DUMMYFUNCTION("GOOGLETRANSLATE(A2859, ""zh"", ""en"")"),"Technological innovation")</f>
        <v>Technological innovation</v>
      </c>
      <c r="C2859" s="1" t="str">
        <f ca="1">IFERROR(__xludf.DUMMYFUNCTION("GOOGLETRANSLATE(E2859, ""zh"", ""en"")"),"Qualitative text")</f>
        <v>Qualitative text</v>
      </c>
    </row>
    <row r="2860" spans="1:3" ht="13" x14ac:dyDescent="0.15">
      <c r="A2860" s="1" t="str">
        <f ca="1">IFERROR(__xludf.DUMMYFUNCTION("GOOGLETRANSLATE(A2860, ""zh"", ""en"")"),"In 2022, we further strengthened on-site supervision and professional technical guidance to address key difficulties and weaknesses in safety and environmental risk management to improve the effectiveness and pertinence of overall safety and environmental"&amp;" work.")</f>
        <v>In 2022, we further strengthened on-site supervision and professional technical guidance to address key difficulties and weaknesses in safety and environmental risk management to improve the effectiveness and pertinence of overall safety and environmental work.</v>
      </c>
      <c r="B2860" s="1" t="str">
        <f ca="1">IFERROR(__xludf.DUMMYFUNCTION("GOOGLETRANSLATE(A2860, ""zh"", ""en"")"),"Environmental Policy")</f>
        <v>Environmental Policy</v>
      </c>
      <c r="C2860" s="1" t="str">
        <f ca="1">IFERROR(__xludf.DUMMYFUNCTION("GOOGLETRANSLATE(E2860, ""zh"", ""en"")"),"Qualitative text")</f>
        <v>Qualitative text</v>
      </c>
    </row>
    <row r="2861" spans="1:3" ht="13" x14ac:dyDescent="0.15">
      <c r="A2861" s="1" t="str">
        <f ca="1">IFERROR(__xludf.DUMMYFUNCTION("GOOGLETRANSLATE(A2861, ""zh"", ""en"")"),"Organon, Eurofarma, GetzPharma, etc. As of the end of 2022, Azvudine has been approved by 31 foreign companies in China.")</f>
        <v>Organon, Eurofarma, GetzPharma, etc. As of the end of 2022, Azvudine has been approved by 31 foreign companies in China.</v>
      </c>
      <c r="B2861" s="1" t="str">
        <f ca="1">IFERROR(__xludf.DUMMYFUNCTION("GOOGLETRANSLATE(A2861, ""zh"", ""en"")"),"Product quality")</f>
        <v>Product quality</v>
      </c>
      <c r="C2861" s="1" t="str">
        <f ca="1">IFERROR(__xludf.DUMMYFUNCTION("GOOGLETRANSLATE(E2861, ""zh"", ""en"")"),"Quantitative Text")</f>
        <v>Quantitative Text</v>
      </c>
    </row>
    <row r="2862" spans="1:3" ht="13" x14ac:dyDescent="0.15">
      <c r="A2862" s="1" t="str">
        <f ca="1">IFERROR(__xludf.DUMMYFUNCTION("GOOGLETRANSLATE(A2862, ""zh"", ""en"")"),"The company continues to improve its internal supervision system to achieve full coverage of supervision of directors, supervisors, senior management and all institutions and personnel exercising management rights, and regularly studies and deploys key su"&amp;"pervision tasks.")</f>
        <v>The company continues to improve its internal supervision system to achieve full coverage of supervision of directors, supervisors, senior management and all institutions and personnel exercising management rights, and regularly studies and deploys key supervision tasks.</v>
      </c>
      <c r="B2862" s="1" t="str">
        <f ca="1">IFERROR(__xludf.DUMMYFUNCTION("GOOGLETRANSLATE(A2862, ""zh"", ""en"")"),"Organizational structure and operations")</f>
        <v>Organizational structure and operations</v>
      </c>
      <c r="C2862" s="1" t="str">
        <f ca="1">IFERROR(__xludf.DUMMYFUNCTION("GOOGLETRANSLATE(E2862, ""zh"", ""en"")"),"Qualitative text")</f>
        <v>Qualitative text</v>
      </c>
    </row>
    <row r="2863" spans="1:3" ht="13" x14ac:dyDescent="0.15">
      <c r="A2863" s="1" t="str">
        <f ca="1">IFERROR(__xludf.DUMMYFUNCTION("GOOGLETRANSLATE(A2863, ""zh"", ""en"")"),"Fosun Zen Medicine will be an inspiring companion on our journey to achieve our goal of 100% coverage of domestic enterprise labor unions.")</f>
        <v>Fosun Zen Medicine will be an inspiring companion on our journey to achieve our goal of 100% coverage of domestic enterprise labor unions.</v>
      </c>
      <c r="B2863" s="1" t="str">
        <f ca="1">IFERROR(__xludf.DUMMYFUNCTION("GOOGLETRANSLATE(A2863, ""zh"", ""en"")"),"staff")</f>
        <v>staff</v>
      </c>
      <c r="C2863" s="1" t="str">
        <f ca="1">IFERROR(__xludf.DUMMYFUNCTION("GOOGLETRANSLATE(E2863, ""zh"", ""en"")"),"Quantitative Text")</f>
        <v>Quantitative Text</v>
      </c>
    </row>
    <row r="2864" spans="1:3" ht="13" x14ac:dyDescent="0.15">
      <c r="A2864" s="1" t="str">
        <f ca="1">IFERROR(__xludf.DUMMYFUNCTION("GOOGLETRANSLATE(A2864, ""zh"", ""en"")"),"In this extraordinary winter of 2022, we have set up a press spokesperson and a crisis response mechanism to regularly release news through official WeChat and official website.")</f>
        <v>In this extraordinary winter of 2022, we have set up a press spokesperson and a crisis response mechanism to regularly release news through official WeChat and official website.</v>
      </c>
      <c r="B2864" s="1" t="str">
        <f ca="1">IFERROR(__xludf.DUMMYFUNCTION("GOOGLETRANSLATE(A2864, ""zh"", ""en"")"),"Public welfare and volunteer service")</f>
        <v>Public welfare and volunteer service</v>
      </c>
      <c r="C2864" s="1" t="str">
        <f ca="1">IFERROR(__xludf.DUMMYFUNCTION("GOOGLETRANSLATE(E2864, ""zh"", ""en"")"),"Qualitative text")</f>
        <v>Qualitative text</v>
      </c>
    </row>
    <row r="2865" spans="1:3" ht="13" x14ac:dyDescent="0.15">
      <c r="A2865" s="1" t="str">
        <f ca="1">IFERROR(__xludf.DUMMYFUNCTION("GOOGLETRANSLATE(A2865, ""zh"", ""en"")"),"6.1 Caring for the countryside and supporting its revitalization 6.2 Upholding philanthropy and love 6.3 Caring for the community and delivering warmth Key Performance Indicator B8.2 Resources used in the focus area, such as money or time")</f>
        <v>6.1 Caring for the countryside and supporting its revitalization 6.2 Upholding philanthropy and love 6.3 Caring for the community and delivering warmth Key Performance Indicator B8.2 Resources used in the focus area, such as money or time</v>
      </c>
      <c r="B2865" s="1" t="str">
        <f ca="1">IFERROR(__xludf.DUMMYFUNCTION("GOOGLETRANSLATE(A2865, ""zh"", ""en"")"),"Public welfare and volunteer service")</f>
        <v>Public welfare and volunteer service</v>
      </c>
      <c r="C2865" s="1" t="str">
        <f ca="1">IFERROR(__xludf.DUMMYFUNCTION("GOOGLETRANSLATE(E2865, ""zh"", ""en"")"),"Qualitative text")</f>
        <v>Qualitative text</v>
      </c>
    </row>
    <row r="2866" spans="1:3" ht="13" x14ac:dyDescent="0.15">
      <c r="A2866" s="1" t="str">
        <f ca="1">IFERROR(__xludf.DUMMYFUNCTION("GOOGLETRANSLATE(A2866, ""zh"", ""en"")"),"Organize and formulate implementation plans for new scientific and technological research projects, launch the first batch of projects, establish a competitive mechanism for key core technology research, further unleash innovation potential and stimulate "&amp;"innovation vitality.")</f>
        <v>Organize and formulate implementation plans for new scientific and technological research projects, launch the first batch of projects, establish a competitive mechanism for key core technology research, further unleash innovation potential and stimulate innovation vitality.</v>
      </c>
      <c r="B2866" s="1" t="str">
        <f ca="1">IFERROR(__xludf.DUMMYFUNCTION("GOOGLETRANSLATE(A2866, ""zh"", ""en"")"),"Technological innovation")</f>
        <v>Technological innovation</v>
      </c>
      <c r="C2866" s="1" t="str">
        <f ca="1">IFERROR(__xludf.DUMMYFUNCTION("GOOGLETRANSLATE(E2866, ""zh"", ""en"")"),"Qualitative text")</f>
        <v>Qualitative text</v>
      </c>
    </row>
    <row r="2867" spans="1:3" ht="13" x14ac:dyDescent="0.15">
      <c r="A2867" s="1" t="str">
        <f ca="1">IFERROR(__xludf.DUMMYFUNCTION("GOOGLETRANSLATE(A2867, ""zh"", ""en"")"),"The top three ethnic groups in the composition of Jiankangyuan's minority employees are Hui (222 people), Zhuang (188 people) and Miao (59 people). The proportion of minority employees in management is 3.18.")</f>
        <v>The top three ethnic groups in the composition of Jiankangyuan's minority employees are Hui (222 people), Zhuang (188 people) and Miao (59 people). The proportion of minority employees in management is 3.18.</v>
      </c>
      <c r="B2867" s="1" t="str">
        <f ca="1">IFERROR(__xludf.DUMMYFUNCTION("GOOGLETRANSLATE(A2867, ""zh"", ""en"")"),"staff")</f>
        <v>staff</v>
      </c>
      <c r="C2867" s="1" t="str">
        <f ca="1">IFERROR(__xludf.DUMMYFUNCTION("GOOGLETRANSLATE(E2867, ""zh"", ""en"")"),"Quantitative Text")</f>
        <v>Quantitative Text</v>
      </c>
    </row>
    <row r="2868" spans="1:3" ht="13" x14ac:dyDescent="0.15">
      <c r="A2868" s="1" t="str">
        <f ca="1">IFERROR(__xludf.DUMMYFUNCTION("GOOGLETRANSLATE(A2868, ""zh"", ""en"")"),"Good corporate governance is the cornerstone and guarantee of corporate development. The Company will continue to consolidate and improve its corporate governance level, enhance its competitiveness, and report better operating performance to investors.")</f>
        <v>Good corporate governance is the cornerstone and guarantee of corporate development. The Company will continue to consolidate and improve its corporate governance level, enhance its competitiveness, and report better operating performance to investors.</v>
      </c>
      <c r="B2868" s="1" t="str">
        <f ca="1">IFERROR(__xludf.DUMMYFUNCTION("GOOGLETRANSLATE(A2868, ""zh"", ""en"")"),"Organizational structure and operations")</f>
        <v>Organizational structure and operations</v>
      </c>
      <c r="C2868" s="1" t="str">
        <f ca="1">IFERROR(__xludf.DUMMYFUNCTION("GOOGLETRANSLATE(E2868, ""zh"", ""en"")"),"Qualitative text")</f>
        <v>Qualitative text</v>
      </c>
    </row>
    <row r="2869" spans="1:3" ht="13" x14ac:dyDescent="0.15">
      <c r="A2869" s="1" t="str">
        <f ca="1">IFERROR(__xludf.DUMMYFUNCTION("GOOGLETRANSLATE(A2869, ""zh"", ""en"")"),"Livzon Group, a subsidiary of Kangyuan Group, has formulated a revitalization plan for the astragalus industry and is continuing to implement it. Through company-owned bases and professional cooperatives, it aims to create a pillar industry for long-term "&amp;"development based on local conditions.")</f>
        <v>Livzon Group, a subsidiary of Kangyuan Group, has formulated a revitalization plan for the astragalus industry and is continuing to implement it. Through company-owned bases and professional cooperatives, it aims to create a pillar industry for long-term development based on local conditions.</v>
      </c>
      <c r="B2869" s="1" t="str">
        <f ca="1">IFERROR(__xludf.DUMMYFUNCTION("GOOGLETRANSLATE(A2869, ""zh"", ""en"")"),"Rural assistance")</f>
        <v>Rural assistance</v>
      </c>
      <c r="C2869" s="1" t="str">
        <f ca="1">IFERROR(__xludf.DUMMYFUNCTION("GOOGLETRANSLATE(E2869, ""zh"", ""en"")"),"Qualitative text")</f>
        <v>Qualitative text</v>
      </c>
    </row>
    <row r="2870" spans="1:3" ht="13" x14ac:dyDescent="0.15">
      <c r="A2870" s="1" t="str">
        <f ca="1">IFERROR(__xludf.DUMMYFUNCTION("GOOGLETRANSLATE(A2870, ""zh"", ""en"")"),"During the reporting period, the company's labor union applied for the first batch of public rental housing in Fengtai Park for six young employees and established a WeChat group for the Zhongmu Friendship Family to communicate with retirees in a timely m"&amp;"anner and resolve medication issues.")</f>
        <v>During the reporting period, the company's labor union applied for the first batch of public rental housing in Fengtai Park for six young employees and established a WeChat group for the Zhongmu Friendship Family to communicate with retirees in a timely manner and resolve medication issues.</v>
      </c>
      <c r="B2870" s="1" t="str">
        <f ca="1">IFERROR(__xludf.DUMMYFUNCTION("GOOGLETRANSLATE(A2870, ""zh"", ""en"")"),"staff")</f>
        <v>staff</v>
      </c>
      <c r="C2870" s="1" t="str">
        <f ca="1">IFERROR(__xludf.DUMMYFUNCTION("GOOGLETRANSLATE(E2870, ""zh"", ""en"")"),"Quantitative Text")</f>
        <v>Quantitative Text</v>
      </c>
    </row>
    <row r="2871" spans="1:3" ht="13" x14ac:dyDescent="0.15">
      <c r="A2871" s="1" t="str">
        <f ca="1">IFERROR(__xludf.DUMMYFUNCTION("GOOGLETRANSLATE(A2871, ""zh"", ""en"")"),"Waste reduction target: From 2022 to 2026, 100% of obsolete IT assets will be handed over to companies with electronic waste disposal qualifications and registered on the government environmental protection bureau website for green and environmentally fri"&amp;"endly treatment.")</f>
        <v>Waste reduction target: From 2022 to 2026, 100% of obsolete IT assets will be handed over to companies with electronic waste disposal qualifications and registered on the government environmental protection bureau website for green and environmentally friendly treatment.</v>
      </c>
      <c r="B2871" s="1" t="str">
        <f ca="1">IFERROR(__xludf.DUMMYFUNCTION("GOOGLETRANSLATE(A2871, ""zh"", ""en"")"),"Waste Management")</f>
        <v>Waste Management</v>
      </c>
      <c r="C2871" s="1" t="str">
        <f ca="1">IFERROR(__xludf.DUMMYFUNCTION("GOOGLETRANSLATE(E2871, ""zh"", ""en"")"),"Quantitative Text")</f>
        <v>Quantitative Text</v>
      </c>
    </row>
    <row r="2872" spans="1:3" ht="13" x14ac:dyDescent="0.15">
      <c r="A2872" s="1" t="str">
        <f ca="1">IFERROR(__xludf.DUMMYFUNCTION("GOOGLETRANSLATE(A2872, ""zh"", ""en"")"),"Improve the system and establish three lines of defense: daily supervision by business departments, special supervision by internal control departments, audit inspections and inspections, and comprehensive supervision by disciplinary inspection and superv"&amp;"ision departments. Achieve full coverage of annual self-evaluations of directly affiliated enterprises.")</f>
        <v>Improve the system and establish three lines of defense: daily supervision by business departments, special supervision by internal control departments, audit inspections and inspections, and comprehensive supervision by disciplinary inspection and supervision departments. Achieve full coverage of annual self-evaluations of directly affiliated enterprises.</v>
      </c>
      <c r="B2872" s="1" t="str">
        <f ca="1">IFERROR(__xludf.DUMMYFUNCTION("GOOGLETRANSLATE(A2872, ""zh"", ""en"")"),"Audit work")</f>
        <v>Audit work</v>
      </c>
      <c r="C2872" s="1" t="str">
        <f ca="1">IFERROR(__xludf.DUMMYFUNCTION("GOOGLETRANSLATE(E2872, ""zh"", ""en"")"),"Qualitative text")</f>
        <v>Qualitative text</v>
      </c>
    </row>
    <row r="2873" spans="1:3" ht="13" x14ac:dyDescent="0.15">
      <c r="A2873" s="1" t="str">
        <f ca="1">IFERROR(__xludf.DUMMYFUNCTION("GOOGLETRANSLATE(A2873, ""zh"", ""en"")"),"Haier Smart Home's AQUA Superior series and SLIM refrigerator won two Japan Good Design Awards on October 7, 2022.")</f>
        <v>Haier Smart Home's AQUA Superior series and SLIM refrigerator won two Japan Good Design Awards on October 7, 2022.</v>
      </c>
      <c r="B2873" s="1" t="str">
        <f ca="1">IFERROR(__xludf.DUMMYFUNCTION("GOOGLETRANSLATE(A2873, ""zh"", ""en"")"),"Product quality")</f>
        <v>Product quality</v>
      </c>
      <c r="C2873" s="1" t="str">
        <f ca="1">IFERROR(__xludf.DUMMYFUNCTION("GOOGLETRANSLATE(E2873, ""zh"", ""en"")"),"Quantitative Text")</f>
        <v>Quantitative Text</v>
      </c>
    </row>
    <row r="2874" spans="1:3" ht="13" x14ac:dyDescent="0.15">
      <c r="A2874" s="1" t="str">
        <f ca="1">IFERROR(__xludf.DUMMYFUNCTION("GOOGLETRANSLATE(A2874, ""zh"", ""en"")"),"Build a process quality control system, establish a laboratory information management system covering more than 340 quality inspection rooms, build a refined oil quality control platform, and establish the largest refined oil and gas quality database in C"&amp;"hina.")</f>
        <v>Build a process quality control system, establish a laboratory information management system covering more than 340 quality inspection rooms, build a refined oil quality control platform, and establish the largest refined oil and gas quality database in China.</v>
      </c>
      <c r="B2874" s="1" t="str">
        <f ca="1">IFERROR(__xludf.DUMMYFUNCTION("GOOGLETRANSLATE(A2874, ""zh"", ""en"")"),"Product quality")</f>
        <v>Product quality</v>
      </c>
      <c r="C2874" s="1" t="str">
        <f ca="1">IFERROR(__xludf.DUMMYFUNCTION("GOOGLETRANSLATE(E2874, ""zh"", ""en"")"),"Qualitative text")</f>
        <v>Qualitative text</v>
      </c>
    </row>
    <row r="2875" spans="1:3" ht="13" x14ac:dyDescent="0.15">
      <c r="A2875" s="1" t="str">
        <f ca="1">IFERROR(__xludf.DUMMYFUNCTION("GOOGLETRANSLATE(A2875, ""zh"", ""en"")"),"The pharmaceutical and medical device and diagnostic EHS training programs were conducted with rich cultural activities to continuously strengthen employees' safety awareness. The average training time per person in each sector was 20.0 hours per person.")</f>
        <v>The pharmaceutical and medical device and diagnostic EHS training programs were conducted with rich cultural activities to continuously strengthen employees' safety awareness. The average training time per person in each sector was 20.0 hours per person.</v>
      </c>
      <c r="B2875" s="1" t="str">
        <f ca="1">IFERROR(__xludf.DUMMYFUNCTION("GOOGLETRANSLATE(A2875, ""zh"", ""en"")"),"staff")</f>
        <v>staff</v>
      </c>
      <c r="C2875" s="1" t="str">
        <f ca="1">IFERROR(__xludf.DUMMYFUNCTION("GOOGLETRANSLATE(E2875, ""zh"", ""en"")"),"Quantitative Text")</f>
        <v>Quantitative Text</v>
      </c>
    </row>
    <row r="2876" spans="1:3" ht="13" x14ac:dyDescent="0.15">
      <c r="A2876" s="1" t="str">
        <f ca="1">IFERROR(__xludf.DUMMYFUNCTION("GOOGLETRANSLATE(A2876, ""zh"", ""en"")"),"Diversified and long-term incentives for practical discussions Hero Group adopts a variety of cooperation or employment methods to recruit external experts to enrich the group's expert talent pool. External experts can serve as group technology experts or"&amp;" project leaders.")</f>
        <v>Diversified and long-term incentives for practical discussions Hero Group adopts a variety of cooperation or employment methods to recruit external experts to enrich the group's expert talent pool. External experts can serve as group technology experts or project leaders.</v>
      </c>
      <c r="B2876" s="1" t="str">
        <f ca="1">IFERROR(__xludf.DUMMYFUNCTION("GOOGLETRANSLATE(A2876, ""zh"", ""en"")"),"staff")</f>
        <v>staff</v>
      </c>
      <c r="C2876" s="1" t="str">
        <f ca="1">IFERROR(__xludf.DUMMYFUNCTION("GOOGLETRANSLATE(E2876, ""zh"", ""en"")"),"Qualitative text")</f>
        <v>Qualitative text</v>
      </c>
    </row>
    <row r="2877" spans="1:3" ht="13" x14ac:dyDescent="0.15">
      <c r="A2877" s="1" t="str">
        <f ca="1">IFERROR(__xludf.DUMMYFUNCTION("GOOGLETRANSLATE(A2877, ""zh"", ""en"")"),"To promote win-win development of the industry, under the guidance of the National Standardization Committee, the company works with co-construction units to continuously promote the construction of the National Technical Standards Innovation Base and is "&amp;"committed to leading industrial upgrading with standard innovation.")</f>
        <v>To promote win-win development of the industry, under the guidance of the National Standardization Committee, the company works with co-construction units to continuously promote the construction of the National Technical Standards Innovation Base and is committed to leading industrial upgrading with standard innovation.</v>
      </c>
      <c r="B2877" s="1" t="str">
        <f ca="1">IFERROR(__xludf.DUMMYFUNCTION("GOOGLETRANSLATE(A2877, ""zh"", ""en"")"),"Technological innovation")</f>
        <v>Technological innovation</v>
      </c>
      <c r="C2877" s="1" t="str">
        <f ca="1">IFERROR(__xludf.DUMMYFUNCTION("GOOGLETRANSLATE(E2877, ""zh"", ""en"")"),"Qualitative text")</f>
        <v>Qualitative text</v>
      </c>
    </row>
    <row r="2878" spans="1:3" ht="13" x14ac:dyDescent="0.15">
      <c r="A2878" s="1" t="str">
        <f ca="1">IFERROR(__xludf.DUMMYFUNCTION("GOOGLETRANSLATE(A2878, ""zh"", ""en"")"),"Through comprehensive analysis and diagnosis of the energy consumption of the entire process or the entire production plant, the refining and chemical enterprises have implemented a series of waste heat comprehensive utilization transformation and innovat"&amp;"ion measures to significantly improve energy utilization efficiency.")</f>
        <v>Through comprehensive analysis and diagnosis of the energy consumption of the entire process or the entire production plant, the refining and chemical enterprises have implemented a series of waste heat comprehensive utilization transformation and innovation measures to significantly improve energy utilization efficiency.</v>
      </c>
      <c r="B2878" s="1" t="str">
        <f ca="1">IFERROR(__xludf.DUMMYFUNCTION("GOOGLETRANSLATE(A2878, ""zh"", ""en"")"),"Energy and resource consumption")</f>
        <v>Energy and resource consumption</v>
      </c>
      <c r="C2878" s="1" t="str">
        <f ca="1">IFERROR(__xludf.DUMMYFUNCTION("GOOGLETRANSLATE(E2878, ""zh"", ""en"")"),"Qualitative text")</f>
        <v>Qualitative text</v>
      </c>
    </row>
    <row r="2879" spans="1:3" ht="13" x14ac:dyDescent="0.15">
      <c r="A2879" s="1" t="str">
        <f ca="1">IFERROR(__xludf.DUMMYFUNCTION("GOOGLETRANSLATE(A2879, ""zh"", ""en"")"),"The Group requires all production subsidiaries to carry out refined management of energy and natural resources, implement the concept of energy conservation and emission reduction in all aspects of production operations, and jointly promote the achievemen"&amp;"t of the Group's environmental management goals.")</f>
        <v>The Group requires all production subsidiaries to carry out refined management of energy and natural resources, implement the concept of energy conservation and emission reduction in all aspects of production operations, and jointly promote the achievement of the Group's environmental management goals.</v>
      </c>
      <c r="B2879" s="1" t="str">
        <f ca="1">IFERROR(__xludf.DUMMYFUNCTION("GOOGLETRANSLATE(A2879, ""zh"", ""en"")"),"Energy and resource consumption")</f>
        <v>Energy and resource consumption</v>
      </c>
      <c r="C2879" s="1" t="str">
        <f ca="1">IFERROR(__xludf.DUMMYFUNCTION("GOOGLETRANSLATE(E2879, ""zh"", ""en"")"),"Qualitative text")</f>
        <v>Qualitative text</v>
      </c>
    </row>
    <row r="2880" spans="1:3" ht="13" x14ac:dyDescent="0.15">
      <c r="A2880" s="1" t="str">
        <f ca="1">IFERROR(__xludf.DUMMYFUNCTION("GOOGLETRANSLATE(A2880, ""zh"", ""en"")"),"We regularly maintain and service pollution control equipment and continue to increase investment in equipment and facility upgrades and production process technology transformation to ensure that pollution control equipment can operate normally, stably a"&amp;"nd efficiently.")</f>
        <v>We regularly maintain and service pollution control equipment and continue to increase investment in equipment and facility upgrades and production process technology transformation to ensure that pollution control equipment can operate normally, stably and efficiently.</v>
      </c>
      <c r="B2880" s="1" t="str">
        <f ca="1">IFERROR(__xludf.DUMMYFUNCTION("GOOGLETRANSLATE(A2880, ""zh"", ""en"")"),"Waste Management")</f>
        <v>Waste Management</v>
      </c>
      <c r="C2880" s="1" t="str">
        <f ca="1">IFERROR(__xludf.DUMMYFUNCTION("GOOGLETRANSLATE(E2880, ""zh"", ""en"")"),"Qualitative text")</f>
        <v>Qualitative text</v>
      </c>
    </row>
    <row r="2881" spans="1:3" ht="13" x14ac:dyDescent="0.15">
      <c r="A2881" s="1" t="str">
        <f ca="1">IFERROR(__xludf.DUMMYFUNCTION("GOOGLETRANSLATE(A2881, ""zh"", ""en"")"),"The number of employees in the Pearl River Delta refers to the number of employees of China Construction Bank within the Pearl River Delta region of China as of the end of the reporting period, excluding the number of employees of branches of domestic and"&amp;" overseas subsidiaries of my country Construction Bank.")</f>
        <v>The number of employees in the Pearl River Delta refers to the number of employees of China Construction Bank within the Pearl River Delta region of China as of the end of the reporting period, excluding the number of employees of branches of domestic and overseas subsidiaries of my country Construction Bank.</v>
      </c>
      <c r="B2881" s="1" t="str">
        <f ca="1">IFERROR(__xludf.DUMMYFUNCTION("GOOGLETRANSLATE(A2881, ""zh"", ""en"")"),"staff")</f>
        <v>staff</v>
      </c>
      <c r="C2881" s="1" t="str">
        <f ca="1">IFERROR(__xludf.DUMMYFUNCTION("GOOGLETRANSLATE(E2881, ""zh"", ""en"")"),"Qualitative text")</f>
        <v>Qualitative text</v>
      </c>
    </row>
    <row r="2882" spans="1:3" ht="13" x14ac:dyDescent="0.15">
      <c r="A2882" s="1" t="str">
        <f ca="1">IFERROR(__xludf.DUMMYFUNCTION("GOOGLETRANSLATE(A2882, ""zh"", ""en"")"),"All new and ongoing projects will undergo environmental impact assessments and biodiversity impact assessments as required, identify ecologically sensitive targets, and prioritize avoiding environmentally fragile areas and ecological conservation areas.")</f>
        <v>All new and ongoing projects will undergo environmental impact assessments and biodiversity impact assessments as required, identify ecologically sensitive targets, and prioritize avoiding environmentally fragile areas and ecological conservation areas.</v>
      </c>
      <c r="B2882" s="1" t="str">
        <f ca="1">IFERROR(__xludf.DUMMYFUNCTION("GOOGLETRANSLATE(A2882, ""zh"", ""en"")"),"biodiversity")</f>
        <v>biodiversity</v>
      </c>
      <c r="C2882" s="1" t="str">
        <f ca="1">IFERROR(__xludf.DUMMYFUNCTION("GOOGLETRANSLATE(E2882, ""zh"", ""en"")"),"Qualitative text")</f>
        <v>Qualitative text</v>
      </c>
    </row>
    <row r="2883" spans="1:3" ht="13" x14ac:dyDescent="0.15">
      <c r="A2883" s="1" t="str">
        <f ca="1">IFERROR(__xludf.DUMMYFUNCTION("GOOGLETRANSLATE(A2883, ""zh"", ""en"")"),"For suppliers who violate the principle of good faith, we will manage supplier information and determine different punishment measures including warnings and other penalties according to the actual situation during the bidding process. We will also introd"&amp;"uce third-party credit reports.")</f>
        <v>For suppliers who violate the principle of good faith, we will manage supplier information and determine different punishment measures including warnings and other penalties according to the actual situation during the bidding process. We will also introduce third-party credit reports.</v>
      </c>
      <c r="B2883" s="1" t="str">
        <f ca="1">IFERROR(__xludf.DUMMYFUNCTION("GOOGLETRANSLATE(A2883, ""zh"", ""en"")"),"Anti-unfair competition")</f>
        <v>Anti-unfair competition</v>
      </c>
      <c r="C2883" s="1" t="str">
        <f ca="1">IFERROR(__xludf.DUMMYFUNCTION("GOOGLETRANSLATE(E2883, ""zh"", ""en"")"),"Qualitative text")</f>
        <v>Qualitative text</v>
      </c>
    </row>
    <row r="2884" spans="1:3" ht="13" x14ac:dyDescent="0.15">
      <c r="A2884" s="1" t="str">
        <f ca="1">IFERROR(__xludf.DUMMYFUNCTION("GOOGLETRANSLATE(A2884, ""zh"", ""en"")"),"The Group’s mission is to make every family enjoy health. Focusing on unmet medical needs, it is committed to providing customers with high-quality products and services.")</f>
        <v>The Group’s mission is to make every family enjoy health. Focusing on unmet medical needs, it is committed to providing customers with high-quality products and services.</v>
      </c>
      <c r="B2884" s="1" t="str">
        <f ca="1">IFERROR(__xludf.DUMMYFUNCTION("GOOGLETRANSLATE(A2884, ""zh"", ""en"")"),"Product quality")</f>
        <v>Product quality</v>
      </c>
      <c r="C2884" s="1" t="str">
        <f ca="1">IFERROR(__xludf.DUMMYFUNCTION("GOOGLETRANSLATE(E2884, ""zh"", ""en"")"),"Qualitative text")</f>
        <v>Qualitative text</v>
      </c>
    </row>
    <row r="2885" spans="1:3" ht="13" x14ac:dyDescent="0.15">
      <c r="A2885" s="1" t="str">
        <f ca="1">IFERROR(__xludf.DUMMYFUNCTION("GOOGLETRANSLATE(A2885, ""zh"", ""en"")"),"The headquarters staff team follows the principles of streamlining, efficiency and professionalism based on the headquarters organizational structure adjustment plan, strictly controls the size of the headquarters team, rationally optimizes the headquarte"&amp;"rs personnel structure, and strengthens the headquarters' capacity and quality construction.")</f>
        <v>The headquarters staff team follows the principles of streamlining, efficiency and professionalism based on the headquarters organizational structure adjustment plan, strictly controls the size of the headquarters team, rationally optimizes the headquarters personnel structure, and strengthens the headquarters' capacity and quality construction.</v>
      </c>
      <c r="B2885" s="1" t="str">
        <f ca="1">IFERROR(__xludf.DUMMYFUNCTION("GOOGLETRANSLATE(A2885, ""zh"", ""en"")"),"Organizational structure and operations")</f>
        <v>Organizational structure and operations</v>
      </c>
      <c r="C2885" s="1" t="str">
        <f ca="1">IFERROR(__xludf.DUMMYFUNCTION("GOOGLETRANSLATE(E2885, ""zh"", ""en"")"),"Qualitative text")</f>
        <v>Qualitative text</v>
      </c>
    </row>
    <row r="2886" spans="1:3" ht="13" x14ac:dyDescent="0.15">
      <c r="A2886" s="1" t="str">
        <f ca="1">IFERROR(__xludf.DUMMYFUNCTION("GOOGLETRANSLATE(A2886, ""zh"", ""en"")"),"Encourage the improvement of the academic qualifications and educational level of frontline employees. Actively carry out work such as rewards and subsidies for employee academic advancement. Organize 10 frontline employees to successfully apply for tuiti"&amp;"on subsidies of 2,000 yuan each.")</f>
        <v>Encourage the improvement of the academic qualifications and educational level of frontline employees. Actively carry out work such as rewards and subsidies for employee academic advancement. Organize 10 frontline employees to successfully apply for tuition subsidies of 2,000 yuan each.</v>
      </c>
      <c r="B2886" s="1" t="str">
        <f ca="1">IFERROR(__xludf.DUMMYFUNCTION("GOOGLETRANSLATE(A2886, ""zh"", ""en"")"),"Promoting employment")</f>
        <v>Promoting employment</v>
      </c>
      <c r="C2886" s="1" t="str">
        <f ca="1">IFERROR(__xludf.DUMMYFUNCTION("GOOGLETRANSLATE(E2886, ""zh"", ""en"")"),"Quantitative Text")</f>
        <v>Quantitative Text</v>
      </c>
    </row>
    <row r="2887" spans="1:3" ht="13" x14ac:dyDescent="0.15">
      <c r="A2887" s="1" t="str">
        <f ca="1">IFERROR(__xludf.DUMMYFUNCTION("GOOGLETRANSLATE(A2887, ""zh"", ""en"")"),"The board of directors and all directors of the company guarantee that this report does not contain any false records, misleading statements or material omissions and assume legal responsibility for the authenticity, accuracy and completeness of its conte"&amp;"nts.")</f>
        <v>The board of directors and all directors of the company guarantee that this report does not contain any false records, misleading statements or material omissions and assume legal responsibility for the authenticity, accuracy and completeness of its contents.</v>
      </c>
      <c r="B2887" s="1" t="str">
        <f ca="1">IFERROR(__xludf.DUMMYFUNCTION("GOOGLETRANSLATE(A2887, ""zh"", ""en"")"),"irrelevant text")</f>
        <v>irrelevant text</v>
      </c>
      <c r="C2887" s="1" t="str">
        <f ca="1">IFERROR(__xludf.DUMMYFUNCTION("GOOGLETRANSLATE(E2887, ""zh"", ""en"")"),"irrelevant text")</f>
        <v>irrelevant text</v>
      </c>
    </row>
    <row r="2888" spans="1:3" ht="13" x14ac:dyDescent="0.15">
      <c r="A2888" s="1" t="str">
        <f ca="1">IFERROR(__xludf.DUMMYFUNCTION("GOOGLETRANSLATE(A2888, ""zh"", ""en"")"),"Report Scope and Boundary The policies and data provided in this report cover the Group's headquarters, internal organizations, branches, wholly-owned and controlled subsidiaries. Environmental data covers the Group's major production subsidiaries.")</f>
        <v>Report Scope and Boundary The policies and data provided in this report cover the Group's headquarters, internal organizations, branches, wholly-owned and controlled subsidiaries. Environmental data covers the Group's major production subsidiaries.</v>
      </c>
      <c r="B2888" s="1" t="str">
        <f ca="1">IFERROR(__xludf.DUMMYFUNCTION("GOOGLETRANSLATE(A2888, ""zh"", ""en"")"),"irrelevant text")</f>
        <v>irrelevant text</v>
      </c>
      <c r="C2888" s="1" t="str">
        <f ca="1">IFERROR(__xludf.DUMMYFUNCTION("GOOGLETRANSLATE(E2888, ""zh"", ""en"")"),"irrelevant text")</f>
        <v>irrelevant text</v>
      </c>
    </row>
    <row r="2889" spans="1:3" ht="13" x14ac:dyDescent="0.15">
      <c r="A2889" s="1" t="str">
        <f ca="1">IFERROR(__xludf.DUMMYFUNCTION("GOOGLETRANSLATE(A2889, ""zh"", ""en"")"),"We strictly monitor the implementation of climate risk management and include greenhouse gas emissions in the annual performance appraisals of the main leaders of the company's relevant departments and branches and subsidiaries, and calculate and evaluate"&amp;" them every year.")</f>
        <v>We strictly monitor the implementation of climate risk management and include greenhouse gas emissions in the annual performance appraisals of the main leaders of the company's relevant departments and branches and subsidiaries, and calculate and evaluate them every year.</v>
      </c>
      <c r="B2889" s="1" t="str">
        <f ca="1">IFERROR(__xludf.DUMMYFUNCTION("GOOGLETRANSLATE(A2889, ""zh"", ""en"")"),"Addressing climate change")</f>
        <v>Addressing climate change</v>
      </c>
      <c r="C2889" s="1" t="str">
        <f ca="1">IFERROR(__xludf.DUMMYFUNCTION("GOOGLETRANSLATE(E2889, ""zh"", ""en"")"),"Qualitative text")</f>
        <v>Qualitative text</v>
      </c>
    </row>
    <row r="2890" spans="1:3" ht="13" x14ac:dyDescent="0.15">
      <c r="A2890" s="1" t="str">
        <f ca="1">IFERROR(__xludf.DUMMYFUNCTION("GOOGLETRANSLATE(A2890, ""zh"", ""en"")"),"Adhere to mutual benefit and win-win results, strengthen communication and cooperation with resource-rich governments, partners, and communities, increase investment in community public welfare, cultivate local development capabilities, and promote local "&amp;"economic and social prosperity.")</f>
        <v>Adhere to mutual benefit and win-win results, strengthen communication and cooperation with resource-rich governments, partners, and communities, increase investment in community public welfare, cultivate local development capabilities, and promote local economic and social prosperity.</v>
      </c>
      <c r="B2890" s="1" t="str">
        <f ca="1">IFERROR(__xludf.DUMMYFUNCTION("GOOGLETRANSLATE(A2890, ""zh"", ""en"")"),"Public welfare and volunteer service")</f>
        <v>Public welfare and volunteer service</v>
      </c>
      <c r="C2890" s="1" t="str">
        <f ca="1">IFERROR(__xludf.DUMMYFUNCTION("GOOGLETRANSLATE(E2890, ""zh"", ""en"")"),"Qualitative text")</f>
        <v>Qualitative text</v>
      </c>
    </row>
    <row r="2891" spans="1:3" ht="13" x14ac:dyDescent="0.15">
      <c r="A2891" s="1" t="str">
        <f ca="1">IFERROR(__xludf.DUMMYFUNCTION("GOOGLETRANSLATE(A2891, ""zh"", ""en"")"),"We implement the code of business ethics throughout all employees and partners, firmly resist workplace fraud and oppose commercial bribery, and strive to create an honest and clean workplace atmosphere and maintain a fair and just market order.")</f>
        <v>We implement the code of business ethics throughout all employees and partners, firmly resist workplace fraud and oppose commercial bribery, and strive to create an honest and clean workplace atmosphere and maintain a fair and just market order.</v>
      </c>
      <c r="B2891" s="1" t="str">
        <f ca="1">IFERROR(__xludf.DUMMYFUNCTION("GOOGLETRANSLATE(A2891, ""zh"", ""en"")"),"Anti-corruption and anti-money laundering")</f>
        <v>Anti-corruption and anti-money laundering</v>
      </c>
      <c r="C2891" s="1" t="str">
        <f ca="1">IFERROR(__xludf.DUMMYFUNCTION("GOOGLETRANSLATE(E2891, ""zh"", ""en"")"),"Qualitative text")</f>
        <v>Qualitative text</v>
      </c>
    </row>
    <row r="2892" spans="1:3" ht="13" x14ac:dyDescent="0.15">
      <c r="A2892" s="1" t="str">
        <f ca="1">IFERROR(__xludf.DUMMYFUNCTION("GOOGLETRANSLATE(A2892, ""zh"", ""en"")"),"During the 14th Five-Year Plan period, the main business positioning of Wuchan Zhongda is 121, namely 1 core business of intelligent supply chain integration services, 2 enabling business financial services for high-end manufacturing, and 1 cultivating ma"&amp;"in business industrial investment.")</f>
        <v>During the 14th Five-Year Plan period, the main business positioning of Wuchan Zhongda is 121, namely 1 core business of intelligent supply chain integration services, 2 enabling business financial services for high-end manufacturing, and 1 cultivating main business industrial investment.</v>
      </c>
      <c r="B2892" s="1" t="str">
        <f ca="1">IFERROR(__xludf.DUMMYFUNCTION("GOOGLETRANSLATE(A2892, ""zh"", ""en"")"),"Technological innovation")</f>
        <v>Technological innovation</v>
      </c>
      <c r="C2892" s="1" t="str">
        <f ca="1">IFERROR(__xludf.DUMMYFUNCTION("GOOGLETRANSLATE(E2892, ""zh"", ""en"")"),"Quantitative Text")</f>
        <v>Quantitative Text</v>
      </c>
    </row>
    <row r="2893" spans="1:3" ht="13" x14ac:dyDescent="0.15">
      <c r="A2893" s="1" t="str">
        <f ca="1">IFERROR(__xludf.DUMMYFUNCTION("GOOGLETRANSLATE(A2893, ""zh"", ""en"")"),"Advanced smart supply chain integration services continue to stimulate the value potential within the supply chain, increase corporate market share and profitability, and continuously enhance global resource allocation capabilities, especially for bulk co"&amp;"mmodity resources.")</f>
        <v>Advanced smart supply chain integration services continue to stimulate the value potential within the supply chain, increase corporate market share and profitability, and continuously enhance global resource allocation capabilities, especially for bulk commodity resources.</v>
      </c>
      <c r="B2893" s="1" t="str">
        <f ca="1">IFERROR(__xludf.DUMMYFUNCTION("GOOGLETRANSLATE(A2893, ""zh"", ""en"")"),"supply chain management")</f>
        <v>supply chain management</v>
      </c>
      <c r="C2893" s="1" t="str">
        <f ca="1">IFERROR(__xludf.DUMMYFUNCTION("GOOGLETRANSLATE(E2893, ""zh"", ""en"")"),"Qualitative text")</f>
        <v>Qualitative text</v>
      </c>
    </row>
    <row r="2894" spans="1:3" ht="13" x14ac:dyDescent="0.15">
      <c r="A2894" s="1" t="str">
        <f ca="1">IFERROR(__xludf.DUMMYFUNCTION("GOOGLETRANSLATE(A2894, ""zh"", ""en"")"),"The company is committed to becoming a world-class multi-scenario system display solution provider with ubiquitous display, ubiquitous service, and ubiquitous connection. It is now positioned as a boutique brand, a high-end brand, and a trendy technology "&amp;"brand.")</f>
        <v>The company is committed to becoming a world-class multi-scenario system display solution provider with ubiquitous display, ubiquitous service, and ubiquitous connection. It is now positioned as a boutique brand, a high-end brand, and a trendy technology brand.</v>
      </c>
      <c r="B2894" s="1" t="str">
        <f ca="1">IFERROR(__xludf.DUMMYFUNCTION("GOOGLETRANSLATE(A2894, ""zh"", ""en"")"),"irrelevant text")</f>
        <v>irrelevant text</v>
      </c>
      <c r="C2894" s="1" t="str">
        <f ca="1">IFERROR(__xludf.DUMMYFUNCTION("GOOGLETRANSLATE(E2894, ""zh"", ""en"")"),"irrelevant text")</f>
        <v>irrelevant text</v>
      </c>
    </row>
    <row r="2895" spans="1:3" ht="13" x14ac:dyDescent="0.15">
      <c r="A2895" s="1" t="str">
        <f ca="1">IFERROR(__xludf.DUMMYFUNCTION("GOOGLETRANSLATE(A2895, ""zh"", ""en"")"),"One of its subsidiaries was recognized by the Zhejiang Association for Science and Technology as one of the first Zhejiang Provincial Doctoral Innovation Stations and was named a Zhejiang Provincial Intellectual Property Demonstration Enterprise. In the s"&amp;"ame year, it was also selected as a Zhejiang Provincial Dual Carbon Excellent Case.")</f>
        <v>One of its subsidiaries was recognized by the Zhejiang Association for Science and Technology as one of the first Zhejiang Provincial Doctoral Innovation Stations and was named a Zhejiang Provincial Intellectual Property Demonstration Enterprise. In the same year, it was also selected as a Zhejiang Provincial Dual Carbon Excellent Case.</v>
      </c>
      <c r="B2895" s="1" t="str">
        <f ca="1">IFERROR(__xludf.DUMMYFUNCTION("GOOGLETRANSLATE(A2895, ""zh"", ""en"")"),"Intellectual Property Protection")</f>
        <v>Intellectual Property Protection</v>
      </c>
      <c r="C2895" s="1" t="str">
        <f ca="1">IFERROR(__xludf.DUMMYFUNCTION("GOOGLETRANSLATE(E2895, ""zh"", ""en"")"),"Qualitative text")</f>
        <v>Qualitative text</v>
      </c>
    </row>
    <row r="2896" spans="1:3" ht="13" x14ac:dyDescent="0.15">
      <c r="A2896" s="1" t="str">
        <f ca="1">IFERROR(__xludf.DUMMYFUNCTION("GOOGLETRANSLATE(A2896, ""zh"", ""en"")"),"Toshiba's commitment to high-end professional TV brand positioning has earned it the VGP 2023 Overall Gold Award, the HiVi Grand Prix 2022 Direct View Display Award, and other important awards.")</f>
        <v>Toshiba's commitment to high-end professional TV brand positioning has earned it the VGP 2023 Overall Gold Award, the HiVi Grand Prix 2022 Direct View Display Award, and other important awards.</v>
      </c>
      <c r="B2896" s="1" t="str">
        <f ca="1">IFERROR(__xludf.DUMMYFUNCTION("GOOGLETRANSLATE(A2896, ""zh"", ""en"")"),"Product quality")</f>
        <v>Product quality</v>
      </c>
      <c r="C2896" s="1" t="str">
        <f ca="1">IFERROR(__xludf.DUMMYFUNCTION("GOOGLETRANSLATE(E2896, ""zh"", ""en"")"),"Quantitative Text")</f>
        <v>Quantitative Text</v>
      </c>
    </row>
    <row r="2897" spans="1:3" ht="13" x14ac:dyDescent="0.15">
      <c r="A2897" s="1" t="str">
        <f ca="1">IFERROR(__xludf.DUMMYFUNCTION("GOOGLETRANSLATE(A2897, ""zh"", ""en"")"),"During the reporting period, the company conducted a semi-annual and annual risk assessment of Hisense Group Finance Co., Ltd. and concluded that there were no major deficiencies in the risk control system of Hisense Finance Co., Ltd.")</f>
        <v>During the reporting period, the company conducted a semi-annual and annual risk assessment of Hisense Group Finance Co., Ltd. and concluded that there were no major deficiencies in the risk control system of Hisense Finance Co., Ltd.</v>
      </c>
      <c r="B2897" s="1" t="str">
        <f ca="1">IFERROR(__xludf.DUMMYFUNCTION("GOOGLETRANSLATE(A2897, ""zh"", ""en"")"),"Legal proceedings and external sanctions")</f>
        <v>Legal proceedings and external sanctions</v>
      </c>
      <c r="C2897" s="1" t="str">
        <f ca="1">IFERROR(__xludf.DUMMYFUNCTION("GOOGLETRANSLATE(E2897, ""zh"", ""en"")"),"Qualitative text")</f>
        <v>Qualitative text</v>
      </c>
    </row>
    <row r="2898" spans="1:3" ht="13" x14ac:dyDescent="0.15">
      <c r="A2898" s="1" t="str">
        <f ca="1">IFERROR(__xludf.DUMMYFUNCTION("GOOGLETRANSLATE(A2898, ""zh"", ""en"")"),"In 2022, we organized four online training sessions for external directors and one offline training session to enhance their performance. We also organized two sessions of professional knowledge quizzes to continuously enhance their professional level and"&amp;" performance capabilities.")</f>
        <v>In 2022, we organized four online training sessions for external directors and one offline training session to enhance their performance. We also organized two sessions of professional knowledge quizzes to continuously enhance their professional level and performance capabilities.</v>
      </c>
      <c r="B2898" s="1" t="str">
        <f ca="1">IFERROR(__xludf.DUMMYFUNCTION("GOOGLETRANSLATE(A2898, ""zh"", ""en"")"),"Organizational structure and operations")</f>
        <v>Organizational structure and operations</v>
      </c>
      <c r="C2898" s="1" t="str">
        <f ca="1">IFERROR(__xludf.DUMMYFUNCTION("GOOGLETRANSLATE(E2898, ""zh"", ""en"")"),"Quantitative Text")</f>
        <v>Quantitative Text</v>
      </c>
    </row>
    <row r="2899" spans="1:3" ht="13" x14ac:dyDescent="0.15">
      <c r="A2899" s="1" t="str">
        <f ca="1">IFERROR(__xludf.DUMMYFUNCTION("GOOGLETRANSLATE(A2899, ""zh"", ""en"")"),"In 2022, the company organized 4 environmental protection skills training sessions of the group company, with nearly 1,000 full-time and part-time environmental management personnel participating, and a systematic ecological and environmental protection m"&amp;"anagement professional team was fully established.")</f>
        <v>In 2022, the company organized 4 environmental protection skills training sessions of the group company, with nearly 1,000 full-time and part-time environmental management personnel participating, and a systematic ecological and environmental protection management professional team was fully established.</v>
      </c>
      <c r="B2899" s="1" t="str">
        <f ca="1">IFERROR(__xludf.DUMMYFUNCTION("GOOGLETRANSLATE(A2899, ""zh"", ""en"")"),"Environmental Policy")</f>
        <v>Environmental Policy</v>
      </c>
      <c r="C2899" s="1" t="str">
        <f ca="1">IFERROR(__xludf.DUMMYFUNCTION("GOOGLETRANSLATE(E2899, ""zh"", ""en"")"),"Quantitative Text")</f>
        <v>Quantitative Text</v>
      </c>
    </row>
    <row r="2900" spans="1:3" ht="13" x14ac:dyDescent="0.15">
      <c r="A2900" s="1" t="str">
        <f ca="1">IFERROR(__xludf.DUMMYFUNCTION("GOOGLETRANSLATE(A2900, ""zh"", ""en"")"),"COSL 2022 ESG Report 21 Optimizing Customer Experience As a professional oilfield services company, COSL aims to provide customers with first-class oilfield full lifecycle solutions.")</f>
        <v>COSL 2022 ESG Report 21 Optimizing Customer Experience As a professional oilfield services company, COSL aims to provide customers with first-class oilfield full lifecycle solutions.</v>
      </c>
      <c r="B2900" s="1" t="str">
        <f ca="1">IFERROR(__xludf.DUMMYFUNCTION("GOOGLETRANSLATE(A2900, ""zh"", ""en"")"),"Customers and Consumers")</f>
        <v>Customers and Consumers</v>
      </c>
      <c r="C2900" s="1" t="str">
        <f ca="1">IFERROR(__xludf.DUMMYFUNCTION("GOOGLETRANSLATE(E2900, ""zh"", ""en"")"),"Qualitative text")</f>
        <v>Qualitative text</v>
      </c>
    </row>
    <row r="2901" spans="1:3" ht="13" x14ac:dyDescent="0.15">
      <c r="A2901" s="1" t="str">
        <f ca="1">IFERROR(__xludf.DUMMYFUNCTION("GOOGLETRANSLATE(A2901, ""zh"", ""en"")"),"P3536 Key Performance A2.1 Total direct and/or indirect energy consumption by type (e.g., electricity or oil) in thousands of kWh and density (e.g., per unit of production per facility)")</f>
        <v>P3536 Key Performance A2.1 Total direct and/or indirect energy consumption by type (e.g., electricity or oil) in thousands of kWh and density (e.g., per unit of production per facility)</v>
      </c>
      <c r="B2901" s="1" t="str">
        <f ca="1">IFERROR(__xludf.DUMMYFUNCTION("GOOGLETRANSLATE(A2901, ""zh"", ""en"")"),"Energy and resource consumption")</f>
        <v>Energy and resource consumption</v>
      </c>
      <c r="C2901" s="1" t="str">
        <f ca="1">IFERROR(__xludf.DUMMYFUNCTION("GOOGLETRANSLATE(E2901, ""zh"", ""en"")"),"Qualitative text")</f>
        <v>Qualitative text</v>
      </c>
    </row>
    <row r="2902" spans="1:3" ht="13" x14ac:dyDescent="0.15">
      <c r="A2902" s="1" t="str">
        <f ca="1">IFERROR(__xludf.DUMMYFUNCTION("GOOGLETRANSLATE(A2902, ""zh"", ""en"")"),"Through the analysis of the basic concepts of dual carbon and its relationship with climate change, the importance of my country's realization of dual carbon goals and the outlook for future carbon emission paths, the great significance of green and low-c"&amp;"arbon transformation is conveyed.")</f>
        <v>Through the analysis of the basic concepts of dual carbon and its relationship with climate change, the importance of my country's realization of dual carbon goals and the outlook for future carbon emission paths, the great significance of green and low-carbon transformation is conveyed.</v>
      </c>
      <c r="B2902" s="1" t="str">
        <f ca="1">IFERROR(__xludf.DUMMYFUNCTION("GOOGLETRANSLATE(A2902, ""zh"", ""en"")"),"carbon emissions")</f>
        <v>carbon emissions</v>
      </c>
      <c r="C2902" s="1" t="str">
        <f ca="1">IFERROR(__xludf.DUMMYFUNCTION("GOOGLETRANSLATE(E2902, ""zh"", ""en"")"),"Qualitative text")</f>
        <v>Qualitative text</v>
      </c>
    </row>
    <row r="2903" spans="1:3" ht="13" x14ac:dyDescent="0.15">
      <c r="A2903" s="1" t="str">
        <f ca="1">IFERROR(__xludf.DUMMYFUNCTION("GOOGLETRANSLATE(A2903, ""zh"", ""en"")"),"Create an atmosphere of integrity, shape an integrity culture, strengthen compliance awareness, and establish integrity files for key personnel in the company as an important basis for listening to integrity opinions during assessment, selection, appointm"&amp;"ent, and promotion.")</f>
        <v>Create an atmosphere of integrity, shape an integrity culture, strengthen compliance awareness, and establish integrity files for key personnel in the company as an important basis for listening to integrity opinions during assessment, selection, appointment, and promotion.</v>
      </c>
      <c r="B2903" s="1" t="str">
        <f ca="1">IFERROR(__xludf.DUMMYFUNCTION("GOOGLETRANSLATE(A2903, ""zh"", ""en"")"),"Anti-corruption and anti-money laundering")</f>
        <v>Anti-corruption and anti-money laundering</v>
      </c>
      <c r="C2903" s="1" t="str">
        <f ca="1">IFERROR(__xludf.DUMMYFUNCTION("GOOGLETRANSLATE(E2903, ""zh"", ""en"")"),"Qualitative text")</f>
        <v>Qualitative text</v>
      </c>
    </row>
    <row r="2904" spans="1:3" ht="13" x14ac:dyDescent="0.15">
      <c r="A2904" s="1" t="str">
        <f ca="1">IFERROR(__xludf.DUMMYFUNCTION("GOOGLETRANSLATE(A2904, ""zh"", ""en"")"),"5. Preparation Standards This report was prepared with reference to the Shanghai Stock Exchange's Guidelines for Environmental Information Disclosure of Listed Companies and the Guidelines for the Preparation of Corporate Social Responsibility Reports iss"&amp;"ued by the Shanghai Stock Exchange.")</f>
        <v>5. Preparation Standards This report was prepared with reference to the Shanghai Stock Exchange's Guidelines for Environmental Information Disclosure of Listed Companies and the Guidelines for the Preparation of Corporate Social Responsibility Reports issued by the Shanghai Stock Exchange.</v>
      </c>
      <c r="B2904" s="1" t="str">
        <f ca="1">IFERROR(__xludf.DUMMYFUNCTION("GOOGLETRANSLATE(A2904, ""zh"", ""en"")"),"Information Disclosure and Investor Communication")</f>
        <v>Information Disclosure and Investor Communication</v>
      </c>
      <c r="C2904" s="1" t="str">
        <f ca="1">IFERROR(__xludf.DUMMYFUNCTION("GOOGLETRANSLATE(E2904, ""zh"", ""en"")"),"Qualitative text")</f>
        <v>Qualitative text</v>
      </c>
    </row>
    <row r="2905" spans="1:3" ht="13" x14ac:dyDescent="0.15">
      <c r="A2905" s="1" t="str">
        <f ca="1">IFERROR(__xludf.DUMMYFUNCTION("GOOGLETRANSLATE(A2905, ""zh"", ""en"")"),"Helping Employees Grow 0535 CITIC Securities 2022 Annual Social Responsibility Report I. A Diverse and Inclusive Workplace 1. Talent Attraction and Retention The company actively establishes a diverse talent recruitment channel")</f>
        <v>Helping Employees Grow 0535 CITIC Securities 2022 Annual Social Responsibility Report I. A Diverse and Inclusive Workplace 1. Talent Attraction and Retention The company actively establishes a diverse talent recruitment channel</v>
      </c>
      <c r="B2905" s="1" t="str">
        <f ca="1">IFERROR(__xludf.DUMMYFUNCTION("GOOGLETRANSLATE(A2905, ""zh"", ""en"")"),"staff")</f>
        <v>staff</v>
      </c>
      <c r="C2905" s="1" t="str">
        <f ca="1">IFERROR(__xludf.DUMMYFUNCTION("GOOGLETRANSLATE(E2905, ""zh"", ""en"")"),"Qualitative text")</f>
        <v>Qualitative text</v>
      </c>
    </row>
    <row r="2906" spans="1:3" ht="13" x14ac:dyDescent="0.15">
      <c r="A2906" s="1" t="str">
        <f ca="1">IFERROR(__xludf.DUMMYFUNCTION("GOOGLETRANSLATE(A2906, ""zh"", ""en"")"),"In 2022, Party organizations at all levels conducted 1,243 first-topic studies, 20 Party Committee Central Group studies, 436 special Party lectures, and 1,184 themed Party Day activities.")</f>
        <v>In 2022, Party organizations at all levels conducted 1,243 first-topic studies, 20 Party Committee Central Group studies, 436 special Party lectures, and 1,184 themed Party Day activities.</v>
      </c>
      <c r="B2906" s="1" t="str">
        <f ca="1">IFERROR(__xludf.DUMMYFUNCTION("GOOGLETRANSLATE(A2906, ""zh"", ""en"")"),"Organizational structure and operations")</f>
        <v>Organizational structure and operations</v>
      </c>
      <c r="C2906" s="1" t="str">
        <f ca="1">IFERROR(__xludf.DUMMYFUNCTION("GOOGLETRANSLATE(E2906, ""zh"", ""en"")"),"Quantitative Text")</f>
        <v>Quantitative Text</v>
      </c>
    </row>
    <row r="2907" spans="1:3" ht="13" x14ac:dyDescent="0.15">
      <c r="A2907" s="1" t="str">
        <f ca="1">IFERROR(__xludf.DUMMYFUNCTION("GOOGLETRANSLATE(A2907, ""zh"", ""en"")"),"270 audit projects were conducted. SDIC Capital held a special Party lecture on integrity. SDIC Capital held a special Party lecture on integrity. The SDIC Capital Party Branch organized a Party lecture for all employees.")</f>
        <v>270 audit projects were conducted. SDIC Capital held a special Party lecture on integrity. SDIC Capital held a special Party lecture on integrity. The SDIC Capital Party Branch organized a Party lecture for all employees.</v>
      </c>
      <c r="B2907" s="1" t="str">
        <f ca="1">IFERROR(__xludf.DUMMYFUNCTION("GOOGLETRANSLATE(A2907, ""zh"", ""en"")"),"Anti-corruption and anti-money laundering")</f>
        <v>Anti-corruption and anti-money laundering</v>
      </c>
      <c r="C2907" s="1" t="str">
        <f ca="1">IFERROR(__xludf.DUMMYFUNCTION("GOOGLETRANSLATE(E2907, ""zh"", ""en"")"),"Quantitative Text")</f>
        <v>Quantitative Text</v>
      </c>
    </row>
    <row r="2908" spans="1:3" ht="13" x14ac:dyDescent="0.15">
      <c r="A2908" s="1" t="str">
        <f ca="1">IFERROR(__xludf.DUMMYFUNCTION("GOOGLETRANSLATE(A2908, ""zh"", ""en"")"),"In the 2021 National Key State-owned Enterprise Management Benchmark Creation Campaign organized by the State-owned Assets Supervision and Administration Commission of the State Council, China Investment Capital became the only central enterprise financia"&amp;"l holding company to be rated as a management benchmark enterprise.")</f>
        <v>In the 2021 National Key State-owned Enterprise Management Benchmark Creation Campaign organized by the State-owned Assets Supervision and Administration Commission of the State Council, China Investment Capital became the only central enterprise financial holding company to be rated as a management benchmark enterprise.</v>
      </c>
      <c r="B2908" s="1" t="str">
        <f ca="1">IFERROR(__xludf.DUMMYFUNCTION("GOOGLETRANSLATE(A2908, ""zh"", ""en"")"),"Organizational structure and operations")</f>
        <v>Organizational structure and operations</v>
      </c>
      <c r="C2908" s="1" t="str">
        <f ca="1">IFERROR(__xludf.DUMMYFUNCTION("GOOGLETRANSLATE(E2908, ""zh"", ""en"")"),"Quantitative Text")</f>
        <v>Quantitative Text</v>
      </c>
    </row>
    <row r="2909" spans="1:3" ht="13" x14ac:dyDescent="0.15">
      <c r="A2909" s="1" t="str">
        <f ca="1">IFERROR(__xludf.DUMMYFUNCTION("GOOGLETRANSLATE(A2909, ""zh"", ""en"")"),"SDIC Capital strictly adheres to the Company Law, the Securities Law, the Code of Corporate Governance for Listed Companies, the Shanghai Stock Exchange's Stock Listing Rules, and other laws and regulations, as well as relevant rules and regulations, and "&amp;"continuously improves its governance capabilities.")</f>
        <v>SDIC Capital strictly adheres to the Company Law, the Securities Law, the Code of Corporate Governance for Listed Companies, the Shanghai Stock Exchange's Stock Listing Rules, and other laws and regulations, as well as relevant rules and regulations, and continuously improves its governance capabilities.</v>
      </c>
      <c r="B2909" s="1" t="str">
        <f ca="1">IFERROR(__xludf.DUMMYFUNCTION("GOOGLETRANSLATE(A2909, ""zh"", ""en"")"),"Organizational structure and operations")</f>
        <v>Organizational structure and operations</v>
      </c>
      <c r="C2909" s="1" t="str">
        <f ca="1">IFERROR(__xludf.DUMMYFUNCTION("GOOGLETRANSLATE(E2909, ""zh"", ""en"")"),"Qualitative text")</f>
        <v>Qualitative text</v>
      </c>
    </row>
    <row r="2910" spans="1:3" ht="13" x14ac:dyDescent="0.15">
      <c r="A2910" s="1" t="str">
        <f ca="1">IFERROR(__xludf.DUMMYFUNCTION("GOOGLETRANSLATE(A2910, ""zh"", ""en"")"),"The company has established a strategy and ESG committee at the board level to study the company's major ESG issues and provide advice to the board, including ESG target strategy planning, governance structure and management system.")</f>
        <v>The company has established a strategy and ESG committee at the board level to study the company's major ESG issues and provide advice to the board, including ESG target strategy planning, governance structure and management system.</v>
      </c>
      <c r="B2910" s="1" t="str">
        <f ca="1">IFERROR(__xludf.DUMMYFUNCTION("GOOGLETRANSLATE(A2910, ""zh"", ""en"")"),"Organizational structure and operations")</f>
        <v>Organizational structure and operations</v>
      </c>
      <c r="C2910" s="1" t="str">
        <f ca="1">IFERROR(__xludf.DUMMYFUNCTION("GOOGLETRANSLATE(E2910, ""zh"", ""en"")"),"Qualitative text")</f>
        <v>Qualitative text</v>
      </c>
    </row>
    <row r="2911" spans="1:3" ht="13" x14ac:dyDescent="0.15">
      <c r="A2911" s="1" t="str">
        <f ca="1">IFERROR(__xludf.DUMMYFUNCTION("GOOGLETRANSLATE(A2911, ""zh"", ""en"")"),"The company has established a four-level inspection mechanism, including cross-inspection of safety between bases, internal safety inspections of each department, and monthly special safety inspections led by the company leader and special safety inspecti"&amp;"ons by the safety management department.")</f>
        <v>The company has established a four-level inspection mechanism, including cross-inspection of safety between bases, internal safety inspections of each department, and monthly special safety inspections led by the company leader and special safety inspections by the safety management department.</v>
      </c>
      <c r="B2911" s="1" t="str">
        <f ca="1">IFERROR(__xludf.DUMMYFUNCTION("GOOGLETRANSLATE(A2911, ""zh"", ""en"")"),"Data security")</f>
        <v>Data security</v>
      </c>
      <c r="C2911" s="1" t="str">
        <f ca="1">IFERROR(__xludf.DUMMYFUNCTION("GOOGLETRANSLATE(E2911, ""zh"", ""en"")"),"Qualitative text")</f>
        <v>Qualitative text</v>
      </c>
    </row>
    <row r="2912" spans="1:3" ht="13" x14ac:dyDescent="0.15">
      <c r="A2912" s="1" t="str">
        <f ca="1">IFERROR(__xludf.DUMMYFUNCTION("GOOGLETRANSLATE(A2912, ""zh"", ""en"")"),"Low-carbon data center case: Installing chiller inverters and replacing cooling towers. The company replaced and put into operation a more efficient cooling tower in the computer room, and it is estimated that the company will save about 200,000 kWh of el"&amp;"ectricity each year.")</f>
        <v>Low-carbon data center case: Installing chiller inverters and replacing cooling towers. The company replaced and put into operation a more efficient cooling tower in the computer room, and it is estimated that the company will save about 200,000 kWh of electricity each year.</v>
      </c>
      <c r="B2912" s="1" t="str">
        <f ca="1">IFERROR(__xludf.DUMMYFUNCTION("GOOGLETRANSLATE(A2912, ""zh"", ""en"")"),"Energy and resource consumption")</f>
        <v>Energy and resource consumption</v>
      </c>
      <c r="C2912" s="1" t="str">
        <f ca="1">IFERROR(__xludf.DUMMYFUNCTION("GOOGLETRANSLATE(E2912, ""zh"", ""en"")"),"Quantitative Text")</f>
        <v>Quantitative Text</v>
      </c>
    </row>
    <row r="2913" spans="1:3" ht="13" x14ac:dyDescent="0.15">
      <c r="A2913" s="1" t="str">
        <f ca="1">IFERROR(__xludf.DUMMYFUNCTION("GOOGLETRANSLATE(A2913, ""zh"", ""en"")"),"Based on the results of the materiality research, we convened all climate-related responsible departments for interviews to identify and assess significant risks and opportunities. The results of these discussions were confirmed by the ESG Management Comm"&amp;"ittee.")</f>
        <v>Based on the results of the materiality research, we convened all climate-related responsible departments for interviews to identify and assess significant risks and opportunities. The results of these discussions were confirmed by the ESG Management Committee.</v>
      </c>
      <c r="B2913" s="1" t="str">
        <f ca="1">IFERROR(__xludf.DUMMYFUNCTION("GOOGLETRANSLATE(A2913, ""zh"", ""en"")"),"Addressing climate change")</f>
        <v>Addressing climate change</v>
      </c>
      <c r="C2913" s="1" t="str">
        <f ca="1">IFERROR(__xludf.DUMMYFUNCTION("GOOGLETRANSLATE(E2913, ""zh"", ""en"")"),"Qualitative text")</f>
        <v>Qualitative text</v>
      </c>
    </row>
    <row r="2914" spans="1:3" ht="13" x14ac:dyDescent="0.15">
      <c r="A2914" s="1" t="str">
        <f ca="1">IFERROR(__xludf.DUMMYFUNCTION("GOOGLETRANSLATE(A2914, ""zh"", ""en"")"),"Under the comprehensive guidance of a series of planning measures of the Group, Shanghai Electric's investment rate in scientific research has reached a new high. Among them, the proportion of investment in new tracks has continued to increase, demonstrat"&amp;"ing Shanghai Electric's determination to actively seize new tracks.")</f>
        <v>Under the comprehensive guidance of a series of planning measures of the Group, Shanghai Electric's investment rate in scientific research has reached a new high. Among them, the proportion of investment in new tracks has continued to increase, demonstrating Shanghai Electric's determination to actively seize new tracks.</v>
      </c>
      <c r="B2914" s="1" t="str">
        <f ca="1">IFERROR(__xludf.DUMMYFUNCTION("GOOGLETRANSLATE(A2914, ""zh"", ""en"")"),"Technological innovation")</f>
        <v>Technological innovation</v>
      </c>
      <c r="C2914" s="1" t="str">
        <f ca="1">IFERROR(__xludf.DUMMYFUNCTION("GOOGLETRANSLATE(E2914, ""zh"", ""en"")"),"Qualitative text")</f>
        <v>Qualitative text</v>
      </c>
    </row>
    <row r="2915" spans="1:3" ht="13" x14ac:dyDescent="0.15">
      <c r="A2915" s="1" t="str">
        <f ca="1">IFERROR(__xludf.DUMMYFUNCTION("GOOGLETRANSLATE(A2915, ""zh"", ""en"")"),"We earnestly implement Xi Jinping's Thought on Ecological Civilization, aim to build a world-leading sustainable development bank, and further implement and promote the green finance strategy to promote the comprehensive green transformation of economic a"&amp;"nd social development.")</f>
        <v>We earnestly implement Xi Jinping's Thought on Ecological Civilization, aim to build a world-leading sustainable development bank, and further implement and promote the green finance strategy to promote the comprehensive green transformation of economic and social development.</v>
      </c>
      <c r="B2915" s="1" t="str">
        <f ca="1">IFERROR(__xludf.DUMMYFUNCTION("GOOGLETRANSLATE(A2915, ""zh"", ""en"")"),"Green Finance")</f>
        <v>Green Finance</v>
      </c>
      <c r="C2915" s="1" t="str">
        <f ca="1">IFERROR(__xludf.DUMMYFUNCTION("GOOGLETRANSLATE(E2915, ""zh"", ""en"")"),"Qualitative text")</f>
        <v>Qualitative text</v>
      </c>
    </row>
    <row r="2916" spans="1:3" ht="13" x14ac:dyDescent="0.15">
      <c r="A2916" s="1" t="str">
        <f ca="1">IFERROR(__xludf.DUMMYFUNCTION("GOOGLETRANSLATE(A2916, ""zh"", ""en"")"),"By 2022, we have completed the introduction of 12 certification and testing institutions with comprehensive testing, metrology, calibration, scientific research and testing service capabilities, covering electromagnetic compatibility, chemical analysis, e"&amp;"nvironmental testing and other fields.")</f>
        <v>By 2022, we have completed the introduction of 12 certification and testing institutions with comprehensive testing, metrology, calibration, scientific research and testing service capabilities, covering electromagnetic compatibility, chemical analysis, environmental testing and other fields.</v>
      </c>
      <c r="B2916" s="1" t="str">
        <f ca="1">IFERROR(__xludf.DUMMYFUNCTION("GOOGLETRANSLATE(A2916, ""zh"", ""en"")"),"Technological innovation")</f>
        <v>Technological innovation</v>
      </c>
      <c r="C2916" s="1" t="str">
        <f ca="1">IFERROR(__xludf.DUMMYFUNCTION("GOOGLETRANSLATE(E2916, ""zh"", ""en"")"),"Quantitative Text")</f>
        <v>Quantitative Text</v>
      </c>
    </row>
    <row r="2917" spans="1:3" ht="13" x14ac:dyDescent="0.15">
      <c r="A2917" s="1" t="str">
        <f ca="1">IFERROR(__xludf.DUMMYFUNCTION("GOOGLETRANSLATE(A2917, ""zh"", ""en"")"),"Open and aggregate other ecosystems to start businesses in the fields of financial management, express logistics, legal services, etc., to jointly build Internet scenarios and provide customers with integrated solutions and more preferential service packa"&amp;"ges.")</f>
        <v>Open and aggregate other ecosystems to start businesses in the fields of financial management, express logistics, legal services, etc., to jointly build Internet scenarios and provide customers with integrated solutions and more preferential service packages.</v>
      </c>
      <c r="B2917" s="1" t="str">
        <f ca="1">IFERROR(__xludf.DUMMYFUNCTION("GOOGLETRANSLATE(A2917, ""zh"", ""en"")"),"Customers and Consumers")</f>
        <v>Customers and Consumers</v>
      </c>
      <c r="C2917" s="1" t="str">
        <f ca="1">IFERROR(__xludf.DUMMYFUNCTION("GOOGLETRANSLATE(E2917, ""zh"", ""en"")"),"Qualitative text")</f>
        <v>Qualitative text</v>
      </c>
    </row>
    <row r="2918" spans="1:3" ht="13" x14ac:dyDescent="0.15">
      <c r="A2918" s="1" t="str">
        <f ca="1">IFERROR(__xludf.DUMMYFUNCTION("GOOGLETRANSLATE(A2918, ""zh"", ""en"")"),"We encourage employees to initiate safety-themed entertainment activities and make reasonable suggestions for the company's production safety, effectively strengthening employees' safety management awareness and improving the professional capabilities of "&amp;"safety managers.")</f>
        <v>We encourage employees to initiate safety-themed entertainment activities and make reasonable suggestions for the company's production safety, effectively strengthening employees' safety management awareness and improving the professional capabilities of safety managers.</v>
      </c>
      <c r="B2918" s="1" t="str">
        <f ca="1">IFERROR(__xludf.DUMMYFUNCTION("GOOGLETRANSLATE(A2918, ""zh"", ""en"")"),"staff")</f>
        <v>staff</v>
      </c>
      <c r="C2918" s="1" t="str">
        <f ca="1">IFERROR(__xludf.DUMMYFUNCTION("GOOGLETRANSLATE(E2918, ""zh"", ""en"")"),"Qualitative text")</f>
        <v>Qualitative text</v>
      </c>
    </row>
    <row r="2919" spans="1:3" ht="13" x14ac:dyDescent="0.15">
      <c r="A2919" s="1" t="str">
        <f ca="1">IFERROR(__xludf.DUMMYFUNCTION("GOOGLETRANSLATE(A2919, ""zh"", ""en"")"),"The Strategy and Sustainable Development (ESG) Committee is a specialized working body established under the Board of Directors of the Company. It is responsible for fulfilling the duties and powers granted by the relevant laws and regulations and the Boa"&amp;"rd of Directors and reporting to the Board of Directors.")</f>
        <v>The Strategy and Sustainable Development (ESG) Committee is a specialized working body established under the Board of Directors of the Company. It is responsible for fulfilling the duties and powers granted by the relevant laws and regulations and the Board of Directors and reporting to the Board of Directors.</v>
      </c>
      <c r="B2919" s="1" t="str">
        <f ca="1">IFERROR(__xludf.DUMMYFUNCTION("GOOGLETRANSLATE(A2919, ""zh"", ""en"")"),"Organizational structure and operations")</f>
        <v>Organizational structure and operations</v>
      </c>
      <c r="C2919" s="1" t="str">
        <f ca="1">IFERROR(__xludf.DUMMYFUNCTION("GOOGLETRANSLATE(E2919, ""zh"", ""en"")"),"Qualitative text")</f>
        <v>Qualitative text</v>
      </c>
    </row>
    <row r="2920" spans="1:3" ht="13" x14ac:dyDescent="0.15">
      <c r="A2920" s="1" t="str">
        <f ca="1">IFERROR(__xludf.DUMMYFUNCTION("GOOGLETRANSLATE(A2920, ""zh"", ""en"")"),"In 2022, we expanded the scope of data statistics to include greenhouse gas emissions from refrigerants and purchased heat. As a result, the greenhouse gas related indicators have increased significantly compared to previous years.")</f>
        <v>In 2022, we expanded the scope of data statistics to include greenhouse gas emissions from refrigerants and purchased heat. As a result, the greenhouse gas related indicators have increased significantly compared to previous years.</v>
      </c>
      <c r="B2920" s="1" t="str">
        <f ca="1">IFERROR(__xludf.DUMMYFUNCTION("GOOGLETRANSLATE(A2920, ""zh"", ""en"")"),"carbon emissions")</f>
        <v>carbon emissions</v>
      </c>
      <c r="C2920" s="1" t="str">
        <f ca="1">IFERROR(__xludf.DUMMYFUNCTION("GOOGLETRANSLATE(E2920, ""zh"", ""en"")"),"Qualitative text")</f>
        <v>Qualitative text</v>
      </c>
    </row>
    <row r="2921" spans="1:3" ht="13" x14ac:dyDescent="0.15">
      <c r="A2921" s="1" t="str">
        <f ca="1">IFERROR(__xludf.DUMMYFUNCTION("GOOGLETRANSLATE(A2921, ""zh"", ""en"")"),"The Petroleum and Petrochemical Industry Skills Training Employee Rights and Development 81 Open Career Development Channels The company attaches importance to employee career planning and strives to help employees realize their self-worth and expand care"&amp;"er development space.")</f>
        <v>The Petroleum and Petrochemical Industry Skills Training Employee Rights and Development 81 Open Career Development Channels The company attaches importance to employee career planning and strives to help employees realize their self-worth and expand career development space.</v>
      </c>
      <c r="B2921" s="1" t="str">
        <f ca="1">IFERROR(__xludf.DUMMYFUNCTION("GOOGLETRANSLATE(A2921, ""zh"", ""en"")"),"staff")</f>
        <v>staff</v>
      </c>
      <c r="C2921" s="1" t="str">
        <f ca="1">IFERROR(__xludf.DUMMYFUNCTION("GOOGLETRANSLATE(E2921, ""zh"", ""en"")"),"Qualitative text")</f>
        <v>Qualitative text</v>
      </c>
    </row>
    <row r="2922" spans="1:3" ht="13" x14ac:dyDescent="0.15">
      <c r="A2922" s="1" t="str">
        <f ca="1">IFERROR(__xludf.DUMMYFUNCTION("GOOGLETRANSLATE(A2922, ""zh"", ""en"")"),"The three-level pollution prevention and control system reduces the risk of water pollution. The three-level prevention and control system of water pollution risk prevents possible minor environmental pollution risks by setting up cofferdams, tank areas, "&amp;"fire dikes and their supporting facilities.")</f>
        <v>The three-level pollution prevention and control system reduces the risk of water pollution. The three-level prevention and control system of water pollution risk prevents possible minor environmental pollution risks by setting up cofferdams, tank areas, fire dikes and their supporting facilities.</v>
      </c>
      <c r="B2922" s="1" t="str">
        <f ca="1">IFERROR(__xludf.DUMMYFUNCTION("GOOGLETRANSLATE(A2922, ""zh"", ""en"")"),"Water resources")</f>
        <v>Water resources</v>
      </c>
      <c r="C2922" s="1" t="str">
        <f ca="1">IFERROR(__xludf.DUMMYFUNCTION("GOOGLETRANSLATE(E2922, ""zh"", ""en"")"),"Qualitative text")</f>
        <v>Qualitative text</v>
      </c>
    </row>
    <row r="2923" spans="1:3" ht="13" x14ac:dyDescent="0.15">
      <c r="A2923" s="1" t="str">
        <f ca="1">IFERROR(__xludf.DUMMYFUNCTION("GOOGLETRANSLATE(A2923, ""zh"", ""en"")"),"64 Hong Kong Stock Exchange Environmental, Social and Governance Reporting Guide Content Index 115 Environmental Aspects A2 Resource Use General Disclosure Policies on the efficient use of resources, including energy, water and other raw materials")</f>
        <v>64 Hong Kong Stock Exchange Environmental, Social and Governance Reporting Guide Content Index 115 Environmental Aspects A2 Resource Use General Disclosure Policies on the efficient use of resources, including energy, water and other raw materials</v>
      </c>
      <c r="B2923" s="1" t="str">
        <f ca="1">IFERROR(__xludf.DUMMYFUNCTION("GOOGLETRANSLATE(A2923, ""zh"", ""en"")"),"raw materials")</f>
        <v>raw materials</v>
      </c>
      <c r="C2923" s="1" t="str">
        <f ca="1">IFERROR(__xludf.DUMMYFUNCTION("GOOGLETRANSLATE(E2923, ""zh"", ""en"")"),"Qualitative text")</f>
        <v>Qualitative text</v>
      </c>
    </row>
    <row r="2924" spans="1:3" ht="13" x14ac:dyDescent="0.15">
      <c r="A2924" s="1" t="str">
        <f ca="1">IFERROR(__xludf.DUMMYFUNCTION("GOOGLETRANSLATE(A2924, ""zh"", ""en"")"),"Haier Smart Home is well aware that diversity in board members helps improve board efficiency, reduce management risks, and enable better decision-making. Haier Smart Home has established a board diversity policy in accordance with listing rules.")</f>
        <v>Haier Smart Home is well aware that diversity in board members helps improve board efficiency, reduce management risks, and enable better decision-making. Haier Smart Home has established a board diversity policy in accordance with listing rules.</v>
      </c>
      <c r="B2924" s="1" t="str">
        <f ca="1">IFERROR(__xludf.DUMMYFUNCTION("GOOGLETRANSLATE(A2924, ""zh"", ""en"")"),"Organizational structure and operations")</f>
        <v>Organizational structure and operations</v>
      </c>
      <c r="C2924" s="1" t="str">
        <f ca="1">IFERROR(__xludf.DUMMYFUNCTION("GOOGLETRANSLATE(E2924, ""zh"", ""en"")"),"Qualitative text")</f>
        <v>Qualitative text</v>
      </c>
    </row>
    <row r="2925" spans="1:3" ht="13" x14ac:dyDescent="0.15">
      <c r="A2925" s="1" t="str">
        <f ca="1">IFERROR(__xludf.DUMMYFUNCTION("GOOGLETRANSLATE(A2925, ""zh"", ""en"")"),"106107 Key Performance Indicator A1.2 Direct Scope 1 and Energy Indirect Scope 2 Greenhouse Gas Emissions in tonnes and, where applicable, density per unit of production per facility")</f>
        <v>106107 Key Performance Indicator A1.2 Direct Scope 1 and Energy Indirect Scope 2 Greenhouse Gas Emissions in tonnes and, where applicable, density per unit of production per facility</v>
      </c>
      <c r="B2925" s="1" t="str">
        <f ca="1">IFERROR(__xludf.DUMMYFUNCTION("GOOGLETRANSLATE(A2925, ""zh"", ""en"")"),"carbon emissions")</f>
        <v>carbon emissions</v>
      </c>
      <c r="C2925" s="1" t="str">
        <f ca="1">IFERROR(__xludf.DUMMYFUNCTION("GOOGLETRANSLATE(E2925, ""zh"", ""en"")"),"Qualitative text")</f>
        <v>Qualitative text</v>
      </c>
    </row>
    <row r="2926" spans="1:3" ht="13" x14ac:dyDescent="0.15">
      <c r="A2926" s="1" t="str">
        <f ca="1">IFERROR(__xludf.DUMMYFUNCTION("GOOGLETRANSLATE(A2926, ""zh"", ""en"")"),"Case CASE Since 2012, the Changqing Oilfield Buckwheat Flower Volunteer Service Team has been carrying out various forms of support activities such as sending warmth and supplies to Zhang Kongxian School in Dingbian County for 11 consecutive years.")</f>
        <v>Case CASE Since 2012, the Changqing Oilfield Buckwheat Flower Volunteer Service Team has been carrying out various forms of support activities such as sending warmth and supplies to Zhang Kongxian School in Dingbian County for 11 consecutive years.</v>
      </c>
      <c r="B2926" s="1" t="str">
        <f ca="1">IFERROR(__xludf.DUMMYFUNCTION("GOOGLETRANSLATE(A2926, ""zh"", ""en"")"),"Rural assistance")</f>
        <v>Rural assistance</v>
      </c>
      <c r="C2926" s="1" t="str">
        <f ca="1">IFERROR(__xludf.DUMMYFUNCTION("GOOGLETRANSLATE(E2926, ""zh"", ""en"")"),"Qualitative text")</f>
        <v>Qualitative text</v>
      </c>
    </row>
    <row r="2927" spans="1:3" ht="13" x14ac:dyDescent="0.15">
      <c r="A2927" s="1" t="str">
        <f ca="1">IFERROR(__xludf.DUMMYFUNCTION("GOOGLETRANSLATE(A2927, ""zh"", ""en"")"),"As of the end of 2022, the company had a total of 8,613 youth volunteer service teams at all levels, with a total of 105,400 youth volunteers, and a total of 22,801 volunteer service activities were carried out throughout the year.")</f>
        <v>As of the end of 2022, the company had a total of 8,613 youth volunteer service teams at all levels, with a total of 105,400 youth volunteers, and a total of 22,801 volunteer service activities were carried out throughout the year.</v>
      </c>
      <c r="B2927" s="1" t="str">
        <f ca="1">IFERROR(__xludf.DUMMYFUNCTION("GOOGLETRANSLATE(A2927, ""zh"", ""en"")"),"Public welfare and volunteer service")</f>
        <v>Public welfare and volunteer service</v>
      </c>
      <c r="C2927" s="1" t="str">
        <f ca="1">IFERROR(__xludf.DUMMYFUNCTION("GOOGLETRANSLATE(E2927, ""zh"", ""en"")"),"Quantitative Text")</f>
        <v>Quantitative Text</v>
      </c>
    </row>
    <row r="2928" spans="1:3" ht="13" x14ac:dyDescent="0.15">
      <c r="A2928" s="1" t="str">
        <f ca="1">IFERROR(__xludf.DUMMYFUNCTION("GOOGLETRANSLATE(A2928, ""zh"", ""en"")"),"During the reporting period, the Group continued to deepen its risk prevention and mitigation efforts, focusing on overall planning, prioritizing key areas, tightening responsibilities, and strengthening risk investigation and response in key areas, imple"&amp;"menting comprehensive measures to prevent and mitigate risks in an orderly manner.")</f>
        <v>During the reporting period, the Group continued to deepen its risk prevention and mitigation efforts, focusing on overall planning, prioritizing key areas, tightening responsibilities, and strengthening risk investigation and response in key areas, implementing comprehensive measures to prevent and mitigate risks in an orderly manner.</v>
      </c>
      <c r="B2928" s="1" t="str">
        <f ca="1">IFERROR(__xludf.DUMMYFUNCTION("GOOGLETRANSLATE(A2928, ""zh"", ""en"")"),"Legal proceedings and external sanctions")</f>
        <v>Legal proceedings and external sanctions</v>
      </c>
      <c r="C2928" s="1" t="str">
        <f ca="1">IFERROR(__xludf.DUMMYFUNCTION("GOOGLETRANSLATE(E2928, ""zh"", ""en"")"),"Qualitative text")</f>
        <v>Qualitative text</v>
      </c>
    </row>
    <row r="2929" spans="1:3" ht="13" x14ac:dyDescent="0.15">
      <c r="A2929" s="1" t="str">
        <f ca="1">IFERROR(__xludf.DUMMYFUNCTION("GOOGLETRANSLATE(A2929, ""zh"", ""en"")"),"Information security training has achieved 100% coverage for all employees. The training content includes the company's information security, the key tasks of promoting collaborative development management, employee information security compliance require"&amp;"ments, internal reporting methods, etc.")</f>
        <v>Information security training has achieved 100% coverage for all employees. The training content includes the company's information security, the key tasks of promoting collaborative development management, employee information security compliance requirements, internal reporting methods, etc.</v>
      </c>
      <c r="B2929" s="1" t="str">
        <f ca="1">IFERROR(__xludf.DUMMYFUNCTION("GOOGLETRANSLATE(A2929, ""zh"", ""en"")"),"Data security")</f>
        <v>Data security</v>
      </c>
      <c r="C2929" s="1" t="str">
        <f ca="1">IFERROR(__xludf.DUMMYFUNCTION("GOOGLETRANSLATE(E2929, ""zh"", ""en"")"),"Qualitative text")</f>
        <v>Qualitative text</v>
      </c>
    </row>
    <row r="2930" spans="1:3" ht="13" x14ac:dyDescent="0.15">
      <c r="A2930" s="1" t="str">
        <f ca="1">IFERROR(__xludf.DUMMYFUNCTION("GOOGLETRANSLATE(A2930, ""zh"", ""en"")"),"Leveraging the company's strong information resources and R&amp;D advantages, the center continuously optimizes the industry's leading online customer service platform through continuous business innovation to create a leading online business execution center"&amp;" for the securities industry.")</f>
        <v>Leveraging the company's strong information resources and R&amp;D advantages, the center continuously optimizes the industry's leading online customer service platform through continuous business innovation to create a leading online business execution center for the securities industry.</v>
      </c>
      <c r="B2930" s="1" t="str">
        <f ca="1">IFERROR(__xludf.DUMMYFUNCTION("GOOGLETRANSLATE(A2930, ""zh"", ""en"")"),"Customers and Consumers")</f>
        <v>Customers and Consumers</v>
      </c>
      <c r="C2930" s="1" t="str">
        <f ca="1">IFERROR(__xludf.DUMMYFUNCTION("GOOGLETRANSLATE(E2930, ""zh"", ""en"")"),"Qualitative text")</f>
        <v>Qualitative text</v>
      </c>
    </row>
    <row r="2931" spans="1:3" ht="13" x14ac:dyDescent="0.15">
      <c r="A2931" s="1" t="str">
        <f ca="1">IFERROR(__xludf.DUMMYFUNCTION("GOOGLETRANSLATE(A2931, ""zh"", ""en"")"),"Water conservation goals: From 2022 to 2026, all new and replaced water-using equipment will use water-saving devices. Gradually increase the use of water-saving devices across the bank. Carry out water conservation publicity activities across the bank.")</f>
        <v>Water conservation goals: From 2022 to 2026, all new and replaced water-using equipment will use water-saving devices. Gradually increase the use of water-saving devices across the bank. Carry out water conservation publicity activities across the bank.</v>
      </c>
      <c r="B2931" s="1" t="str">
        <f ca="1">IFERROR(__xludf.DUMMYFUNCTION("GOOGLETRANSLATE(A2931, ""zh"", ""en"")"),"Water resources")</f>
        <v>Water resources</v>
      </c>
      <c r="C2931" s="1" t="str">
        <f ca="1">IFERROR(__xludf.DUMMYFUNCTION("GOOGLETRANSLATE(E2931, ""zh"", ""en"")"),"Qualitative text")</f>
        <v>Qualitative text</v>
      </c>
    </row>
    <row r="2932" spans="1:3" ht="13" x14ac:dyDescent="0.15">
      <c r="A2932" s="1" t="str">
        <f ca="1">IFERROR(__xludf.DUMMYFUNCTION("GOOGLETRANSLATE(A2932, ""zh"", ""en"")"),"Technology empowers and promotes a harmonious and shared society. China Construction Bank is promoting its CSR report and the Yunongtong app, promoting comprehensive standardization of service points and enabling the upgrade of the self-service model for "&amp;"owners and customers.")</f>
        <v>Technology empowers and promotes a harmonious and shared society. China Construction Bank is promoting its CSR report and the Yunongtong app, promoting comprehensive standardization of service points and enabling the upgrade of the self-service model for owners and customers.</v>
      </c>
      <c r="B2932" s="1" t="str">
        <f ca="1">IFERROR(__xludf.DUMMYFUNCTION("GOOGLETRANSLATE(A2932, ""zh"", ""en"")"),"Technological innovation")</f>
        <v>Technological innovation</v>
      </c>
      <c r="C2932" s="1" t="str">
        <f ca="1">IFERROR(__xludf.DUMMYFUNCTION("GOOGLETRANSLATE(E2932, ""zh"", ""en"")"),"Qualitative text")</f>
        <v>Qualitative text</v>
      </c>
    </row>
    <row r="2933" spans="1:3" ht="13" x14ac:dyDescent="0.15">
      <c r="A2933" s="1" t="str">
        <f ca="1">IFERROR(__xludf.DUMMYFUNCTION("GOOGLETRANSLATE(A2933, ""zh"", ""en"")"),"The test set three stress scenarios: mild, moderate and severe, with reference to the carbon price fluctuations in the domestic carbon emission trading market and the carbon price scenario of the Green Finance Network (NGFS) of the central bank and regula"&amp;"tory agencies.")</f>
        <v>The test set three stress scenarios: mild, moderate and severe, with reference to the carbon price fluctuations in the domestic carbon emission trading market and the carbon price scenario of the Green Finance Network (NGFS) of the central bank and regulatory agencies.</v>
      </c>
      <c r="B2933" s="1" t="str">
        <f ca="1">IFERROR(__xludf.DUMMYFUNCTION("GOOGLETRANSLATE(A2933, ""zh"", ""en"")"),"carbon emissions")</f>
        <v>carbon emissions</v>
      </c>
      <c r="C2933" s="1" t="str">
        <f ca="1">IFERROR(__xludf.DUMMYFUNCTION("GOOGLETRANSLATE(E2933, ""zh"", ""en"")"),"Qualitative text")</f>
        <v>Qualitative text</v>
      </c>
    </row>
    <row r="2934" spans="1:3" ht="13" x14ac:dyDescent="0.15">
      <c r="A2934" s="1" t="str">
        <f ca="1">IFERROR(__xludf.DUMMYFUNCTION("GOOGLETRANSLATE(A2934, ""zh"", ""en"")"),"During the client qualification review process, the manager's integrity and legality and compliance will be reviewed. Clients with bad integrity records and negative market evaluations will be included in the list of cautious cooperation institutions.")</f>
        <v>During the client qualification review process, the manager's integrity and legality and compliance will be reviewed. Clients with bad integrity records and negative market evaluations will be included in the list of cautious cooperation institutions.</v>
      </c>
      <c r="B2934" s="1" t="str">
        <f ca="1">IFERROR(__xludf.DUMMYFUNCTION("GOOGLETRANSLATE(A2934, ""zh"", ""en"")"),"Legal proceedings and external sanctions")</f>
        <v>Legal proceedings and external sanctions</v>
      </c>
      <c r="C2934" s="1" t="str">
        <f ca="1">IFERROR(__xludf.DUMMYFUNCTION("GOOGLETRANSLATE(E2934, ""zh"", ""en"")"),"Qualitative text")</f>
        <v>Qualitative text</v>
      </c>
    </row>
    <row r="2935" spans="1:3" ht="13" x14ac:dyDescent="0.15">
      <c r="A2935" s="1" t="str">
        <f ca="1">IFERROR(__xludf.DUMMYFUNCTION("GOOGLETRANSLATE(A2935, ""zh"", ""en"")"),"The company combines its business with the actual needs of local areas, focusing on financial assistance, educational assistance, and industrial assistance, forming a rural revitalization practice paradigm with CITIC Securities' characteristics, and culti"&amp;"vating new endogenous development momentum in the assisted areas.")</f>
        <v>The company combines its business with the actual needs of local areas, focusing on financial assistance, educational assistance, and industrial assistance, forming a rural revitalization practice paradigm with CITIC Securities' characteristics, and cultivating new endogenous development momentum in the assisted areas.</v>
      </c>
      <c r="B2935" s="1" t="str">
        <f ca="1">IFERROR(__xludf.DUMMYFUNCTION("GOOGLETRANSLATE(A2935, ""zh"", ""en"")"),"Rural assistance")</f>
        <v>Rural assistance</v>
      </c>
      <c r="C2935" s="1" t="str">
        <f ca="1">IFERROR(__xludf.DUMMYFUNCTION("GOOGLETRANSLATE(E2935, ""zh"", ""en"")"),"Qualitative text")</f>
        <v>Qualitative text</v>
      </c>
    </row>
    <row r="2936" spans="1:3" ht="13" x14ac:dyDescent="0.15">
      <c r="A2936" s="1" t="str">
        <f ca="1">IFERROR(__xludf.DUMMYFUNCTION("GOOGLETRANSLATE(A2936, ""zh"", ""en"")"),"In addition, through independent research, the Bank has initially cultivated a group of professional backbone forces and formed an industry-leading methodological system that can conduct quantitative analysis and pressure measurement for multiple high-car"&amp;"bon emission industries.")</f>
        <v>In addition, through independent research, the Bank has initially cultivated a group of professional backbone forces and formed an industry-leading methodological system that can conduct quantitative analysis and pressure measurement for multiple high-carbon emission industries.</v>
      </c>
      <c r="B2936" s="1" t="str">
        <f ca="1">IFERROR(__xludf.DUMMYFUNCTION("GOOGLETRANSLATE(A2936, ""zh"", ""en"")"),"carbon emissions")</f>
        <v>carbon emissions</v>
      </c>
      <c r="C2936" s="1" t="str">
        <f ca="1">IFERROR(__xludf.DUMMYFUNCTION("GOOGLETRANSLATE(E2936, ""zh"", ""en"")"),"Qualitative text")</f>
        <v>Qualitative text</v>
      </c>
    </row>
    <row r="2937" spans="1:3" ht="13" x14ac:dyDescent="0.15">
      <c r="A2937" s="1" t="str">
        <f ca="1">IFERROR(__xludf.DUMMYFUNCTION("GOOGLETRANSLATE(A2937, ""zh"", ""en"")"),"The company has established ESG goals related to its business operations. The board of directors reviewed and discussed the establishment and progress of the goals. All ESG work goals have achieved phased progress as planned.")</f>
        <v>The company has established ESG goals related to its business operations. The board of directors reviewed and discussed the establishment and progress of the goals. All ESG work goals have achieved phased progress as planned.</v>
      </c>
      <c r="B2937" s="1" t="str">
        <f ca="1">IFERROR(__xludf.DUMMYFUNCTION("GOOGLETRANSLATE(A2937, ""zh"", ""en"")"),"Organizational structure and operations")</f>
        <v>Organizational structure and operations</v>
      </c>
      <c r="C2937" s="1" t="str">
        <f ca="1">IFERROR(__xludf.DUMMYFUNCTION("GOOGLETRANSLATE(E2937, ""zh"", ""en"")"),"Qualitative text")</f>
        <v>Qualitative text</v>
      </c>
    </row>
    <row r="2938" spans="1:3" ht="13" x14ac:dyDescent="0.15">
      <c r="A2938" s="1" t="str">
        <f ca="1">IFERROR(__xludf.DUMMYFUNCTION("GOOGLETRANSLATE(A2938, ""zh"", ""en"")"),"The company strictly abides by the advertising laws and regulations in all locations where it operates globally, strictly implements market promotion compliance management, eliminates false advertising, and resists any unfair behavior that restricts marke"&amp;"t competition.")</f>
        <v>The company strictly abides by the advertising laws and regulations in all locations where it operates globally, strictly implements market promotion compliance management, eliminates false advertising, and resists any unfair behavior that restricts market competition.</v>
      </c>
      <c r="B2938" s="1" t="str">
        <f ca="1">IFERROR(__xludf.DUMMYFUNCTION("GOOGLETRANSLATE(A2938, ""zh"", ""en"")"),"Anti-unfair competition")</f>
        <v>Anti-unfair competition</v>
      </c>
      <c r="C2938" s="1" t="str">
        <f ca="1">IFERROR(__xludf.DUMMYFUNCTION("GOOGLETRANSLATE(E2938, ""zh"", ""en"")"),"Qualitative text")</f>
        <v>Qualitative text</v>
      </c>
    </row>
    <row r="2939" spans="1:3" ht="13" x14ac:dyDescent="0.15">
      <c r="A2939" s="1" t="str">
        <f ca="1">IFERROR(__xludf.DUMMYFUNCTION("GOOGLETRANSLATE(A2939, ""zh"", ""en"")"),"2 Actively participate in the promotion of high-efficiency lighting products. The company has always adhered to the path of high-efficiency and energy-saving development, actively produced and promoted high-efficiency and energy-saving products, and striv"&amp;"ed to make due contributions to China's energy-saving lighting industry.")</f>
        <v>2 Actively participate in the promotion of high-efficiency lighting products. The company has always adhered to the path of high-efficiency and energy-saving development, actively produced and promoted high-efficiency and energy-saving products, and strived to make due contributions to China's energy-saving lighting industry.</v>
      </c>
      <c r="B2939" s="1" t="str">
        <f ca="1">IFERROR(__xludf.DUMMYFUNCTION("GOOGLETRANSLATE(A2939, ""zh"", ""en"")"),"Energy and resource consumption")</f>
        <v>Energy and resource consumption</v>
      </c>
      <c r="C2939" s="1" t="str">
        <f ca="1">IFERROR(__xludf.DUMMYFUNCTION("GOOGLETRANSLATE(E2939, ""zh"", ""en"")"),"Qualitative text")</f>
        <v>Qualitative text</v>
      </c>
    </row>
    <row r="2940" spans="1:3" ht="13" x14ac:dyDescent="0.15">
      <c r="A2940" s="1" t="str">
        <f ca="1">IFERROR(__xludf.DUMMYFUNCTION("GOOGLETRANSLATE(A2940, ""zh"", ""en"")"),"In the 2022 Petroleum and Chemical Industry Water Efficiency Leader Selection, eight of the company's subsidiaries, including Jinling Petrochemical, Qingdao Refining, Shijiazhuang Refining, and Zhenhai Refining, were named water efficiency leader benchmar"&amp;"k enterprises.")</f>
        <v>In the 2022 Petroleum and Chemical Industry Water Efficiency Leader Selection, eight of the company's subsidiaries, including Jinling Petrochemical, Qingdao Refining, Shijiazhuang Refining, and Zhenhai Refining, were named water efficiency leader benchmark enterprises.</v>
      </c>
      <c r="B2940" s="1" t="str">
        <f ca="1">IFERROR(__xludf.DUMMYFUNCTION("GOOGLETRANSLATE(A2940, ""zh"", ""en"")"),"Water resources")</f>
        <v>Water resources</v>
      </c>
      <c r="C2940" s="1" t="str">
        <f ca="1">IFERROR(__xludf.DUMMYFUNCTION("GOOGLETRANSLATE(E2940, ""zh"", ""en"")"),"Quantitative Text")</f>
        <v>Quantitative Text</v>
      </c>
    </row>
    <row r="2941" spans="1:3" ht="13" x14ac:dyDescent="0.15">
      <c r="A2941" s="1" t="str">
        <f ca="1">IFERROR(__xludf.DUMMYFUNCTION("GOOGLETRANSLATE(A2941, ""zh"", ""en"")"),"2022 New Manufacturing Innovation Rankings - September 2022, Deben Consulting eNet Research Institute and Internet Weekly jointly released the 2022 New Manufacturing Innovation Rankings, with Haier Smart Home ranking second.")</f>
        <v>2022 New Manufacturing Innovation Rankings - September 2022, Deben Consulting eNet Research Institute and Internet Weekly jointly released the 2022 New Manufacturing Innovation Rankings, with Haier Smart Home ranking second.</v>
      </c>
      <c r="B2941" s="1" t="str">
        <f ca="1">IFERROR(__xludf.DUMMYFUNCTION("GOOGLETRANSLATE(A2941, ""zh"", ""en"")"),"Technological innovation")</f>
        <v>Technological innovation</v>
      </c>
      <c r="C2941" s="1" t="str">
        <f ca="1">IFERROR(__xludf.DUMMYFUNCTION("GOOGLETRANSLATE(E2941, ""zh"", ""en"")"),"Quantitative Text")</f>
        <v>Quantitative Text</v>
      </c>
    </row>
    <row r="2942" spans="1:3" ht="13" x14ac:dyDescent="0.15">
      <c r="A2942" s="1" t="str">
        <f ca="1">IFERROR(__xludf.DUMMYFUNCTION("GOOGLETRANSLATE(A2942, ""zh"", ""en"")"),"Four special safety inspection teams were formed to complete three rounds of inspections on 51 companies in total. Internal safety experts were selected to form 14 inspection teams to conduct special safety inspections on 42 companies.")</f>
        <v>Four special safety inspection teams were formed to complete three rounds of inspections on 51 companies in total. Internal safety experts were selected to form 14 inspection teams to conduct special safety inspections on 42 companies.</v>
      </c>
      <c r="B2942" s="1" t="str">
        <f ca="1">IFERROR(__xludf.DUMMYFUNCTION("GOOGLETRANSLATE(A2942, ""zh"", ""en"")"),"staff")</f>
        <v>staff</v>
      </c>
      <c r="C2942" s="1" t="str">
        <f ca="1">IFERROR(__xludf.DUMMYFUNCTION("GOOGLETRANSLATE(E2942, ""zh"", ""en"")"),"Quantitative Text")</f>
        <v>Quantitative Text</v>
      </c>
    </row>
    <row r="2943" spans="1:3" ht="13" x14ac:dyDescent="0.15">
      <c r="A2943" s="1" t="str">
        <f ca="1">IFERROR(__xludf.DUMMYFUNCTION("GOOGLETRANSLATE(A2943, ""zh"", ""en"")"),"The company has established a dedicated carbon trading team to coordinate the surplus and shortage of emission-control enterprises' quotas, scientifically formulate carbon trading plans, carry out centralized management of carbon trading, and ensure that "&amp;"all subsidiaries complete their carbon quota fulfillment tasks on schedule.")</f>
        <v>The company has established a dedicated carbon trading team to coordinate the surplus and shortage of emission-control enterprises' quotas, scientifically formulate carbon trading plans, carry out centralized management of carbon trading, and ensure that all subsidiaries complete their carbon quota fulfillment tasks on schedule.</v>
      </c>
      <c r="B2943" s="1" t="str">
        <f ca="1">IFERROR(__xludf.DUMMYFUNCTION("GOOGLETRANSLATE(A2943, ""zh"", ""en"")"),"carbon emissions")</f>
        <v>carbon emissions</v>
      </c>
      <c r="C2943" s="1" t="str">
        <f ca="1">IFERROR(__xludf.DUMMYFUNCTION("GOOGLETRANSLATE(E2943, ""zh"", ""en"")"),"Qualitative text")</f>
        <v>Qualitative text</v>
      </c>
    </row>
    <row r="2944" spans="1:3" ht="13" x14ac:dyDescent="0.15">
      <c r="A2944" s="1" t="str">
        <f ca="1">IFERROR(__xludf.DUMMYFUNCTION("GOOGLETRANSLATE(A2944, ""zh"", ""en"")"),"The company adjusted its implementation plan based on the scale of funds and planned to implement afforestation of 1,600 mu within two years, plant 263,600 trees, build 17.3 kilometers of forest roads, and erect 20.1 kilometers of fences.")</f>
        <v>The company adjusted its implementation plan based on the scale of funds and planned to implement afforestation of 1,600 mu within two years, plant 263,600 trees, build 17.3 kilometers of forest roads, and erect 20.1 kilometers of fences.</v>
      </c>
      <c r="B2944" s="1" t="str">
        <f ca="1">IFERROR(__xludf.DUMMYFUNCTION("GOOGLETRANSLATE(A2944, ""zh"", ""en"")"),"Public welfare and volunteer service")</f>
        <v>Public welfare and volunteer service</v>
      </c>
      <c r="C2944" s="1" t="str">
        <f ca="1">IFERROR(__xludf.DUMMYFUNCTION("GOOGLETRANSLATE(E2944, ""zh"", ""en"")"),"Quantitative Text")</f>
        <v>Quantitative Text</v>
      </c>
    </row>
    <row r="2945" spans="1:3" ht="13" x14ac:dyDescent="0.15">
      <c r="A2945" s="1" t="str">
        <f ca="1">IFERROR(__xludf.DUMMYFUNCTION("GOOGLETRANSLATE(A2945, ""zh"", ""en"")"),"Haier people at home and abroad insist on spontaneously participating in social governance in the form of volunteer services, using their professional abilities and spare time to create public value and give back to society with love.")</f>
        <v>Haier people at home and abroad insist on spontaneously participating in social governance in the form of volunteer services, using their professional abilities and spare time to create public value and give back to society with love.</v>
      </c>
      <c r="B2945" s="1" t="str">
        <f ca="1">IFERROR(__xludf.DUMMYFUNCTION("GOOGLETRANSLATE(A2945, ""zh"", ""en"")"),"Public welfare and volunteer service")</f>
        <v>Public welfare and volunteer service</v>
      </c>
      <c r="C2945" s="1" t="str">
        <f ca="1">IFERROR(__xludf.DUMMYFUNCTION("GOOGLETRANSLATE(E2945, ""zh"", ""en"")"),"Qualitative text")</f>
        <v>Qualitative text</v>
      </c>
    </row>
    <row r="2946" spans="1:3" ht="13" x14ac:dyDescent="0.15">
      <c r="A2946" s="1" t="str">
        <f ca="1">IFERROR(__xludf.DUMMYFUNCTION("GOOGLETRANSLATE(A2946, ""zh"", ""en"")"),"Appendix 6: Third-party evaluation of the China Household Electrical Appliances Industry Association. Looking back at 2022, the international situation is changing rapidly, and the global supply chain, industrial chain and value chain are accelerating adj"&amp;"ustments. The global situation faces many risks and challenges.")</f>
        <v>Appendix 6: Third-party evaluation of the China Household Electrical Appliances Industry Association. Looking back at 2022, the international situation is changing rapidly, and the global supply chain, industrial chain and value chain are accelerating adjustments. The global situation faces many risks and challenges.</v>
      </c>
      <c r="B2946" s="1" t="str">
        <f ca="1">IFERROR(__xludf.DUMMYFUNCTION("GOOGLETRANSLATE(A2946, ""zh"", ""en"")"),"supply chain management")</f>
        <v>supply chain management</v>
      </c>
      <c r="C2946" s="1" t="str">
        <f ca="1">IFERROR(__xludf.DUMMYFUNCTION("GOOGLETRANSLATE(E2946, ""zh"", ""en"")"),"Qualitative text")</f>
        <v>Qualitative text</v>
      </c>
    </row>
    <row r="2947" spans="1:3" ht="13" x14ac:dyDescent="0.15">
      <c r="A2947" s="1" t="str">
        <f ca="1">IFERROR(__xludf.DUMMYFUNCTION("GOOGLETRANSLATE(A2947, ""zh"", ""en"")"),"At the same time, the company fully protects the employment rights of people with disabilities, does a good job in the placement and support management of existing disabled employees, cares about the daily lives of disabled employees, and takes multiple m"&amp;"easures to maintain the stability of employment for people with disabilities.")</f>
        <v>At the same time, the company fully protects the employment rights of people with disabilities, does a good job in the placement and support management of existing disabled employees, cares about the daily lives of disabled employees, and takes multiple measures to maintain the stability of employment for people with disabilities.</v>
      </c>
      <c r="B2947" s="1" t="str">
        <f ca="1">IFERROR(__xludf.DUMMYFUNCTION("GOOGLETRANSLATE(A2947, ""zh"", ""en"")"),"Promoting employment")</f>
        <v>Promoting employment</v>
      </c>
      <c r="C2947" s="1" t="str">
        <f ca="1">IFERROR(__xludf.DUMMYFUNCTION("GOOGLETRANSLATE(E2947, ""zh"", ""en"")"),"Qualitative text")</f>
        <v>Qualitative text</v>
      </c>
    </row>
    <row r="2948" spans="1:3" ht="13" x14ac:dyDescent="0.15">
      <c r="A2948" s="1" t="str">
        <f ca="1">IFERROR(__xludf.DUMMYFUNCTION("GOOGLETRANSLATE(A2948, ""zh"", ""en"")"),"Invite information technology experts to carry out systematic training such as vehicle safety inspection and driver safety education to strengthen the application of information technology in logistics safety and improve the company's overall logistics sa"&amp;"fety information management level.")</f>
        <v>Invite information technology experts to carry out systematic training such as vehicle safety inspection and driver safety education to strengthen the application of information technology in logistics safety and improve the company's overall logistics safety information management level.</v>
      </c>
      <c r="B2948" s="1" t="str">
        <f ca="1">IFERROR(__xludf.DUMMYFUNCTION("GOOGLETRANSLATE(A2948, ""zh"", ""en"")"),"Product quality")</f>
        <v>Product quality</v>
      </c>
      <c r="C2948" s="1" t="str">
        <f ca="1">IFERROR(__xludf.DUMMYFUNCTION("GOOGLETRANSLATE(E2948, ""zh"", ""en"")"),"Qualitative text")</f>
        <v>Qualitative text</v>
      </c>
    </row>
    <row r="2949" spans="1:3" ht="13" x14ac:dyDescent="0.15">
      <c r="A2949" s="1" t="str">
        <f ca="1">IFERROR(__xludf.DUMMYFUNCTION("GOOGLETRANSLATE(A2949, ""zh"", ""en"")"),"Comprehensive evaluation of suppliers Establish supplier performance evaluation indicators with legal person credit certification, product quality evaluation, performance dynamic assessment and market performance as the main content to objectively evaluat"&amp;"e the comprehensive strength of suppliers")</f>
        <v>Comprehensive evaluation of suppliers Establish supplier performance evaluation indicators with legal person credit certification, product quality evaluation, performance dynamic assessment and market performance as the main content to objectively evaluate the comprehensive strength of suppliers</v>
      </c>
      <c r="B2949" s="1" t="str">
        <f ca="1">IFERROR(__xludf.DUMMYFUNCTION("GOOGLETRANSLATE(A2949, ""zh"", ""en"")"),"supply chain management")</f>
        <v>supply chain management</v>
      </c>
      <c r="C2949" s="1" t="str">
        <f ca="1">IFERROR(__xludf.DUMMYFUNCTION("GOOGLETRANSLATE(E2949, ""zh"", ""en"")"),"Qualitative text")</f>
        <v>Qualitative text</v>
      </c>
    </row>
    <row r="2950" spans="1:3" ht="13" x14ac:dyDescent="0.15">
      <c r="A2950" s="1" t="str">
        <f ca="1">IFERROR(__xludf.DUMMYFUNCTION("GOOGLETRANSLATE(A2950, ""zh"", ""en"")"),"In 2022, the company applied for and hosted 4 national second-class competitions, 5 company-level first-class competitions, and 4 second-class competitions. 301 people were awarded senior professor titles and 909 senior technicians.")</f>
        <v>In 2022, the company applied for and hosted 4 national second-class competitions, 5 company-level first-class competitions, and 4 second-class competitions. 301 people were awarded senior professor titles and 909 senior technicians.</v>
      </c>
      <c r="B2950" s="1" t="str">
        <f ca="1">IFERROR(__xludf.DUMMYFUNCTION("GOOGLETRANSLATE(A2950, ""zh"", ""en"")"),"staff")</f>
        <v>staff</v>
      </c>
      <c r="C2950" s="1" t="str">
        <f ca="1">IFERROR(__xludf.DUMMYFUNCTION("GOOGLETRANSLATE(E2950, ""zh"", ""en"")"),"Quantitative Text")</f>
        <v>Quantitative Text</v>
      </c>
    </row>
    <row r="2951" spans="1:3" ht="13" x14ac:dyDescent="0.15">
      <c r="A2951" s="1" t="str">
        <f ca="1">IFERROR(__xludf.DUMMYFUNCTION("GOOGLETRANSLATE(A2951, ""zh"", ""en"")"),"Health huts were brought to grassroots organizations to celebrate the Mid-Autumn Festival. Performance appraisals were conducted. The company established a hierarchical and classified performance appraisal management system for all employees. Annual perfo"&amp;"rmance appraisals were implemented differently for employees at different levels and categories.")</f>
        <v>Health huts were brought to grassroots organizations to celebrate the Mid-Autumn Festival. Performance appraisals were conducted. The company established a hierarchical and classified performance appraisal management system for all employees. Annual performance appraisals were implemented differently for employees at different levels and categories.</v>
      </c>
      <c r="B2951" s="1" t="str">
        <f ca="1">IFERROR(__xludf.DUMMYFUNCTION("GOOGLETRANSLATE(A2951, ""zh"", ""en"")"),"staff")</f>
        <v>staff</v>
      </c>
      <c r="C2951" s="1" t="str">
        <f ca="1">IFERROR(__xludf.DUMMYFUNCTION("GOOGLETRANSLATE(E2951, ""zh"", ""en"")"),"Qualitative text")</f>
        <v>Qualitative text</v>
      </c>
    </row>
    <row r="2952" spans="1:3" ht="13" x14ac:dyDescent="0.15">
      <c r="A2952" s="1" t="str">
        <f ca="1">IFERROR(__xludf.DUMMYFUNCTION("GOOGLETRANSLATE(A2952, ""zh"", ""en"")"),"Chain groups and small and micro businesses can independently decide their working hours and attendance methods based on international practices, industry characteristics and business scenarios, making employees' working hours more flexible and facilitati"&amp;"ng a better work-life balance.")</f>
        <v>Chain groups and small and micro businesses can independently decide their working hours and attendance methods based on international practices, industry characteristics and business scenarios, making employees' working hours more flexible and facilitating a better work-life balance.</v>
      </c>
      <c r="B2952" s="1" t="str">
        <f ca="1">IFERROR(__xludf.DUMMYFUNCTION("GOOGLETRANSLATE(A2952, ""zh"", ""en"")"),"staff")</f>
        <v>staff</v>
      </c>
      <c r="C2952" s="1" t="str">
        <f ca="1">IFERROR(__xludf.DUMMYFUNCTION("GOOGLETRANSLATE(E2952, ""zh"", ""en"")"),"Qualitative text")</f>
        <v>Qualitative text</v>
      </c>
    </row>
    <row r="2953" spans="1:3" ht="13" x14ac:dyDescent="0.15">
      <c r="A2953" s="1" t="str">
        <f ca="1">IFERROR(__xludf.DUMMYFUNCTION("GOOGLETRANSLATE(A2953, ""zh"", ""en"")"),"At the same time, we took the opportunity of this carbon inventory to provide carbon reduction training to relevant personnel in various businesses, so that more employees can understand the relevant knowledge of carbon reduction and better promote the im"&amp;"plementation of carbon reduction work.")</f>
        <v>At the same time, we took the opportunity of this carbon inventory to provide carbon reduction training to relevant personnel in various businesses, so that more employees can understand the relevant knowledge of carbon reduction and better promote the implementation of carbon reduction work.</v>
      </c>
      <c r="B2953" s="1" t="str">
        <f ca="1">IFERROR(__xludf.DUMMYFUNCTION("GOOGLETRANSLATE(A2953, ""zh"", ""en"")"),"carbon emissions")</f>
        <v>carbon emissions</v>
      </c>
      <c r="C2953" s="1" t="str">
        <f ca="1">IFERROR(__xludf.DUMMYFUNCTION("GOOGLETRANSLATE(E2953, ""zh"", ""en"")"),"Qualitative text")</f>
        <v>Qualitative text</v>
      </c>
    </row>
    <row r="2954" spans="1:3" ht="13" x14ac:dyDescent="0.15">
      <c r="A2954" s="1" t="str">
        <f ca="1">IFERROR(__xludf.DUMMYFUNCTION("GOOGLETRANSLATE(A2954, ""zh"", ""en"")"),"This year, we actively carried out R&amp;D to reduce carbon emissions, continuously improving product energy efficiency through process innovation and low-carbon technology upgrades, reducing the use of raw materials, and lowering carbon emissions throughout "&amp;"the product life cycle.")</f>
        <v>This year, we actively carried out R&amp;D to reduce carbon emissions, continuously improving product energy efficiency through process innovation and low-carbon technology upgrades, reducing the use of raw materials, and lowering carbon emissions throughout the product life cycle.</v>
      </c>
      <c r="B2954" s="1" t="str">
        <f ca="1">IFERROR(__xludf.DUMMYFUNCTION("GOOGLETRANSLATE(A2954, ""zh"", ""en"")"),"carbon emissions")</f>
        <v>carbon emissions</v>
      </c>
      <c r="C2954" s="1" t="str">
        <f ca="1">IFERROR(__xludf.DUMMYFUNCTION("GOOGLETRANSLATE(E2954, ""zh"", ""en"")"),"Qualitative text")</f>
        <v>Qualitative text</v>
      </c>
    </row>
    <row r="2955" spans="1:3" ht="13" x14ac:dyDescent="0.15">
      <c r="A2955" s="1" t="str">
        <f ca="1">IFERROR(__xludf.DUMMYFUNCTION("GOOGLETRANSLATE(A2955, ""zh"", ""en"")"),"Quality Policy and Strategy As a healthcare industry group focusing on pharmaceutical manufacturing and R&amp;D, Fosun Pharma Group prioritizes life quality and strives for excellence.")</f>
        <v>Quality Policy and Strategy As a healthcare industry group focusing on pharmaceutical manufacturing and R&amp;D, Fosun Pharma Group prioritizes life quality and strives for excellence.</v>
      </c>
      <c r="B2955" s="1" t="str">
        <f ca="1">IFERROR(__xludf.DUMMYFUNCTION("GOOGLETRANSLATE(A2955, ""zh"", ""en"")"),"Product quality")</f>
        <v>Product quality</v>
      </c>
      <c r="C2955" s="1" t="str">
        <f ca="1">IFERROR(__xludf.DUMMYFUNCTION("GOOGLETRANSLATE(E2955, ""zh"", ""en"")"),"Qualitative text")</f>
        <v>Qualitative text</v>
      </c>
    </row>
    <row r="2956" spans="1:3" ht="13" x14ac:dyDescent="0.15">
      <c r="A2956" s="1" t="str">
        <f ca="1">IFERROR(__xludf.DUMMYFUNCTION("GOOGLETRANSLATE(A2956, ""zh"", ""en"")"),"Admission requirements include training, process supervision, and performance appraisals. Management leads safety inspections. Fosun Pharma actively implements the national safety production responsibility system and emphasizes the safety responsibilities"&amp;" of company leaders.")</f>
        <v>Admission requirements include training, process supervision, and performance appraisals. Management leads safety inspections. Fosun Pharma actively implements the national safety production responsibility system and emphasizes the safety responsibilities of company leaders.</v>
      </c>
      <c r="B2956" s="1" t="str">
        <f ca="1">IFERROR(__xludf.DUMMYFUNCTION("GOOGLETRANSLATE(A2956, ""zh"", ""en"")"),"staff")</f>
        <v>staff</v>
      </c>
      <c r="C2956" s="1" t="str">
        <f ca="1">IFERROR(__xludf.DUMMYFUNCTION("GOOGLETRANSLATE(E2956, ""zh"", ""en"")"),"Qualitative text")</f>
        <v>Qualitative text</v>
      </c>
    </row>
    <row r="2957" spans="1:3" ht="13" x14ac:dyDescent="0.15">
      <c r="A2957" s="1" t="str">
        <f ca="1">IFERROR(__xludf.DUMMYFUNCTION("GOOGLETRANSLATE(A2957, ""zh"", ""en"")"),"Supervisors who are not employee representatives on the company's board of supervisors are elected and removed by the shareholders' meeting. Supervisors who are employee representatives are democratically elected and removed by the company's employees thr"&amp;"ough employee representative meetings and other means.")</f>
        <v>Supervisors who are not employee representatives on the company's board of supervisors are elected and removed by the shareholders' meeting. Supervisors who are employee representatives are democratically elected and removed by the company's employees through employee representative meetings and other means.</v>
      </c>
      <c r="B2957" s="1" t="str">
        <f ca="1">IFERROR(__xludf.DUMMYFUNCTION("GOOGLETRANSLATE(A2957, ""zh"", ""en"")"),"Organizational structure and operations")</f>
        <v>Organizational structure and operations</v>
      </c>
      <c r="C2957" s="1" t="str">
        <f ca="1">IFERROR(__xludf.DUMMYFUNCTION("GOOGLETRANSLATE(E2957, ""zh"", ""en"")"),"Qualitative text")</f>
        <v>Qualitative text</v>
      </c>
    </row>
    <row r="2958" spans="1:3" ht="13" x14ac:dyDescent="0.15">
      <c r="A2958" s="1" t="str">
        <f ca="1">IFERROR(__xludf.DUMMYFUNCTION("GOOGLETRANSLATE(A2958, ""zh"", ""en"")"),"Through medical beauty charity, we provide assistance, surgery and medical assistance to patients in need, helping them to overcome difficulties and return to normal life. We have helped a total of 8 patients in need, with a total amount of nearly 700,000"&amp;" yuan.")</f>
        <v>Through medical beauty charity, we provide assistance, surgery and medical assistance to patients in need, helping them to overcome difficulties and return to normal life. We have helped a total of 8 patients in need, with a total amount of nearly 700,000 yuan.</v>
      </c>
      <c r="B2958" s="1" t="str">
        <f ca="1">IFERROR(__xludf.DUMMYFUNCTION("GOOGLETRANSLATE(A2958, ""zh"", ""en"")"),"Public welfare and volunteer service")</f>
        <v>Public welfare and volunteer service</v>
      </c>
      <c r="C2958" s="1" t="str">
        <f ca="1">IFERROR(__xludf.DUMMYFUNCTION("GOOGLETRANSLATE(E2958, ""zh"", ""en"")"),"Quantitative Text")</f>
        <v>Quantitative Text</v>
      </c>
    </row>
    <row r="2959" spans="1:3" ht="13" x14ac:dyDescent="0.15">
      <c r="A2959" s="1" t="str">
        <f ca="1">IFERROR(__xludf.DUMMYFUNCTION("GOOGLETRANSLATE(A2959, ""zh"", ""en"")"),"By investing and paying taxes, providing employment, promoting local procurement, carrying out community support projects, etc., we help local economic development, provide employment assistance, and provide jobs for migrant workers and mature social tale"&amp;"nts.")</f>
        <v>By investing and paying taxes, providing employment, promoting local procurement, carrying out community support projects, etc., we help local economic development, provide employment assistance, and provide jobs for migrant workers and mature social talents.</v>
      </c>
      <c r="B2959" s="1" t="str">
        <f ca="1">IFERROR(__xludf.DUMMYFUNCTION("GOOGLETRANSLATE(A2959, ""zh"", ""en"")"),"Promoting employment")</f>
        <v>Promoting employment</v>
      </c>
      <c r="C2959" s="1" t="str">
        <f ca="1">IFERROR(__xludf.DUMMYFUNCTION("GOOGLETRANSLATE(E2959, ""zh"", ""en"")"),"Qualitative text")</f>
        <v>Qualitative text</v>
      </c>
    </row>
    <row r="2960" spans="1:3" ht="13" x14ac:dyDescent="0.15">
      <c r="A2960" s="1" t="str">
        <f ca="1">IFERROR(__xludf.DUMMYFUNCTION("GOOGLETRANSLATE(A2960, ""zh"", ""en"")"),"To improve the digitalization level of the factoring company, we hired senior technical experts in the core financial and technology fields with work backgrounds at Goldman Sachs and Morgan Stanley to serve as the company's external digital risk control e"&amp;"xperts.")</f>
        <v>To improve the digitalization level of the factoring company, we hired senior technical experts in the core financial and technology fields with work backgrounds at Goldman Sachs and Morgan Stanley to serve as the company's external digital risk control experts.</v>
      </c>
      <c r="B2960" s="1" t="str">
        <f ca="1">IFERROR(__xludf.DUMMYFUNCTION("GOOGLETRANSLATE(A2960, ""zh"", ""en"")"),"Technological innovation")</f>
        <v>Technological innovation</v>
      </c>
      <c r="C2960" s="1" t="str">
        <f ca="1">IFERROR(__xludf.DUMMYFUNCTION("GOOGLETRANSLATE(E2960, ""zh"", ""en"")"),"Qualitative text")</f>
        <v>Qualitative text</v>
      </c>
    </row>
    <row r="2961" spans="1:3" ht="13" x14ac:dyDescent="0.15">
      <c r="A2961" s="1" t="str">
        <f ca="1">IFERROR(__xludf.DUMMYFUNCTION("GOOGLETRANSLATE(A2961, ""zh"", ""en"")"),"Yuantong Company, Yunshang Company, Logistics Company, Huanneng Company, and 0258 Company use legal thinking and legal methods to improve the standardization of safety management and further promote the implementation of the new Work Safety Law.")</f>
        <v>Yuantong Company, Yunshang Company, Logistics Company, Huanneng Company, and 0258 Company use legal thinking and legal methods to improve the standardization of safety management and further promote the implementation of the new Work Safety Law.</v>
      </c>
      <c r="B2961" s="1" t="str">
        <f ca="1">IFERROR(__xludf.DUMMYFUNCTION("GOOGLETRANSLATE(A2961, ""zh"", ""en"")"),"Legal proceedings and external sanctions")</f>
        <v>Legal proceedings and external sanctions</v>
      </c>
      <c r="C2961" s="1" t="str">
        <f ca="1">IFERROR(__xludf.DUMMYFUNCTION("GOOGLETRANSLATE(E2961, ""zh"", ""en"")"),"Qualitative text")</f>
        <v>Qualitative text</v>
      </c>
    </row>
    <row r="2962" spans="1:3" ht="13" x14ac:dyDescent="0.15">
      <c r="A2962" s="1" t="str">
        <f ca="1">IFERROR(__xludf.DUMMYFUNCTION("GOOGLETRANSLATE(A2962, ""zh"", ""en"")"),"At present, the digital security operation service system has been implemented in more than a number of large and medium-sized cities across the country, covering the four municipalities and some provincial capitals, and covering most of the top customers"&amp;", with a cumulative service volume exceeding that of domestic and corporate customers.")</f>
        <v>At present, the digital security operation service system has been implemented in more than a number of large and medium-sized cities across the country, covering the four municipalities and some provincial capitals, and covering most of the top customers, with a cumulative service volume exceeding that of domestic and corporate customers.</v>
      </c>
      <c r="B2962" s="1" t="str">
        <f ca="1">IFERROR(__xludf.DUMMYFUNCTION("GOOGLETRANSLATE(A2962, ""zh"", ""en"")"),"Data security")</f>
        <v>Data security</v>
      </c>
      <c r="C2962" s="1" t="str">
        <f ca="1">IFERROR(__xludf.DUMMYFUNCTION("GOOGLETRANSLATE(E2962, ""zh"", ""en"")"),"Quantitative Text")</f>
        <v>Quantitative Text</v>
      </c>
    </row>
    <row r="2963" spans="1:3" ht="13" x14ac:dyDescent="0.15">
      <c r="A2963" s="1" t="str">
        <f ca="1">IFERROR(__xludf.DUMMYFUNCTION("GOOGLETRANSLATE(A2963, ""zh"", ""en"")"),"We rationally arrange the storage area and carry out zoning, stratification and classification management of packaging materials and auxiliary materials to save material storage space. By optimizing material transportation routes, we increase elevator uti"&amp;"lization and improve internal material transportation efficiency.")</f>
        <v>We rationally arrange the storage area and carry out zoning, stratification and classification management of packaging materials and auxiliary materials to save material storage space. By optimizing material transportation routes, we increase elevator utilization and improve internal material transportation efficiency.</v>
      </c>
      <c r="B2963" s="1" t="str">
        <f ca="1">IFERROR(__xludf.DUMMYFUNCTION("GOOGLETRANSLATE(A2963, ""zh"", ""en"")"),"raw materials")</f>
        <v>raw materials</v>
      </c>
      <c r="C2963" s="1" t="str">
        <f ca="1">IFERROR(__xludf.DUMMYFUNCTION("GOOGLETRANSLATE(E2963, ""zh"", ""en"")"),"Qualitative text")</f>
        <v>Qualitative text</v>
      </c>
    </row>
    <row r="2964" spans="1:3" ht="13" x14ac:dyDescent="0.15">
      <c r="A2964" s="1" t="str">
        <f ca="1">IFERROR(__xludf.DUMMYFUNCTION("GOOGLETRANSLATE(A2964, ""zh"", ""en"")"),"We will continue to improve the company's data security technology capabilities through measures such as data classification and grading, account authority management, data security technology construction, log audit and analysis capabilities, data leakag"&amp;"e prevention capabilities, etc.")</f>
        <v>We will continue to improve the company's data security technology capabilities through measures such as data classification and grading, account authority management, data security technology construction, log audit and analysis capabilities, data leakage prevention capabilities, etc.</v>
      </c>
      <c r="B2964" s="1" t="str">
        <f ca="1">IFERROR(__xludf.DUMMYFUNCTION("GOOGLETRANSLATE(A2964, ""zh"", ""en"")"),"Data security")</f>
        <v>Data security</v>
      </c>
      <c r="C2964" s="1" t="str">
        <f ca="1">IFERROR(__xludf.DUMMYFUNCTION("GOOGLETRANSLATE(E2964, ""zh"", ""en"")"),"Qualitative text")</f>
        <v>Qualitative text</v>
      </c>
    </row>
    <row r="2965" spans="1:3" ht="13" x14ac:dyDescent="0.15">
      <c r="A2965" s="1" t="str">
        <f ca="1">IFERROR(__xludf.DUMMYFUNCTION("GOOGLETRANSLATE(A2965, ""zh"", ""en"")"),"The 2022 Yunfan Plan Training Course for Wuchan Zhongda Yunshang and Yunshang Company is jointly organized by Wuchan Zhongda Group Co., Ltd., Deloitte, and other entities.")</f>
        <v>The 2022 Yunfan Plan Training Course for Wuchan Zhongda Yunshang and Yunshang Company is jointly organized by Wuchan Zhongda Group Co., Ltd., Deloitte, and other entities.</v>
      </c>
      <c r="B2965" s="1" t="str">
        <f ca="1">IFERROR(__xludf.DUMMYFUNCTION("GOOGLETRANSLATE(A2965, ""zh"", ""en"")"),"staff")</f>
        <v>staff</v>
      </c>
      <c r="C2965" s="1" t="str">
        <f ca="1">IFERROR(__xludf.DUMMYFUNCTION("GOOGLETRANSLATE(E2965, ""zh"", ""en"")"),"Qualitative text")</f>
        <v>Qualitative text</v>
      </c>
    </row>
    <row r="2966" spans="1:3" ht="13" x14ac:dyDescent="0.15">
      <c r="A2966" s="1" t="str">
        <f ca="1">IFERROR(__xludf.DUMMYFUNCTION("GOOGLETRANSLATE(A2966, ""zh"", ""en"")"),"5962 Key Performance Indicator A2.1 Total direct and/or indirect energy consumption by type (e.g., electricity or oil) in thousands of kWh and density (e.g., per unit of production per facility)")</f>
        <v>5962 Key Performance Indicator A2.1 Total direct and/or indirect energy consumption by type (e.g., electricity or oil) in thousands of kWh and density (e.g., per unit of production per facility)</v>
      </c>
      <c r="B2966" s="1" t="str">
        <f ca="1">IFERROR(__xludf.DUMMYFUNCTION("GOOGLETRANSLATE(A2966, ""zh"", ""en"")"),"Energy and resource consumption")</f>
        <v>Energy and resource consumption</v>
      </c>
      <c r="C2966" s="1" t="str">
        <f ca="1">IFERROR(__xludf.DUMMYFUNCTION("GOOGLETRANSLATE(E2966, ""zh"", ""en"")"),"Qualitative text")</f>
        <v>Qualitative text</v>
      </c>
    </row>
    <row r="2967" spans="1:3" ht="13" x14ac:dyDescent="0.15">
      <c r="A2967" s="1" t="str">
        <f ca="1">IFERROR(__xludf.DUMMYFUNCTION("GOOGLETRANSLATE(A2967, ""zh"", ""en"")"),"In order to meet the requirements of high-end pressure-sensitive adhesives, water-based coatings and other fields, the company organized its n-butanol production enterprises to conduct market research and visit users to clarify quality improvement goals a"&amp;"nd formulate quality research plans.")</f>
        <v>In order to meet the requirements of high-end pressure-sensitive adhesives, water-based coatings and other fields, the company organized its n-butanol production enterprises to conduct market research and visit users to clarify quality improvement goals and formulate quality research plans.</v>
      </c>
      <c r="B2967" s="1" t="str">
        <f ca="1">IFERROR(__xludf.DUMMYFUNCTION("GOOGLETRANSLATE(A2967, ""zh"", ""en"")"),"Product quality")</f>
        <v>Product quality</v>
      </c>
      <c r="C2967" s="1" t="str">
        <f ca="1">IFERROR(__xludf.DUMMYFUNCTION("GOOGLETRANSLATE(E2967, ""zh"", ""en"")"),"Qualitative text")</f>
        <v>Qualitative text</v>
      </c>
    </row>
    <row r="2968" spans="1:3" ht="13" x14ac:dyDescent="0.15">
      <c r="A2968" s="1" t="str">
        <f ca="1">IFERROR(__xludf.DUMMYFUNCTION("GOOGLETRANSLATE(A2968, ""zh"", ""en"")"),"In 2022, the company developed an Indigenous Incident Notification Procedure, which clarified the process for notifying Indigenous communities and hunters in the event of an emergency at the Mackay River Oil Sands Project and the Duvernay Shale Gas Projec"&amp;"t.")</f>
        <v>In 2022, the company developed an Indigenous Incident Notification Procedure, which clarified the process for notifying Indigenous communities and hunters in the event of an emergency at the Mackay River Oil Sands Project and the Duvernay Shale Gas Project.</v>
      </c>
      <c r="B2968" s="1" t="str">
        <f ca="1">IFERROR(__xludf.DUMMYFUNCTION("GOOGLETRANSLATE(A2968, ""zh"", ""en"")"),"biodiversity")</f>
        <v>biodiversity</v>
      </c>
      <c r="C2968" s="1" t="str">
        <f ca="1">IFERROR(__xludf.DUMMYFUNCTION("GOOGLETRANSLATE(E2968, ""zh"", ""en"")"),"Qualitative text")</f>
        <v>Qualitative text</v>
      </c>
    </row>
    <row r="2969" spans="1:3" ht="13" x14ac:dyDescent="0.15">
      <c r="A2969" s="1" t="str">
        <f ca="1">IFERROR(__xludf.DUMMYFUNCTION("GOOGLETRANSLATE(A2969, ""zh"", ""en"")"),"In 2016, my country entered an important historical node of the Two Centenary Goals and fully embarked on a new journey of socialist modernization. This year also marked the 40th anniversary of the company's founding and a year in which its profits reache"&amp;"d a record high.")</f>
        <v>In 2016, my country entered an important historical node of the Two Centenary Goals and fully embarked on a new journey of socialist modernization. This year also marked the 40th anniversary of the company's founding and a year in which its profits reached a record high.</v>
      </c>
      <c r="B2969" s="1" t="str">
        <f ca="1">IFERROR(__xludf.DUMMYFUNCTION("GOOGLETRANSLATE(A2969, ""zh"", ""en"")"),"irrelevant text")</f>
        <v>irrelevant text</v>
      </c>
      <c r="C2969" s="1" t="str">
        <f ca="1">IFERROR(__xludf.DUMMYFUNCTION("GOOGLETRANSLATE(E2969, ""zh"", ""en"")"),"irrelevant text")</f>
        <v>irrelevant text</v>
      </c>
    </row>
    <row r="2970" spans="1:3" ht="13" x14ac:dyDescent="0.15">
      <c r="A2970" s="1" t="str">
        <f ca="1">IFERROR(__xludf.DUMMYFUNCTION("GOOGLETRANSLATE(A2970, ""zh"", ""en"")"),"China National Petroleum Corporation held its first pre-employment training camp in June 2022. The company's employees actively participated in the 2022 online skills training event for the petroleum and petrochemical industry hosted by China National Pet"&amp;"roleum Corporation.")</f>
        <v>China National Petroleum Corporation held its first pre-employment training camp in June 2022. The company's employees actively participated in the 2022 online skills training event for the petroleum and petrochemical industry hosted by China National Petroleum Corporation.</v>
      </c>
      <c r="B2970" s="1" t="str">
        <f ca="1">IFERROR(__xludf.DUMMYFUNCTION("GOOGLETRANSLATE(A2970, ""zh"", ""en"")"),"staff")</f>
        <v>staff</v>
      </c>
      <c r="C2970" s="1" t="str">
        <f ca="1">IFERROR(__xludf.DUMMYFUNCTION("GOOGLETRANSLATE(E2970, ""zh"", ""en"")"),"Qualitative text")</f>
        <v>Qualitative text</v>
      </c>
    </row>
    <row r="2971" spans="1:3" ht="13" x14ac:dyDescent="0.15">
      <c r="A2971" s="1" t="str">
        <f ca="1">IFERROR(__xludf.DUMMYFUNCTION("GOOGLETRANSLATE(A2971, ""zh"", ""en"")"),"Volunteers organized a life lesson, established the Buckwheat Flower Scholarship Fund, hosted a campus cultural and arts festival, celebrated birthdays and Children's Day with children, and visited the elderly in the homes of left-behind children, bringin"&amp;"g warmth and joy to the children.")</f>
        <v>Volunteers organized a life lesson, established the Buckwheat Flower Scholarship Fund, hosted a campus cultural and arts festival, celebrated birthdays and Children's Day with children, and visited the elderly in the homes of left-behind children, bringing warmth and joy to the children.</v>
      </c>
      <c r="B2971" s="1" t="str">
        <f ca="1">IFERROR(__xludf.DUMMYFUNCTION("GOOGLETRANSLATE(A2971, ""zh"", ""en"")"),"Public welfare and volunteer service")</f>
        <v>Public welfare and volunteer service</v>
      </c>
      <c r="C2971" s="1" t="str">
        <f ca="1">IFERROR(__xludf.DUMMYFUNCTION("GOOGLETRANSLATE(E2971, ""zh"", ""en"")"),"Qualitative text")</f>
        <v>Qualitative text</v>
      </c>
    </row>
    <row r="2972" spans="1:3" ht="13" x14ac:dyDescent="0.15">
      <c r="A2972" s="1" t="str">
        <f ca="1">IFERROR(__xludf.DUMMYFUNCTION("GOOGLETRANSLATE(A2972, ""zh"", ""en"")"),"After the project is completed, we promise to strictly abide by the relevant laws and regulations of China and other countries where we operate our business and not to conduct business in environmentally sensitive areas and natural ecological protection a"&amp;"reas where the law prohibits it.")</f>
        <v>After the project is completed, we promise to strictly abide by the relevant laws and regulations of China and other countries where we operate our business and not to conduct business in environmentally sensitive areas and natural ecological protection areas where the law prohibits it.</v>
      </c>
      <c r="B2972" s="1" t="str">
        <f ca="1">IFERROR(__xludf.DUMMYFUNCTION("GOOGLETRANSLATE(A2972, ""zh"", ""en"")"),"Legal proceedings and external sanctions")</f>
        <v>Legal proceedings and external sanctions</v>
      </c>
      <c r="C2972" s="1" t="str">
        <f ca="1">IFERROR(__xludf.DUMMYFUNCTION("GOOGLETRANSLATE(E2972, ""zh"", ""en"")"),"Qualitative text")</f>
        <v>Qualitative text</v>
      </c>
    </row>
    <row r="2973" spans="1:3" ht="13" x14ac:dyDescent="0.15">
      <c r="A2973" s="1" t="str">
        <f ca="1">IFERROR(__xludf.DUMMYFUNCTION("GOOGLETRANSLATE(A2973, ""zh"", ""en"")"),"We are continuously exploring new models for charitable donations, combining our own strengths and advantages to carry out diversified charitable donation activities, and continuously expand our influence and encourage our subsidiaries to join the charita"&amp;"ble community.")</f>
        <v>We are continuously exploring new models for charitable donations, combining our own strengths and advantages to carry out diversified charitable donation activities, and continuously expand our influence and encourage our subsidiaries to join the charitable community.</v>
      </c>
      <c r="B2973" s="1" t="str">
        <f ca="1">IFERROR(__xludf.DUMMYFUNCTION("GOOGLETRANSLATE(A2973, ""zh"", ""en"")"),"Public welfare and volunteer service")</f>
        <v>Public welfare and volunteer service</v>
      </c>
      <c r="C2973" s="1" t="str">
        <f ca="1">IFERROR(__xludf.DUMMYFUNCTION("GOOGLETRANSLATE(E2973, ""zh"", ""en"")"),"Qualitative text")</f>
        <v>Qualitative text</v>
      </c>
    </row>
    <row r="2974" spans="1:3" ht="13" x14ac:dyDescent="0.15">
      <c r="A2974" s="1" t="str">
        <f ca="1">IFERROR(__xludf.DUMMYFUNCTION("GOOGLETRANSLATE(A2974, ""zh"", ""en"")"),"Environmental Risk Prevention and Control The company incorporates environmental risks into its internal risk control system, conducts in-depth identification, investigation and assessment of ecological and environmental risks, continuously improves its t"&amp;"hree-level prevention and control system, and strengthens ecological and environmental risk prevention and control measures.")</f>
        <v>Environmental Risk Prevention and Control The company incorporates environmental risks into its internal risk control system, conducts in-depth identification, investigation and assessment of ecological and environmental risks, continuously improves its three-level prevention and control system, and strengthens ecological and environmental risk prevention and control measures.</v>
      </c>
      <c r="B2974" s="1" t="str">
        <f ca="1">IFERROR(__xludf.DUMMYFUNCTION("GOOGLETRANSLATE(A2974, ""zh"", ""en"")"),"Environmental Policy")</f>
        <v>Environmental Policy</v>
      </c>
      <c r="C2974" s="1" t="str">
        <f ca="1">IFERROR(__xludf.DUMMYFUNCTION("GOOGLETRANSLATE(E2974, ""zh"", ""en"")"),"Qualitative text")</f>
        <v>Qualitative text</v>
      </c>
    </row>
    <row r="2975" spans="1:3" ht="13" x14ac:dyDescent="0.15">
      <c r="A2975" s="1" t="str">
        <f ca="1">IFERROR(__xludf.DUMMYFUNCTION("GOOGLETRANSLATE(A2975, ""zh"", ""en"")"),"In the first phase of the protection of Shuxiang Hisense with strength and warmth, in order to better protect the health of employees during the special period, the company contacted a professional disinfection agency to thoroughly disinfect key places in"&amp;" the office and production areas.")</f>
        <v>In the first phase of the protection of Shuxiang Hisense with strength and warmth, in order to better protect the health of employees during the special period, the company contacted a professional disinfection agency to thoroughly disinfect key places in the office and production areas.</v>
      </c>
      <c r="B2975" s="1" t="str">
        <f ca="1">IFERROR(__xludf.DUMMYFUNCTION("GOOGLETRANSLATE(A2975, ""zh"", ""en"")"),"Fighting the epidemic")</f>
        <v>Fighting the epidemic</v>
      </c>
      <c r="C2975" s="1" t="str">
        <f ca="1">IFERROR(__xludf.DUMMYFUNCTION("GOOGLETRANSLATE(E2975, ""zh"", ""en"")"),"Qualitative text")</f>
        <v>Qualitative text</v>
      </c>
    </row>
    <row r="2976" spans="1:3" ht="13" x14ac:dyDescent="0.15">
      <c r="A2976" s="1" t="str">
        <f ca="1">IFERROR(__xludf.DUMMYFUNCTION("GOOGLETRANSLATE(A2976, ""zh"", ""en"")"),"At the same time, in order to more comprehensively enhance the interaction between the company and investors and fully consider the needs of different investors, Shanghai Electric has broadened the channels of interaction and enriched the methods of inter"&amp;"action by combining online and offline methods.")</f>
        <v>At the same time, in order to more comprehensively enhance the interaction between the company and investors and fully consider the needs of different investors, Shanghai Electric has broadened the channels of interaction and enriched the methods of interaction by combining online and offline methods.</v>
      </c>
      <c r="B2976" s="1" t="str">
        <f ca="1">IFERROR(__xludf.DUMMYFUNCTION("GOOGLETRANSLATE(A2976, ""zh"", ""en"")"),"Information Disclosure and Investor Communication")</f>
        <v>Information Disclosure and Investor Communication</v>
      </c>
      <c r="C2976" s="1" t="str">
        <f ca="1">IFERROR(__xludf.DUMMYFUNCTION("GOOGLETRANSLATE(E2976, ""zh"", ""en"")"),"Qualitative text")</f>
        <v>Qualitative text</v>
      </c>
    </row>
    <row r="2977" spans="1:3" ht="13" x14ac:dyDescent="0.15">
      <c r="A2977" s="1" t="str">
        <f ca="1">IFERROR(__xludf.DUMMYFUNCTION("GOOGLETRANSLATE(A2977, ""zh"", ""en"")"),"We guarantee employees' statutory holidays and vacations in accordance with national or local regulations, and pay pension insurance, medical insurance, unemployment insurance, work injury insurance, maternity insurance, and housing provident fund for all"&amp;" employees.")</f>
        <v>We guarantee employees' statutory holidays and vacations in accordance with national or local regulations, and pay pension insurance, medical insurance, unemployment insurance, work injury insurance, maternity insurance, and housing provident fund for all employees.</v>
      </c>
      <c r="B2977" s="1" t="str">
        <f ca="1">IFERROR(__xludf.DUMMYFUNCTION("GOOGLETRANSLATE(A2977, ""zh"", ""en"")"),"staff")</f>
        <v>staff</v>
      </c>
      <c r="C2977" s="1" t="str">
        <f ca="1">IFERROR(__xludf.DUMMYFUNCTION("GOOGLETRANSLATE(E2977, ""zh"", ""en"")"),"Qualitative text")</f>
        <v>Qualitative text</v>
      </c>
    </row>
    <row r="2978" spans="1:3" ht="13" x14ac:dyDescent="0.15">
      <c r="A2978" s="1" t="str">
        <f ca="1">IFERROR(__xludf.DUMMYFUNCTION("GOOGLETRANSLATE(A2978, ""zh"", ""en"")"),"New employees enter the company and complete their initial term. From the competency strategy to the establishment of a systematic and professional talent supply chain system to create a sustainable talent team. After the advancement period, they can choo"&amp;"se one according to their own development wishes.")</f>
        <v>New employees enter the company and complete their initial term. From the competency strategy to the establishment of a systematic and professional talent supply chain system to create a sustainable talent team. After the advancement period, they can choose one according to their own development wishes.</v>
      </c>
      <c r="B2978" s="1" t="str">
        <f ca="1">IFERROR(__xludf.DUMMYFUNCTION("GOOGLETRANSLATE(A2978, ""zh"", ""en"")"),"staff")</f>
        <v>staff</v>
      </c>
      <c r="C2978" s="1" t="str">
        <f ca="1">IFERROR(__xludf.DUMMYFUNCTION("GOOGLETRANSLATE(E2978, ""zh"", ""en"")"),"Qualitative text")</f>
        <v>Qualitative text</v>
      </c>
    </row>
    <row r="2979" spans="1:3" ht="13" x14ac:dyDescent="0.15">
      <c r="A2979" s="1" t="str">
        <f ca="1">IFERROR(__xludf.DUMMYFUNCTION("GOOGLETRANSLATE(A2979, ""zh"", ""en"")"),"After an employee files a complaint, the complaint acceptance department will promptly investigate the complaint, interview relevant personnel, obtain written materials for verification, and formulate a result to properly handle employee complaints and pr"&amp;"otect employee rights.")</f>
        <v>After an employee files a complaint, the complaint acceptance department will promptly investigate the complaint, interview relevant personnel, obtain written materials for verification, and formulate a result to properly handle employee complaints and protect employee rights.</v>
      </c>
      <c r="B2979" s="1" t="str">
        <f ca="1">IFERROR(__xludf.DUMMYFUNCTION("GOOGLETRANSLATE(A2979, ""zh"", ""en"")"),"Reporting System")</f>
        <v>Reporting System</v>
      </c>
      <c r="C2979" s="1" t="str">
        <f ca="1">IFERROR(__xludf.DUMMYFUNCTION("GOOGLETRANSLATE(E2979, ""zh"", ""en"")"),"Qualitative text")</f>
        <v>Qualitative text</v>
      </c>
    </row>
    <row r="2980" spans="1:3" ht="13" x14ac:dyDescent="0.15">
      <c r="A2980" s="1" t="str">
        <f ca="1">IFERROR(__xludf.DUMMYFUNCTION("GOOGLETRANSLATE(A2980, ""zh"", ""en"")"),"Dongyuan Dexin Jiuzhangfu was delivered in 2022. The overall delivery quality and product strength were highly recognized by customers, and achieved high satisfaction, becoming a benchmark project in the region.")</f>
        <v>Dongyuan Dexin Jiuzhangfu was delivered in 2022. The overall delivery quality and product strength were highly recognized by customers, and achieved high satisfaction, becoming a benchmark project in the region.</v>
      </c>
      <c r="B2980" s="1" t="str">
        <f ca="1">IFERROR(__xludf.DUMMYFUNCTION("GOOGLETRANSLATE(A2980, ""zh"", ""en"")"),"Customers and Consumers")</f>
        <v>Customers and Consumers</v>
      </c>
      <c r="C2980" s="1" t="str">
        <f ca="1">IFERROR(__xludf.DUMMYFUNCTION("GOOGLETRANSLATE(E2980, ""zh"", ""en"")"),"Qualitative text")</f>
        <v>Qualitative text</v>
      </c>
    </row>
    <row r="2981" spans="1:3" ht="13" x14ac:dyDescent="0.15">
      <c r="A2981" s="1" t="str">
        <f ca="1">IFERROR(__xludf.DUMMYFUNCTION("GOOGLETRANSLATE(A2981, ""zh"", ""en"")"),"Focusing on upgrading and accelerating the implementation of the three major projects, one action and four centers, the autonomous management capabilities of grassroots operating units are enhanced, and urgent, difficult and dangerous tasks are carried ou"&amp;"t to establish meritorious services and projects, fully demonstrating the banner role of Party members.")</f>
        <v>Focusing on upgrading and accelerating the implementation of the three major projects, one action and four centers, the autonomous management capabilities of grassroots operating units are enhanced, and urgent, difficult and dangerous tasks are carried out to establish meritorious services and projects, fully demonstrating the banner role of Party members.</v>
      </c>
      <c r="B2981" s="1" t="str">
        <f ca="1">IFERROR(__xludf.DUMMYFUNCTION("GOOGLETRANSLATE(A2981, ""zh"", ""en"")"),"staff")</f>
        <v>staff</v>
      </c>
      <c r="C2981" s="1" t="str">
        <f ca="1">IFERROR(__xludf.DUMMYFUNCTION("GOOGLETRANSLATE(E2981, ""zh"", ""en"")"),"Qualitative text")</f>
        <v>Qualitative text</v>
      </c>
    </row>
    <row r="2982" spans="1:3" ht="13" x14ac:dyDescent="0.15">
      <c r="A2982" s="1" t="str">
        <f ca="1">IFERROR(__xludf.DUMMYFUNCTION("GOOGLETRANSLATE(A2982, ""zh"", ""en"")"),"Free vehicle inspections were provided to car owners on the eve of the Spring Festival to help those traveling and returning home safely and comfortably during the Spring Festival travel rush. Member companies provided free return tickets to migrant worke"&amp;"rs to help with the Spring Festival travel rush.")</f>
        <v>Free vehicle inspections were provided to car owners on the eve of the Spring Festival to help those traveling and returning home safely and comfortably during the Spring Festival travel rush. Member companies provided free return tickets to migrant workers to help with the Spring Festival travel rush.</v>
      </c>
      <c r="B2982" s="1" t="str">
        <f ca="1">IFERROR(__xludf.DUMMYFUNCTION("GOOGLETRANSLATE(A2982, ""zh"", ""en"")"),"Fighting the epidemic")</f>
        <v>Fighting the epidemic</v>
      </c>
      <c r="C2982" s="1" t="str">
        <f ca="1">IFERROR(__xludf.DUMMYFUNCTION("GOOGLETRANSLATE(E2982, ""zh"", ""en"")"),"Qualitative text")</f>
        <v>Qualitative text</v>
      </c>
    </row>
    <row r="2983" spans="1:3" ht="13" x14ac:dyDescent="0.15">
      <c r="A2983" s="1" t="str">
        <f ca="1">IFERROR(__xludf.DUMMYFUNCTION("GOOGLETRANSLATE(A2983, ""zh"", ""en"")"),"The focus is on building an organic whole of the internal control system by improving the internal control system architecture, revising and improving key systems, and strengthening the effectiveness of internal control execution, so as to provide support"&amp;" and guarantee for promoting the high-quality development of the group.")</f>
        <v>The focus is on building an organic whole of the internal control system by improving the internal control system architecture, revising and improving key systems, and strengthening the effectiveness of internal control execution, so as to provide support and guarantee for promoting the high-quality development of the group.</v>
      </c>
      <c r="B2983" s="1" t="str">
        <f ca="1">IFERROR(__xludf.DUMMYFUNCTION("GOOGLETRANSLATE(A2983, ""zh"", ""en"")"),"Organizational structure and operations")</f>
        <v>Organizational structure and operations</v>
      </c>
      <c r="C2983" s="1" t="str">
        <f ca="1">IFERROR(__xludf.DUMMYFUNCTION("GOOGLETRANSLATE(E2983, ""zh"", ""en"")"),"Qualitative text")</f>
        <v>Qualitative text</v>
      </c>
    </row>
    <row r="2984" spans="1:3" ht="13" x14ac:dyDescent="0.15">
      <c r="A2984" s="1" t="str">
        <f ca="1">IFERROR(__xludf.DUMMYFUNCTION("GOOGLETRANSLATE(A2984, ""zh"", ""en"")"),"Our Tazhong Mining station is located at the mouth of the Fergana Basin. To the north of the basin lies the Chatkar Mountains of the Tianshan Mountains, home to precious and endangered wild animals such as black storks, golden eagles, white-shouldered eag"&amp;"les, snow leopards, and ibex.")</f>
        <v>Our Tazhong Mining station is located at the mouth of the Fergana Basin. To the north of the basin lies the Chatkar Mountains of the Tianshan Mountains, home to precious and endangered wild animals such as black storks, golden eagles, white-shouldered eagles, snow leopards, and ibex.</v>
      </c>
      <c r="B2984" s="1" t="str">
        <f ca="1">IFERROR(__xludf.DUMMYFUNCTION("GOOGLETRANSLATE(A2984, ""zh"", ""en"")"),"biodiversity")</f>
        <v>biodiversity</v>
      </c>
      <c r="C2984" s="1" t="str">
        <f ca="1">IFERROR(__xludf.DUMMYFUNCTION("GOOGLETRANSLATE(E2984, ""zh"", ""en"")"),"Qualitative text")</f>
        <v>Qualitative text</v>
      </c>
    </row>
    <row r="2985" spans="1:3" ht="13" x14ac:dyDescent="0.15">
      <c r="A2985" s="1" t="str">
        <f ca="1">IFERROR(__xludf.DUMMYFUNCTION("GOOGLETRANSLATE(A2985, ""zh"", ""en"")"),"2. Reserve Water Resources We actively participate in local water supply project construction and reservoir construction. By building reservoirs to buffer rainwater and snowmelt water, we improve water resource utilization efficiency and alleviate local w"&amp;"ater resource pressure.")</f>
        <v>2. Reserve Water Resources We actively participate in local water supply project construction and reservoir construction. By building reservoirs to buffer rainwater and snowmelt water, we improve water resource utilization efficiency and alleviate local water resource pressure.</v>
      </c>
      <c r="B2985" s="1" t="str">
        <f ca="1">IFERROR(__xludf.DUMMYFUNCTION("GOOGLETRANSLATE(A2985, ""zh"", ""en"")"),"Water resources")</f>
        <v>Water resources</v>
      </c>
      <c r="C2985" s="1" t="str">
        <f ca="1">IFERROR(__xludf.DUMMYFUNCTION("GOOGLETRANSLATE(E2985, ""zh"", ""en"")"),"Qualitative text")</f>
        <v>Qualitative text</v>
      </c>
    </row>
    <row r="2986" spans="1:3" ht="13" x14ac:dyDescent="0.15">
      <c r="A2986" s="1" t="str">
        <f ca="1">IFERROR(__xludf.DUMMYFUNCTION("GOOGLETRANSLATE(A2986, ""zh"", ""en"")"),"SDIC Capital's 2022 ESG Report: Strengthening the Foundation for Sustainable Development 323333: Stimulating Organizational Vitality SDIC Capital: Adhering to a holistic approach to Party building, leveraging Party building to energize the team.")</f>
        <v>SDIC Capital's 2022 ESG Report: Strengthening the Foundation for Sustainable Development 323333: Stimulating Organizational Vitality SDIC Capital: Adhering to a holistic approach to Party building, leveraging Party building to energize the team.</v>
      </c>
      <c r="B2986" s="1" t="str">
        <f ca="1">IFERROR(__xludf.DUMMYFUNCTION("GOOGLETRANSLATE(A2986, ""zh"", ""en"")"),"Organizational structure and operations")</f>
        <v>Organizational structure and operations</v>
      </c>
      <c r="C2986" s="1" t="str">
        <f ca="1">IFERROR(__xludf.DUMMYFUNCTION("GOOGLETRANSLATE(E2986, ""zh"", ""en"")"),"Qualitative text")</f>
        <v>Qualitative text</v>
      </c>
    </row>
    <row r="2987" spans="1:3" ht="13" x14ac:dyDescent="0.15">
      <c r="A2987" s="1" t="str">
        <f ca="1">IFERROR(__xludf.DUMMYFUNCTION("GOOGLETRANSLATE(A2987, ""zh"", ""en"")"),"Jiaozuo Kangyuan 7ACA Bacterial Endotoxin Special Testing Case 272022 Social Responsibility Report Instruction Management Instruction and label management are important components of product quality management.")</f>
        <v>Jiaozuo Kangyuan 7ACA Bacterial Endotoxin Special Testing Case 272022 Social Responsibility Report Instruction Management Instruction and label management are important components of product quality management.</v>
      </c>
      <c r="B2987" s="1" t="str">
        <f ca="1">IFERROR(__xludf.DUMMYFUNCTION("GOOGLETRANSLATE(A2987, ""zh"", ""en"")"),"Product quality")</f>
        <v>Product quality</v>
      </c>
      <c r="C2987" s="1" t="str">
        <f ca="1">IFERROR(__xludf.DUMMYFUNCTION("GOOGLETRANSLATE(E2987, ""zh"", ""en"")"),"Qualitative text")</f>
        <v>Qualitative text</v>
      </c>
    </row>
    <row r="2988" spans="1:3" ht="13" x14ac:dyDescent="0.15">
      <c r="A2988" s="1" t="str">
        <f ca="1">IFERROR(__xludf.DUMMYFUNCTION("GOOGLETRANSLATE(A2988, ""zh"", ""en"")"),"We assessed water stress levels based on the Water Stress Index released by the World Resources Institute (WRI) and found that Tajikistan is a high-risk area for water stress, while Argentina is a medium-to-high-risk area.")</f>
        <v>We assessed water stress levels based on the Water Stress Index released by the World Resources Institute (WRI) and found that Tajikistan is a high-risk area for water stress, while Argentina is a medium-to-high-risk area.</v>
      </c>
      <c r="B2988" s="1" t="str">
        <f ca="1">IFERROR(__xludf.DUMMYFUNCTION("GOOGLETRANSLATE(A2988, ""zh"", ""en"")"),"Water resources")</f>
        <v>Water resources</v>
      </c>
      <c r="C2988" s="1" t="str">
        <f ca="1">IFERROR(__xludf.DUMMYFUNCTION("GOOGLETRANSLATE(E2988, ""zh"", ""en"")"),"Qualitative text")</f>
        <v>Qualitative text</v>
      </c>
    </row>
    <row r="2989" spans="1:3" ht="13" x14ac:dyDescent="0.15">
      <c r="A2989" s="1" t="str">
        <f ca="1">IFERROR(__xludf.DUMMYFUNCTION("GOOGLETRANSLATE(A2989, ""zh"", ""en"")"),"COSL Middle East 2022 ESG Report 222222 COSL Indonesia won the Gold Award for Safety Operations from Husky CNOOC Madura Limited (HCML)")</f>
        <v>COSL Middle East 2022 ESG Report 222222 COSL Indonesia won the Gold Award for Safety Operations from Husky CNOOC Madura Limited (HCML)</v>
      </c>
      <c r="B2989" s="1" t="str">
        <f ca="1">IFERROR(__xludf.DUMMYFUNCTION("GOOGLETRANSLATE(A2989, ""zh"", ""en"")"),"staff")</f>
        <v>staff</v>
      </c>
      <c r="C2989" s="1" t="str">
        <f ca="1">IFERROR(__xludf.DUMMYFUNCTION("GOOGLETRANSLATE(E2989, ""zh"", ""en"")"),"Quantitative Text")</f>
        <v>Quantitative Text</v>
      </c>
    </row>
    <row r="2990" spans="1:3" ht="13" x14ac:dyDescent="0.15">
      <c r="A2990" s="1" t="str">
        <f ca="1">IFERROR(__xludf.DUMMYFUNCTION("GOOGLETRANSLATE(A2990, ""zh"", ""en"")"),"At the opening ceremony, Yuan Art Museum and Chongqing Liangjiang New District Zhilong Social Work Service Center jointly invited volunteers to provide sign language interpretation for the entire opening ceremony and provide assistance to the hearing-impa"&amp;"ired children present.")</f>
        <v>At the opening ceremony, Yuan Art Museum and Chongqing Liangjiang New District Zhilong Social Work Service Center jointly invited volunteers to provide sign language interpretation for the entire opening ceremony and provide assistance to the hearing-impaired children present.</v>
      </c>
      <c r="B2990" s="1" t="str">
        <f ca="1">IFERROR(__xludf.DUMMYFUNCTION("GOOGLETRANSLATE(A2990, ""zh"", ""en"")"),"Public welfare and volunteer service")</f>
        <v>Public welfare and volunteer service</v>
      </c>
      <c r="C2990" s="1" t="str">
        <f ca="1">IFERROR(__xludf.DUMMYFUNCTION("GOOGLETRANSLATE(E2990, ""zh"", ""en"")"),"Qualitative text")</f>
        <v>Qualitative text</v>
      </c>
    </row>
    <row r="2991" spans="1:3" ht="13" x14ac:dyDescent="0.15">
      <c r="A2991" s="1" t="str">
        <f ca="1">IFERROR(__xludf.DUMMYFUNCTION("GOOGLETRANSLATE(A2991, ""zh"", ""en"")"),"Shanghai Electric Group Co., Ltd. (3535) Shanghai Electric has implemented various initiatives to continuously improve ESG management effectiveness and regularly summarizes its experience to actively seek continuous optimization.")</f>
        <v>Shanghai Electric Group Co., Ltd. (3535) Shanghai Electric has implemented various initiatives to continuously improve ESG management effectiveness and regularly summarizes its experience to actively seek continuous optimization.</v>
      </c>
      <c r="B2991" s="1" t="str">
        <f ca="1">IFERROR(__xludf.DUMMYFUNCTION("GOOGLETRANSLATE(A2991, ""zh"", ""en"")"),"irrelevant text")</f>
        <v>irrelevant text</v>
      </c>
      <c r="C2991" s="1" t="str">
        <f ca="1">IFERROR(__xludf.DUMMYFUNCTION("GOOGLETRANSLATE(E2991, ""zh"", ""en"")"),"irrelevant text")</f>
        <v>irrelevant text</v>
      </c>
    </row>
    <row r="2992" spans="1:3" ht="13" x14ac:dyDescent="0.15">
      <c r="A2992" s="1" t="str">
        <f ca="1">IFERROR(__xludf.DUMMYFUNCTION("GOOGLETRANSLATE(A2992, ""zh"", ""en"")"),"362022 Social Responsibility Report Stakeholder Engagement In recent years, Shanghai Electric has actively cultivated new momentum, vigorously promoted the continuous conversion of old and new momentum, and is committed to becoming a leader in new energy "&amp;"equipment.")</f>
        <v>362022 Social Responsibility Report Stakeholder Engagement In recent years, Shanghai Electric has actively cultivated new momentum, vigorously promoted the continuous conversion of old and new momentum, and is committed to becoming a leader in new energy equipment.</v>
      </c>
      <c r="B2992" s="1" t="str">
        <f ca="1">IFERROR(__xludf.DUMMYFUNCTION("GOOGLETRANSLATE(A2992, ""zh"", ""en"")"),"Technological innovation")</f>
        <v>Technological innovation</v>
      </c>
      <c r="C2992" s="1" t="str">
        <f ca="1">IFERROR(__xludf.DUMMYFUNCTION("GOOGLETRANSLATE(E2992, ""zh"", ""en"")"),"Qualitative text")</f>
        <v>Qualitative text</v>
      </c>
    </row>
    <row r="2993" spans="1:3" ht="13" x14ac:dyDescent="0.15">
      <c r="A2993" s="1" t="str">
        <f ca="1">IFERROR(__xludf.DUMMYFUNCTION("GOOGLETRANSLATE(A2993, ""zh"", ""en"")"),"The company has established a comprehensive welfare security system to provide employees with basic pension, basic medical care, unemployment, work injury, childbirth and other basic social insurance and housing provident fund, and provide employees with "&amp;"corporate annuity and other benefits.")</f>
        <v>The company has established a comprehensive welfare security system to provide employees with basic pension, basic medical care, unemployment, work injury, childbirth and other basic social insurance and housing provident fund, and provide employees with corporate annuity and other benefits.</v>
      </c>
      <c r="B2993" s="1" t="str">
        <f ca="1">IFERROR(__xludf.DUMMYFUNCTION("GOOGLETRANSLATE(A2993, ""zh"", ""en"")"),"staff")</f>
        <v>staff</v>
      </c>
      <c r="C2993" s="1" t="str">
        <f ca="1">IFERROR(__xludf.DUMMYFUNCTION("GOOGLETRANSLATE(E2993, ""zh"", ""en"")"),"Qualitative text")</f>
        <v>Qualitative text</v>
      </c>
    </row>
    <row r="2994" spans="1:3" ht="13" x14ac:dyDescent="0.15">
      <c r="A2994" s="1" t="str">
        <f ca="1">IFERROR(__xludf.DUMMYFUNCTION("GOOGLETRANSLATE(A2994, ""zh"", ""en"")"),"37 CITIC Securities 2022 Annual Social Responsibility Report 4. Employee Care The company emphasizes humanistic care, creating a healthy and comfortable office space for employees and striving to enhance their sense of happiness and belonging.")</f>
        <v>37 CITIC Securities 2022 Annual Social Responsibility Report 4. Employee Care The company emphasizes humanistic care, creating a healthy and comfortable office space for employees and striving to enhance their sense of happiness and belonging.</v>
      </c>
      <c r="B2994" s="1" t="str">
        <f ca="1">IFERROR(__xludf.DUMMYFUNCTION("GOOGLETRANSLATE(A2994, ""zh"", ""en"")"),"staff")</f>
        <v>staff</v>
      </c>
      <c r="C2994" s="1" t="str">
        <f ca="1">IFERROR(__xludf.DUMMYFUNCTION("GOOGLETRANSLATE(E2994, ""zh"", ""en"")"),"Qualitative text")</f>
        <v>Qualitative text</v>
      </c>
    </row>
    <row r="2995" spans="1:3" ht="13" x14ac:dyDescent="0.15">
      <c r="A2995" s="1" t="str">
        <f ca="1">IFERROR(__xludf.DUMMYFUNCTION("GOOGLETRANSLATE(A2995, ""zh"", ""en"")"),"We use regular communication, probation interviews, and exit interviews to truly understand employee demands and provide targeted improvements to address practical difficulties faced by employees in their work and daily lives based on their feedback.")</f>
        <v>We use regular communication, probation interviews, and exit interviews to truly understand employee demands and provide targeted improvements to address practical difficulties faced by employees in their work and daily lives based on their feedback.</v>
      </c>
      <c r="B2995" s="1" t="str">
        <f ca="1">IFERROR(__xludf.DUMMYFUNCTION("GOOGLETRANSLATE(A2995, ""zh"", ""en"")"),"staff")</f>
        <v>staff</v>
      </c>
      <c r="C2995" s="1" t="str">
        <f ca="1">IFERROR(__xludf.DUMMYFUNCTION("GOOGLETRANSLATE(E2995, ""zh"", ""en"")"),"Qualitative text")</f>
        <v>Qualitative text</v>
      </c>
    </row>
    <row r="2996" spans="1:3" ht="13" x14ac:dyDescent="0.15">
      <c r="A2996" s="1" t="str">
        <f ca="1">IFERROR(__xludf.DUMMYFUNCTION("GOOGLETRANSLATE(A2996, ""zh"", ""en"")"),"Prepare guidance on strengthening internal control risk management, provide risk management case studies to guide units at all levels to better and more effectively respond to various risk challenges, strengthen bottom-line thinking at all levels, and bui"&amp;"ld a strong risk firewall.")</f>
        <v>Prepare guidance on strengthening internal control risk management, provide risk management case studies to guide units at all levels to better and more effectively respond to various risk challenges, strengthen bottom-line thinking at all levels, and build a strong risk firewall.</v>
      </c>
      <c r="B2996" s="1" t="str">
        <f ca="1">IFERROR(__xludf.DUMMYFUNCTION("GOOGLETRANSLATE(A2996, ""zh"", ""en"")"),"Legal proceedings and external sanctions")</f>
        <v>Legal proceedings and external sanctions</v>
      </c>
      <c r="C2996" s="1" t="str">
        <f ca="1">IFERROR(__xludf.DUMMYFUNCTION("GOOGLETRANSLATE(E2996, ""zh"", ""en"")"),"Qualitative text")</f>
        <v>Qualitative text</v>
      </c>
    </row>
    <row r="2997" spans="1:3" ht="13" x14ac:dyDescent="0.15">
      <c r="A2997" s="1" t="str">
        <f ca="1">IFERROR(__xludf.DUMMYFUNCTION("GOOGLETRANSLATE(A2997, ""zh"", ""en"")"),"AIoT software platform supplier Smart security Smart parking Smart access control Smart home AI visual analysis Personnel positioning Environmental monitoring Smart elevator call Elderly living alone monitoring EBA facility equipment management")</f>
        <v>AIoT software platform supplier Smart security Smart parking Smart access control Smart home AI visual analysis Personnel positioning Environmental monitoring Smart elevator call Elderly living alone monitoring EBA facility equipment management</v>
      </c>
      <c r="B2997" s="1" t="str">
        <f ca="1">IFERROR(__xludf.DUMMYFUNCTION("GOOGLETRANSLATE(A2997, ""zh"", ""en"")"),"Technological innovation")</f>
        <v>Technological innovation</v>
      </c>
      <c r="C2997" s="1" t="str">
        <f ca="1">IFERROR(__xludf.DUMMYFUNCTION("GOOGLETRANSLATE(E2997, ""zh"", ""en"")"),"Qualitative text")</f>
        <v>Qualitative text</v>
      </c>
    </row>
    <row r="2998" spans="1:3" ht="13" x14ac:dyDescent="0.15">
      <c r="A2998" s="1" t="str">
        <f ca="1">IFERROR(__xludf.DUMMYFUNCTION("GOOGLETRANSLATE(A2998, ""zh"", ""en"")"),"my country attaches great importance to the prevention and treatment of chronic respiratory diseases and has included it as one of the main tasks of the Healthy China Action Plan 2019-2030. It also gives priority encouragement and support to the research "&amp;"and development of inhalation preparations.")</f>
        <v>my country attaches great importance to the prevention and treatment of chronic respiratory diseases and has included it as one of the main tasks of the Healthy China Action Plan 2019-2030. It also gives priority encouragement and support to the research and development of inhalation preparations.</v>
      </c>
      <c r="B2998" s="1" t="str">
        <f ca="1">IFERROR(__xludf.DUMMYFUNCTION("GOOGLETRANSLATE(A2998, ""zh"", ""en"")"),"Fighting the epidemic")</f>
        <v>Fighting the epidemic</v>
      </c>
      <c r="C2998" s="1" t="str">
        <f ca="1">IFERROR(__xludf.DUMMYFUNCTION("GOOGLETRANSLATE(E2998, ""zh"", ""en"")"),"Qualitative text")</f>
        <v>Qualitative text</v>
      </c>
    </row>
    <row r="2999" spans="1:3" ht="13" x14ac:dyDescent="0.15">
      <c r="A2999" s="1" t="str">
        <f ca="1">IFERROR(__xludf.DUMMYFUNCTION("GOOGLETRANSLATE(A2999, ""zh"", ""en"")"),"The party organizations and league organizations at all levels of the company carried out a wide range of learning activities with rich contents in the form of the first topic, the party committee, the central group, the branch, the three meetings and one"&amp;" class in accordance with the requirements of the superior deployment and the actual situation of the unit.")</f>
        <v>The party organizations and league organizations at all levels of the company carried out a wide range of learning activities with rich contents in the form of the first topic, the party committee, the central group, the branch, the three meetings and one class in accordance with the requirements of the superior deployment and the actual situation of the unit.</v>
      </c>
      <c r="B2999" s="1" t="str">
        <f ca="1">IFERROR(__xludf.DUMMYFUNCTION("GOOGLETRANSLATE(A2999, ""zh"", ""en"")"),"Organizational structure and operations")</f>
        <v>Organizational structure and operations</v>
      </c>
      <c r="C2999" s="1" t="str">
        <f ca="1">IFERROR(__xludf.DUMMYFUNCTION("GOOGLETRANSLATE(E2999, ""zh"", ""en"")"),"Qualitative text")</f>
        <v>Qualitative text</v>
      </c>
    </row>
    <row r="3000" spans="1:3" ht="13" x14ac:dyDescent="0.15">
      <c r="A3000" s="1" t="str">
        <f ca="1">IFERROR(__xludf.DUMMYFUNCTION("GOOGLETRANSLATE(A3000, ""zh"", ""en"")"),"On the one hand, the company strengthens the management of business secrets by signing confidentiality agreements with employees. On the other hand, the company strengthens the confidentiality of employees' personal information by adopting sealed medical "&amp;"examination reports, salary letters, etc.")</f>
        <v>On the one hand, the company strengthens the management of business secrets by signing confidentiality agreements with employees. On the other hand, the company strengthens the confidentiality of employees' personal information by adopting sealed medical examination reports, salary letters, etc.</v>
      </c>
      <c r="B3000" s="1" t="str">
        <f ca="1">IFERROR(__xludf.DUMMYFUNCTION("GOOGLETRANSLATE(A3000, ""zh"", ""en"")"),"Data security")</f>
        <v>Data security</v>
      </c>
      <c r="C3000" s="1" t="str">
        <f ca="1">IFERROR(__xludf.DUMMYFUNCTION("GOOGLETRANSLATE(E3000, ""zh"", ""en"")"),"Qualitative text")</f>
        <v>Qualitative text</v>
      </c>
    </row>
    <row r="3001" spans="1:3" ht="13" x14ac:dyDescent="0.15">
      <c r="A3001" s="1" t="str">
        <f ca="1">IFERROR(__xludf.DUMMYFUNCTION("GOOGLETRANSLATE(A3001, ""zh"", ""en"")"),"In Tajikistan, we work with the local government to actively implement recruitment policies to provide more employment opportunities for local residents. We also conduct vocational training and skills improvement courses to help them improve their employm"&amp;"ent competitiveness.")</f>
        <v>In Tajikistan, we work with the local government to actively implement recruitment policies to provide more employment opportunities for local residents. We also conduct vocational training and skills improvement courses to help them improve their employment competitiveness.</v>
      </c>
      <c r="B3001" s="1" t="str">
        <f ca="1">IFERROR(__xludf.DUMMYFUNCTION("GOOGLETRANSLATE(A3001, ""zh"", ""en"")"),"Promoting employment")</f>
        <v>Promoting employment</v>
      </c>
      <c r="C3001" s="1" t="str">
        <f ca="1">IFERROR(__xludf.DUMMYFUNCTION("GOOGLETRANSLATE(E3001, ""zh"", ""en"")"),"Qualitative text")</f>
        <v>Qualitative text</v>
      </c>
    </row>
    <row r="3002" spans="1:3" ht="13" x14ac:dyDescent="0.15">
      <c r="A3002" s="1" t="str">
        <f ca="1">IFERROR(__xludf.DUMMYFUNCTION("GOOGLETRANSLATE(A3002, ""zh"", ""en"")"),"The third is to optimize the allocation of human resources, strive to achieve a more complete industrial chain and a higher-end value chain in the nylon 66 and specialty nylon related industrial systems, and build a domestic first-class and world-leading "&amp;"nylon new material industrial base.")</f>
        <v>The third is to optimize the allocation of human resources, strive to achieve a more complete industrial chain and a higher-end value chain in the nylon 66 and specialty nylon related industrial systems, and build a domestic first-class and world-leading nylon new material industrial base.</v>
      </c>
      <c r="B3002" s="1" t="str">
        <f ca="1">IFERROR(__xludf.DUMMYFUNCTION("GOOGLETRANSLATE(A3002, ""zh"", ""en"")"),"raw materials")</f>
        <v>raw materials</v>
      </c>
      <c r="C3002" s="1" t="str">
        <f ca="1">IFERROR(__xludf.DUMMYFUNCTION("GOOGLETRANSLATE(E3002, ""zh"", ""en"")"),"Qualitative text")</f>
        <v>Qualitative text</v>
      </c>
    </row>
    <row r="3003" spans="1:3" ht="13" x14ac:dyDescent="0.15">
      <c r="A3003" s="1" t="str">
        <f ca="1">IFERROR(__xludf.DUMMYFUNCTION("GOOGLETRANSLATE(A3003, ""zh"", ""en"")"),"The establishment of the above-mentioned technology platform will promote the Institute to form independent IBT machine learning biotechnology research and development capabilities, which will be conducive to promoting the independent development of machi"&amp;"ne learning algorithms to assist synthetic biology research and innovation.")</f>
        <v>The establishment of the above-mentioned technology platform will promote the Institute to form independent IBT machine learning biotechnology research and development capabilities, which will be conducive to promoting the independent development of machine learning algorithms to assist synthetic biology research and innovation.</v>
      </c>
      <c r="B3003" s="1" t="str">
        <f ca="1">IFERROR(__xludf.DUMMYFUNCTION("GOOGLETRANSLATE(A3003, ""zh"", ""en"")"),"Technological innovation")</f>
        <v>Technological innovation</v>
      </c>
      <c r="C3003" s="1" t="str">
        <f ca="1">IFERROR(__xludf.DUMMYFUNCTION("GOOGLETRANSLATE(E3003, ""zh"", ""en"")"),"Qualitative text")</f>
        <v>Qualitative text</v>
      </c>
    </row>
    <row r="3004" spans="1:3" ht="13" x14ac:dyDescent="0.15">
      <c r="A3004" s="1" t="str">
        <f ca="1">IFERROR(__xludf.DUMMYFUNCTION("GOOGLETRANSLATE(A3004, ""zh"", ""en"")"),"Haier Smart Home attaches great importance to data and privacy security, establishes a comprehensive internal information security management system and organizational structure, and continuously improves its technical capabilities in the field of informa"&amp;"tion security, adhering to the bottom line of security in all aspects.")</f>
        <v>Haier Smart Home attaches great importance to data and privacy security, establishes a comprehensive internal information security management system and organizational structure, and continuously improves its technical capabilities in the field of information security, adhering to the bottom line of security in all aspects.</v>
      </c>
      <c r="B3004" s="1" t="str">
        <f ca="1">IFERROR(__xludf.DUMMYFUNCTION("GOOGLETRANSLATE(A3004, ""zh"", ""en"")"),"Data security")</f>
        <v>Data security</v>
      </c>
      <c r="C3004" s="1" t="str">
        <f ca="1">IFERROR(__xludf.DUMMYFUNCTION("GOOGLETRANSLATE(E3004, ""zh"", ""en"")"),"Qualitative text")</f>
        <v>Qualitative text</v>
      </c>
    </row>
    <row r="3005" spans="1:3" ht="13" x14ac:dyDescent="0.15">
      <c r="A3005" s="1" t="str">
        <f ca="1">IFERROR(__xludf.DUMMYFUNCTION("GOOGLETRANSLATE(A3005, ""zh"", ""en"")"),"At the same time, the company manages vulnerabilities in accordance with Haier Group's vulnerability management specifications, formulates security vulnerability response processes, and regularly conducts penetration tests to evaluate network system secur"&amp;"ity by simulating malicious attack methods.")</f>
        <v>At the same time, the company manages vulnerabilities in accordance with Haier Group's vulnerability management specifications, formulates security vulnerability response processes, and regularly conducts penetration tests to evaluate network system security by simulating malicious attack methods.</v>
      </c>
      <c r="B3005" s="1" t="str">
        <f ca="1">IFERROR(__xludf.DUMMYFUNCTION("GOOGLETRANSLATE(A3005, ""zh"", ""en"")"),"Data security")</f>
        <v>Data security</v>
      </c>
      <c r="C3005" s="1" t="str">
        <f ca="1">IFERROR(__xludf.DUMMYFUNCTION("GOOGLETRANSLATE(E3005, ""zh"", ""en"")"),"Qualitative text")</f>
        <v>Qualitative text</v>
      </c>
    </row>
    <row r="3006" spans="1:3" ht="13" x14ac:dyDescent="0.15">
      <c r="A3006" s="1" t="str">
        <f ca="1">IFERROR(__xludf.DUMMYFUNCTION("GOOGLETRANSLATE(A3006, ""zh"", ""en"")"),"Visit Tibet Qomolangma Corporate Governance, Environmental Industry, and Co-building an Employee Community. 43 Vice President Li Yaohui visited the Luban Workshop. Tibet Qomolangma is actively shouldering the responsibility of promoting Chinese culture wh"&amp;"ile going global.")</f>
        <v>Visit Tibet Qomolangma Corporate Governance, Environmental Industry, and Co-building an Employee Community. 43 Vice President Li Yaohui visited the Luban Workshop. Tibet Qomolangma is actively shouldering the responsibility of promoting Chinese culture while going global.</v>
      </c>
      <c r="B3006" s="1" t="str">
        <f ca="1">IFERROR(__xludf.DUMMYFUNCTION("GOOGLETRANSLATE(A3006, ""zh"", ""en"")"),"Organizational structure and operations")</f>
        <v>Organizational structure and operations</v>
      </c>
      <c r="C3006" s="1" t="str">
        <f ca="1">IFERROR(__xludf.DUMMYFUNCTION("GOOGLETRANSLATE(E3006, ""zh"", ""en"")"),"Qualitative text")</f>
        <v>Qualitative text</v>
      </c>
    </row>
    <row r="3007" spans="1:3" ht="13" x14ac:dyDescent="0.15">
      <c r="A3007" s="1" t="str">
        <f ca="1">IFERROR(__xludf.DUMMYFUNCTION("GOOGLETRANSLATE(A3007, ""zh"", ""en"")"),"At the same time, a series of safety production month activities were carried out at the east gate of the company, including safety knowledge consultation, safety quiz with prizes, safety books distribution to work teams, and safety oath signing, which fu"&amp;"rther consolidated the company's safety production foundation.")</f>
        <v>At the same time, a series of safety production month activities were carried out at the east gate of the company, including safety knowledge consultation, safety quiz with prizes, safety books distribution to work teams, and safety oath signing, which further consolidated the company's safety production foundation.</v>
      </c>
      <c r="B3007" s="1" t="str">
        <f ca="1">IFERROR(__xludf.DUMMYFUNCTION("GOOGLETRANSLATE(A3007, ""zh"", ""en"")"),"staff")</f>
        <v>staff</v>
      </c>
      <c r="C3007" s="1" t="str">
        <f ca="1">IFERROR(__xludf.DUMMYFUNCTION("GOOGLETRANSLATE(E3007, ""zh"", ""en"")"),"Qualitative text")</f>
        <v>Qualitative text</v>
      </c>
    </row>
    <row r="3008" spans="1:3" ht="13" x14ac:dyDescent="0.15">
      <c r="A3008" s="1" t="str">
        <f ca="1">IFERROR(__xludf.DUMMYFUNCTION("GOOGLETRANSLATE(A3008, ""zh"", ""en"")"),"We continue to invest in the research and development of recycled materials and work with universities and research institutes to establish a recycling research support system involving government, industry, academia, and research to explore the full life"&amp;" cycle management of raw materials and increase the use of recycled materials in our products.")</f>
        <v>We continue to invest in the research and development of recycled materials and work with universities and research institutes to establish a recycling research support system involving government, industry, academia, and research to explore the full life cycle management of raw materials and increase the use of recycled materials in our products.</v>
      </c>
      <c r="B3008" s="1" t="str">
        <f ca="1">IFERROR(__xludf.DUMMYFUNCTION("GOOGLETRANSLATE(A3008, ""zh"", ""en"")"),"raw materials")</f>
        <v>raw materials</v>
      </c>
      <c r="C3008" s="1" t="str">
        <f ca="1">IFERROR(__xludf.DUMMYFUNCTION("GOOGLETRANSLATE(E3008, ""zh"", ""en"")"),"Qualitative text")</f>
        <v>Qualitative text</v>
      </c>
    </row>
    <row r="3009" spans="1:3" ht="13" x14ac:dyDescent="0.15">
      <c r="A3009" s="1" t="str">
        <f ca="1">IFERROR(__xludf.DUMMYFUNCTION("GOOGLETRANSLATE(A3009, ""zh"", ""en"")"),"03Topic Ranking Comprehensively consider the results of peer benchmarking and stakeholder communication, and rank the topics based on their importance to external stakeholders and their importance to Kangyuan.")</f>
        <v>03Topic Ranking Comprehensively consider the results of peer benchmarking and stakeholder communication, and rank the topics based on their importance to external stakeholders and their importance to Kangyuan.</v>
      </c>
      <c r="B3009" s="1" t="str">
        <f ca="1">IFERROR(__xludf.DUMMYFUNCTION("GOOGLETRANSLATE(A3009, ""zh"", ""en"")"),"irrelevant text")</f>
        <v>irrelevant text</v>
      </c>
      <c r="C3009" s="1" t="str">
        <f ca="1">IFERROR(__xludf.DUMMYFUNCTION("GOOGLETRANSLATE(E3009, ""zh"", ""en"")"),"irrelevant text")</f>
        <v>irrelevant text</v>
      </c>
    </row>
    <row r="3010" spans="1:3" ht="13" x14ac:dyDescent="0.15">
      <c r="A3010" s="1" t="str">
        <f ca="1">IFERROR(__xludf.DUMMYFUNCTION("GOOGLETRANSLATE(A3010, ""zh"", ""en"")"),"Risk assessment is one of the important links in internal control. Scientific risk assessment can consciously control risks within an acceptable range and improve the operational efficiency of the enterprise during the production and operation of the ente"&amp;"rprise.")</f>
        <v>Risk assessment is one of the important links in internal control. Scientific risk assessment can consciously control risks within an acceptable range and improve the operational efficiency of the enterprise during the production and operation of the enterprise.</v>
      </c>
      <c r="B3010" s="1" t="str">
        <f ca="1">IFERROR(__xludf.DUMMYFUNCTION("GOOGLETRANSLATE(A3010, ""zh"", ""en"")"),"Legal proceedings and external sanctions")</f>
        <v>Legal proceedings and external sanctions</v>
      </c>
      <c r="C3010" s="1" t="str">
        <f ca="1">IFERROR(__xludf.DUMMYFUNCTION("GOOGLETRANSLATE(E3010, ""zh"", ""en"")"),"Qualitative text")</f>
        <v>Qualitative text</v>
      </c>
    </row>
    <row r="3011" spans="1:3" ht="13" x14ac:dyDescent="0.15">
      <c r="A3011" s="1" t="str">
        <f ca="1">IFERROR(__xludf.DUMMYFUNCTION("GOOGLETRANSLATE(A3011, ""zh"", ""en"")"),"For outstanding engineers with a global vision who can lead global projects, we have established industry rotation opportunities for employees. All-English professional training courses have been launched simultaneously in China, the United States, Mexico"&amp;" and other places.")</f>
        <v>For outstanding engineers with a global vision who can lead global projects, we have established industry rotation opportunities for employees. All-English professional training courses have been launched simultaneously in China, the United States, Mexico and other places.</v>
      </c>
      <c r="B3011" s="1" t="str">
        <f ca="1">IFERROR(__xludf.DUMMYFUNCTION("GOOGLETRANSLATE(A3011, ""zh"", ""en"")"),"staff")</f>
        <v>staff</v>
      </c>
      <c r="C3011" s="1" t="str">
        <f ca="1">IFERROR(__xludf.DUMMYFUNCTION("GOOGLETRANSLATE(E3011, ""zh"", ""en"")"),"Qualitative text")</f>
        <v>Qualitative text</v>
      </c>
    </row>
    <row r="3012" spans="1:3" ht="13" x14ac:dyDescent="0.15">
      <c r="A3012" s="1" t="str">
        <f ca="1">IFERROR(__xludf.DUMMYFUNCTION("GOOGLETRANSLATE(A3012, ""zh"", ""en"")"),"The company has set up a special environmental system operation supervision department to protect the environment through continuous systematic operation, improve the environmental awareness of all employees and effectively promote the company's environme"&amp;"ntal protection work.")</f>
        <v>The company has set up a special environmental system operation supervision department to protect the environment through continuous systematic operation, improve the environmental awareness of all employees and effectively promote the company's environmental protection work.</v>
      </c>
      <c r="B3012" s="1" t="str">
        <f ca="1">IFERROR(__xludf.DUMMYFUNCTION("GOOGLETRANSLATE(A3012, ""zh"", ""en"")"),"Environmental Policy")</f>
        <v>Environmental Policy</v>
      </c>
      <c r="C3012" s="1" t="str">
        <f ca="1">IFERROR(__xludf.DUMMYFUNCTION("GOOGLETRANSLATE(E3012, ""zh"", ""en"")"),"Qualitative text")</f>
        <v>Qualitative text</v>
      </c>
    </row>
    <row r="3013" spans="1:3" ht="13" x14ac:dyDescent="0.15">
      <c r="A3013" s="1" t="str">
        <f ca="1">IFERROR(__xludf.DUMMYFUNCTION("GOOGLETRANSLATE(A3013, ""zh"", ""en"")"),"The company follows the principles of clear code transmission or HTTPS secure transmission to ensure that users can monitor at any time and that the information uploaded through the Internet does not involve any user's personal privacy information.")</f>
        <v>The company follows the principles of clear code transmission or HTTPS secure transmission to ensure that users can monitor at any time and that the information uploaded through the Internet does not involve any user's personal privacy information.</v>
      </c>
      <c r="B3013" s="1" t="str">
        <f ca="1">IFERROR(__xludf.DUMMYFUNCTION("GOOGLETRANSLATE(A3013, ""zh"", ""en"")"),"Data security")</f>
        <v>Data security</v>
      </c>
      <c r="C3013" s="1" t="str">
        <f ca="1">IFERROR(__xludf.DUMMYFUNCTION("GOOGLETRANSLATE(E3013, ""zh"", ""en"")"),"Qualitative text")</f>
        <v>Qualitative text</v>
      </c>
    </row>
    <row r="3014" spans="1:3" ht="13" x14ac:dyDescent="0.15">
      <c r="A3014" s="1" t="str">
        <f ca="1">IFERROR(__xludf.DUMMYFUNCTION("GOOGLETRANSLATE(A3014, ""zh"", ""en"")"),"The company held board meetings in total. All board members strictly abided by the rules and regulations and actively attended the board meetings and shareholders' meetings. They performed their duties as directors with a responsible attitude towards the "&amp;"company's shareholders and investors.")</f>
        <v>The company held board meetings in total. All board members strictly abided by the rules and regulations and actively attended the board meetings and shareholders' meetings. They performed their duties as directors with a responsible attitude towards the company's shareholders and investors.</v>
      </c>
      <c r="B3014" s="1" t="str">
        <f ca="1">IFERROR(__xludf.DUMMYFUNCTION("GOOGLETRANSLATE(A3014, ""zh"", ""en"")"),"Organizational structure and operations")</f>
        <v>Organizational structure and operations</v>
      </c>
      <c r="C3014" s="1" t="str">
        <f ca="1">IFERROR(__xludf.DUMMYFUNCTION("GOOGLETRANSLATE(E3014, ""zh"", ""en"")"),"Quantitative Text")</f>
        <v>Quantitative Text</v>
      </c>
    </row>
    <row r="3015" spans="1:3" ht="13" x14ac:dyDescent="0.15">
      <c r="A3015" s="1" t="str">
        <f ca="1">IFERROR(__xludf.DUMMYFUNCTION("GOOGLETRANSLATE(A3015, ""zh"", ""en"")"),"The company's board of supervisors performs its duties in accordance with relevant regulations, oversees the company's operating and financial status, and the legality and compliance of the company's directors and senior executives in performing their dut"&amp;"ies, safeguarding the legitimate rights and interests of the company and its shareholders.")</f>
        <v>The company's board of supervisors performs its duties in accordance with relevant regulations, oversees the company's operating and financial status, and the legality and compliance of the company's directors and senior executives in performing their duties, safeguarding the legitimate rights and interests of the company and its shareholders.</v>
      </c>
      <c r="B3015" s="1" t="str">
        <f ca="1">IFERROR(__xludf.DUMMYFUNCTION("GOOGLETRANSLATE(A3015, ""zh"", ""en"")"),"Organizational structure and operations")</f>
        <v>Organizational structure and operations</v>
      </c>
      <c r="C3015" s="1" t="str">
        <f ca="1">IFERROR(__xludf.DUMMYFUNCTION("GOOGLETRANSLATE(E3015, ""zh"", ""en"")"),"Qualitative text")</f>
        <v>Qualitative text</v>
      </c>
    </row>
    <row r="3016" spans="1:3" ht="13" x14ac:dyDescent="0.15">
      <c r="A3016" s="1" t="str">
        <f ca="1">IFERROR(__xludf.DUMMYFUNCTION("GOOGLETRANSLATE(A3016, ""zh"", ""en"")"),"In 2018, the company carried out a variety of data security-related activities, including full-staff training, internal attack and defense drills, remote office security awareness promotion, safe office awareness comics and quiz activities, and offline ac"&amp;"tivities during Cybersecurity Week.")</f>
        <v>In 2018, the company carried out a variety of data security-related activities, including full-staff training, internal attack and defense drills, remote office security awareness promotion, safe office awareness comics and quiz activities, and offline activities during Cybersecurity Week.</v>
      </c>
      <c r="B3016" s="1" t="str">
        <f ca="1">IFERROR(__xludf.DUMMYFUNCTION("GOOGLETRANSLATE(A3016, ""zh"", ""en"")"),"Data security")</f>
        <v>Data security</v>
      </c>
      <c r="C3016" s="1" t="str">
        <f ca="1">IFERROR(__xludf.DUMMYFUNCTION("GOOGLETRANSLATE(E3016, ""zh"", ""en"")"),"Qualitative text")</f>
        <v>Qualitative text</v>
      </c>
    </row>
    <row r="3017" spans="1:3" ht="13" x14ac:dyDescent="0.15">
      <c r="A3017" s="1" t="str">
        <f ca="1">IFERROR(__xludf.DUMMYFUNCTION("GOOGLETRANSLATE(A3017, ""zh"", ""en"")"),"The company's talent attraction concept focuses on optimizing the talent structure and continuously improving the overall personnel capabilities. In order to match the recruitment target, the company formulates reasonable talent needs based on strategic g"&amp;"oals and business characteristics.")</f>
        <v>The company's talent attraction concept focuses on optimizing the talent structure and continuously improving the overall personnel capabilities. In order to match the recruitment target, the company formulates reasonable talent needs based on strategic goals and business characteristics.</v>
      </c>
      <c r="B3017" s="1" t="str">
        <f ca="1">IFERROR(__xludf.DUMMYFUNCTION("GOOGLETRANSLATE(A3017, ""zh"", ""en"")"),"staff")</f>
        <v>staff</v>
      </c>
      <c r="C3017" s="1" t="str">
        <f ca="1">IFERROR(__xludf.DUMMYFUNCTION("GOOGLETRANSLATE(E3017, ""zh"", ""en"")"),"Qualitative text")</f>
        <v>Qualitative text</v>
      </c>
    </row>
    <row r="3018" spans="1:3" ht="13" x14ac:dyDescent="0.15">
      <c r="A3018" s="1" t="str">
        <f ca="1">IFERROR(__xludf.DUMMYFUNCTION("GOOGLETRANSLATE(A3018, ""zh"", ""en"")"),"The company establishes good relationships with suppliers through regular audits, on-site inspections and continuous communication, and encourages suppliers to actively implement sustainable development plans to support their performance in social respons"&amp;"ibility.")</f>
        <v>The company establishes good relationships with suppliers through regular audits, on-site inspections and continuous communication, and encourages suppliers to actively implement sustainable development plans to support their performance in social responsibility.</v>
      </c>
      <c r="B3018" s="1" t="str">
        <f ca="1">IFERROR(__xludf.DUMMYFUNCTION("GOOGLETRANSLATE(A3018, ""zh"", ""en"")"),"supply chain management")</f>
        <v>supply chain management</v>
      </c>
      <c r="C3018" s="1" t="str">
        <f ca="1">IFERROR(__xludf.DUMMYFUNCTION("GOOGLETRANSLATE(E3018, ""zh"", ""en"")"),"Qualitative text")</f>
        <v>Qualitative text</v>
      </c>
    </row>
    <row r="3019" spans="1:3" ht="13" x14ac:dyDescent="0.15">
      <c r="A3019" s="1" t="str">
        <f ca="1">IFERROR(__xludf.DUMMYFUNCTION("GOOGLETRANSLATE(A3019, ""zh"", ""en"")"),"At the same time, the internal control evaluation and rectification implementation of the risk management internal control system will be included in the annual performance appraisal of units at all levels to urge the comprehensive improvement of the comp"&amp;"any's risk management capabilities and effectively prevent the company's systemic risks.")</f>
        <v>At the same time, the internal control evaluation and rectification implementation of the risk management internal control system will be included in the annual performance appraisal of units at all levels to urge the comprehensive improvement of the company's risk management capabilities and effectively prevent the company's systemic risks.</v>
      </c>
      <c r="B3019" s="1" t="str">
        <f ca="1">IFERROR(__xludf.DUMMYFUNCTION("GOOGLETRANSLATE(A3019, ""zh"", ""en"")"),"Legal proceedings and external sanctions")</f>
        <v>Legal proceedings and external sanctions</v>
      </c>
      <c r="C3019" s="1" t="str">
        <f ca="1">IFERROR(__xludf.DUMMYFUNCTION("GOOGLETRANSLATE(E3019, ""zh"", ""en"")"),"Qualitative text")</f>
        <v>Qualitative text</v>
      </c>
    </row>
    <row r="3020" spans="1:3" ht="13" x14ac:dyDescent="0.15">
      <c r="A3020" s="1" t="str">
        <f ca="1">IFERROR(__xludf.DUMMYFUNCTION("GOOGLETRANSLATE(A3020, ""zh"", ""en"")"),"The company converts its institutional advantages into governance effectiveness, publishes its overseas ethics and compliance management system, organizes publicity and study of ethics and compliance management systems and the laws and regulations of the "&amp;"host country, and conducts anti-corruption and fraud warning education and training.")</f>
        <v>The company converts its institutional advantages into governance effectiveness, publishes its overseas ethics and compliance management system, organizes publicity and study of ethics and compliance management systems and the laws and regulations of the host country, and conducts anti-corruption and fraud warning education and training.</v>
      </c>
      <c r="B3020" s="1" t="str">
        <f ca="1">IFERROR(__xludf.DUMMYFUNCTION("GOOGLETRANSLATE(A3020, ""zh"", ""en"")"),"Anti-corruption and anti-money laundering")</f>
        <v>Anti-corruption and anti-money laundering</v>
      </c>
      <c r="C3020" s="1" t="str">
        <f ca="1">IFERROR(__xludf.DUMMYFUNCTION("GOOGLETRANSLATE(E3020, ""zh"", ""en"")"),"Qualitative text")</f>
        <v>Qualitative text</v>
      </c>
    </row>
    <row r="3021" spans="1:3" ht="13" x14ac:dyDescent="0.15">
      <c r="A3021" s="1" t="str">
        <f ca="1">IFERROR(__xludf.DUMMYFUNCTION("GOOGLETRANSLATE(A3021, ""zh"", ""en"")"),"The committee will study and discuss the above matters and make recommendations to the board of directors. The board of directors reserves the final decision-making power on the above matters. For details, please refer to the relevant rules of procedure u"&amp;"nder the corporate governance section on the company website.")</f>
        <v>The committee will study and discuss the above matters and make recommendations to the board of directors. The board of directors reserves the final decision-making power on the above matters. For details, please refer to the relevant rules of procedure under the corporate governance section on the company website.</v>
      </c>
      <c r="B3021" s="1" t="str">
        <f ca="1">IFERROR(__xludf.DUMMYFUNCTION("GOOGLETRANSLATE(A3021, ""zh"", ""en"")"),"Organizational structure and operations")</f>
        <v>Organizational structure and operations</v>
      </c>
      <c r="C3021" s="1" t="str">
        <f ca="1">IFERROR(__xludf.DUMMYFUNCTION("GOOGLETRANSLATE(E3021, ""zh"", ""en"")"),"Qualitative text")</f>
        <v>Qualitative text</v>
      </c>
    </row>
    <row r="3022" spans="1:3" ht="13" x14ac:dyDescent="0.15">
      <c r="A3022" s="1" t="str">
        <f ca="1">IFERROR(__xludf.DUMMYFUNCTION("GOOGLETRANSLATE(A3022, ""zh"", ""en"")"),"The research and achievement transformation of key technologies and the industrial application of closed-loop directional drilling systems won the Outstanding Contribution Project Award of the 11th China Technology Market Association Golden Bridge Award, "&amp;"the highest award in the domestic technology market industry.")</f>
        <v>The research and achievement transformation of key technologies and the industrial application of closed-loop directional drilling systems won the Outstanding Contribution Project Award of the 11th China Technology Market Association Golden Bridge Award, the highest award in the domestic technology market industry.</v>
      </c>
      <c r="B3022" s="1" t="str">
        <f ca="1">IFERROR(__xludf.DUMMYFUNCTION("GOOGLETRANSLATE(A3022, ""zh"", ""en"")"),"Technological innovation")</f>
        <v>Technological innovation</v>
      </c>
      <c r="C3022" s="1" t="str">
        <f ca="1">IFERROR(__xludf.DUMMYFUNCTION("GOOGLETRANSLATE(E3022, ""zh"", ""en"")"),"Quantitative Text")</f>
        <v>Quantitative Text</v>
      </c>
    </row>
    <row r="3023" spans="1:3" ht="13" x14ac:dyDescent="0.15">
      <c r="A3023" s="1" t="str">
        <f ca="1">IFERROR(__xludf.DUMMYFUNCTION("GOOGLETRANSLATE(A3023, ""zh"", ""en"")"),"The Strategy and ESG Committee will review and verify the applicability and effectiveness of the results to form a final matrix of material issues and continuously strengthen the ESG management of SDIC Capital based on this analysis.")</f>
        <v>The Strategy and ESG Committee will review and verify the applicability and effectiveness of the results to form a final matrix of material issues and continuously strengthen the ESG management of SDIC Capital based on this analysis.</v>
      </c>
      <c r="B3023" s="1" t="str">
        <f ca="1">IFERROR(__xludf.DUMMYFUNCTION("GOOGLETRANSLATE(A3023, ""zh"", ""en"")"),"Organizational structure and operations")</f>
        <v>Organizational structure and operations</v>
      </c>
      <c r="C3023" s="1" t="str">
        <f ca="1">IFERROR(__xludf.DUMMYFUNCTION("GOOGLETRANSLATE(E3023, ""zh"", ""en"")"),"Qualitative text")</f>
        <v>Qualitative text</v>
      </c>
    </row>
    <row r="3024" spans="1:3" ht="13" x14ac:dyDescent="0.15">
      <c r="A3024" s="1" t="str">
        <f ca="1">IFERROR(__xludf.DUMMYFUNCTION("GOOGLETRANSLATE(A3024, ""zh"", ""en"")"),"To fully listen to employees' voices, guide managers to improve leadership and improve organizational atmosphere, the company conducts an employee engagement survey every year. During the reporting period, the overall employee satisfaction score was 4.3 o"&amp;"ut of 5.")</f>
        <v>To fully listen to employees' voices, guide managers to improve leadership and improve organizational atmosphere, the company conducts an employee engagement survey every year. During the reporting period, the overall employee satisfaction score was 4.3 out of 5.</v>
      </c>
      <c r="B3024" s="1" t="str">
        <f ca="1">IFERROR(__xludf.DUMMYFUNCTION("GOOGLETRANSLATE(A3024, ""zh"", ""en"")"),"staff")</f>
        <v>staff</v>
      </c>
      <c r="C3024" s="1" t="str">
        <f ca="1">IFERROR(__xludf.DUMMYFUNCTION("GOOGLETRANSLATE(E3024, ""zh"", ""en"")"),"Quantitative Text")</f>
        <v>Quantitative Text</v>
      </c>
    </row>
    <row r="3025" spans="1:3" ht="13" x14ac:dyDescent="0.15">
      <c r="A3025" s="1" t="str">
        <f ca="1">IFERROR(__xludf.DUMMYFUNCTION("GOOGLETRANSLATE(A3025, ""zh"", ""en"")"),"Actively carry out the theme of ""Light up Micro Wishes and Join Hands for Common Prosperity"" public welfare activities, organize employees to adopt the micro wishes of 237 students in Longquan Chatian Town Central School, and donate books, footballs, tr"&amp;"olley cases and other learning and living supplies.")</f>
        <v>Actively carry out the theme of "Light up Micro Wishes and Join Hands for Common Prosperity" public welfare activities, organize employees to adopt the micro wishes of 237 students in Longquan Chatian Town Central School, and donate books, footballs, trolley cases and other learning and living supplies.</v>
      </c>
      <c r="B3025" s="1" t="str">
        <f ca="1">IFERROR(__xludf.DUMMYFUNCTION("GOOGLETRANSLATE(A3025, ""zh"", ""en"")"),"Public welfare and volunteer service")</f>
        <v>Public welfare and volunteer service</v>
      </c>
      <c r="C3025" s="1" t="str">
        <f ca="1">IFERROR(__xludf.DUMMYFUNCTION("GOOGLETRANSLATE(E3025, ""zh"", ""en"")"),"Quantitative Text")</f>
        <v>Quantitative Text</v>
      </c>
    </row>
    <row r="3026" spans="1:3" ht="13" x14ac:dyDescent="0.15">
      <c r="A3026" s="1" t="str">
        <f ca="1">IFERROR(__xludf.DUMMYFUNCTION("GOOGLETRANSLATE(A3026, ""zh"", ""en"")"),"According to the evaluation results released by the China Quality Association, Hisense TV's user satisfaction increased from 83.0 points in 2015 to 85.0 points in 2022, ranking first in the industry for eight consecutive years.")</f>
        <v>According to the evaluation results released by the China Quality Association, Hisense TV's user satisfaction increased from 83.0 points in 2015 to 85.0 points in 2022, ranking first in the industry for eight consecutive years.</v>
      </c>
      <c r="B3026" s="1" t="str">
        <f ca="1">IFERROR(__xludf.DUMMYFUNCTION("GOOGLETRANSLATE(A3026, ""zh"", ""en"")"),"Customers and Consumers")</f>
        <v>Customers and Consumers</v>
      </c>
      <c r="C3026" s="1" t="str">
        <f ca="1">IFERROR(__xludf.DUMMYFUNCTION("GOOGLETRANSLATE(E3026, ""zh"", ""en"")"),"Quantitative Text")</f>
        <v>Quantitative Text</v>
      </c>
    </row>
    <row r="3027" spans="1:3" ht="13" x14ac:dyDescent="0.15">
      <c r="A3027" s="1" t="str">
        <f ca="1">IFERROR(__xludf.DUMMYFUNCTION("GOOGLETRANSLATE(A3027, ""zh"", ""en"")"),"The company's five business segments, including Smart Display, Award Category, Award Level, Terminal Laser Display, Commercial Display Chip, and Cloud Services, cover the entire industry chain, driving innovation in development models.")</f>
        <v>The company's five business segments, including Smart Display, Award Category, Award Level, Terminal Laser Display, Commercial Display Chip, and Cloud Services, cover the entire industry chain, driving innovation in development models.</v>
      </c>
      <c r="B3027" s="1" t="str">
        <f ca="1">IFERROR(__xludf.DUMMYFUNCTION("GOOGLETRANSLATE(A3027, ""zh"", ""en"")"),"Technological innovation")</f>
        <v>Technological innovation</v>
      </c>
      <c r="C3027" s="1" t="str">
        <f ca="1">IFERROR(__xludf.DUMMYFUNCTION("GOOGLETRANSLATE(E3027, ""zh"", ""en"")"),"Qualitative text")</f>
        <v>Qualitative text</v>
      </c>
    </row>
    <row r="3028" spans="1:3" ht="13" x14ac:dyDescent="0.15">
      <c r="A3028" s="1" t="str">
        <f ca="1">IFERROR(__xludf.DUMMYFUNCTION("GOOGLETRANSLATE(A3028, ""zh"", ""en"")"),"Through the co-incineration of sludge and coal, Huanneng Company has solved the sludge disposal problem and reduced the power generation cost for the thermal power plant, creating a win-win situation between environmental benefits and economic benefits.")</f>
        <v>Through the co-incineration of sludge and coal, Huanneng Company has solved the sludge disposal problem and reduced the power generation cost for the thermal power plant, creating a win-win situation between environmental benefits and economic benefits.</v>
      </c>
      <c r="B3028" s="1" t="str">
        <f ca="1">IFERROR(__xludf.DUMMYFUNCTION("GOOGLETRANSLATE(A3028, ""zh"", ""en"")"),"Waste Management")</f>
        <v>Waste Management</v>
      </c>
      <c r="C3028" s="1" t="str">
        <f ca="1">IFERROR(__xludf.DUMMYFUNCTION("GOOGLETRANSLATE(E3028, ""zh"", ""en"")"),"Qualitative text")</f>
        <v>Qualitative text</v>
      </c>
    </row>
    <row r="3029" spans="1:3" ht="13" x14ac:dyDescent="0.15">
      <c r="A3029" s="1" t="str">
        <f ca="1">IFERROR(__xludf.DUMMYFUNCTION("GOOGLETRANSLATE(A3029, ""zh"", ""en"")"),"Under the premise of fair competition, we give priority to the use of local materials, equipment and consumables, provide local suppliers, contractors and service providers with opportunities to participate in projects, and support the development of loca"&amp;"l small and medium-sized enterprises and community entrepreneurs.")</f>
        <v>Under the premise of fair competition, we give priority to the use of local materials, equipment and consumables, provide local suppliers, contractors and service providers with opportunities to participate in projects, and support the development of local small and medium-sized enterprises and community entrepreneurs.</v>
      </c>
      <c r="B3029" s="1" t="str">
        <f ca="1">IFERROR(__xludf.DUMMYFUNCTION("GOOGLETRANSLATE(A3029, ""zh"", ""en"")"),"supply chain management")</f>
        <v>supply chain management</v>
      </c>
      <c r="C3029" s="1" t="str">
        <f ca="1">IFERROR(__xludf.DUMMYFUNCTION("GOOGLETRANSLATE(E3029, ""zh"", ""en"")"),"Qualitative text")</f>
        <v>Qualitative text</v>
      </c>
    </row>
    <row r="3030" spans="1:3" ht="13" x14ac:dyDescent="0.15">
      <c r="A3030" s="1" t="str">
        <f ca="1">IFERROR(__xludf.DUMMYFUNCTION("GOOGLETRANSLATE(A3030, ""zh"", ""en"")"),"The company leverages its brand influence to innovate public welfare models and leverages its platform role to cooperate with all sectors of society, pooling resources from all parties to actively participate in public welfare undertakings and independent"&amp;"ly implement more than 360 public welfare projects.")</f>
        <v>The company leverages its brand influence to innovate public welfare models and leverages its platform role to cooperate with all sectors of society, pooling resources from all parties to actively participate in public welfare undertakings and independently implement more than 360 public welfare projects.</v>
      </c>
      <c r="B3030" s="1" t="str">
        <f ca="1">IFERROR(__xludf.DUMMYFUNCTION("GOOGLETRANSLATE(A3030, ""zh"", ""en"")"),"Public welfare and volunteer service")</f>
        <v>Public welfare and volunteer service</v>
      </c>
      <c r="C3030" s="1" t="str">
        <f ca="1">IFERROR(__xludf.DUMMYFUNCTION("GOOGLETRANSLATE(E3030, ""zh"", ""en"")"),"Quantitative Text")</f>
        <v>Quantitative Text</v>
      </c>
    </row>
    <row r="3031" spans="1:3" ht="13" x14ac:dyDescent="0.15">
      <c r="A3031" s="1" t="str">
        <f ca="1">IFERROR(__xludf.DUMMYFUNCTION("GOOGLETRANSLATE(A3031, ""zh"", ""en"")"),"The primary prevention and control system prevents possible major environmental pollution risks by setting up rainwater cut-off systems, sewage dams, anti-overflow and diversion facilities, necessary intermediate accident buffer facilities and their suppo"&amp;"rting facilities.")</f>
        <v>The primary prevention and control system prevents possible major environmental pollution risks by setting up rainwater cut-off systems, sewage dams, anti-overflow and diversion facilities, necessary intermediate accident buffer facilities and their supporting facilities.</v>
      </c>
      <c r="B3031" s="1" t="str">
        <f ca="1">IFERROR(__xludf.DUMMYFUNCTION("GOOGLETRANSLATE(A3031, ""zh"", ""en"")"),"Waste Management")</f>
        <v>Waste Management</v>
      </c>
      <c r="C3031" s="1" t="str">
        <f ca="1">IFERROR(__xludf.DUMMYFUNCTION("GOOGLETRANSLATE(E3031, ""zh"", ""en"")"),"Qualitative text")</f>
        <v>Qualitative text</v>
      </c>
    </row>
    <row r="3032" spans="1:3" ht="13" x14ac:dyDescent="0.15">
      <c r="A3032" s="1" t="str">
        <f ca="1">IFERROR(__xludf.DUMMYFUNCTION("GOOGLETRANSLATE(A3032, ""zh"", ""en"")"),"We continuously strengthen overall planning and top-level design, strengthen key core technology research, improve the scientific and technological innovation management system, build new research institutions and innovation platforms, and steadily promot"&amp;"e the construction of original technology sources.")</f>
        <v>We continuously strengthen overall planning and top-level design, strengthen key core technology research, improve the scientific and technological innovation management system, build new research institutions and innovation platforms, and steadily promote the construction of original technology sources.</v>
      </c>
      <c r="B3032" s="1" t="str">
        <f ca="1">IFERROR(__xludf.DUMMYFUNCTION("GOOGLETRANSLATE(A3032, ""zh"", ""en"")"),"Technological innovation")</f>
        <v>Technological innovation</v>
      </c>
      <c r="C3032" s="1" t="str">
        <f ca="1">IFERROR(__xludf.DUMMYFUNCTION("GOOGLETRANSLATE(E3032, ""zh"", ""en"")"),"Qualitative text")</f>
        <v>Qualitative text</v>
      </c>
    </row>
    <row r="3033" spans="1:3" ht="13" x14ac:dyDescent="0.15">
      <c r="A3033" s="1" t="str">
        <f ca="1">IFERROR(__xludf.DUMMYFUNCTION("GOOGLETRANSLATE(A3033, ""zh"", ""en"")"),"The original calculation formula (training time per capita, total training time, number of trainees) was adjusted to (training time per capita, total training time, total number of company employees), and the relevant data for 2020 were adjusted on the sa"&amp;"me basis.")</f>
        <v>The original calculation formula (training time per capita, total training time, number of trainees) was adjusted to (training time per capita, total training time, total number of company employees), and the relevant data for 2020 were adjusted on the same basis.</v>
      </c>
      <c r="B3033" s="1" t="str">
        <f ca="1">IFERROR(__xludf.DUMMYFUNCTION("GOOGLETRANSLATE(A3033, ""zh"", ""en"")"),"staff")</f>
        <v>staff</v>
      </c>
      <c r="C3033" s="1" t="str">
        <f ca="1">IFERROR(__xludf.DUMMYFUNCTION("GOOGLETRANSLATE(E3033, ""zh"", ""en"")"),"Qualitative text")</f>
        <v>Qualitative text</v>
      </c>
    </row>
    <row r="3034" spans="1:3" ht="13" x14ac:dyDescent="0.15">
      <c r="A3034" s="1" t="str">
        <f ca="1">IFERROR(__xludf.DUMMYFUNCTION("GOOGLETRANSLATE(A3034, ""zh"", ""en"")"),"The company and its customers signed an integrity agreement. The company and its sales staff signed an anti-commercial bribery commitment letter. This enabled the company and its customers to achieve mutual benefit and a win-win situation under equal trad"&amp;"ing conditions.")</f>
        <v>The company and its customers signed an integrity agreement. The company and its sales staff signed an anti-commercial bribery commitment letter. This enabled the company and its customers to achieve mutual benefit and a win-win situation under equal trading conditions.</v>
      </c>
      <c r="B3034" s="1" t="str">
        <f ca="1">IFERROR(__xludf.DUMMYFUNCTION("GOOGLETRANSLATE(A3034, ""zh"", ""en"")"),"Anti-corruption and anti-money laundering")</f>
        <v>Anti-corruption and anti-money laundering</v>
      </c>
      <c r="C3034" s="1" t="str">
        <f ca="1">IFERROR(__xludf.DUMMYFUNCTION("GOOGLETRANSLATE(E3034, ""zh"", ""en"")"),"Qualitative text")</f>
        <v>Qualitative text</v>
      </c>
    </row>
    <row r="3035" spans="1:3" ht="13" x14ac:dyDescent="0.15">
      <c r="A3035" s="1" t="str">
        <f ca="1">IFERROR(__xludf.DUMMYFUNCTION("GOOGLETRANSLATE(A3035, ""zh"", ""en"")"),"In management and operation, the company adheres to the three-in-one integration of party building theory and party building practice, implements the four-pronged work policy of party building, effectively realizes the resonance, mutual promotion and inte"&amp;"gration of party and enterprise, and realizes the goal of strong party building and strong development.")</f>
        <v>In management and operation, the company adheres to the three-in-one integration of party building theory and party building practice, implements the four-pronged work policy of party building, effectively realizes the resonance, mutual promotion and integration of party and enterprise, and realizes the goal of strong party building and strong development.</v>
      </c>
      <c r="B3035" s="1" t="str">
        <f ca="1">IFERROR(__xludf.DUMMYFUNCTION("GOOGLETRANSLATE(A3035, ""zh"", ""en"")"),"Organizational structure and operations")</f>
        <v>Organizational structure and operations</v>
      </c>
      <c r="C3035" s="1" t="str">
        <f ca="1">IFERROR(__xludf.DUMMYFUNCTION("GOOGLETRANSLATE(E3035, ""zh"", ""en"")"),"Qualitative text")</f>
        <v>Qualitative text</v>
      </c>
    </row>
    <row r="3036" spans="1:3" ht="13" x14ac:dyDescent="0.15">
      <c r="A3036" s="1" t="str">
        <f ca="1">IFERROR(__xludf.DUMMYFUNCTION("GOOGLETRANSLATE(A3036, ""zh"", ""en"")"),"Set environmental management goals, carry out environmental publicity and training, implement paperless office, encourage employees to innovate technology, establish an environmental management target responsibility system from top and middle management t"&amp;"o team level, and form a management network.")</f>
        <v>Set environmental management goals, carry out environmental publicity and training, implement paperless office, encourage employees to innovate technology, establish an environmental management target responsibility system from top and middle management to team level, and form a management network.</v>
      </c>
      <c r="B3036" s="1" t="str">
        <f ca="1">IFERROR(__xludf.DUMMYFUNCTION("GOOGLETRANSLATE(A3036, ""zh"", ""en"")"),"Environmental Policy")</f>
        <v>Environmental Policy</v>
      </c>
      <c r="C3036" s="1" t="str">
        <f ca="1">IFERROR(__xludf.DUMMYFUNCTION("GOOGLETRANSLATE(E3036, ""zh"", ""en"")"),"Qualitative text")</f>
        <v>Qualitative text</v>
      </c>
    </row>
    <row r="3037" spans="1:3" ht="13" x14ac:dyDescent="0.15">
      <c r="A3037" s="1" t="str">
        <f ca="1">IFERROR(__xludf.DUMMYFUNCTION("GOOGLETRANSLATE(A3037, ""zh"", ""en"")"),"Focusing on the theme of the annual Safety Production Month Ankang Cup event, we have extensively carried out safety education and various safety culture activities among employees, established a safe development concept, and strengthened bottom-line thin"&amp;"king and red line awareness.")</f>
        <v>Focusing on the theme of the annual Safety Production Month Ankang Cup event, we have extensively carried out safety education and various safety culture activities among employees, established a safe development concept, and strengthened bottom-line thinking and red line awareness.</v>
      </c>
      <c r="B3037" s="1" t="str">
        <f ca="1">IFERROR(__xludf.DUMMYFUNCTION("GOOGLETRANSLATE(A3037, ""zh"", ""en"")"),"staff")</f>
        <v>staff</v>
      </c>
      <c r="C3037" s="1" t="str">
        <f ca="1">IFERROR(__xludf.DUMMYFUNCTION("GOOGLETRANSLATE(E3037, ""zh"", ""en"")"),"Qualitative text")</f>
        <v>Qualitative text</v>
      </c>
    </row>
    <row r="3038" spans="1:3" ht="13" x14ac:dyDescent="0.15">
      <c r="A3038" s="1" t="str">
        <f ca="1">IFERROR(__xludf.DUMMYFUNCTION("GOOGLETRANSLATE(A3038, ""zh"", ""en"")"),"04 Yunshang Company Logistics Company Logistics Company Health Company 60 Carry out safety culture construction, hold quarterly safety meetings, share typical accident cases, and use the principle of ""four no-tolerances"" to find and rectify similar prob"&amp;"lems.")</f>
        <v>04 Yunshang Company Logistics Company Logistics Company Health Company 60 Carry out safety culture construction, hold quarterly safety meetings, share typical accident cases, and use the principle of "four no-tolerances" to find and rectify similar problems.</v>
      </c>
      <c r="B3038" s="1" t="str">
        <f ca="1">IFERROR(__xludf.DUMMYFUNCTION("GOOGLETRANSLATE(A3038, ""zh"", ""en"")"),"staff")</f>
        <v>staff</v>
      </c>
      <c r="C3038" s="1" t="str">
        <f ca="1">IFERROR(__xludf.DUMMYFUNCTION("GOOGLETRANSLATE(E3038, ""zh"", ""en"")"),"Qualitative text")</f>
        <v>Qualitative text</v>
      </c>
    </row>
    <row r="3039" spans="1:3" ht="13" x14ac:dyDescent="0.15">
      <c r="A3039" s="1" t="str">
        <f ca="1">IFERROR(__xludf.DUMMYFUNCTION("GOOGLETRANSLATE(A3039, ""zh"", ""en"")"),"In terms of customer satisfaction survey channels, one is to listen to different customers' voices in a timely manner through exhibitions, sales conferences, symposiums, hospital department meetings, academic annual meetings, etc. The other is to entrust "&amp;"professional institutions to conduct company satisfaction surveys.")</f>
        <v>In terms of customer satisfaction survey channels, one is to listen to different customers' voices in a timely manner through exhibitions, sales conferences, symposiums, hospital department meetings, academic annual meetings, etc. The other is to entrust professional institutions to conduct company satisfaction surveys.</v>
      </c>
      <c r="B3039" s="1" t="str">
        <f ca="1">IFERROR(__xludf.DUMMYFUNCTION("GOOGLETRANSLATE(A3039, ""zh"", ""en"")"),"Customers and Consumers")</f>
        <v>Customers and Consumers</v>
      </c>
      <c r="C3039" s="1" t="str">
        <f ca="1">IFERROR(__xludf.DUMMYFUNCTION("GOOGLETRANSLATE(E3039, ""zh"", ""en"")"),"Qualitative text")</f>
        <v>Qualitative text</v>
      </c>
    </row>
    <row r="3040" spans="1:3" ht="13" x14ac:dyDescent="0.15">
      <c r="A3040" s="1" t="str">
        <f ca="1">IFERROR(__xludf.DUMMYFUNCTION("GOOGLETRANSLATE(A3040, ""zh"", ""en"")"),"During the reporting period, the Company’s Board of Directors followed the relevant provisions of the Rules and Regulations of the Implementation of the Special Committees and convened meetings in accordance with the Articles of Association and actual nee"&amp;"ds to carry out various tasks diligently, responsibly, compliantly and efficiently.")</f>
        <v>During the reporting period, the Company’s Board of Directors followed the relevant provisions of the Rules and Regulations of the Implementation of the Special Committees and convened meetings in accordance with the Articles of Association and actual needs to carry out various tasks diligently, responsibly, compliantly and efficiently.</v>
      </c>
      <c r="B3040" s="1" t="str">
        <f ca="1">IFERROR(__xludf.DUMMYFUNCTION("GOOGLETRANSLATE(A3040, ""zh"", ""en"")"),"Organizational structure and operations")</f>
        <v>Organizational structure and operations</v>
      </c>
      <c r="C3040" s="1" t="str">
        <f ca="1">IFERROR(__xludf.DUMMYFUNCTION("GOOGLETRANSLATE(E3040, ""zh"", ""en"")"),"Qualitative text")</f>
        <v>Qualitative text</v>
      </c>
    </row>
    <row r="3041" spans="1:3" ht="13" x14ac:dyDescent="0.15">
      <c r="A3041" s="1" t="str">
        <f ca="1">IFERROR(__xludf.DUMMYFUNCTION("GOOGLETRANSLATE(A3041, ""zh"", ""en"")"),"The Strategic Planning Committee reviewed and proposed major issues concerning the Group's development from 2022 to 2032, and also reviewed and approved the mid- to long-term strategic plan and the research report on the development strategy.")</f>
        <v>The Strategic Planning Committee reviewed and proposed major issues concerning the Group's development from 2022 to 2032, and also reviewed and approved the mid- to long-term strategic plan and the research report on the development strategy.</v>
      </c>
      <c r="B3041" s="1" t="str">
        <f ca="1">IFERROR(__xludf.DUMMYFUNCTION("GOOGLETRANSLATE(A3041, ""zh"", ""en"")"),"Organizational structure and operations")</f>
        <v>Organizational structure and operations</v>
      </c>
      <c r="C3041" s="1" t="str">
        <f ca="1">IFERROR(__xludf.DUMMYFUNCTION("GOOGLETRANSLATE(E3041, ""zh"", ""en"")"),"Qualitative text")</f>
        <v>Qualitative text</v>
      </c>
    </row>
    <row r="3042" spans="1:3" ht="13" x14ac:dyDescent="0.15">
      <c r="A3042" s="1" t="str">
        <f ca="1">IFERROR(__xludf.DUMMYFUNCTION("GOOGLETRANSLATE(A3042, ""zh"", ""en"")"),"Livzon Group produced a popular science video about the Likang V01 vaccine and promoted knowledge about the pathogenicity of viruses and the basic concepts, safety, and efficacy of recombinant protein vaccines.")</f>
        <v>Livzon Group produced a popular science video about the Likang V01 vaccine and promoted knowledge about the pathogenicity of viruses and the basic concepts, safety, and efficacy of recombinant protein vaccines.</v>
      </c>
      <c r="B3042" s="1" t="str">
        <f ca="1">IFERROR(__xludf.DUMMYFUNCTION("GOOGLETRANSLATE(A3042, ""zh"", ""en"")"),"Fighting the epidemic")</f>
        <v>Fighting the epidemic</v>
      </c>
      <c r="C3042" s="1" t="str">
        <f ca="1">IFERROR(__xludf.DUMMYFUNCTION("GOOGLETRANSLATE(E3042, ""zh"", ""en"")"),"Qualitative text")</f>
        <v>Qualitative text</v>
      </c>
    </row>
    <row r="3043" spans="1:3" ht="13" x14ac:dyDescent="0.15">
      <c r="A3043" s="1" t="str">
        <f ca="1">IFERROR(__xludf.DUMMYFUNCTION("GOOGLETRANSLATE(A3043, ""zh"", ""en"")"),"The administrative post sequence will be integrated into the professional and technical post sequence. 144,000 administrative staff will be adjusted to professional and technical positions to encourage employees to continuously improve their professional "&amp;"capabilities and grow and progress.")</f>
        <v>The administrative post sequence will be integrated into the professional and technical post sequence. 144,000 administrative staff will be adjusted to professional and technical positions to encourage employees to continuously improve their professional capabilities and grow and progress.</v>
      </c>
      <c r="B3043" s="1" t="str">
        <f ca="1">IFERROR(__xludf.DUMMYFUNCTION("GOOGLETRANSLATE(A3043, ""zh"", ""en"")"),"staff")</f>
        <v>staff</v>
      </c>
      <c r="C3043" s="1" t="str">
        <f ca="1">IFERROR(__xludf.DUMMYFUNCTION("GOOGLETRANSLATE(E3043, ""zh"", ""en"")"),"Quantitative Text")</f>
        <v>Quantitative Text</v>
      </c>
    </row>
    <row r="3044" spans="1:3" ht="13" x14ac:dyDescent="0.15">
      <c r="A3044" s="1" t="str">
        <f ca="1">IFERROR(__xludf.DUMMYFUNCTION("GOOGLETRANSLATE(A3044, ""zh"", ""en"")"),"04 Addressing Climate Change - Managing Climate Change Risks and Opportunities A4 General Disclosure on Climate Change Policies for identifying and addressing significant climate-related issues that have or may have an impact on the issuer")</f>
        <v>04 Addressing Climate Change - Managing Climate Change Risks and Opportunities A4 General Disclosure on Climate Change Policies for identifying and addressing significant climate-related issues that have or may have an impact on the issuer</v>
      </c>
      <c r="B3044" s="1" t="str">
        <f ca="1">IFERROR(__xludf.DUMMYFUNCTION("GOOGLETRANSLATE(A3044, ""zh"", ""en"")"),"Addressing climate change")</f>
        <v>Addressing climate change</v>
      </c>
      <c r="C3044" s="1" t="str">
        <f ca="1">IFERROR(__xludf.DUMMYFUNCTION("GOOGLETRANSLATE(E3044, ""zh"", ""en"")"),"Qualitative text")</f>
        <v>Qualitative text</v>
      </c>
    </row>
    <row r="3045" spans="1:3" ht="13" x14ac:dyDescent="0.15">
      <c r="A3045" s="1" t="str">
        <f ca="1">IFERROR(__xludf.DUMMYFUNCTION("GOOGLETRANSLATE(A3045, ""zh"", ""en"")"),"Clean production, guidelines for the preparation of emergency plans for environmental emergencies, guidance on the provision of emergency supplies for environmental emergencies, ensuring that environmental incidents are handled promptly and effectively, a"&amp;"nd minimizing pollution and ecological damage.")</f>
        <v>Clean production, guidelines for the preparation of emergency plans for environmental emergencies, guidance on the provision of emergency supplies for environmental emergencies, ensuring that environmental incidents are handled promptly and effectively, and minimizing pollution and ecological damage.</v>
      </c>
      <c r="B3045" s="1" t="str">
        <f ca="1">IFERROR(__xludf.DUMMYFUNCTION("GOOGLETRANSLATE(A3045, ""zh"", ""en"")"),"Environmental Policy")</f>
        <v>Environmental Policy</v>
      </c>
      <c r="C3045" s="1" t="str">
        <f ca="1">IFERROR(__xludf.DUMMYFUNCTION("GOOGLETRANSLATE(E3045, ""zh"", ""en"")"),"Qualitative text")</f>
        <v>Qualitative text</v>
      </c>
    </row>
    <row r="3046" spans="1:3" ht="13" x14ac:dyDescent="0.15">
      <c r="A3046" s="1" t="str">
        <f ca="1">IFERROR(__xludf.DUMMYFUNCTION("GOOGLETRANSLATE(A3046, ""zh"", ""en"")"),"The no-deforestation campaign targets environmentally sensitive areas such as important wetlands, nature reserves, forest parks, etc. within the mining rights area. During the renewal and change of mining rights, various sensitive areas will be avoided.")</f>
        <v>The no-deforestation campaign targets environmentally sensitive areas such as important wetlands, nature reserves, forest parks, etc. within the mining rights area. During the renewal and change of mining rights, various sensitive areas will be avoided.</v>
      </c>
      <c r="B3046" s="1" t="str">
        <f ca="1">IFERROR(__xludf.DUMMYFUNCTION("GOOGLETRANSLATE(A3046, ""zh"", ""en"")"),"Land use")</f>
        <v>Land use</v>
      </c>
      <c r="C3046" s="1" t="str">
        <f ca="1">IFERROR(__xludf.DUMMYFUNCTION("GOOGLETRANSLATE(E3046, ""zh"", ""en"")"),"Qualitative text")</f>
        <v>Qualitative text</v>
      </c>
    </row>
    <row r="3047" spans="1:3" ht="13" x14ac:dyDescent="0.15">
      <c r="A3047" s="1" t="str">
        <f ca="1">IFERROR(__xludf.DUMMYFUNCTION("GOOGLETRANSLATE(A3047, ""zh"", ""en"")"),"When the extended data disclosure scope causes a change in the statistical method, the relevant explanation will be reported together with the current data disclosure.")</f>
        <v>When the extended data disclosure scope causes a change in the statistical method, the relevant explanation will be reported together with the current data disclosure.</v>
      </c>
      <c r="B3047" s="1" t="str">
        <f ca="1">IFERROR(__xludf.DUMMYFUNCTION("GOOGLETRANSLATE(A3047, ""zh"", ""en"")"),"Information Disclosure and Investor Communication")</f>
        <v>Information Disclosure and Investor Communication</v>
      </c>
      <c r="C3047" s="1" t="str">
        <f ca="1">IFERROR(__xludf.DUMMYFUNCTION("GOOGLETRANSLATE(E3047, ""zh"", ""en"")"),"Qualitative text")</f>
        <v>Qualitative text</v>
      </c>
    </row>
    <row r="3048" spans="1:3" ht="13" x14ac:dyDescent="0.15">
      <c r="A3048" s="1" t="str">
        <f ca="1">IFERROR(__xludf.DUMMYFUNCTION("GOOGLETRANSLATE(A3048, ""zh"", ""en"")"),"On September 16, 2022, the Singapore branch and the Garden City Fund, a registered charity under the Singapore National Parks Board, jointly held a tree planting event.")</f>
        <v>On September 16, 2022, the Singapore branch and the Garden City Fund, a registered charity under the Singapore National Parks Board, jointly held a tree planting event.</v>
      </c>
      <c r="B3048" s="1" t="str">
        <f ca="1">IFERROR(__xludf.DUMMYFUNCTION("GOOGLETRANSLATE(A3048, ""zh"", ""en"")"),"Public welfare and volunteer service")</f>
        <v>Public welfare and volunteer service</v>
      </c>
      <c r="C3048" s="1" t="str">
        <f ca="1">IFERROR(__xludf.DUMMYFUNCTION("GOOGLETRANSLATE(E3048, ""zh"", ""en"")"),"Qualitative text")</f>
        <v>Qualitative text</v>
      </c>
    </row>
    <row r="3049" spans="1:3" ht="13" x14ac:dyDescent="0.15">
      <c r="A3049" s="1" t="str">
        <f ca="1">IFERROR(__xludf.DUMMYFUNCTION("GOOGLETRANSLATE(A3049, ""zh"", ""en"")"),"At the same time, we are actively exploring the establishment of patent evaluation models and striving to discover and cultivate a number of invention patents with high technical value, high legal value and high market value in key industries and key tech"&amp;"nology fields.")</f>
        <v>At the same time, we are actively exploring the establishment of patent evaluation models and striving to discover and cultivate a number of invention patents with high technical value, high legal value and high market value in key industries and key technology fields.</v>
      </c>
      <c r="B3049" s="1" t="str">
        <f ca="1">IFERROR(__xludf.DUMMYFUNCTION("GOOGLETRANSLATE(A3049, ""zh"", ""en"")"),"Intellectual Property Protection")</f>
        <v>Intellectual Property Protection</v>
      </c>
      <c r="C3049" s="1" t="str">
        <f ca="1">IFERROR(__xludf.DUMMYFUNCTION("GOOGLETRANSLATE(E3049, ""zh"", ""en"")"),"Qualitative text")</f>
        <v>Qualitative text</v>
      </c>
    </row>
    <row r="3050" spans="1:3" ht="13" x14ac:dyDescent="0.15">
      <c r="A3050" s="1" t="str">
        <f ca="1">IFERROR(__xludf.DUMMYFUNCTION("GOOGLETRANSLATE(A3050, ""zh"", ""en"")"),"In March 2022, the company completed a green electricity transaction of 5 million kWh and obtained a green electricity consumption certificate issued by the Beijing Power Exchange Center, which opened a new chapter for the company's energy conservation an"&amp;"d carbon reduction work.")</f>
        <v>In March 2022, the company completed a green electricity transaction of 5 million kWh and obtained a green electricity consumption certificate issued by the Beijing Power Exchange Center, which opened a new chapter for the company's energy conservation and carbon reduction work.</v>
      </c>
      <c r="B3050" s="1" t="str">
        <f ca="1">IFERROR(__xludf.DUMMYFUNCTION("GOOGLETRANSLATE(A3050, ""zh"", ""en"")"),"Energy and resource consumption")</f>
        <v>Energy and resource consumption</v>
      </c>
      <c r="C3050" s="1" t="str">
        <f ca="1">IFERROR(__xludf.DUMMYFUNCTION("GOOGLETRANSLATE(E3050, ""zh"", ""en"")"),"Quantitative Text")</f>
        <v>Quantitative Text</v>
      </c>
    </row>
    <row r="3051" spans="1:3" ht="13" x14ac:dyDescent="0.15">
      <c r="A3051" s="1" t="str">
        <f ca="1">IFERROR(__xludf.DUMMYFUNCTION("GOOGLETRANSLATE(A3051, ""zh"", ""en"")"),"03 Implement three low-carbon development paths and establish a dual-carbon strategic platform at the group level. Top-level planning and design of the group's dual-carbon strategy and path for the next 5-10 years will provide support for group decision-m"&amp;"aking.")</f>
        <v>03 Implement three low-carbon development paths and establish a dual-carbon strategic platform at the group level. Top-level planning and design of the group's dual-carbon strategy and path for the next 5-10 years will provide support for group decision-making.</v>
      </c>
      <c r="B3051" s="1" t="str">
        <f ca="1">IFERROR(__xludf.DUMMYFUNCTION("GOOGLETRANSLATE(A3051, ""zh"", ""en"")"),"carbon emissions")</f>
        <v>carbon emissions</v>
      </c>
      <c r="C3051" s="1" t="str">
        <f ca="1">IFERROR(__xludf.DUMMYFUNCTION("GOOGLETRANSLATE(E3051, ""zh"", ""en"")"),"Qualitative text")</f>
        <v>Qualitative text</v>
      </c>
    </row>
    <row r="3052" spans="1:3" ht="13" x14ac:dyDescent="0.15">
      <c r="A3052" s="1" t="str">
        <f ca="1">IFERROR(__xludf.DUMMYFUNCTION("GOOGLETRANSLATE(A3052, ""zh"", ""en"")"),"In addition, the Group has continuously promoted energy conservation and emission reduction by updating energy management and environmental protection technology and upgrading environmental protection equipment, actively reducing carbon emissions and stri"&amp;"ving to minimize its negative impact on the environment.")</f>
        <v>In addition, the Group has continuously promoted energy conservation and emission reduction by updating energy management and environmental protection technology and upgrading environmental protection equipment, actively reducing carbon emissions and striving to minimize its negative impact on the environment.</v>
      </c>
      <c r="B3052" s="1" t="str">
        <f ca="1">IFERROR(__xludf.DUMMYFUNCTION("GOOGLETRANSLATE(A3052, ""zh"", ""en"")"),"carbon emissions")</f>
        <v>carbon emissions</v>
      </c>
      <c r="C3052" s="1" t="str">
        <f ca="1">IFERROR(__xludf.DUMMYFUNCTION("GOOGLETRANSLATE(E3052, ""zh"", ""en"")"),"Qualitative text")</f>
        <v>Qualitative text</v>
      </c>
    </row>
    <row r="3053" spans="1:3" ht="13" x14ac:dyDescent="0.15">
      <c r="A3053" s="1" t="str">
        <f ca="1">IFERROR(__xludf.DUMMYFUNCTION("GOOGLETRANSLATE(A3053, ""zh"", ""en"")"),"The company provides comprehensive supplementary commercial insurance for employees, including supplementary outpatient and emergency and hospitalization medical insurance, major disease insurance, disease death insurance, accidental injury insurance and "&amp;"overseas travel insurance, etc.")</f>
        <v>The company provides comprehensive supplementary commercial insurance for employees, including supplementary outpatient and emergency and hospitalization medical insurance, major disease insurance, disease death insurance, accidental injury insurance and overseas travel insurance, etc.</v>
      </c>
      <c r="B3053" s="1" t="str">
        <f ca="1">IFERROR(__xludf.DUMMYFUNCTION("GOOGLETRANSLATE(A3053, ""zh"", ""en"")"),"staff")</f>
        <v>staff</v>
      </c>
      <c r="C3053" s="1" t="str">
        <f ca="1">IFERROR(__xludf.DUMMYFUNCTION("GOOGLETRANSLATE(E3053, ""zh"", ""en"")"),"Qualitative text")</f>
        <v>Qualitative text</v>
      </c>
    </row>
    <row r="3054" spans="1:3" ht="13" x14ac:dyDescent="0.15">
      <c r="A3054" s="1" t="str">
        <f ca="1">IFERROR(__xludf.DUMMYFUNCTION("GOOGLETRANSLATE(A3054, ""zh"", ""en"")"),"In recent years, Shanghai Electric has gradually transformed from a single temporary donation to a strategic donation, aiming to make charity as the company's long-term development strategy and contribute to building a harmonious society.")</f>
        <v>In recent years, Shanghai Electric has gradually transformed from a single temporary donation to a strategic donation, aiming to make charity as the company's long-term development strategy and contribute to building a harmonious society.</v>
      </c>
      <c r="B3054" s="1" t="str">
        <f ca="1">IFERROR(__xludf.DUMMYFUNCTION("GOOGLETRANSLATE(A3054, ""zh"", ""en"")"),"Public welfare and volunteer service")</f>
        <v>Public welfare and volunteer service</v>
      </c>
      <c r="C3054" s="1" t="str">
        <f ca="1">IFERROR(__xludf.DUMMYFUNCTION("GOOGLETRANSLATE(E3054, ""zh"", ""en"")"),"Qualitative text")</f>
        <v>Qualitative text</v>
      </c>
    </row>
    <row r="3055" spans="1:3" ht="13" x14ac:dyDescent="0.15">
      <c r="A3055" s="1" t="str">
        <f ca="1">IFERROR(__xludf.DUMMYFUNCTION("GOOGLETRANSLATE(A3055, ""zh"", ""en"")"),"Cloud HIS is a medical digital transformation platform based on the concept of middle platform, which has built a closed loop of smart medical services. It is like having an additional hidden person when patients visit the hospital. It is a knowledge-driv"&amp;"en innovative medical information system.")</f>
        <v>Cloud HIS is a medical digital transformation platform based on the concept of middle platform, which has built a closed loop of smart medical services. It is like having an additional hidden person when patients visit the hospital. It is a knowledge-driven innovative medical information system.</v>
      </c>
      <c r="B3055" s="1" t="str">
        <f ca="1">IFERROR(__xludf.DUMMYFUNCTION("GOOGLETRANSLATE(A3055, ""zh"", ""en"")"),"Technological innovation")</f>
        <v>Technological innovation</v>
      </c>
      <c r="C3055" s="1" t="str">
        <f ca="1">IFERROR(__xludf.DUMMYFUNCTION("GOOGLETRANSLATE(E3055, ""zh"", ""en"")"),"Qualitative text")</f>
        <v>Qualitative text</v>
      </c>
    </row>
    <row r="3056" spans="1:3" ht="13" x14ac:dyDescent="0.15">
      <c r="A3056" s="1" t="str">
        <f ca="1">IFERROR(__xludf.DUMMYFUNCTION("GOOGLETRANSLATE(A3056, ""zh"", ""en"")"),"In 2022, the kitchen appliance product line will organize quality management personnel, production and process technical personnel to carry out quality training. The training content includes potential quality risks in the product line and quality control"&amp;" methods for key positions.")</f>
        <v>In 2022, the kitchen appliance product line will organize quality management personnel, production and process technical personnel to carry out quality training. The training content includes potential quality risks in the product line and quality control methods for key positions.</v>
      </c>
      <c r="B3056" s="1" t="str">
        <f ca="1">IFERROR(__xludf.DUMMYFUNCTION("GOOGLETRANSLATE(A3056, ""zh"", ""en"")"),"staff")</f>
        <v>staff</v>
      </c>
      <c r="C3056" s="1" t="str">
        <f ca="1">IFERROR(__xludf.DUMMYFUNCTION("GOOGLETRANSLATE(E3056, ""zh"", ""en"")"),"Qualitative text")</f>
        <v>Qualitative text</v>
      </c>
    </row>
    <row r="3057" spans="1:3" ht="13" x14ac:dyDescent="0.15">
      <c r="A3057" s="1" t="str">
        <f ca="1">IFERROR(__xludf.DUMMYFUNCTION("GOOGLETRANSLATE(A3057, ""zh"", ""en"")"),"2022 Social Responsibility Report 108: Cultivating a positive atmosphere of respect and appreciation for talent. We uphold a dual-pronged approach to talent development, focusing on both management and technology, to provide ample development space for di"&amp;"verse talent types.")</f>
        <v>2022 Social Responsibility Report 108: Cultivating a positive atmosphere of respect and appreciation for talent. We uphold a dual-pronged approach to talent development, focusing on both management and technology, to provide ample development space for diverse talent types.</v>
      </c>
      <c r="B3057" s="1" t="str">
        <f ca="1">IFERROR(__xludf.DUMMYFUNCTION("GOOGLETRANSLATE(A3057, ""zh"", ""en"")"),"staff")</f>
        <v>staff</v>
      </c>
      <c r="C3057" s="1" t="str">
        <f ca="1">IFERROR(__xludf.DUMMYFUNCTION("GOOGLETRANSLATE(E3057, ""zh"", ""en"")"),"Qualitative text")</f>
        <v>Qualitative text</v>
      </c>
    </row>
    <row r="3058" spans="1:3" ht="13" x14ac:dyDescent="0.15">
      <c r="A3058" s="1" t="str">
        <f ca="1">IFERROR(__xludf.DUMMYFUNCTION("GOOGLETRANSLATE(A3058, ""zh"", ""en"")"),"Fire training and drills To consolidate and enhance employees' fire emergency response and escape capabilities, several member companies have conducted fire training and drills, including PPE wearing, fire extinguisher use, escape methods, and other relat"&amp;"ed content.")</f>
        <v>Fire training and drills To consolidate and enhance employees' fire emergency response and escape capabilities, several member companies have conducted fire training and drills, including PPE wearing, fire extinguisher use, escape methods, and other related content.</v>
      </c>
      <c r="B3058" s="1" t="str">
        <f ca="1">IFERROR(__xludf.DUMMYFUNCTION("GOOGLETRANSLATE(A3058, ""zh"", ""en"")"),"staff")</f>
        <v>staff</v>
      </c>
      <c r="C3058" s="1" t="str">
        <f ca="1">IFERROR(__xludf.DUMMYFUNCTION("GOOGLETRANSLATE(E3058, ""zh"", ""en"")"),"Qualitative text")</f>
        <v>Qualitative text</v>
      </c>
    </row>
    <row r="3059" spans="1:3" ht="13" x14ac:dyDescent="0.15">
      <c r="A3059" s="1" t="str">
        <f ca="1">IFERROR(__xludf.DUMMYFUNCTION("GOOGLETRANSLATE(A3059, ""zh"", ""en"")"),"Haier Smart Home actively responds to product failure issues reported by users. For products that fail during the three-year warranty period, the user will be given a return or exchange after being identified by the service provider in the user's location"&amp;".")</f>
        <v>Haier Smart Home actively responds to product failure issues reported by users. For products that fail during the three-year warranty period, the user will be given a return or exchange after being identified by the service provider in the user's location.</v>
      </c>
      <c r="B3059" s="1" t="str">
        <f ca="1">IFERROR(__xludf.DUMMYFUNCTION("GOOGLETRANSLATE(A3059, ""zh"", ""en"")"),"Customers and Consumers")</f>
        <v>Customers and Consumers</v>
      </c>
      <c r="C3059" s="1" t="str">
        <f ca="1">IFERROR(__xludf.DUMMYFUNCTION("GOOGLETRANSLATE(E3059, ""zh"", ""en"")"),"Qualitative text")</f>
        <v>Qualitative text</v>
      </c>
    </row>
    <row r="3060" spans="1:3" ht="13" x14ac:dyDescent="0.15">
      <c r="A3060" s="1" t="str">
        <f ca="1">IFERROR(__xludf.DUMMYFUNCTION("GOOGLETRANSLATE(A3060, ""zh"", ""en"")"),"Although the delivery encountered many difficulties such as language communication, cross-border time differences, and the global epidemic, the delivery work was finally completed successfully with the concerted efforts of all departments of the company a"&amp;"nd was highly recognized by the customer.")</f>
        <v>Although the delivery encountered many difficulties such as language communication, cross-border time differences, and the global epidemic, the delivery work was finally completed successfully with the concerted efforts of all departments of the company and was highly recognized by the customer.</v>
      </c>
      <c r="B3060" s="1" t="str">
        <f ca="1">IFERROR(__xludf.DUMMYFUNCTION("GOOGLETRANSLATE(A3060, ""zh"", ""en"")"),"Customers and Consumers")</f>
        <v>Customers and Consumers</v>
      </c>
      <c r="C3060" s="1" t="str">
        <f ca="1">IFERROR(__xludf.DUMMYFUNCTION("GOOGLETRANSLATE(E3060, ""zh"", ""en"")"),"Qualitative text")</f>
        <v>Qualitative text</v>
      </c>
    </row>
    <row r="3061" spans="1:3" ht="13" x14ac:dyDescent="0.15">
      <c r="A3061" s="1" t="str">
        <f ca="1">IFERROR(__xludf.DUMMYFUNCTION("GOOGLETRANSLATE(A3061, ""zh"", ""en"")"),"The craftsman team focuses on the selection of chief technicians, national special technicians, 333 joint graduate training courses of the Second Polytechnic University, etc., focusing on top skilled talents, continuing the spirit of craftsmanship and bui"&amp;"lding a team of craftsman talents.")</f>
        <v>The craftsman team focuses on the selection of chief technicians, national special technicians, 333 joint graduate training courses of the Second Polytechnic University, etc., focusing on top skilled talents, continuing the spirit of craftsmanship and building a team of craftsman talents.</v>
      </c>
      <c r="B3061" s="1" t="str">
        <f ca="1">IFERROR(__xludf.DUMMYFUNCTION("GOOGLETRANSLATE(A3061, ""zh"", ""en"")"),"staff")</f>
        <v>staff</v>
      </c>
      <c r="C3061" s="1" t="str">
        <f ca="1">IFERROR(__xludf.DUMMYFUNCTION("GOOGLETRANSLATE(E3061, ""zh"", ""en"")"),"Qualitative text")</f>
        <v>Qualitative text</v>
      </c>
    </row>
    <row r="3062" spans="1:3" ht="13" x14ac:dyDescent="0.15">
      <c r="A3062" s="1" t="str">
        <f ca="1">IFERROR(__xludf.DUMMYFUNCTION("GOOGLETRANSLATE(A3062, ""zh"", ""en"")"),"In order to further improve the efficiency of cooperation with ecological parties, we will conduct concept verification and docking management of innovative technologies and actively organize and participate in innovation activities at home and abroad to "&amp;"maintain the vitality of scientific and technological innovation.")</f>
        <v>In order to further improve the efficiency of cooperation with ecological parties, we will conduct concept verification and docking management of innovative technologies and actively organize and participate in innovation activities at home and abroad to maintain the vitality of scientific and technological innovation.</v>
      </c>
      <c r="B3062" s="1" t="str">
        <f ca="1">IFERROR(__xludf.DUMMYFUNCTION("GOOGLETRANSLATE(A3062, ""zh"", ""en"")"),"Technological innovation")</f>
        <v>Technological innovation</v>
      </c>
      <c r="C3062" s="1" t="str">
        <f ca="1">IFERROR(__xludf.DUMMYFUNCTION("GOOGLETRANSLATE(E3062, ""zh"", ""en"")"),"Qualitative text")</f>
        <v>Qualitative text</v>
      </c>
    </row>
    <row r="3063" spans="1:3" ht="13" x14ac:dyDescent="0.15">
      <c r="A3063" s="1" t="str">
        <f ca="1">IFERROR(__xludf.DUMMYFUNCTION("GOOGLETRANSLATE(A3063, ""zh"", ""en"")"),"The company holds over 40% of the domestic market share of bulletproof cash transport vehicles, ranking first in the industry for 22 consecutive years. It also leads the domestic market for airport ground commuter equipment, especially high-end passenger "&amp;"elevators. The company holds over 350 patents.")</f>
        <v>The company holds over 40% of the domestic market share of bulletproof cash transport vehicles, ranking first in the industry for 22 consecutive years. It also leads the domestic market for airport ground commuter equipment, especially high-end passenger elevators. The company holds over 350 patents.</v>
      </c>
      <c r="B3063" s="1" t="str">
        <f ca="1">IFERROR(__xludf.DUMMYFUNCTION("GOOGLETRANSLATE(A3063, ""zh"", ""en"")"),"Intellectual Property Protection")</f>
        <v>Intellectual Property Protection</v>
      </c>
      <c r="C3063" s="1" t="str">
        <f ca="1">IFERROR(__xludf.DUMMYFUNCTION("GOOGLETRANSLATE(E3063, ""zh"", ""en"")"),"Quantitative Text")</f>
        <v>Quantitative Text</v>
      </c>
    </row>
    <row r="3064" spans="1:3" ht="13" x14ac:dyDescent="0.15">
      <c r="A3064" s="1" t="str">
        <f ca="1">IFERROR(__xludf.DUMMYFUNCTION("GOOGLETRANSLATE(A3064, ""zh"", ""en"")"),"The company has prioritized energy conservation and consumption reduction this year, strengthening lighting and air conditioning management in multiple office locations, reducing on-site meetings, lowering carbon emissions from business travel, and improv"&amp;"ing energy efficiency.")</f>
        <v>The company has prioritized energy conservation and consumption reduction this year, strengthening lighting and air conditioning management in multiple office locations, reducing on-site meetings, lowering carbon emissions from business travel, and improving energy efficiency.</v>
      </c>
      <c r="B3064" s="1" t="str">
        <f ca="1">IFERROR(__xludf.DUMMYFUNCTION("GOOGLETRANSLATE(A3064, ""zh"", ""en"")"),"carbon emissions")</f>
        <v>carbon emissions</v>
      </c>
      <c r="C3064" s="1" t="str">
        <f ca="1">IFERROR(__xludf.DUMMYFUNCTION("GOOGLETRANSLATE(E3064, ""zh"", ""en"")"),"Qualitative text")</f>
        <v>Qualitative text</v>
      </c>
    </row>
    <row r="3065" spans="1:3" ht="13" x14ac:dyDescent="0.15">
      <c r="A3065" s="1" t="str">
        <f ca="1">IFERROR(__xludf.DUMMYFUNCTION("GOOGLETRANSLATE(A3065, ""zh"", ""en"")"),"The company regularly conducts ESG risk identification, analysis and assessment based on macroeconomic policies, economic environment, industry development trends, company strategic planning, production and operation conditions, and stakeholder communicat"&amp;"ion.")</f>
        <v>The company regularly conducts ESG risk identification, analysis and assessment based on macroeconomic policies, economic environment, industry development trends, company strategic planning, production and operation conditions, and stakeholder communication.</v>
      </c>
      <c r="B3065" s="1" t="str">
        <f ca="1">IFERROR(__xludf.DUMMYFUNCTION("GOOGLETRANSLATE(A3065, ""zh"", ""en"")"),"irrelevant text")</f>
        <v>irrelevant text</v>
      </c>
      <c r="C3065" s="1" t="str">
        <f ca="1">IFERROR(__xludf.DUMMYFUNCTION("GOOGLETRANSLATE(E3065, ""zh"", ""en"")"),"irrelevant text")</f>
        <v>irrelevant text</v>
      </c>
    </row>
    <row r="3066" spans="1:3" ht="13" x14ac:dyDescent="0.15">
      <c r="A3066" s="1" t="str">
        <f ca="1">IFERROR(__xludf.DUMMYFUNCTION("GOOGLETRANSLATE(A3066, ""zh"", ""en"")"),"Respect human rights, prohibit child labor and forced labor, prohibit any form of discrimination based on gender, region, religion, nationality, etc., improve employee diversity in terms of gender, ethnicity, etc., and ensure equal development opportuniti"&amp;"es for employees.")</f>
        <v>Respect human rights, prohibit child labor and forced labor, prohibit any form of discrimination based on gender, region, religion, nationality, etc., improve employee diversity in terms of gender, ethnicity, etc., and ensure equal development opportunities for employees.</v>
      </c>
      <c r="B3066" s="1" t="str">
        <f ca="1">IFERROR(__xludf.DUMMYFUNCTION("GOOGLETRANSLATE(A3066, ""zh"", ""en"")"),"staff")</f>
        <v>staff</v>
      </c>
      <c r="C3066" s="1" t="str">
        <f ca="1">IFERROR(__xludf.DUMMYFUNCTION("GOOGLETRANSLATE(E3066, ""zh"", ""en"")"),"Qualitative text")</f>
        <v>Qualitative text</v>
      </c>
    </row>
    <row r="3067" spans="1:3" ht="13" x14ac:dyDescent="0.15">
      <c r="A3067" s="1" t="str">
        <f ca="1">IFERROR(__xludf.DUMMYFUNCTION("GOOGLETRANSLATE(A3067, ""zh"", ""en"")"),"During the special period of concentrated disease prevention in Shanghai, the Youth League organizations at all levels organized 72 youth commandos and 45 volunteer service teams, with a total of 3,617 members participating in community epidemic infectiou"&amp;"s disease prevention and control work.")</f>
        <v>During the special period of concentrated disease prevention in Shanghai, the Youth League organizations at all levels organized 72 youth commandos and 45 volunteer service teams, with a total of 3,617 members participating in community epidemic infectious disease prevention and control work.</v>
      </c>
      <c r="B3067" s="1" t="str">
        <f ca="1">IFERROR(__xludf.DUMMYFUNCTION("GOOGLETRANSLATE(A3067, ""zh"", ""en"")"),"Fighting the epidemic")</f>
        <v>Fighting the epidemic</v>
      </c>
      <c r="C3067" s="1" t="str">
        <f ca="1">IFERROR(__xludf.DUMMYFUNCTION("GOOGLETRANSLATE(E3067, ""zh"", ""en"")"),"Quantitative Text")</f>
        <v>Quantitative Text</v>
      </c>
    </row>
    <row r="3068" spans="1:3" ht="13" x14ac:dyDescent="0.15">
      <c r="A3068" s="1" t="str">
        <f ca="1">IFERROR(__xludf.DUMMYFUNCTION("GOOGLETRANSLATE(A3068, ""zh"", ""en"")"),"In addition, Livzon Group helps local pharmaceutical companies improve and optimize production management processes and quality control procedures by providing technology transfer solutions and analytical testing solutions to enhance local production tech"&amp;"nology levels.")</f>
        <v>In addition, Livzon Group helps local pharmaceutical companies improve and optimize production management processes and quality control procedures by providing technology transfer solutions and analytical testing solutions to enhance local production technology levels.</v>
      </c>
      <c r="B3068" s="1" t="str">
        <f ca="1">IFERROR(__xludf.DUMMYFUNCTION("GOOGLETRANSLATE(A3068, ""zh"", ""en"")"),"Technological innovation")</f>
        <v>Technological innovation</v>
      </c>
      <c r="C3068" s="1" t="str">
        <f ca="1">IFERROR(__xludf.DUMMYFUNCTION("GOOGLETRANSLATE(E3068, ""zh"", ""en"")"),"Qualitative text")</f>
        <v>Qualitative text</v>
      </c>
    </row>
    <row r="3069" spans="1:3" ht="13" x14ac:dyDescent="0.15">
      <c r="A3069" s="1" t="str">
        <f ca="1">IFERROR(__xludf.DUMMYFUNCTION("GOOGLETRANSLATE(A3069, ""zh"", ""en"")"),"The company supervised the bidding and tendering sites of 35 projects, discovered and issued feedback to third-party suppliers or partners, prevented some non-compliant behaviors and eliminated some potential risks.")</f>
        <v>The company supervised the bidding and tendering sites of 35 projects, discovered and issued feedback to third-party suppliers or partners, prevented some non-compliant behaviors and eliminated some potential risks.</v>
      </c>
      <c r="B3069" s="1" t="str">
        <f ca="1">IFERROR(__xludf.DUMMYFUNCTION("GOOGLETRANSLATE(A3069, ""zh"", ""en"")"),"supply chain management")</f>
        <v>supply chain management</v>
      </c>
      <c r="C3069" s="1" t="str">
        <f ca="1">IFERROR(__xludf.DUMMYFUNCTION("GOOGLETRANSLATE(E3069, ""zh"", ""en"")"),"Qualitative text")</f>
        <v>Qualitative text</v>
      </c>
    </row>
    <row r="3070" spans="1:3" ht="13" x14ac:dyDescent="0.15">
      <c r="A3070" s="1" t="str">
        <f ca="1">IFERROR(__xludf.DUMMYFUNCTION("GOOGLETRANSLATE(A3070, ""zh"", ""en"")"),"By the end of 2022, we will have cultivated a Green Belt supply network with an operational excellence system to support product innovation and business growth with 513 employees, 20 FOPEX senior experts, and 17 senior experts.")</f>
        <v>By the end of 2022, we will have cultivated a Green Belt supply network with an operational excellence system to support product innovation and business growth with 513 employees, 20 FOPEX senior experts, and 17 senior experts.</v>
      </c>
      <c r="B3070" s="1" t="str">
        <f ca="1">IFERROR(__xludf.DUMMYFUNCTION("GOOGLETRANSLATE(A3070, ""zh"", ""en"")"),"supply chain management")</f>
        <v>supply chain management</v>
      </c>
      <c r="C3070" s="1" t="str">
        <f ca="1">IFERROR(__xludf.DUMMYFUNCTION("GOOGLETRANSLATE(E3070, ""zh"", ""en"")"),"Quantitative Text")</f>
        <v>Quantitative Text</v>
      </c>
    </row>
    <row r="3071" spans="1:3" ht="13" x14ac:dyDescent="0.15">
      <c r="A3071" s="1" t="str">
        <f ca="1">IFERROR(__xludf.DUMMYFUNCTION("GOOGLETRANSLATE(A3071, ""zh"", ""en"")"),"The company will continue to explore the application scenarios of ESG index in more product areas to attract more social capital to invest in green and low-carbon projects and serve to establish and improve a green, low-carbon and circular economic system"&amp;".")</f>
        <v>The company will continue to explore the application scenarios of ESG index in more product areas to attract more social capital to invest in green and low-carbon projects and serve to establish and improve a green, low-carbon and circular economic system.</v>
      </c>
      <c r="B3071" s="1" t="str">
        <f ca="1">IFERROR(__xludf.DUMMYFUNCTION("GOOGLETRANSLATE(A3071, ""zh"", ""en"")"),"Green Finance")</f>
        <v>Green Finance</v>
      </c>
      <c r="C3071" s="1" t="str">
        <f ca="1">IFERROR(__xludf.DUMMYFUNCTION("GOOGLETRANSLATE(E3071, ""zh"", ""en"")"),"Qualitative text")</f>
        <v>Qualitative text</v>
      </c>
    </row>
    <row r="3072" spans="1:3" ht="13" x14ac:dyDescent="0.15">
      <c r="A3072" s="1" t="str">
        <f ca="1">IFERROR(__xludf.DUMMYFUNCTION("GOOGLETRANSLATE(A3072, ""zh"", ""en"")"),"Henlius has launched five products in China and one internationally. Its superior quality, safety, and efficacy have earned it wide recognition for their clinical performance, allowing more patients worldwide to access therapeutic drugs.")</f>
        <v>Henlius has launched five products in China and one internationally. Its superior quality, safety, and efficacy have earned it wide recognition for their clinical performance, allowing more patients worldwide to access therapeutic drugs.</v>
      </c>
      <c r="B3072" s="1" t="str">
        <f ca="1">IFERROR(__xludf.DUMMYFUNCTION("GOOGLETRANSLATE(A3072, ""zh"", ""en"")"),"Product quality")</f>
        <v>Product quality</v>
      </c>
      <c r="C3072" s="1" t="str">
        <f ca="1">IFERROR(__xludf.DUMMYFUNCTION("GOOGLETRANSLATE(E3072, ""zh"", ""en"")"),"Qualitative text")</f>
        <v>Qualitative text</v>
      </c>
    </row>
    <row r="3073" spans="1:3" ht="13" x14ac:dyDescent="0.15">
      <c r="A3073" s="1" t="str">
        <f ca="1">IFERROR(__xludf.DUMMYFUNCTION("GOOGLETRANSLATE(A3073, ""zh"", ""en"")"),"In 2022, we stood out from many participating companies with our investment and practice in organizational culture and talent and won the title of 2022 China's Preferred Employer of the Year awarded by Zhaopin.com.")</f>
        <v>In 2022, we stood out from many participating companies with our investment and practice in organizational culture and talent and won the title of 2022 China's Preferred Employer of the Year awarded by Zhaopin.com.</v>
      </c>
      <c r="B3073" s="1" t="str">
        <f ca="1">IFERROR(__xludf.DUMMYFUNCTION("GOOGLETRANSLATE(A3073, ""zh"", ""en"")"),"staff")</f>
        <v>staff</v>
      </c>
      <c r="C3073" s="1" t="str">
        <f ca="1">IFERROR(__xludf.DUMMYFUNCTION("GOOGLETRANSLATE(E3073, ""zh"", ""en"")"),"Quantitative Text")</f>
        <v>Quantitative Text</v>
      </c>
    </row>
    <row r="3074" spans="1:3" ht="13" x14ac:dyDescent="0.15">
      <c r="A3074" s="1" t="str">
        <f ca="1">IFERROR(__xludf.DUMMYFUNCTION("GOOGLETRANSLATE(A3074, ""zh"", ""en"")"),"The employee accident rate per 200,000 working hours disclosed in the Sustainability Report refers to the number of accidents that occurred per 200,000 working hours at Sinopec.")</f>
        <v>The employee accident rate per 200,000 working hours disclosed in the Sustainability Report refers to the number of accidents that occurred per 200,000 working hours at Sinopec.</v>
      </c>
      <c r="B3074" s="1" t="str">
        <f ca="1">IFERROR(__xludf.DUMMYFUNCTION("GOOGLETRANSLATE(A3074, ""zh"", ""en"")"),"staff")</f>
        <v>staff</v>
      </c>
      <c r="C3074" s="1" t="str">
        <f ca="1">IFERROR(__xludf.DUMMYFUNCTION("GOOGLETRANSLATE(E3074, ""zh"", ""en"")"),"Quantitative Text")</f>
        <v>Quantitative Text</v>
      </c>
    </row>
    <row r="3075" spans="1:3" ht="13" x14ac:dyDescent="0.15">
      <c r="A3075" s="1" t="str">
        <f ca="1">IFERROR(__xludf.DUMMYFUNCTION("GOOGLETRANSLATE(A3075, ""zh"", ""en"")"),"Review the IT risk management report to understand the basic situation of the Bank's IT risk management system, identify and assess the risk, control and mitigation measures, current situation and problems, and next steps.")</f>
        <v>Review the IT risk management report to understand the basic situation of the Bank's IT risk management system, identify and assess the risk, control and mitigation measures, current situation and problems, and next steps.</v>
      </c>
      <c r="B3075" s="1" t="str">
        <f ca="1">IFERROR(__xludf.DUMMYFUNCTION("GOOGLETRANSLATE(A3075, ""zh"", ""en"")"),"Data security")</f>
        <v>Data security</v>
      </c>
      <c r="C3075" s="1" t="str">
        <f ca="1">IFERROR(__xludf.DUMMYFUNCTION("GOOGLETRANSLATE(E3075, ""zh"", ""en"")"),"Qualitative text")</f>
        <v>Qualitative text</v>
      </c>
    </row>
    <row r="3076" spans="1:3" ht="13" x14ac:dyDescent="0.15">
      <c r="A3076" s="1" t="str">
        <f ca="1">IFERROR(__xludf.DUMMYFUNCTION("GOOGLETRANSLATE(A3076, ""zh"", ""en"")"),"In addition, the Risk Management Committee of the Board of Directors listened to the Bank's measures to address climate change and further discussed and communicated with relevant departments on specific issues such as environmental and climate risk stres"&amp;"s testing and green bonds after the meeting.")</f>
        <v>In addition, the Risk Management Committee of the Board of Directors listened to the Bank's measures to address climate change and further discussed and communicated with relevant departments on specific issues such as environmental and climate risk stress testing and green bonds after the meeting.</v>
      </c>
      <c r="B3076" s="1" t="str">
        <f ca="1">IFERROR(__xludf.DUMMYFUNCTION("GOOGLETRANSLATE(A3076, ""zh"", ""en"")"),"Addressing climate change")</f>
        <v>Addressing climate change</v>
      </c>
      <c r="C3076" s="1" t="str">
        <f ca="1">IFERROR(__xludf.DUMMYFUNCTION("GOOGLETRANSLATE(E3076, ""zh"", ""en"")"),"Qualitative text")</f>
        <v>Qualitative text</v>
      </c>
    </row>
    <row r="3077" spans="1:3" ht="13" x14ac:dyDescent="0.15">
      <c r="A3077" s="1" t="str">
        <f ca="1">IFERROR(__xludf.DUMMYFUNCTION("GOOGLETRANSLATE(A3077, ""zh"", ""en"")"),"Just as we provided free antivirus software to ordinary people to get basic security protection, we should also provide basic security protection for small and medium-sized enterprises to promote the development of the real economy and provide free securi"&amp;"ty in the new era.")</f>
        <v>Just as we provided free antivirus software to ordinary people to get basic security protection, we should also provide basic security protection for small and medium-sized enterprises to promote the development of the real economy and provide free security in the new era.</v>
      </c>
      <c r="B3077" s="1" t="str">
        <f ca="1">IFERROR(__xludf.DUMMYFUNCTION("GOOGLETRANSLATE(A3077, ""zh"", ""en"")"),"Data security")</f>
        <v>Data security</v>
      </c>
      <c r="C3077" s="1" t="str">
        <f ca="1">IFERROR(__xludf.DUMMYFUNCTION("GOOGLETRANSLATE(E3077, ""zh"", ""en"")"),"Qualitative text")</f>
        <v>Qualitative text</v>
      </c>
    </row>
    <row r="3078" spans="1:3" ht="13" x14ac:dyDescent="0.15">
      <c r="A3078" s="1" t="str">
        <f ca="1">IFERROR(__xludf.DUMMYFUNCTION("GOOGLETRANSLATE(A3078, ""zh"", ""en"")"),"Serving the community, the Bank provides on-site education to various groups through a variety of online and offline learning activities, supports rural revitalization, serves small and medium-sized enterprises, supports technological innovation, promotes"&amp;" bank-government cooperation, and implements industry-education integration.")</f>
        <v>Serving the community, the Bank provides on-site education to various groups through a variety of online and offline learning activities, supports rural revitalization, serves small and medium-sized enterprises, supports technological innovation, promotes bank-government cooperation, and implements industry-education integration.</v>
      </c>
      <c r="B3078" s="1" t="str">
        <f ca="1">IFERROR(__xludf.DUMMYFUNCTION("GOOGLETRANSLATE(A3078, ""zh"", ""en"")"),"Public welfare and volunteer service")</f>
        <v>Public welfare and volunteer service</v>
      </c>
      <c r="C3078" s="1" t="str">
        <f ca="1">IFERROR(__xludf.DUMMYFUNCTION("GOOGLETRANSLATE(E3078, ""zh"", ""en"")"),"Qualitative text")</f>
        <v>Qualitative text</v>
      </c>
    </row>
    <row r="3079" spans="1:3" ht="13" x14ac:dyDescent="0.15">
      <c r="A3079" s="1" t="str">
        <f ca="1">IFERROR(__xludf.DUMMYFUNCTION("GOOGLETRANSLATE(A3079, ""zh"", ""en"")"),"Zhejiang Wuchan Zhongda Pharmaceutical Co., Ltd. is Wuchan Zhongda Health's integrated pharmaceutical and medical device supply chain service platform. Leveraging the resources of its member hospitals, we leverage the advantages of centralized procurement"&amp;" to expand external collaboration and deepen and strengthen our pharmaceutical and medical device supply chain business.")</f>
        <v>Zhejiang Wuchan Zhongda Pharmaceutical Co., Ltd. is Wuchan Zhongda Health's integrated pharmaceutical and medical device supply chain service platform. Leveraging the resources of its member hospitals, we leverage the advantages of centralized procurement to expand external collaboration and deepen and strengthen our pharmaceutical and medical device supply chain business.</v>
      </c>
      <c r="B3079" s="1" t="str">
        <f ca="1">IFERROR(__xludf.DUMMYFUNCTION("GOOGLETRANSLATE(A3079, ""zh"", ""en"")"),"supply chain management")</f>
        <v>supply chain management</v>
      </c>
      <c r="C3079" s="1" t="str">
        <f ca="1">IFERROR(__xludf.DUMMYFUNCTION("GOOGLETRANSLATE(E3079, ""zh"", ""en"")"),"Qualitative text")</f>
        <v>Qualitative text</v>
      </c>
    </row>
    <row r="3080" spans="1:3" ht="13" x14ac:dyDescent="0.15">
      <c r="A3080" s="1" t="str">
        <f ca="1">IFERROR(__xludf.DUMMYFUNCTION("GOOGLETRANSLATE(A3080, ""zh"", ""en"")"),"Based on the existing EHS information management system, Shanghai Electric continues to expand the system's coverage in industrial groups and municipal production enterprises and vigorously enhances its big data information analysis and processing capabil"&amp;"ities.")</f>
        <v>Based on the existing EHS information management system, Shanghai Electric continues to expand the system's coverage in industrial groups and municipal production enterprises and vigorously enhances its big data information analysis and processing capabilities.</v>
      </c>
      <c r="B3080" s="1" t="str">
        <f ca="1">IFERROR(__xludf.DUMMYFUNCTION("GOOGLETRANSLATE(A3080, ""zh"", ""en"")"),"Technological innovation")</f>
        <v>Technological innovation</v>
      </c>
      <c r="C3080" s="1" t="str">
        <f ca="1">IFERROR(__xludf.DUMMYFUNCTION("GOOGLETRANSLATE(E3080, ""zh"", ""en"")"),"Qualitative text")</f>
        <v>Qualitative text</v>
      </c>
    </row>
    <row r="3081" spans="1:3" ht="13" x14ac:dyDescent="0.15">
      <c r="A3081" s="1" t="str">
        <f ca="1">IFERROR(__xludf.DUMMYFUNCTION("GOOGLETRANSLATE(A3081, ""zh"", ""en"")"),"The Group has also introduced digital information technology into its safety and environmental supervision, enabling video surveillance of major risk points on site and remote supervision and inspection of enterprises outside the city, greatly improving E"&amp;"HS management and supervision efficiency.")</f>
        <v>The Group has also introduced digital information technology into its safety and environmental supervision, enabling video surveillance of major risk points on site and remote supervision and inspection of enterprises outside the city, greatly improving EHS management and supervision efficiency.</v>
      </c>
      <c r="B3081" s="1" t="str">
        <f ca="1">IFERROR(__xludf.DUMMYFUNCTION("GOOGLETRANSLATE(A3081, ""zh"", ""en"")"),"Environmental Policy")</f>
        <v>Environmental Policy</v>
      </c>
      <c r="C3081" s="1" t="str">
        <f ca="1">IFERROR(__xludf.DUMMYFUNCTION("GOOGLETRANSLATE(E3081, ""zh"", ""en"")"),"Qualitative text")</f>
        <v>Qualitative text</v>
      </c>
    </row>
    <row r="3082" spans="1:3" ht="13" x14ac:dyDescent="0.15">
      <c r="A3082" s="1" t="str">
        <f ca="1">IFERROR(__xludf.DUMMYFUNCTION("GOOGLETRANSLATE(A3082, ""zh"", ""en"")"),"This year, the company revised the CITIC Securities Training Management Measures, clarifying that the company's training should focus on business development strategies and job skill requirements to comprehensively improve the professional quality, busine"&amp;"ss level and comprehensive capabilities of the employee team.")</f>
        <v>This year, the company revised the CITIC Securities Training Management Measures, clarifying that the company's training should focus on business development strategies and job skill requirements to comprehensively improve the professional quality, business level and comprehensive capabilities of the employee team.</v>
      </c>
      <c r="B3082" s="1" t="str">
        <f ca="1">IFERROR(__xludf.DUMMYFUNCTION("GOOGLETRANSLATE(A3082, ""zh"", ""en"")"),"staff")</f>
        <v>staff</v>
      </c>
      <c r="C3082" s="1" t="str">
        <f ca="1">IFERROR(__xludf.DUMMYFUNCTION("GOOGLETRANSLATE(E3082, ""zh"", ""en"")"),"Qualitative text")</f>
        <v>Qualitative text</v>
      </c>
    </row>
    <row r="3083" spans="1:3" ht="13" x14ac:dyDescent="0.15">
      <c r="A3083" s="1" t="str">
        <f ca="1">IFERROR(__xludf.DUMMYFUNCTION("GOOGLETRANSLATE(A3083, ""zh"", ""en"")"),"The company's board of directors has discussed the board diversity policy and believes that this policy will play a positive role in attracting the most diverse talents, improving corporate governance and achieving sustainable development.")</f>
        <v>The company's board of directors has discussed the board diversity policy and believes that this policy will play a positive role in attracting the most diverse talents, improving corporate governance and achieving sustainable development.</v>
      </c>
      <c r="B3083" s="1" t="str">
        <f ca="1">IFERROR(__xludf.DUMMYFUNCTION("GOOGLETRANSLATE(A3083, ""zh"", ""en"")"),"Organizational structure and operations")</f>
        <v>Organizational structure and operations</v>
      </c>
      <c r="C3083" s="1" t="str">
        <f ca="1">IFERROR(__xludf.DUMMYFUNCTION("GOOGLETRANSLATE(E3083, ""zh"", ""en"")"),"Qualitative text")</f>
        <v>Qualitative text</v>
      </c>
    </row>
    <row r="3084" spans="1:3" ht="13" x14ac:dyDescent="0.15">
      <c r="A3084" s="1" t="str">
        <f ca="1">IFERROR(__xludf.DUMMYFUNCTION("GOOGLETRANSLATE(A3084, ""zh"", ""en"")"),"During the reporting year, the Board of Directors reviewed and discussed the establishment and progress of environmental goals. All the annual environmental goals set by the Company have been achieved, and other goals have made progress as planned.")</f>
        <v>During the reporting year, the Board of Directors reviewed and discussed the establishment and progress of environmental goals. All the annual environmental goals set by the Company have been achieved, and other goals have made progress as planned.</v>
      </c>
      <c r="B3084" s="1" t="str">
        <f ca="1">IFERROR(__xludf.DUMMYFUNCTION("GOOGLETRANSLATE(A3084, ""zh"", ""en"")"),"Environmental Policy")</f>
        <v>Environmental Policy</v>
      </c>
      <c r="C3084" s="1" t="str">
        <f ca="1">IFERROR(__xludf.DUMMYFUNCTION("GOOGLETRANSLATE(E3084, ""zh"", ""en"")"),"Qualitative text")</f>
        <v>Qualitative text</v>
      </c>
    </row>
    <row r="3085" spans="1:3" ht="13" x14ac:dyDescent="0.15">
      <c r="A3085" s="1" t="str">
        <f ca="1">IFERROR(__xludf.DUMMYFUNCTION("GOOGLETRANSLATE(A3085, ""zh"", ""en"")"),"The company has equipped its Beijing, Shenzhen and Shanghai office buildings and training centers with automatic defibrillators (AEDs) and has conducted training on the use of emergency facilities to improve employees' ability to handle health emergencies"&amp;".")</f>
        <v>The company has equipped its Beijing, Shenzhen and Shanghai office buildings and training centers with automatic defibrillators (AEDs) and has conducted training on the use of emergency facilities to improve employees' ability to handle health emergencies.</v>
      </c>
      <c r="B3085" s="1" t="str">
        <f ca="1">IFERROR(__xludf.DUMMYFUNCTION("GOOGLETRANSLATE(A3085, ""zh"", ""en"")"),"staff")</f>
        <v>staff</v>
      </c>
      <c r="C3085" s="1" t="str">
        <f ca="1">IFERROR(__xludf.DUMMYFUNCTION("GOOGLETRANSLATE(E3085, ""zh"", ""en"")"),"Qualitative text")</f>
        <v>Qualitative text</v>
      </c>
    </row>
    <row r="3086" spans="1:3" ht="13" x14ac:dyDescent="0.15">
      <c r="A3086" s="1" t="str">
        <f ca="1">IFERROR(__xludf.DUMMYFUNCTION("GOOGLETRANSLATE(A3086, ""zh"", ""en"")"),"On the basis of giving full play to the advantages of traditional energy equipment such as nuclear power, electricity and coal power, we vigorously develop new equipment and technologies with multiple energy complementarity, such as wind power, solar powe"&amp;"r, hydrogen storage, grid power and load storage, and strive to accelerate the conversion of old and new kinetic energy.")</f>
        <v>On the basis of giving full play to the advantages of traditional energy equipment such as nuclear power, electricity and coal power, we vigorously develop new equipment and technologies with multiple energy complementarity, such as wind power, solar power, hydrogen storage, grid power and load storage, and strive to accelerate the conversion of old and new kinetic energy.</v>
      </c>
      <c r="B3086" s="1" t="str">
        <f ca="1">IFERROR(__xludf.DUMMYFUNCTION("GOOGLETRANSLATE(A3086, ""zh"", ""en"")"),"Energy and resource consumption")</f>
        <v>Energy and resource consumption</v>
      </c>
      <c r="C3086" s="1" t="str">
        <f ca="1">IFERROR(__xludf.DUMMYFUNCTION("GOOGLETRANSLATE(E3086, ""zh"", ""en"")"),"Qualitative text")</f>
        <v>Qualitative text</v>
      </c>
    </row>
    <row r="3087" spans="1:3" ht="13" x14ac:dyDescent="0.15">
      <c r="A3087" s="1" t="str">
        <f ca="1">IFERROR(__xludf.DUMMYFUNCTION("GOOGLETRANSLATE(A3087, ""zh"", ""en"")"),"The restaurant delivered over 100,000 boxed meals to employees and urgently purchased honeysuckle, puffed sea, chrysanthemum, mint leaves, wolfberry, and rock sugar from the medicinal material wholesale market to help employees clear their throats, soothe"&amp;" their lungs, and relieve coughs, consolidating the therapeutic effects.")</f>
        <v>The restaurant delivered over 100,000 boxed meals to employees and urgently purchased honeysuckle, puffed sea, chrysanthemum, mint leaves, wolfberry, and rock sugar from the medicinal material wholesale market to help employees clear their throats, soothe their lungs, and relieve coughs, consolidating the therapeutic effects.</v>
      </c>
      <c r="B3087" s="1" t="str">
        <f ca="1">IFERROR(__xludf.DUMMYFUNCTION("GOOGLETRANSLATE(A3087, ""zh"", ""en"")"),"staff")</f>
        <v>staff</v>
      </c>
      <c r="C3087" s="1" t="str">
        <f ca="1">IFERROR(__xludf.DUMMYFUNCTION("GOOGLETRANSLATE(E3087, ""zh"", ""en"")"),"Quantitative Text")</f>
        <v>Quantitative Text</v>
      </c>
    </row>
    <row r="3088" spans="1:3" ht="13" x14ac:dyDescent="0.15">
      <c r="A3088" s="1" t="str">
        <f ca="1">IFERROR(__xludf.DUMMYFUNCTION("GOOGLETRANSLATE(A3088, ""zh"", ""en"")"),"Relevant departments are responsible for financial, legal, anti-fraud, production safety, environmental protection, overseas public security and other risk management, and integrate them into daily production and operation management activities to form a "&amp;"normalized mechanism for assessment reporting, response and supervision.")</f>
        <v>Relevant departments are responsible for financial, legal, anti-fraud, production safety, environmental protection, overseas public security and other risk management, and integrate them into daily production and operation management activities to form a normalized mechanism for assessment reporting, response and supervision.</v>
      </c>
      <c r="B3088" s="1" t="str">
        <f ca="1">IFERROR(__xludf.DUMMYFUNCTION("GOOGLETRANSLATE(A3088, ""zh"", ""en"")"),"Anti-corruption and anti-money laundering")</f>
        <v>Anti-corruption and anti-money laundering</v>
      </c>
      <c r="C3088" s="1" t="str">
        <f ca="1">IFERROR(__xludf.DUMMYFUNCTION("GOOGLETRANSLATE(E3088, ""zh"", ""en"")"),"Qualitative text")</f>
        <v>Qualitative text</v>
      </c>
    </row>
    <row r="3089" spans="1:3" ht="13" x14ac:dyDescent="0.15">
      <c r="A3089" s="1" t="str">
        <f ca="1">IFERROR(__xludf.DUMMYFUNCTION("GOOGLETRANSLATE(A3089, ""zh"", ""en"")"),"The company has continuously disclosed internal control evaluation reports since 2009 and hired external audit institutions to conduct internal control audits for the company and issue internal control audit reports to ensure the effectiveness of the comp"&amp;"any's internal control system.")</f>
        <v>The company has continuously disclosed internal control evaluation reports since 2009 and hired external audit institutions to conduct internal control audits for the company and issue internal control audit reports to ensure the effectiveness of the company's internal control system.</v>
      </c>
      <c r="B3089" s="1" t="str">
        <f ca="1">IFERROR(__xludf.DUMMYFUNCTION("GOOGLETRANSLATE(A3089, ""zh"", ""en"")"),"Audit work")</f>
        <v>Audit work</v>
      </c>
      <c r="C3089" s="1" t="str">
        <f ca="1">IFERROR(__xludf.DUMMYFUNCTION("GOOGLETRANSLATE(E3089, ""zh"", ""en"")"),"Qualitative text")</f>
        <v>Qualitative text</v>
      </c>
    </row>
    <row r="3090" spans="1:3" ht="13" x14ac:dyDescent="0.15">
      <c r="A3090" s="1" t="str">
        <f ca="1">IFERROR(__xludf.DUMMYFUNCTION("GOOGLETRANSLATE(A3090, ""zh"", ""en"")"),"Promote the commissioning and application of marine exploration seabed drilling rigs. This type of drilling rig uses seawater circulation in deep-water drilling and sampling. No mud materials are used in the entire process, and no pollution is discharged "&amp;"into the sea, making it green and environmentally friendly.")</f>
        <v>Promote the commissioning and application of marine exploration seabed drilling rigs. This type of drilling rig uses seawater circulation in deep-water drilling and sampling. No mud materials are used in the entire process, and no pollution is discharged into the sea, making it green and environmentally friendly.</v>
      </c>
      <c r="B3090" s="1" t="str">
        <f ca="1">IFERROR(__xludf.DUMMYFUNCTION("GOOGLETRANSLATE(A3090, ""zh"", ""en"")"),"Waste Management")</f>
        <v>Waste Management</v>
      </c>
      <c r="C3090" s="1" t="str">
        <f ca="1">IFERROR(__xludf.DUMMYFUNCTION("GOOGLETRANSLATE(E3090, ""zh"", ""en"")"),"Qualitative text")</f>
        <v>Qualitative text</v>
      </c>
    </row>
    <row r="3091" spans="1:3" ht="13" x14ac:dyDescent="0.15">
      <c r="A3091" s="1" t="str">
        <f ca="1">IFERROR(__xludf.DUMMYFUNCTION("GOOGLETRANSLATE(A3091, ""zh"", ""en"")"),"Shanghai Electric has established a functional structure with clear division of labor and a fully coordinated management relationship with the group's various industrial lines and subsidiaries. It practices the responsibility of a state-owned enterprise i"&amp;"n terms of operational compliance, transparency, and leadership.")</f>
        <v>Shanghai Electric has established a functional structure with clear division of labor and a fully coordinated management relationship with the group's various industrial lines and subsidiaries. It practices the responsibility of a state-owned enterprise in terms of operational compliance, transparency, and leadership.</v>
      </c>
      <c r="B3091" s="1" t="str">
        <f ca="1">IFERROR(__xludf.DUMMYFUNCTION("GOOGLETRANSLATE(A3091, ""zh"", ""en"")"),"Organizational structure and operations")</f>
        <v>Organizational structure and operations</v>
      </c>
      <c r="C3091" s="1" t="str">
        <f ca="1">IFERROR(__xludf.DUMMYFUNCTION("GOOGLETRANSLATE(E3091, ""zh"", ""en"")"),"Qualitative text")</f>
        <v>Qualitative text</v>
      </c>
    </row>
    <row r="3092" spans="1:3" ht="13" x14ac:dyDescent="0.15">
      <c r="A3092" s="1" t="str">
        <f ca="1">IFERROR(__xludf.DUMMYFUNCTION("GOOGLETRANSLATE(A3092, ""zh"", ""en"")"),"The company installed a frequency converter for the refrigeration unit, which can reduce the load of the refrigeration unit by about 33% while maintaining the existing chilled water temperature and flow rate. It is expected to save the company about 330,0"&amp;"00 kWh of electricity each year.")</f>
        <v>The company installed a frequency converter for the refrigeration unit, which can reduce the load of the refrigeration unit by about 33% while maintaining the existing chilled water temperature and flow rate. It is expected to save the company about 330,000 kWh of electricity each year.</v>
      </c>
      <c r="B3092" s="1" t="str">
        <f ca="1">IFERROR(__xludf.DUMMYFUNCTION("GOOGLETRANSLATE(A3092, ""zh"", ""en"")"),"Energy and resource consumption")</f>
        <v>Energy and resource consumption</v>
      </c>
      <c r="C3092" s="1" t="str">
        <f ca="1">IFERROR(__xludf.DUMMYFUNCTION("GOOGLETRANSLATE(E3092, ""zh"", ""en"")"),"Quantitative Text")</f>
        <v>Quantitative Text</v>
      </c>
    </row>
    <row r="3093" spans="1:3" ht="13" x14ac:dyDescent="0.15">
      <c r="A3093" s="1" t="str">
        <f ca="1">IFERROR(__xludf.DUMMYFUNCTION("GOOGLETRANSLATE(A3093, ""zh"", ""en"")"),"P48B2 Health and Safety General Disclosure Information on policies on providing a safe working environment and protecting employees from occupational hazards, and compliance with relevant laws and regulations that have a significant impact on the issuer")</f>
        <v>P48B2 Health and Safety General Disclosure Information on policies on providing a safe working environment and protecting employees from occupational hazards, and compliance with relevant laws and regulations that have a significant impact on the issuer</v>
      </c>
      <c r="B3093" s="1" t="str">
        <f ca="1">IFERROR(__xludf.DUMMYFUNCTION("GOOGLETRANSLATE(A3093, ""zh"", ""en"")"),"staff")</f>
        <v>staff</v>
      </c>
      <c r="C3093" s="1" t="str">
        <f ca="1">IFERROR(__xludf.DUMMYFUNCTION("GOOGLETRANSLATE(E3093, ""zh"", ""en"")"),"Qualitative text")</f>
        <v>Qualitative text</v>
      </c>
    </row>
    <row r="3094" spans="1:3" ht="13" x14ac:dyDescent="0.15">
      <c r="A3094" s="1" t="str">
        <f ca="1">IFERROR(__xludf.DUMMYFUNCTION("GOOGLETRANSLATE(A3094, ""zh"", ""en"")"),"Short-term, medium-term and long-term operating income increases and portfolio value increases. Actively promote and participate in sustainable financial innovation to guide the transformation of industrial structure and energy structure towards green and"&amp;" low-carbon through capital allocation.")</f>
        <v>Short-term, medium-term and long-term operating income increases and portfolio value increases. Actively promote and participate in sustainable financial innovation to guide the transformation of industrial structure and energy structure towards green and low-carbon through capital allocation.</v>
      </c>
      <c r="B3094" s="1" t="str">
        <f ca="1">IFERROR(__xludf.DUMMYFUNCTION("GOOGLETRANSLATE(A3094, ""zh"", ""en"")"),"Green Finance")</f>
        <v>Green Finance</v>
      </c>
      <c r="C3094" s="1" t="str">
        <f ca="1">IFERROR(__xludf.DUMMYFUNCTION("GOOGLETRANSLATE(E3094, ""zh"", ""en"")"),"Qualitative text")</f>
        <v>Qualitative text</v>
      </c>
    </row>
    <row r="3095" spans="1:3" ht="13" x14ac:dyDescent="0.15">
      <c r="A3095" s="1" t="str">
        <f ca="1">IFERROR(__xludf.DUMMYFUNCTION("GOOGLETRANSLATE(A3095, ""zh"", ""en"")"),"CITIC Securities donated RMB 35 million to support designated poverty alleviation counties in Shenzha County, Tibet, and Yuanyang County, Yunnan. The funds will be used to improve local livelihoods, provide intellectual support, build infrastructure, esta"&amp;"blish rural revitalization demonstration sites, and support grassroots Party building.")</f>
        <v>CITIC Securities donated RMB 35 million to support designated poverty alleviation counties in Shenzha County, Tibet, and Yuanyang County, Yunnan. The funds will be used to improve local livelihoods, provide intellectual support, build infrastructure, establish rural revitalization demonstration sites, and support grassroots Party building.</v>
      </c>
      <c r="B3095" s="1" t="str">
        <f ca="1">IFERROR(__xludf.DUMMYFUNCTION("GOOGLETRANSLATE(A3095, ""zh"", ""en"")"),"Rural assistance")</f>
        <v>Rural assistance</v>
      </c>
      <c r="C3095" s="1" t="str">
        <f ca="1">IFERROR(__xludf.DUMMYFUNCTION("GOOGLETRANSLATE(E3095, ""zh"", ""en"")"),"Quantitative Text")</f>
        <v>Quantitative Text</v>
      </c>
    </row>
    <row r="3096" spans="1:3" ht="13" x14ac:dyDescent="0.15">
      <c r="A3096" s="1" t="str">
        <f ca="1">IFERROR(__xludf.DUMMYFUNCTION("GOOGLETRANSLATE(A3096, ""zh"", ""en"")"),"ISC held its 10th anniversary conference with the theme of ""Protecting digital civilization and creating a new era of digital security"". It called on the industry to pool its strength to build a strong digital security barrier system for the country and"&amp;" safeguard the development of the digital economy.")</f>
        <v>ISC held its 10th anniversary conference with the theme of "Protecting digital civilization and creating a new era of digital security". It called on the industry to pool its strength to build a strong digital security barrier system for the country and safeguard the development of the digital economy.</v>
      </c>
      <c r="B3096" s="1" t="str">
        <f ca="1">IFERROR(__xludf.DUMMYFUNCTION("GOOGLETRANSLATE(A3096, ""zh"", ""en"")"),"Data security")</f>
        <v>Data security</v>
      </c>
      <c r="C3096" s="1" t="str">
        <f ca="1">IFERROR(__xludf.DUMMYFUNCTION("GOOGLETRANSLATE(E3096, ""zh"", ""en"")"),"Qualitative text")</f>
        <v>Qualitative text</v>
      </c>
    </row>
    <row r="3097" spans="1:3" ht="13" x14ac:dyDescent="0.15">
      <c r="A3097" s="1" t="str">
        <f ca="1">IFERROR(__xludf.DUMMYFUNCTION("GOOGLETRANSLATE(A3097, ""zh"", ""en"")"),"Over the past ten years, the conference has held international summits focusing on cyberspace governance, data security, threat intelligence, IoT security and other cutting-edge security issues, and established multiple sub-forums to output cutting-edge t"&amp;"opics in multiple industries.")</f>
        <v>Over the past ten years, the conference has held international summits focusing on cyberspace governance, data security, threat intelligence, IoT security and other cutting-edge security issues, and established multiple sub-forums to output cutting-edge topics in multiple industries.</v>
      </c>
      <c r="B3097" s="1" t="str">
        <f ca="1">IFERROR(__xludf.DUMMYFUNCTION("GOOGLETRANSLATE(A3097, ""zh"", ""en"")"),"Data security")</f>
        <v>Data security</v>
      </c>
      <c r="C3097" s="1" t="str">
        <f ca="1">IFERROR(__xludf.DUMMYFUNCTION("GOOGLETRANSLATE(E3097, ""zh"", ""en"")"),"Quantitative Text")</f>
        <v>Quantitative Text</v>
      </c>
    </row>
    <row r="3098" spans="1:3" ht="13" x14ac:dyDescent="0.15">
      <c r="A3098" s="1" t="str">
        <f ca="1">IFERROR(__xludf.DUMMYFUNCTION("GOOGLETRANSLATE(A3098, ""zh"", ""en"")"),"China Information Security Evaluation Center is the most authoritative national institution for source code hosting and testing in my country. Companies hand over the source code of their products to China Information Security Evaluation Center for hostin"&amp;"g and testing, and accept user supervision.")</f>
        <v>China Information Security Evaluation Center is the most authoritative national institution for source code hosting and testing in my country. Companies hand over the source code of their products to China Information Security Evaluation Center for hosting and testing, and accept user supervision.</v>
      </c>
      <c r="B3098" s="1" t="str">
        <f ca="1">IFERROR(__xludf.DUMMYFUNCTION("GOOGLETRANSLATE(A3098, ""zh"", ""en"")"),"Data security")</f>
        <v>Data security</v>
      </c>
      <c r="C3098" s="1" t="str">
        <f ca="1">IFERROR(__xludf.DUMMYFUNCTION("GOOGLETRANSLATE(E3098, ""zh"", ""en"")"),"Qualitative text")</f>
        <v>Qualitative text</v>
      </c>
    </row>
    <row r="3099" spans="1:3" ht="13" x14ac:dyDescent="0.15">
      <c r="A3099" s="1" t="str">
        <f ca="1">IFERROR(__xludf.DUMMYFUNCTION("GOOGLETRANSLATE(A3099, ""zh"", ""en"")"),"In particular, employee data security training activities can help employees understand data security laws and regulations and grasp remote office security precautions, which is of great significance for protecting the data security of the company and emp"&amp;"loyees.")</f>
        <v>In particular, employee data security training activities can help employees understand data security laws and regulations and grasp remote office security precautions, which is of great significance for protecting the data security of the company and employees.</v>
      </c>
      <c r="B3099" s="1" t="str">
        <f ca="1">IFERROR(__xludf.DUMMYFUNCTION("GOOGLETRANSLATE(A3099, ""zh"", ""en"")"),"Data security")</f>
        <v>Data security</v>
      </c>
      <c r="C3099" s="1" t="str">
        <f ca="1">IFERROR(__xludf.DUMMYFUNCTION("GOOGLETRANSLATE(E3099, ""zh"", ""en"")"),"Qualitative text")</f>
        <v>Qualitative text</v>
      </c>
    </row>
    <row r="3100" spans="1:3" ht="13" x14ac:dyDescent="0.15">
      <c r="A3100" s="1" t="str">
        <f ca="1">IFERROR(__xludf.DUMMYFUNCTION("GOOGLETRANSLATE(A3100, ""zh"", ""en"")"),"Develop an automated ESG rating tool applicable to all corporate customers and promote its application across the bank. The system automatically generates customer ESG rating results to support the high-quality and sustainable development of credit invest"&amp;"ment business.")</f>
        <v>Develop an automated ESG rating tool applicable to all corporate customers and promote its application across the bank. The system automatically generates customer ESG rating results to support the high-quality and sustainable development of credit investment business.</v>
      </c>
      <c r="B3100" s="1" t="str">
        <f ca="1">IFERROR(__xludf.DUMMYFUNCTION("GOOGLETRANSLATE(A3100, ""zh"", ""en"")"),"Customers and Consumers")</f>
        <v>Customers and Consumers</v>
      </c>
      <c r="C3100" s="1" t="str">
        <f ca="1">IFERROR(__xludf.DUMMYFUNCTION("GOOGLETRANSLATE(E3100, ""zh"", ""en"")"),"Qualitative text")</f>
        <v>Qualitative text</v>
      </c>
    </row>
    <row r="3101" spans="1:3" ht="13" x14ac:dyDescent="0.15">
      <c r="A3101" s="1" t="str">
        <f ca="1">IFERROR(__xludf.DUMMYFUNCTION("GOOGLETRANSLATE(A3101, ""zh"", ""en"")"),"06 Stable Operations - Standardized Management B7 Anti-Corruption General Disclosure Information on 1. Policies and 2. Compliance with relevant laws and regulations that have a significant impact on the issuer regarding the prevention of bribery, extortio"&amp;"n, fraud and money laundering")</f>
        <v>06 Stable Operations - Standardized Management B7 Anti-Corruption General Disclosure Information on 1. Policies and 2. Compliance with relevant laws and regulations that have a significant impact on the issuer regarding the prevention of bribery, extortion, fraud and money laundering</v>
      </c>
      <c r="B3101" s="1" t="str">
        <f ca="1">IFERROR(__xludf.DUMMYFUNCTION("GOOGLETRANSLATE(A3101, ""zh"", ""en"")"),"Anti-corruption and anti-money laundering")</f>
        <v>Anti-corruption and anti-money laundering</v>
      </c>
      <c r="C3101" s="1" t="str">
        <f ca="1">IFERROR(__xludf.DUMMYFUNCTION("GOOGLETRANSLATE(E3101, ""zh"", ""en"")"),"Qualitative text")</f>
        <v>Qualitative text</v>
      </c>
    </row>
    <row r="3102" spans="1:3" ht="13" x14ac:dyDescent="0.15">
      <c r="A3102" s="1" t="str">
        <f ca="1">IFERROR(__xludf.DUMMYFUNCTION("GOOGLETRANSLATE(A3102, ""zh"", ""en"")"),"Optimize the complaint handling process, establish a new customer complaint channel and handling process, update the public information of online and offline complaint channels, improve the quality and efficiency of complaint handling, and ensure that eve"&amp;"ry case is handled and responded to.")</f>
        <v>Optimize the complaint handling process, establish a new customer complaint channel and handling process, update the public information of online and offline complaint channels, improve the quality and efficiency of complaint handling, and ensure that every case is handled and responded to.</v>
      </c>
      <c r="B3102" s="1" t="str">
        <f ca="1">IFERROR(__xludf.DUMMYFUNCTION("GOOGLETRANSLATE(A3102, ""zh"", ""en"")"),"Customers and Consumers")</f>
        <v>Customers and Consumers</v>
      </c>
      <c r="C3102" s="1" t="str">
        <f ca="1">IFERROR(__xludf.DUMMYFUNCTION("GOOGLETRANSLATE(E3102, ""zh"", ""en"")"),"Qualitative text")</f>
        <v>Qualitative text</v>
      </c>
    </row>
    <row r="3103" spans="1:3" ht="13" x14ac:dyDescent="0.15">
      <c r="A3103" s="1" t="str">
        <f ca="1">IFERROR(__xludf.DUMMYFUNCTION("GOOGLETRANSLATE(A3103, ""zh"", ""en"")"),"This year, the company organized a total of 30 internal and external information technology trainings and 6 cross-departmental business trainings to effectively enhance employees' awareness of customer information protection and effectively safeguard cust"&amp;"omers' personal information security rights and interests.")</f>
        <v>This year, the company organized a total of 30 internal and external information technology trainings and 6 cross-departmental business trainings to effectively enhance employees' awareness of customer information protection and effectively safeguard customers' personal information security rights and interests.</v>
      </c>
      <c r="B3103" s="1" t="str">
        <f ca="1">IFERROR(__xludf.DUMMYFUNCTION("GOOGLETRANSLATE(A3103, ""zh"", ""en"")"),"Data security")</f>
        <v>Data security</v>
      </c>
      <c r="C3103" s="1" t="str">
        <f ca="1">IFERROR(__xludf.DUMMYFUNCTION("GOOGLETRANSLATE(E3103, ""zh"", ""en"")"),"Quantitative Text")</f>
        <v>Quantitative Text</v>
      </c>
    </row>
    <row r="3104" spans="1:3" ht="13" x14ac:dyDescent="0.15">
      <c r="A3104" s="1" t="str">
        <f ca="1">IFERROR(__xludf.DUMMYFUNCTION("GOOGLETRANSLATE(A3104, ""zh"", ""en"")"),"The company has opened an investor relations management column on its official website. The content includes company announcements, regular reports, social responsibility reports, real-time market information, etc., which introduces the company's operatin"&amp;"g conditions, major events, social responsibilities and other aspects.")</f>
        <v>The company has opened an investor relations management column on its official website. The content includes company announcements, regular reports, social responsibility reports, real-time market information, etc., which introduces the company's operating conditions, major events, social responsibilities and other aspects.</v>
      </c>
      <c r="B3104" s="1" t="str">
        <f ca="1">IFERROR(__xludf.DUMMYFUNCTION("GOOGLETRANSLATE(A3104, ""zh"", ""en"")"),"Information Disclosure and Investor Communication")</f>
        <v>Information Disclosure and Investor Communication</v>
      </c>
      <c r="C3104" s="1" t="str">
        <f ca="1">IFERROR(__xludf.DUMMYFUNCTION("GOOGLETRANSLATE(E3104, ""zh"", ""en"")"),"Qualitative text")</f>
        <v>Qualitative text</v>
      </c>
    </row>
    <row r="3105" spans="1:3" ht="13" x14ac:dyDescent="0.15">
      <c r="A3105" s="1" t="str">
        <f ca="1">IFERROR(__xludf.DUMMYFUNCTION("GOOGLETRANSLATE(A3105, ""zh"", ""en"")"),"The company attaches great importance to the humanistic care of employees. By organizing various forms of cultural and sports activities that are both educational and entertaining and popular, it actively creates a healthy and positive business atmosphere"&amp;" and continuously promotes the construction of a harmonious corporate culture.")</f>
        <v>The company attaches great importance to the humanistic care of employees. By organizing various forms of cultural and sports activities that are both educational and entertaining and popular, it actively creates a healthy and positive business atmosphere and continuously promotes the construction of a harmonious corporate culture.</v>
      </c>
      <c r="B3105" s="1" t="str">
        <f ca="1">IFERROR(__xludf.DUMMYFUNCTION("GOOGLETRANSLATE(A3105, ""zh"", ""en"")"),"staff")</f>
        <v>staff</v>
      </c>
      <c r="C3105" s="1" t="str">
        <f ca="1">IFERROR(__xludf.DUMMYFUNCTION("GOOGLETRANSLATE(E3105, ""zh"", ""en"")"),"Qualitative text")</f>
        <v>Qualitative text</v>
      </c>
    </row>
    <row r="3106" spans="1:3" ht="13" x14ac:dyDescent="0.15">
      <c r="A3106" s="1" t="str">
        <f ca="1">IFERROR(__xludf.DUMMYFUNCTION("GOOGLETRANSLATE(A3106, ""zh"", ""en"")"),"At the same time, the company continues to upgrade its information service technology, giving full play to the characteristics of networking, standardization, automation, informatization, transparency and intensification, highlighting the brand value of C"&amp;"hina's safe warehouse and providing customers with a safe and efficient trading environment.")</f>
        <v>At the same time, the company continues to upgrade its information service technology, giving full play to the characteristics of networking, standardization, automation, informatization, transparency and intensification, highlighting the brand value of China's safe warehouse and providing customers with a safe and efficient trading environment.</v>
      </c>
      <c r="B3106" s="1" t="str">
        <f ca="1">IFERROR(__xludf.DUMMYFUNCTION("GOOGLETRANSLATE(A3106, ""zh"", ""en"")"),"Customers and Consumers")</f>
        <v>Customers and Consumers</v>
      </c>
      <c r="C3106" s="1" t="str">
        <f ca="1">IFERROR(__xludf.DUMMYFUNCTION("GOOGLETRANSLATE(E3106, ""zh"", ""en"")"),"Qualitative text")</f>
        <v>Qualitative text</v>
      </c>
    </row>
    <row r="3107" spans="1:3" ht="13" x14ac:dyDescent="0.15">
      <c r="A3107" s="1" t="str">
        <f ca="1">IFERROR(__xludf.DUMMYFUNCTION("GOOGLETRANSLATE(A3107, ""zh"", ""en"")"),"Notice on promoting the regularization and long-term effectiveness of Party history learning and education was issued. Deployment arrangements were strengthened to promote the inclusion of Party history learning as a regular component of theoretical study"&amp;" arrangements, organically combining the study of Party history with the understanding of Party ideology and the strengthening of Party spirit.")</f>
        <v>Notice on promoting the regularization and long-term effectiveness of Party history learning and education was issued. Deployment arrangements were strengthened to promote the inclusion of Party history learning as a regular component of theoretical study arrangements, organically combining the study of Party history with the understanding of Party ideology and the strengthening of Party spirit.</v>
      </c>
      <c r="B3107" s="1" t="str">
        <f ca="1">IFERROR(__xludf.DUMMYFUNCTION("GOOGLETRANSLATE(A3107, ""zh"", ""en"")"),"irrelevant text")</f>
        <v>irrelevant text</v>
      </c>
      <c r="C3107" s="1" t="str">
        <f ca="1">IFERROR(__xludf.DUMMYFUNCTION("GOOGLETRANSLATE(E3107, ""zh"", ""en"")"),"irrelevant text")</f>
        <v>irrelevant text</v>
      </c>
    </row>
    <row r="3108" spans="1:3" ht="13" x14ac:dyDescent="0.15">
      <c r="A3108" s="1" t="str">
        <f ca="1">IFERROR(__xludf.DUMMYFUNCTION("GOOGLETRANSLATE(A3108, ""zh"", ""en"")"),"At the same time, the company continues to upgrade its information service technology, giving full play to the characteristics of networking, standardization, automation, informatization, transparency and intensification, highlighting the brand value of C"&amp;"hina's safe warehouse and providing customers with a safe and efficient trading environment.")</f>
        <v>At the same time, the company continues to upgrade its information service technology, giving full play to the characteristics of networking, standardization, automation, informatization, transparency and intensification, highlighting the brand value of China's safe warehouse and providing customers with a safe and efficient trading environment.</v>
      </c>
      <c r="B3108" s="1" t="str">
        <f ca="1">IFERROR(__xludf.DUMMYFUNCTION("GOOGLETRANSLATE(A3108, ""zh"", ""en"")"),"Customers and Consumers")</f>
        <v>Customers and Consumers</v>
      </c>
      <c r="C3108" s="1" t="str">
        <f ca="1">IFERROR(__xludf.DUMMYFUNCTION("GOOGLETRANSLATE(E3108, ""zh"", ""en"")"),"Qualitative text")</f>
        <v>Qualitative text</v>
      </c>
    </row>
    <row r="3109" spans="1:3" ht="13" x14ac:dyDescent="0.15">
      <c r="A3109" s="1" t="str">
        <f ca="1">IFERROR(__xludf.DUMMYFUNCTION("GOOGLETRANSLATE(A3109, ""zh"", ""en"")"),"Optimize the internal process and traffic flow design of the logistics park to minimize the transportation distance of goods during the warehousing, picking and outbound process, improve transportation efficiency, and effectively reduce the transportation"&amp;" cost of warehouse goods and reduce energy consumption.")</f>
        <v>Optimize the internal process and traffic flow design of the logistics park to minimize the transportation distance of goods during the warehousing, picking and outbound process, improve transportation efficiency, and effectively reduce the transportation cost of warehouse goods and reduce energy consumption.</v>
      </c>
      <c r="B3109" s="1" t="str">
        <f ca="1">IFERROR(__xludf.DUMMYFUNCTION("GOOGLETRANSLATE(A3109, ""zh"", ""en"")"),"Energy and resource consumption")</f>
        <v>Energy and resource consumption</v>
      </c>
      <c r="C3109" s="1" t="str">
        <f ca="1">IFERROR(__xludf.DUMMYFUNCTION("GOOGLETRANSLATE(E3109, ""zh"", ""en"")"),"Qualitative text")</f>
        <v>Qualitative text</v>
      </c>
    </row>
    <row r="3110" spans="1:3" ht="13" x14ac:dyDescent="0.15">
      <c r="A3110" s="1" t="str">
        <f ca="1">IFERROR(__xludf.DUMMYFUNCTION("GOOGLETRANSLATE(A3110, ""zh"", ""en"")"),"The company organizes various integrity education activities such as integrity culture learning, integrity party class special education, integrity talks with new cadres and signing of integrity commitment letters, warning education conferences, etc. to e"&amp;"nhance the ability to resist corruption and prevent degeneration.")</f>
        <v>The company organizes various integrity education activities such as integrity culture learning, integrity party class special education, integrity talks with new cadres and signing of integrity commitment letters, warning education conferences, etc. to enhance the ability to resist corruption and prevent degeneration.</v>
      </c>
      <c r="B3110" s="1" t="str">
        <f ca="1">IFERROR(__xludf.DUMMYFUNCTION("GOOGLETRANSLATE(A3110, ""zh"", ""en"")"),"Anti-corruption and anti-money laundering")</f>
        <v>Anti-corruption and anti-money laundering</v>
      </c>
      <c r="C3110" s="1" t="str">
        <f ca="1">IFERROR(__xludf.DUMMYFUNCTION("GOOGLETRANSLATE(E3110, ""zh"", ""en"")"),"Qualitative text")</f>
        <v>Qualitative text</v>
      </c>
    </row>
    <row r="3111" spans="1:3" ht="13" x14ac:dyDescent="0.15">
      <c r="A3111" s="1" t="str">
        <f ca="1">IFERROR(__xludf.DUMMYFUNCTION("GOOGLETRANSLATE(A3111, ""zh"", ""en"")"),"Technology risk: Failure to invest in low-carbon technology R&amp;D; Failure to improve the company's R&amp;D capabilities through talent training and retention measures; Failure to identify and apply low-carbon technologies in a timely manner; resulting in the l"&amp;"ow-carbon transformation of products lagging behind peers.")</f>
        <v>Technology risk: Failure to invest in low-carbon technology R&amp;D; Failure to improve the company's R&amp;D capabilities through talent training and retention measures; Failure to identify and apply low-carbon technologies in a timely manner; resulting in the low-carbon transformation of products lagging behind peers.</v>
      </c>
      <c r="B3111" s="1" t="str">
        <f ca="1">IFERROR(__xludf.DUMMYFUNCTION("GOOGLETRANSLATE(A3111, ""zh"", ""en"")"),"carbon emissions")</f>
        <v>carbon emissions</v>
      </c>
      <c r="C3111" s="1" t="str">
        <f ca="1">IFERROR(__xludf.DUMMYFUNCTION("GOOGLETRANSLATE(E3111, ""zh"", ""en"")"),"Qualitative text")</f>
        <v>Qualitative text</v>
      </c>
    </row>
    <row r="3112" spans="1:3" ht="13" x14ac:dyDescent="0.15">
      <c r="A3112" s="1" t="str">
        <f ca="1">IFERROR(__xludf.DUMMYFUNCTION("GOOGLETRANSLATE(A3112, ""zh"", ""en"")"),"In 2022, we donated materials and cash to local charitable organizations and charitable events in China, Poland, the United Kingdom, Italy, Indonesia, Serbia, Pakistan and other countries to demonstrate Haier Smart Home's sense of responsibility.")</f>
        <v>In 2022, we donated materials and cash to local charitable organizations and charitable events in China, Poland, the United Kingdom, Italy, Indonesia, Serbia, Pakistan and other countries to demonstrate Haier Smart Home's sense of responsibility.</v>
      </c>
      <c r="B3112" s="1" t="str">
        <f ca="1">IFERROR(__xludf.DUMMYFUNCTION("GOOGLETRANSLATE(A3112, ""zh"", ""en"")"),"Public welfare and volunteer service")</f>
        <v>Public welfare and volunteer service</v>
      </c>
      <c r="C3112" s="1" t="str">
        <f ca="1">IFERROR(__xludf.DUMMYFUNCTION("GOOGLETRANSLATE(E3112, ""zh"", ""en"")"),"Qualitative text")</f>
        <v>Qualitative text</v>
      </c>
    </row>
    <row r="3113" spans="1:3" ht="13" x14ac:dyDescent="0.15">
      <c r="A3113" s="1" t="str">
        <f ca="1">IFERROR(__xludf.DUMMYFUNCTION("GOOGLETRANSLATE(A3113, ""zh"", ""en"")"),"We participate in the Habitat Garden project to build a home for urban wildlife, providing food, water and habitats for urban wildlife. We are committed to improving the quality of urban ecological space and strengthening the connection between people and"&amp;" nature.")</f>
        <v>We participate in the Habitat Garden project to build a home for urban wildlife, providing food, water and habitats for urban wildlife. We are committed to improving the quality of urban ecological space and strengthening the connection between people and nature.</v>
      </c>
      <c r="B3113" s="1" t="str">
        <f ca="1">IFERROR(__xludf.DUMMYFUNCTION("GOOGLETRANSLATE(A3113, ""zh"", ""en"")"),"biodiversity")</f>
        <v>biodiversity</v>
      </c>
      <c r="C3113" s="1" t="str">
        <f ca="1">IFERROR(__xludf.DUMMYFUNCTION("GOOGLETRANSLATE(E3113, ""zh"", ""en"")"),"Qualitative text")</f>
        <v>Qualitative text</v>
      </c>
    </row>
    <row r="3114" spans="1:3" ht="13" x14ac:dyDescent="0.15">
      <c r="A3114" s="1" t="str">
        <f ca="1">IFERROR(__xludf.DUMMYFUNCTION("GOOGLETRANSLATE(A3114, ""zh"", ""en"")"),"Guizhou Haier Electric Co., Ltd. conducted a joint survey with local village officials and donated RMB 35,000 for road improvements and lighting equipment installation, effectively improving the happiness of local residents.")</f>
        <v>Guizhou Haier Electric Co., Ltd. conducted a joint survey with local village officials and donated RMB 35,000 for road improvements and lighting equipment installation, effectively improving the happiness of local residents.</v>
      </c>
      <c r="B3114" s="1" t="str">
        <f ca="1">IFERROR(__xludf.DUMMYFUNCTION("GOOGLETRANSLATE(A3114, ""zh"", ""en"")"),"Rural assistance")</f>
        <v>Rural assistance</v>
      </c>
      <c r="C3114" s="1" t="str">
        <f ca="1">IFERROR(__xludf.DUMMYFUNCTION("GOOGLETRANSLATE(E3114, ""zh"", ""en"")"),"Quantitative Text")</f>
        <v>Quantitative Text</v>
      </c>
    </row>
    <row r="3115" spans="1:3" ht="13" x14ac:dyDescent="0.15">
      <c r="A3115" s="1" t="str">
        <f ca="1">IFERROR(__xludf.DUMMYFUNCTION("GOOGLETRANSLATE(A3115, ""zh"", ""en"")"),"The board of directors conscientiously implemented the resolutions of the shareholders' meeting and carried out various tasks diligently and responsibly. It actively played the role of the board of directors in formulating strategies, making decisions and"&amp;" preventing risks, and promoted the company's continued healthy and stable development.")</f>
        <v>The board of directors conscientiously implemented the resolutions of the shareholders' meeting and carried out various tasks diligently and responsibly. It actively played the role of the board of directors in formulating strategies, making decisions and preventing risks, and promoted the company's continued healthy and stable development.</v>
      </c>
      <c r="B3115" s="1" t="str">
        <f ca="1">IFERROR(__xludf.DUMMYFUNCTION("GOOGLETRANSLATE(A3115, ""zh"", ""en"")"),"Shareholder and creditor rights")</f>
        <v>Shareholder and creditor rights</v>
      </c>
      <c r="C3115" s="1" t="str">
        <f ca="1">IFERROR(__xludf.DUMMYFUNCTION("GOOGLETRANSLATE(E3115, ""zh"", ""en"")"),"Qualitative text")</f>
        <v>Qualitative text</v>
      </c>
    </row>
    <row r="3116" spans="1:3" ht="13" x14ac:dyDescent="0.15">
      <c r="A3116" s="1" t="str">
        <f ca="1">IFERROR(__xludf.DUMMYFUNCTION("GOOGLETRANSLATE(A3116, ""zh"", ""en"")"),"Taitai Public Welfare Lecture and the Shenzhen Health Management Association of the China Association of Traditional Chinese Medicine jointly held two academic seminars on classic prescriptions to disseminate and popularize knowledge on the history of cla"&amp;"ssic prescriptions, the philosophy of traditional Chinese medicine, the ratio of medicinal materials, and the modern inheritance.")</f>
        <v>Taitai Public Welfare Lecture and the Shenzhen Health Management Association of the China Association of Traditional Chinese Medicine jointly held two academic seminars on classic prescriptions to disseminate and popularize knowledge on the history of classic prescriptions, the philosophy of traditional Chinese medicine, the ratio of medicinal materials, and the modern inheritance.</v>
      </c>
      <c r="B3116" s="1" t="str">
        <f ca="1">IFERROR(__xludf.DUMMYFUNCTION("GOOGLETRANSLATE(A3116, ""zh"", ""en"")"),"Public welfare and volunteer service")</f>
        <v>Public welfare and volunteer service</v>
      </c>
      <c r="C3116" s="1" t="str">
        <f ca="1">IFERROR(__xludf.DUMMYFUNCTION("GOOGLETRANSLATE(E3116, ""zh"", ""en"")"),"Qualitative text")</f>
        <v>Qualitative text</v>
      </c>
    </row>
    <row r="3117" spans="1:3" ht="13" x14ac:dyDescent="0.15">
      <c r="A3117" s="1" t="str">
        <f ca="1">IFERROR(__xludf.DUMMYFUNCTION("GOOGLETRANSLATE(A3117, ""zh"", ""en"")"),"During the reporting period, the company carried out risk assessment work in accordance with relevant systems and documents, including development strategy, human resources, production safety, procurement management, capital management, project management"&amp;", and sales planning.")</f>
        <v>During the reporting period, the company carried out risk assessment work in accordance with relevant systems and documents, including development strategy, human resources, production safety, procurement management, capital management, project management, and sales planning.</v>
      </c>
      <c r="B3117" s="1" t="str">
        <f ca="1">IFERROR(__xludf.DUMMYFUNCTION("GOOGLETRANSLATE(A3117, ""zh"", ""en"")"),"Organizational structure and operations")</f>
        <v>Organizational structure and operations</v>
      </c>
      <c r="C3117" s="1" t="str">
        <f ca="1">IFERROR(__xludf.DUMMYFUNCTION("GOOGLETRANSLATE(E3117, ""zh"", ""en"")"),"Qualitative text")</f>
        <v>Qualitative text</v>
      </c>
    </row>
    <row r="3118" spans="1:3" ht="13" x14ac:dyDescent="0.15">
      <c r="A3118" s="1" t="str">
        <f ca="1">IFERROR(__xludf.DUMMYFUNCTION("GOOGLETRANSLATE(A3118, ""zh"", ""en"")"),"All lecturers come from the HR internal annual plan. The lecturers combine the needs of students with the highlights of actual scenarios and cases, combining theory with practice, making the interaction between students and teachers more interactive and c"&amp;"onvincing.")</f>
        <v>All lecturers come from the HR internal annual plan. The lecturers combine the needs of students with the highlights of actual scenarios and cases, combining theory with practice, making the interaction between students and teachers more interactive and convincing.</v>
      </c>
      <c r="B3118" s="1" t="str">
        <f ca="1">IFERROR(__xludf.DUMMYFUNCTION("GOOGLETRANSLATE(A3118, ""zh"", ""en"")"),"irrelevant text")</f>
        <v>irrelevant text</v>
      </c>
      <c r="C3118" s="1" t="str">
        <f ca="1">IFERROR(__xludf.DUMMYFUNCTION("GOOGLETRANSLATE(E3118, ""zh"", ""en"")"),"irrelevant text")</f>
        <v>irrelevant text</v>
      </c>
    </row>
    <row r="3119" spans="1:3" ht="13" x14ac:dyDescent="0.15">
      <c r="A3119" s="1" t="str">
        <f ca="1">IFERROR(__xludf.DUMMYFUNCTION("GOOGLETRANSLATE(A3119, ""zh"", ""en"")"),"At the same time, we strictly implement the self-management of safety of outsourced suppliers and organize domestic joint venture leasing outsourced service providers to sign safety self-management contracts to ensure the health and safety of supply chain"&amp;" employees.")</f>
        <v>At the same time, we strictly implement the self-management of safety of outsourced suppliers and organize domestic joint venture leasing outsourced service providers to sign safety self-management contracts to ensure the health and safety of supply chain employees.</v>
      </c>
      <c r="B3119" s="1" t="str">
        <f ca="1">IFERROR(__xludf.DUMMYFUNCTION("GOOGLETRANSLATE(A3119, ""zh"", ""en"")"),"supply chain management")</f>
        <v>supply chain management</v>
      </c>
      <c r="C3119" s="1" t="str">
        <f ca="1">IFERROR(__xludf.DUMMYFUNCTION("GOOGLETRANSLATE(E3119, ""zh"", ""en"")"),"Qualitative text")</f>
        <v>Qualitative text</v>
      </c>
    </row>
    <row r="3120" spans="1:3" ht="13" x14ac:dyDescent="0.15">
      <c r="A3120" s="1" t="str">
        <f ca="1">IFERROR(__xludf.DUMMYFUNCTION("GOOGLETRANSLATE(A3120, ""zh"", ""en"")"),"Currently, the reclaimed water reuse project is being applied in many member companies of the Group. The reclaimed water reuse capacity of only five companies, including Yaoyou Pharmaceutical, Kailin Pharmaceutical, Guilin Nanyao, Fuhong Hanlin and Wanban"&amp;"g Fulin, has reached 95,000 tons.")</f>
        <v>Currently, the reclaimed water reuse project is being applied in many member companies of the Group. The reclaimed water reuse capacity of only five companies, including Yaoyou Pharmaceutical, Kailin Pharmaceutical, Guilin Nanyao, Fuhong Hanlin and Wanbang Fulin, has reached 95,000 tons.</v>
      </c>
      <c r="B3120" s="1" t="str">
        <f ca="1">IFERROR(__xludf.DUMMYFUNCTION("GOOGLETRANSLATE(A3120, ""zh"", ""en"")"),"Water resources")</f>
        <v>Water resources</v>
      </c>
      <c r="C3120" s="1" t="str">
        <f ca="1">IFERROR(__xludf.DUMMYFUNCTION("GOOGLETRANSLATE(E3120, ""zh"", ""en"")"),"Quantitative Text")</f>
        <v>Quantitative Text</v>
      </c>
    </row>
    <row r="3121" spans="1:3" ht="13" x14ac:dyDescent="0.15">
      <c r="A3121" s="1" t="str">
        <f ca="1">IFERROR(__xludf.DUMMYFUNCTION("GOOGLETRANSLATE(A3121, ""zh"", ""en"")"),"In terms of intelligent drug delivery devices, the Group has obtained Class II medical device registration certificates for two nebulizers and completed Class I medical device registration for one inhalation drug delivery device. The competitive advantage"&amp;" of a diversified product matrix is ​​becoming increasingly prominent.")</f>
        <v>In terms of intelligent drug delivery devices, the Group has obtained Class II medical device registration certificates for two nebulizers and completed Class I medical device registration for one inhalation drug delivery device. The competitive advantage of a diversified product matrix is ​​becoming increasingly prominent.</v>
      </c>
      <c r="B3121" s="1" t="str">
        <f ca="1">IFERROR(__xludf.DUMMYFUNCTION("GOOGLETRANSLATE(A3121, ""zh"", ""en"")"),"Product quality")</f>
        <v>Product quality</v>
      </c>
      <c r="C3121" s="1" t="str">
        <f ca="1">IFERROR(__xludf.DUMMYFUNCTION("GOOGLETRANSLATE(E3121, ""zh"", ""en"")"),"Quantitative Text")</f>
        <v>Quantitative Text</v>
      </c>
    </row>
    <row r="3122" spans="1:3" ht="13" x14ac:dyDescent="0.15">
      <c r="A3122" s="1" t="str">
        <f ca="1">IFERROR(__xludf.DUMMYFUNCTION("GOOGLETRANSLATE(A3122, ""zh"", ""en"")"),"In accordance with relevant national laws and regulations and listed company governance requirements, Fosun Pharma continues to improve its corporate governance structure, optimize internal management, establish a sound risk management system, and activel"&amp;"y promote responsible business practices.")</f>
        <v>In accordance with relevant national laws and regulations and listed company governance requirements, Fosun Pharma continues to improve its corporate governance structure, optimize internal management, establish a sound risk management system, and actively promote responsible business practices.</v>
      </c>
      <c r="B3122" s="1" t="str">
        <f ca="1">IFERROR(__xludf.DUMMYFUNCTION("GOOGLETRANSLATE(A3122, ""zh"", ""en"")"),"Organizational structure and operations")</f>
        <v>Organizational structure and operations</v>
      </c>
      <c r="C3122" s="1" t="str">
        <f ca="1">IFERROR(__xludf.DUMMYFUNCTION("GOOGLETRANSLATE(E3122, ""zh"", ""en"")"),"Qualitative text")</f>
        <v>Qualitative text</v>
      </c>
    </row>
    <row r="3123" spans="1:3" ht="13" x14ac:dyDescent="0.15">
      <c r="A3123" s="1" t="str">
        <f ca="1">IFERROR(__xludf.DUMMYFUNCTION("GOOGLETRANSLATE(A3123, ""zh"", ""en"")"),"At the same time, we provide various benefits to female employees every year, including special gynecological examination projects, building loving mothers' huts, etc. We also regularly organize various activities for female employees to relieve work pres"&amp;"sure and enrich their spare time.")</f>
        <v>At the same time, we provide various benefits to female employees every year, including special gynecological examination projects, building loving mothers' huts, etc. We also regularly organize various activities for female employees to relieve work pressure and enrich their spare time.</v>
      </c>
      <c r="B3123" s="1" t="str">
        <f ca="1">IFERROR(__xludf.DUMMYFUNCTION("GOOGLETRANSLATE(A3123, ""zh"", ""en"")"),"staff")</f>
        <v>staff</v>
      </c>
      <c r="C3123" s="1" t="str">
        <f ca="1">IFERROR(__xludf.DUMMYFUNCTION("GOOGLETRANSLATE(E3123, ""zh"", ""en"")"),"Qualitative text")</f>
        <v>Qualitative text</v>
      </c>
    </row>
    <row r="3124" spans="1:3" ht="13" x14ac:dyDescent="0.15">
      <c r="A3124" s="1" t="str">
        <f ca="1">IFERROR(__xludf.DUMMYFUNCTION("GOOGLETRANSLATE(A3124, ""zh"", ""en"")"),"We have strengthened our construction efforts. According to the new regulations issued at home and abroad, the headquarters has established new R&amp;D support for enterprises and partners in 2022, combined with our own work practices, and achieved satisfacto"&amp;"ry results.")</f>
        <v>We have strengthened our construction efforts. According to the new regulations issued at home and abroad, the headquarters has established new R&amp;D support for enterprises and partners in 2022, combined with our own work practices, and achieved satisfactory results.</v>
      </c>
      <c r="B3124" s="1" t="str">
        <f ca="1">IFERROR(__xludf.DUMMYFUNCTION("GOOGLETRANSLATE(A3124, ""zh"", ""en"")"),"Legal proceedings and external sanctions")</f>
        <v>Legal proceedings and external sanctions</v>
      </c>
      <c r="C3124" s="1" t="str">
        <f ca="1">IFERROR(__xludf.DUMMYFUNCTION("GOOGLETRANSLATE(E3124, ""zh"", ""en"")"),"Qualitative text")</f>
        <v>Qualitative text</v>
      </c>
    </row>
    <row r="3125" spans="1:3" ht="13" x14ac:dyDescent="0.15">
      <c r="A3125" s="1" t="str">
        <f ca="1">IFERROR(__xludf.DUMMYFUNCTION("GOOGLETRANSLATE(A3125, ""zh"", ""en"")"),"This year, all directors, supervisors and other senior management of the Group participated in the 2022 Shenzhen listed company directors, supervisors and senior management training series. The training content included anti-corruption risk management and"&amp;" other contents.")</f>
        <v>This year, all directors, supervisors and other senior management of the Group participated in the 2022 Shenzhen listed company directors, supervisors and senior management training series. The training content included anti-corruption risk management and other contents.</v>
      </c>
      <c r="B3125" s="1" t="str">
        <f ca="1">IFERROR(__xludf.DUMMYFUNCTION("GOOGLETRANSLATE(A3125, ""zh"", ""en"")"),"Anti-corruption and anti-money laundering")</f>
        <v>Anti-corruption and anti-money laundering</v>
      </c>
      <c r="C3125" s="1" t="str">
        <f ca="1">IFERROR(__xludf.DUMMYFUNCTION("GOOGLETRANSLATE(E3125, ""zh"", ""en"")"),"Qualitative text")</f>
        <v>Qualitative text</v>
      </c>
    </row>
    <row r="3126" spans="1:3" ht="13" x14ac:dyDescent="0.15">
      <c r="A3126" s="1" t="str">
        <f ca="1">IFERROR(__xludf.DUMMYFUNCTION("GOOGLETRANSLATE(A3126, ""zh"", ""en"")"),"The board of directors includes pharmaceutical industry experts and professionals with backgrounds in business management, finance, accounting, law, and production, who provide scientific reference opinions for the group's governance and major decisions w"&amp;"ith a forward-looking perspective.")</f>
        <v>The board of directors includes pharmaceutical industry experts and professionals with backgrounds in business management, finance, accounting, law, and production, who provide scientific reference opinions for the group's governance and major decisions with a forward-looking perspective.</v>
      </c>
      <c r="B3126" s="1" t="str">
        <f ca="1">IFERROR(__xludf.DUMMYFUNCTION("GOOGLETRANSLATE(A3126, ""zh"", ""en"")"),"Organizational structure and operations")</f>
        <v>Organizational structure and operations</v>
      </c>
      <c r="C3126" s="1" t="str">
        <f ca="1">IFERROR(__xludf.DUMMYFUNCTION("GOOGLETRANSLATE(E3126, ""zh"", ""en"")"),"Qualitative text")</f>
        <v>Qualitative text</v>
      </c>
    </row>
    <row r="3127" spans="1:3" ht="13" x14ac:dyDescent="0.15">
      <c r="A3127" s="1" t="str">
        <f ca="1">IFERROR(__xludf.DUMMYFUNCTION("GOOGLETRANSLATE(A3127, ""zh"", ""en"")"),"5.2 Talent Cultivation and Mutual Promotion Aspect B4 Labor Standards General Disclosure Information on a) Policies and b) Compliance with relevant laws and regulations that have a significant impact on the issuer regarding the prevention of child labor o"&amp;"r forced labor")</f>
        <v>5.2 Talent Cultivation and Mutual Promotion Aspect B4 Labor Standards General Disclosure Information on a) Policies and b) Compliance with relevant laws and regulations that have a significant impact on the issuer regarding the prevention of child labor or forced labor</v>
      </c>
      <c r="B3127" s="1" t="str">
        <f ca="1">IFERROR(__xludf.DUMMYFUNCTION("GOOGLETRANSLATE(A3127, ""zh"", ""en"")"),"staff")</f>
        <v>staff</v>
      </c>
      <c r="C3127" s="1" t="str">
        <f ca="1">IFERROR(__xludf.DUMMYFUNCTION("GOOGLETRANSLATE(E3127, ""zh"", ""en"")"),"Qualitative text")</f>
        <v>Qualitative text</v>
      </c>
    </row>
    <row r="3128" spans="1:3" ht="13" x14ac:dyDescent="0.15">
      <c r="A3128" s="1" t="str">
        <f ca="1">IFERROR(__xludf.DUMMYFUNCTION("GOOGLETRANSLATE(A3128, ""zh"", ""en"")"),"In 2022, the company will focus on building strategic scientific and technological strength, implementing key talent projects, and continuously promoting the development of key talent teams such as scientific and technological leaders, scientific and tech"&amp;"nological innovation teams, young scientific and technological talents, and outstanding engineers.")</f>
        <v>In 2022, the company will focus on building strategic scientific and technological strength, implementing key talent projects, and continuously promoting the development of key talent teams such as scientific and technological leaders, scientific and technological innovation teams, young scientific and technological talents, and outstanding engineers.</v>
      </c>
      <c r="B3128" s="1" t="str">
        <f ca="1">IFERROR(__xludf.DUMMYFUNCTION("GOOGLETRANSLATE(A3128, ""zh"", ""en"")"),"Technological innovation")</f>
        <v>Technological innovation</v>
      </c>
      <c r="C3128" s="1" t="str">
        <f ca="1">IFERROR(__xludf.DUMMYFUNCTION("GOOGLETRANSLATE(E3128, ""zh"", ""en"")"),"Qualitative text")</f>
        <v>Qualitative text</v>
      </c>
    </row>
    <row r="3129" spans="1:3" ht="13" x14ac:dyDescent="0.15">
      <c r="A3129" s="1" t="str">
        <f ca="1">IFERROR(__xludf.DUMMYFUNCTION("GOOGLETRANSLATE(A3129, ""zh"", ""en"")"),"Establish a multi-level training system. The company actively builds a multi-level, efficient and targeted training system to make management personnel training more systematic, technical personnel training more professional, and international talent trai"&amp;"ning more scientific.")</f>
        <v>Establish a multi-level training system. The company actively builds a multi-level, efficient and targeted training system to make management personnel training more systematic, technical personnel training more professional, and international talent training more scientific.</v>
      </c>
      <c r="B3129" s="1" t="str">
        <f ca="1">IFERROR(__xludf.DUMMYFUNCTION("GOOGLETRANSLATE(A3129, ""zh"", ""en"")"),"staff")</f>
        <v>staff</v>
      </c>
      <c r="C3129" s="1" t="str">
        <f ca="1">IFERROR(__xludf.DUMMYFUNCTION("GOOGLETRANSLATE(E3129, ""zh"", ""en"")"),"Qualitative text")</f>
        <v>Qualitative text</v>
      </c>
    </row>
    <row r="3130" spans="1:3" ht="13" x14ac:dyDescent="0.15">
      <c r="A3130" s="1" t="str">
        <f ca="1">IFERROR(__xludf.DUMMYFUNCTION("GOOGLETRANSLATE(A3130, ""zh"", ""en"")"),"What is your overall evaluation of Renfu Pharmaceutical's social responsibility report? Which part of the report are you interested in? What do you think needs to be added to the report? What suggestions do you have for our social responsibility work?")</f>
        <v>What is your overall evaluation of Renfu Pharmaceutical's social responsibility report? Which part of the report are you interested in? What do you think needs to be added to the report? What suggestions do you have for our social responsibility work?</v>
      </c>
      <c r="B3130" s="1" t="str">
        <f ca="1">IFERROR(__xludf.DUMMYFUNCTION("GOOGLETRANSLATE(A3130, ""zh"", ""en"")"),"irrelevant text")</f>
        <v>irrelevant text</v>
      </c>
      <c r="C3130" s="1" t="str">
        <f ca="1">IFERROR(__xludf.DUMMYFUNCTION("GOOGLETRANSLATE(E3130, ""zh"", ""en"")"),"irrelevant text")</f>
        <v>irrelevant text</v>
      </c>
    </row>
    <row r="3131" spans="1:3" ht="13" x14ac:dyDescent="0.15">
      <c r="A3131" s="1" t="str">
        <f ca="1">IFERROR(__xludf.DUMMYFUNCTION("GOOGLETRANSLATE(A3131, ""zh"", ""en"")"),"Overcoming difficulties together: The company has established a charitable fund to actively improve the teaching conditions of primary and secondary schools in underdeveloped areas, and has cooperated with major universities to establish education funds t"&amp;"o support outstanding university students from families in financial difficulties and promote equitable development of education.")</f>
        <v>Overcoming difficulties together: The company has established a charitable fund to actively improve the teaching conditions of primary and secondary schools in underdeveloped areas, and has cooperated with major universities to establish education funds to support outstanding university students from families in financial difficulties and promote equitable development of education.</v>
      </c>
      <c r="B3131" s="1" t="str">
        <f ca="1">IFERROR(__xludf.DUMMYFUNCTION("GOOGLETRANSLATE(A3131, ""zh"", ""en"")"),"Public welfare and volunteer service")</f>
        <v>Public welfare and volunteer service</v>
      </c>
      <c r="C3131" s="1" t="str">
        <f ca="1">IFERROR(__xludf.DUMMYFUNCTION("GOOGLETRANSLATE(E3131, ""zh"", ""en"")"),"Qualitative text")</f>
        <v>Qualitative text</v>
      </c>
    </row>
    <row r="3132" spans="1:3" ht="13" x14ac:dyDescent="0.15">
      <c r="A3132" s="1" t="str">
        <f ca="1">IFERROR(__xludf.DUMMYFUNCTION("GOOGLETRANSLATE(A3132, ""zh"", ""en"")"),"Entrust a third-party evaluation agency to conduct supplier due diligence through on-site inspections and interviews. The specific content includes but is not limited to production and operation equipment, factory buildings, company personnel, internal co"&amp;"ntrol management, financial management, etc.")</f>
        <v>Entrust a third-party evaluation agency to conduct supplier due diligence through on-site inspections and interviews. The specific content includes but is not limited to production and operation equipment, factory buildings, company personnel, internal control management, financial management, etc.</v>
      </c>
      <c r="B3132" s="1" t="str">
        <f ca="1">IFERROR(__xludf.DUMMYFUNCTION("GOOGLETRANSLATE(A3132, ""zh"", ""en"")"),"supply chain management")</f>
        <v>supply chain management</v>
      </c>
      <c r="C3132" s="1" t="str">
        <f ca="1">IFERROR(__xludf.DUMMYFUNCTION("GOOGLETRANSLATE(E3132, ""zh"", ""en"")"),"Qualitative text")</f>
        <v>Qualitative text</v>
      </c>
    </row>
    <row r="3133" spans="1:3" ht="13" x14ac:dyDescent="0.15">
      <c r="A3133" s="1" t="str">
        <f ca="1">IFERROR(__xludf.DUMMYFUNCTION("GOOGLETRANSLATE(A3133, ""zh"", ""en"")"),"The 2022 Yishi Plan has trained over 20,000 educators in 10 designated counties, providing skills training for different types of talents in different regions and assisting impoverished people in finding employment and starting businesses in the local are"&amp;"a.")</f>
        <v>The 2022 Yishi Plan has trained over 20,000 educators in 10 designated counties, providing skills training for different types of talents in different regions and assisting impoverished people in finding employment and starting businesses in the local area.</v>
      </c>
      <c r="B3133" s="1" t="str">
        <f ca="1">IFERROR(__xludf.DUMMYFUNCTION("GOOGLETRANSLATE(A3133, ""zh"", ""en"")"),"Rural assistance")</f>
        <v>Rural assistance</v>
      </c>
      <c r="C3133" s="1" t="str">
        <f ca="1">IFERROR(__xludf.DUMMYFUNCTION("GOOGLETRANSLATE(E3133, ""zh"", ""en"")"),"Quantitative Text")</f>
        <v>Quantitative Text</v>
      </c>
    </row>
    <row r="3134" spans="1:3" ht="13" x14ac:dyDescent="0.15">
      <c r="A3134" s="1" t="str">
        <f ca="1">IFERROR(__xludf.DUMMYFUNCTION("GOOGLETRANSLATE(A3134, ""zh"", ""en"")"),"In 2022, Shanghai Electric celebrated its 120th anniversary. We launched the 120 Green Footprints series of public welfare brand activities with the creative theme of protecting the green environment, advocating green life and promoting green development.")</f>
        <v>In 2022, Shanghai Electric celebrated its 120th anniversary. We launched the 120 Green Footprints series of public welfare brand activities with the creative theme of protecting the green environment, advocating green life and promoting green development.</v>
      </c>
      <c r="B3134" s="1" t="str">
        <f ca="1">IFERROR(__xludf.DUMMYFUNCTION("GOOGLETRANSLATE(A3134, ""zh"", ""en"")"),"Public welfare and volunteer service")</f>
        <v>Public welfare and volunteer service</v>
      </c>
      <c r="C3134" s="1" t="str">
        <f ca="1">IFERROR(__xludf.DUMMYFUNCTION("GOOGLETRANSLATE(E3134, ""zh"", ""en"")"),"Qualitative text")</f>
        <v>Qualitative text</v>
      </c>
    </row>
    <row r="3135" spans="1:3" ht="13" x14ac:dyDescent="0.15">
      <c r="A3135" s="1" t="str">
        <f ca="1">IFERROR(__xludf.DUMMYFUNCTION("GOOGLETRANSLATE(A3135, ""zh"", ""en"")"),"In 2022, the company continued to improve its green enterprise creation standard system, achieving full coverage of its main businesses of oil and gas production, refining, chemical engineering, and oil product sales. 17 new green enterprises were recogni"&amp;"zed, bringing the total number of existing green enterprises to 23.")</f>
        <v>In 2022, the company continued to improve its green enterprise creation standard system, achieving full coverage of its main businesses of oil and gas production, refining, chemical engineering, and oil product sales. 17 new green enterprises were recognized, bringing the total number of existing green enterprises to 23.</v>
      </c>
      <c r="B3135" s="1" t="str">
        <f ca="1">IFERROR(__xludf.DUMMYFUNCTION("GOOGLETRANSLATE(A3135, ""zh"", ""en"")"),"Sustainable certification")</f>
        <v>Sustainable certification</v>
      </c>
      <c r="C3135" s="1" t="str">
        <f ca="1">IFERROR(__xludf.DUMMYFUNCTION("GOOGLETRANSLATE(E3135, ""zh"", ""en"")"),"Quantitative Text")</f>
        <v>Quantitative Text</v>
      </c>
    </row>
    <row r="3136" spans="1:3" ht="13" x14ac:dyDescent="0.15">
      <c r="A3136" s="1" t="str">
        <f ca="1">IFERROR(__xludf.DUMMYFUNCTION("GOOGLETRANSLATE(A3136, ""zh"", ""en"")"),"Strengthen the top-level design of reforms, enhance the role of the company headquarters as the strategic decision-making and management center, continuously optimize the functional division of the company headquarters, organizational structure and staffi"&amp;"ng, and make solid progress in building a value-oriented headquarters.")</f>
        <v>Strengthen the top-level design of reforms, enhance the role of the company headquarters as the strategic decision-making and management center, continuously optimize the functional division of the company headquarters, organizational structure and staffing, and make solid progress in building a value-oriented headquarters.</v>
      </c>
      <c r="B3136" s="1" t="str">
        <f ca="1">IFERROR(__xludf.DUMMYFUNCTION("GOOGLETRANSLATE(A3136, ""zh"", ""en"")"),"Organizational structure and operations")</f>
        <v>Organizational structure and operations</v>
      </c>
      <c r="C3136" s="1" t="str">
        <f ca="1">IFERROR(__xludf.DUMMYFUNCTION("GOOGLETRANSLATE(E3136, ""zh"", ""en"")"),"Qualitative text")</f>
        <v>Qualitative text</v>
      </c>
    </row>
    <row r="3137" spans="1:3" ht="13" x14ac:dyDescent="0.15">
      <c r="A3137" s="1" t="str">
        <f ca="1">IFERROR(__xludf.DUMMYFUNCTION("GOOGLETRANSLATE(A3137, ""zh"", ""en"")"),"Haier Smart Home has established a global information security management organizational structure consisting of three levels: the Information Security Management Committee, the Information Security Committee, and the Information Security Personnel of eac"&amp;"h department, and has clearly defined the responsibilities of each level.")</f>
        <v>Haier Smart Home has established a global information security management organizational structure consisting of three levels: the Information Security Management Committee, the Information Security Committee, and the Information Security Personnel of each department, and has clearly defined the responsibilities of each level.</v>
      </c>
      <c r="B3137" s="1" t="str">
        <f ca="1">IFERROR(__xludf.DUMMYFUNCTION("GOOGLETRANSLATE(A3137, ""zh"", ""en"")"),"Data security")</f>
        <v>Data security</v>
      </c>
      <c r="C3137" s="1" t="str">
        <f ca="1">IFERROR(__xludf.DUMMYFUNCTION("GOOGLETRANSLATE(E3137, ""zh"", ""en"")"),"Qualitative text")</f>
        <v>Qualitative text</v>
      </c>
    </row>
    <row r="3138" spans="1:3" ht="13" x14ac:dyDescent="0.15">
      <c r="A3138" s="1" t="str">
        <f ca="1">IFERROR(__xludf.DUMMYFUNCTION("GOOGLETRANSLATE(A3138, ""zh"", ""en"")"),"We prioritize cooperation with suppliers with good environmental performance. We systematically manage supplier access, review, assessment, and tiered management in accordance with various supplier management systems formulated internally.")</f>
        <v>We prioritize cooperation with suppliers with good environmental performance. We systematically manage supplier access, review, assessment, and tiered management in accordance with various supplier management systems formulated internally.</v>
      </c>
      <c r="B3138" s="1" t="str">
        <f ca="1">IFERROR(__xludf.DUMMYFUNCTION("GOOGLETRANSLATE(A3138, ""zh"", ""en"")"),"supply chain management")</f>
        <v>supply chain management</v>
      </c>
      <c r="C3138" s="1" t="str">
        <f ca="1">IFERROR(__xludf.DUMMYFUNCTION("GOOGLETRANSLATE(E3138, ""zh"", ""en"")"),"Qualitative text")</f>
        <v>Qualitative text</v>
      </c>
    </row>
    <row r="3139" spans="1:3" ht="13" x14ac:dyDescent="0.15">
      <c r="A3139" s="1" t="str">
        <f ca="1">IFERROR(__xludf.DUMMYFUNCTION("GOOGLETRANSLATE(A3139, ""zh"", ""en"")"),"The company has been monitoring six major environmental factors, including air, surface water, soil, and vegetation, in the Puguang Gas Field and surrounding areas for 13 consecutive years. To date, it has obtained more than 34,000 monitoring data points "&amp;"and 3,000 comparison photos.")</f>
        <v>The company has been monitoring six major environmental factors, including air, surface water, soil, and vegetation, in the Puguang Gas Field and surrounding areas for 13 consecutive years. To date, it has obtained more than 34,000 monitoring data points and 3,000 comparison photos.</v>
      </c>
      <c r="B3139" s="1" t="str">
        <f ca="1">IFERROR(__xludf.DUMMYFUNCTION("GOOGLETRANSLATE(A3139, ""zh"", ""en"")"),"Environmental Policy")</f>
        <v>Environmental Policy</v>
      </c>
      <c r="C3139" s="1" t="str">
        <f ca="1">IFERROR(__xludf.DUMMYFUNCTION("GOOGLETRANSLATE(E3139, ""zh"", ""en"")"),"Quantitative Text")</f>
        <v>Quantitative Text</v>
      </c>
    </row>
    <row r="3140" spans="1:3" ht="13" x14ac:dyDescent="0.15">
      <c r="A3140" s="1" t="str">
        <f ca="1">IFERROR(__xludf.DUMMYFUNCTION("GOOGLETRANSLATE(A3140, ""zh"", ""en"")"),"Standing at a new starting point in the new era, Shenma will firmly hold high the great banner of Xi Jinping Thought on Socialism with Chinese Characteristics for a New Era, continue to promote the quality and efficiency of state-owned enterprises, enhanc"&amp;"e core competitiveness and strengthen development potential.")</f>
        <v>Standing at a new starting point in the new era, Shenma will firmly hold high the great banner of Xi Jinping Thought on Socialism with Chinese Characteristics for a New Era, continue to promote the quality and efficiency of state-owned enterprises, enhance core competitiveness and strengthen development potential.</v>
      </c>
      <c r="B3140" s="1" t="str">
        <f ca="1">IFERROR(__xludf.DUMMYFUNCTION("GOOGLETRANSLATE(A3140, ""zh"", ""en"")"),"Organizational structure and operations")</f>
        <v>Organizational structure and operations</v>
      </c>
      <c r="C3140" s="1" t="str">
        <f ca="1">IFERROR(__xludf.DUMMYFUNCTION("GOOGLETRANSLATE(E3140, ""zh"", ""en"")"),"Qualitative text")</f>
        <v>Qualitative text</v>
      </c>
    </row>
    <row r="3141" spans="1:3" ht="13" x14ac:dyDescent="0.15">
      <c r="A3141" s="1" t="str">
        <f ca="1">IFERROR(__xludf.DUMMYFUNCTION("GOOGLETRANSLATE(A3141, ""zh"", ""en"")"),"Despite the tight supply of key raw materials and sporadic and frequent epidemics, the company made scientific decisions and actively responded to other unfavorable factors. With the joint efforts of all employees, all performance indicators achieved the "&amp;"best level in history and wrote a new answer.")</f>
        <v>Despite the tight supply of key raw materials and sporadic and frequent epidemics, the company made scientific decisions and actively responded to other unfavorable factors. With the joint efforts of all employees, all performance indicators achieved the best level in history and wrote a new answer.</v>
      </c>
      <c r="B3141" s="1" t="str">
        <f ca="1">IFERROR(__xludf.DUMMYFUNCTION("GOOGLETRANSLATE(A3141, ""zh"", ""en"")"),"Fighting the epidemic")</f>
        <v>Fighting the epidemic</v>
      </c>
      <c r="C3141" s="1" t="str">
        <f ca="1">IFERROR(__xludf.DUMMYFUNCTION("GOOGLETRANSLATE(E3141, ""zh"", ""en"")"),"Qualitative text")</f>
        <v>Qualitative text</v>
      </c>
    </row>
    <row r="3142" spans="1:3" ht="13" x14ac:dyDescent="0.15">
      <c r="A3142" s="1" t="str">
        <f ca="1">IFERROR(__xludf.DUMMYFUNCTION("GOOGLETRANSLATE(A3142, ""zh"", ""en"")"),"In 2022, the company conducted safety assessments on 2,857 direct workers, removed 67 workers from the site, and suspended the work qualifications of 134 workers.")</f>
        <v>In 2022, the company conducted safety assessments on 2,857 direct workers, removed 67 workers from the site, and suspended the work qualifications of 134 workers.</v>
      </c>
      <c r="B3142" s="1" t="str">
        <f ca="1">IFERROR(__xludf.DUMMYFUNCTION("GOOGLETRANSLATE(A3142, ""zh"", ""en"")"),"staff")</f>
        <v>staff</v>
      </c>
      <c r="C3142" s="1" t="str">
        <f ca="1">IFERROR(__xludf.DUMMYFUNCTION("GOOGLETRANSLATE(E3142, ""zh"", ""en"")"),"Quantitative Text")</f>
        <v>Quantitative Text</v>
      </c>
    </row>
    <row r="3143" spans="1:3" ht="13" x14ac:dyDescent="0.15">
      <c r="A3143" s="1" t="str">
        <f ca="1">IFERROR(__xludf.DUMMYFUNCTION("GOOGLETRANSLATE(A3143, ""zh"", ""en"")"),"In line with the industrial distribution, the Group implemented precise management of safety classification and categorization, promoted the in-depth implementation of the responsible organization team system and culture, and gradually established a four-"&amp;"step safety production governance system to comprehensively consolidate the foundation of safety management.")</f>
        <v>In line with the industrial distribution, the Group implemented precise management of safety classification and categorization, promoted the in-depth implementation of the responsible organization team system and culture, and gradually established a four-step safety production governance system to comprehensively consolidate the foundation of safety management.</v>
      </c>
      <c r="B3143" s="1" t="str">
        <f ca="1">IFERROR(__xludf.DUMMYFUNCTION("GOOGLETRANSLATE(A3143, ""zh"", ""en"")"),"staff")</f>
        <v>staff</v>
      </c>
      <c r="C3143" s="1" t="str">
        <f ca="1">IFERROR(__xludf.DUMMYFUNCTION("GOOGLETRANSLATE(E3143, ""zh"", ""en"")"),"Qualitative text")</f>
        <v>Qualitative text</v>
      </c>
    </row>
    <row r="3144" spans="1:3" ht="13" x14ac:dyDescent="0.15">
      <c r="A3144" s="1" t="str">
        <f ca="1">IFERROR(__xludf.DUMMYFUNCTION("GOOGLETRANSLATE(A3144, ""zh"", ""en"")"),"The general managers of Kangyuan and its subsidiaries are the first responsible persons for EHS work, responsible for supervising and promoting the implementation of the company's EHS management work, and providing professional protection for the safety a"&amp;"nd health of employees' working environment.")</f>
        <v>The general managers of Kangyuan and its subsidiaries are the first responsible persons for EHS work, responsible for supervising and promoting the implementation of the company's EHS management work, and providing professional protection for the safety and health of employees' working environment.</v>
      </c>
      <c r="B3144" s="1" t="str">
        <f ca="1">IFERROR(__xludf.DUMMYFUNCTION("GOOGLETRANSLATE(A3144, ""zh"", ""en"")"),"staff")</f>
        <v>staff</v>
      </c>
      <c r="C3144" s="1" t="str">
        <f ca="1">IFERROR(__xludf.DUMMYFUNCTION("GOOGLETRANSLATE(E3144, ""zh"", ""en"")"),"Qualitative text")</f>
        <v>Qualitative text</v>
      </c>
    </row>
    <row r="3145" spans="1:3" ht="13" x14ac:dyDescent="0.15">
      <c r="A3145" s="1" t="str">
        <f ca="1">IFERROR(__xludf.DUMMYFUNCTION("GOOGLETRANSLATE(A3145, ""zh"", ""en"")"),"Improve and perfect the rules and regulations. In 2022, the revision of 13 systems including the safety production management system, safety production responsibility system, safety production target management system, etc. will be completed to comprehens"&amp;"ively consolidate the safety production system.")</f>
        <v>Improve and perfect the rules and regulations. In 2022, the revision of 13 systems including the safety production management system, safety production responsibility system, safety production target management system, etc. will be completed to comprehensively consolidate the safety production system.</v>
      </c>
      <c r="B3145" s="1" t="str">
        <f ca="1">IFERROR(__xludf.DUMMYFUNCTION("GOOGLETRANSLATE(A3145, ""zh"", ""en"")"),"staff")</f>
        <v>staff</v>
      </c>
      <c r="C3145" s="1" t="str">
        <f ca="1">IFERROR(__xludf.DUMMYFUNCTION("GOOGLETRANSLATE(E3145, ""zh"", ""en"")"),"Quantitative Text")</f>
        <v>Quantitative Text</v>
      </c>
    </row>
    <row r="3146" spans="1:3" ht="13" x14ac:dyDescent="0.15">
      <c r="A3146" s="1" t="str">
        <f ca="1">IFERROR(__xludf.DUMMYFUNCTION("GOOGLETRANSLATE(A3146, ""zh"", ""en"")"),"The Most Socially Responsible Listed Company of the Year Award In November 2022, Haier Smart Home won the Most Socially Responsible Listed Company of the Year Award in the Capital Power 2022 selection event hosted by Securities Star.")</f>
        <v>The Most Socially Responsible Listed Company of the Year Award In November 2022, Haier Smart Home won the Most Socially Responsible Listed Company of the Year Award in the Capital Power 2022 selection event hosted by Securities Star.</v>
      </c>
      <c r="B3146" s="1" t="str">
        <f ca="1">IFERROR(__xludf.DUMMYFUNCTION("GOOGLETRANSLATE(A3146, ""zh"", ""en"")"),"Sustainable certification")</f>
        <v>Sustainable certification</v>
      </c>
      <c r="C3146" s="1" t="str">
        <f ca="1">IFERROR(__xludf.DUMMYFUNCTION("GOOGLETRANSLATE(E3146, ""zh"", ""en"")"),"Quantitative Text")</f>
        <v>Quantitative Text</v>
      </c>
    </row>
    <row r="3147" spans="1:3" ht="13" x14ac:dyDescent="0.15">
      <c r="A3147" s="1" t="str">
        <f ca="1">IFERROR(__xludf.DUMMYFUNCTION("GOOGLETRANSLATE(A3147, ""zh"", ""en"")"),"We regularly organize security awareness drills for all employees and build a phishing email drill platform to test employees' ability to resist common attacks by simulating external attacks, thereby enhancing everyone's awareness of prevention.")</f>
        <v>We regularly organize security awareness drills for all employees and build a phishing email drill platform to test employees' ability to resist common attacks by simulating external attacks, thereby enhancing everyone's awareness of prevention.</v>
      </c>
      <c r="B3147" s="1" t="str">
        <f ca="1">IFERROR(__xludf.DUMMYFUNCTION("GOOGLETRANSLATE(A3147, ""zh"", ""en"")"),"Data security")</f>
        <v>Data security</v>
      </c>
      <c r="C3147" s="1" t="str">
        <f ca="1">IFERROR(__xludf.DUMMYFUNCTION("GOOGLETRANSLATE(E3147, ""zh"", ""en"")"),"Qualitative text")</f>
        <v>Qualitative text</v>
      </c>
    </row>
    <row r="3148" spans="1:3" ht="13" x14ac:dyDescent="0.15">
      <c r="A3148" s="1" t="str">
        <f ca="1">IFERROR(__xludf.DUMMYFUNCTION("GOOGLETRANSLATE(A3148, ""zh"", ""en"")"),"First, we will make every effort to promote the identification and assessment of safety risks in all logistics outlets, and promote the implementation of this work through special training and one-on-one guidance.")</f>
        <v>First, we will make every effort to promote the identification and assessment of safety risks in all logistics outlets, and promote the implementation of this work through special training and one-on-one guidance.</v>
      </c>
      <c r="B3148" s="1" t="str">
        <f ca="1">IFERROR(__xludf.DUMMYFUNCTION("GOOGLETRANSLATE(A3148, ""zh"", ""en"")"),"staff")</f>
        <v>staff</v>
      </c>
      <c r="C3148" s="1" t="str">
        <f ca="1">IFERROR(__xludf.DUMMYFUNCTION("GOOGLETRANSLATE(E3148, ""zh"", ""en"")"),"Qualitative text")</f>
        <v>Qualitative text</v>
      </c>
    </row>
    <row r="3149" spans="1:3" ht="13" x14ac:dyDescent="0.15">
      <c r="A3149" s="1" t="str">
        <f ca="1">IFERROR(__xludf.DUMMYFUNCTION("GOOGLETRANSLATE(A3149, ""zh"", ""en"")"),"In order to conduct in-depth research on the process of lithium extraction from salt lakes, the company signed a strategic cooperation agreement with the Qinghai Institute of Salt Lakes, Chinese Academy of Sciences in March 2019 to carry out in-depth scie"&amp;"ntific and technological cooperation and entrust it to conduct research on the process of lithium extraction from salt lakes.")</f>
        <v>In order to conduct in-depth research on the process of lithium extraction from salt lakes, the company signed a strategic cooperation agreement with the Qinghai Institute of Salt Lakes, Chinese Academy of Sciences in March 2019 to carry out in-depth scientific and technological cooperation and entrust it to conduct research on the process of lithium extraction from salt lakes.</v>
      </c>
      <c r="B3149" s="1" t="str">
        <f ca="1">IFERROR(__xludf.DUMMYFUNCTION("GOOGLETRANSLATE(A3149, ""zh"", ""en"")"),"Technological innovation")</f>
        <v>Technological innovation</v>
      </c>
      <c r="C3149" s="1" t="str">
        <f ca="1">IFERROR(__xludf.DUMMYFUNCTION("GOOGLETRANSLATE(E3149, ""zh"", ""en"")"),"Qualitative text")</f>
        <v>Qualitative text</v>
      </c>
    </row>
    <row r="3150" spans="1:3" ht="13" x14ac:dyDescent="0.15">
      <c r="A3150" s="1" t="str">
        <f ca="1">IFERROR(__xludf.DUMMYFUNCTION("GOOGLETRANSLATE(A3150, ""zh"", ""en"")"),"First Prize of Science and Technology Progress Award of China Light Industry Federation On August 10, 2022, Haier Smart Home won the first prize of Science and Technology Progress Award of China Light Industry Federation for its two achievements in multim"&amp;"odal intelligence and refrigerator foaming technology.")</f>
        <v>First Prize of Science and Technology Progress Award of China Light Industry Federation On August 10, 2022, Haier Smart Home won the first prize of Science and Technology Progress Award of China Light Industry Federation for its two achievements in multimodal intelligence and refrigerator foaming technology.</v>
      </c>
      <c r="B3150" s="1" t="str">
        <f ca="1">IFERROR(__xludf.DUMMYFUNCTION("GOOGLETRANSLATE(A3150, ""zh"", ""en"")"),"Technological innovation")</f>
        <v>Technological innovation</v>
      </c>
      <c r="C3150" s="1" t="str">
        <f ca="1">IFERROR(__xludf.DUMMYFUNCTION("GOOGLETRANSLATE(E3150, ""zh"", ""en"")"),"Quantitative Text")</f>
        <v>Quantitative Text</v>
      </c>
    </row>
    <row r="3151" spans="1:3" ht="13" x14ac:dyDescent="0.15">
      <c r="A3151" s="1" t="str">
        <f ca="1">IFERROR(__xludf.DUMMYFUNCTION("GOOGLETRANSLATE(A3151, ""zh"", ""en"")"),"Metal Smart Chain deepens the direct connection between storage and steel mill systems to enhance the in-transit supervision capabilities of goods. In December 2022, it won the DT Award, a Pioneer Award at the Global Digital Trade Expo hosted by the Peopl"&amp;"e's Government of Zhejiang Province and the Ministry of Commerce.")</f>
        <v>Metal Smart Chain deepens the direct connection between storage and steel mill systems to enhance the in-transit supervision capabilities of goods. In December 2022, it won the DT Award, a Pioneer Award at the Global Digital Trade Expo hosted by the People's Government of Zhejiang Province and the Ministry of Commerce.</v>
      </c>
      <c r="B3151" s="1" t="str">
        <f ca="1">IFERROR(__xludf.DUMMYFUNCTION("GOOGLETRANSLATE(A3151, ""zh"", ""en"")"),"Technological innovation")</f>
        <v>Technological innovation</v>
      </c>
      <c r="C3151" s="1" t="str">
        <f ca="1">IFERROR(__xludf.DUMMYFUNCTION("GOOGLETRANSLATE(E3151, ""zh"", ""en"")"),"Quantitative Text")</f>
        <v>Quantitative Text</v>
      </c>
    </row>
    <row r="3152" spans="1:3" ht="13" x14ac:dyDescent="0.15">
      <c r="A3152" s="1" t="str">
        <f ca="1">IFERROR(__xludf.DUMMYFUNCTION("GOOGLETRANSLATE(A3152, ""zh"", ""en"")"),"Assisted the Provincial Federation of Trade Unions in building service stations for outdoor workers, promoted the establishment of labor unions at Yuantong Company, established labor unions at 6 Yuantong Post Logistics Companies, and built 2 driver homes "&amp;"to provide cool umbrellas and warm homes for outdoor workers.")</f>
        <v>Assisted the Provincial Federation of Trade Unions in building service stations for outdoor workers, promoted the establishment of labor unions at Yuantong Company, established labor unions at 6 Yuantong Post Logistics Companies, and built 2 driver homes to provide cool umbrellas and warm homes for outdoor workers.</v>
      </c>
      <c r="B3152" s="1" t="str">
        <f ca="1">IFERROR(__xludf.DUMMYFUNCTION("GOOGLETRANSLATE(A3152, ""zh"", ""en"")"),"Public welfare and volunteer service")</f>
        <v>Public welfare and volunteer service</v>
      </c>
      <c r="C3152" s="1" t="str">
        <f ca="1">IFERROR(__xludf.DUMMYFUNCTION("GOOGLETRANSLATE(E3152, ""zh"", ""en"")"),"Quantitative Text")</f>
        <v>Quantitative Text</v>
      </c>
    </row>
    <row r="3153" spans="1:3" ht="13" x14ac:dyDescent="0.15">
      <c r="A3153" s="1" t="str">
        <f ca="1">IFERROR(__xludf.DUMMYFUNCTION("GOOGLETRANSLATE(A3153, ""zh"", ""en"")"),"AQUA Beverage Cabinet wins Indonesia's Best Innovation Choice Award April 21, 2022 Haier Smart Home's AQUA Beverage Cabinet wins Indonesia's Best Innovation Choice Award 2022 for its antibacterial technology")</f>
        <v>AQUA Beverage Cabinet wins Indonesia's Best Innovation Choice Award April 21, 2022 Haier Smart Home's AQUA Beverage Cabinet wins Indonesia's Best Innovation Choice Award 2022 for its antibacterial technology</v>
      </c>
      <c r="B3153" s="1" t="str">
        <f ca="1">IFERROR(__xludf.DUMMYFUNCTION("GOOGLETRANSLATE(A3153, ""zh"", ""en"")"),"Technological innovation")</f>
        <v>Technological innovation</v>
      </c>
      <c r="C3153" s="1" t="str">
        <f ca="1">IFERROR(__xludf.DUMMYFUNCTION("GOOGLETRANSLATE(E3153, ""zh"", ""en"")"),"Quantitative Text")</f>
        <v>Quantitative Text</v>
      </c>
    </row>
    <row r="3154" spans="1:3" ht="13" x14ac:dyDescent="0.15">
      <c r="A3154" s="1" t="str">
        <f ca="1">IFERROR(__xludf.DUMMYFUNCTION("GOOGLETRANSLATE(A3154, ""zh"", ""en"")"),"The Group has established a diversified training system and a comprehensive salary and benefits mechanism for its employees. It has designed multi-dimensional career development channels for its employees and launched various forms of long-term incentive "&amp;"plans to motivate employees to make progress together with the company.")</f>
        <v>The Group has established a diversified training system and a comprehensive salary and benefits mechanism for its employees. It has designed multi-dimensional career development channels for its employees and launched various forms of long-term incentive plans to motivate employees to make progress together with the company.</v>
      </c>
      <c r="B3154" s="1" t="str">
        <f ca="1">IFERROR(__xludf.DUMMYFUNCTION("GOOGLETRANSLATE(A3154, ""zh"", ""en"")"),"staff")</f>
        <v>staff</v>
      </c>
      <c r="C3154" s="1" t="str">
        <f ca="1">IFERROR(__xludf.DUMMYFUNCTION("GOOGLETRANSLATE(E3154, ""zh"", ""en"")"),"Qualitative text")</f>
        <v>Qualitative text</v>
      </c>
    </row>
    <row r="3155" spans="1:3" ht="13" x14ac:dyDescent="0.15">
      <c r="A3155" s="1" t="str">
        <f ca="1">IFERROR(__xludf.DUMMYFUNCTION("GOOGLETRANSLATE(A3155, ""zh"", ""en"")"),"The centrifugal fan replacement project cost RMB 700,000 to replace the centrifugal fans in the industrial wastewater workshop with more energy-efficient air suspension fans, which can save about 140,000 kWh of electricity and reduce carbon dioxide emissi"&amp;"ons by about 60 tons per year.")</f>
        <v>The centrifugal fan replacement project cost RMB 700,000 to replace the centrifugal fans in the industrial wastewater workshop with more energy-efficient air suspension fans, which can save about 140,000 kWh of electricity and reduce carbon dioxide emissions by about 60 tons per year.</v>
      </c>
      <c r="B3155" s="1" t="str">
        <f ca="1">IFERROR(__xludf.DUMMYFUNCTION("GOOGLETRANSLATE(A3155, ""zh"", ""en"")"),"Waste Management")</f>
        <v>Waste Management</v>
      </c>
      <c r="C3155" s="1" t="str">
        <f ca="1">IFERROR(__xludf.DUMMYFUNCTION("GOOGLETRANSLATE(E3155, ""zh"", ""en"")"),"Quantitative Text")</f>
        <v>Quantitative Text</v>
      </c>
    </row>
    <row r="3156" spans="1:3" ht="13" x14ac:dyDescent="0.15">
      <c r="A3156" s="1" t="str">
        <f ca="1">IFERROR(__xludf.DUMMYFUNCTION("GOOGLETRANSLATE(A3156, ""zh"", ""en"")"),"On the occasion of Tajikistan's 30th anniversary of independence, we invested 20 million somoni to build a kindergarten with a capacity of 300 preschool children in Istiklol and an extracurricular training center for children in Guliston.")</f>
        <v>On the occasion of Tajikistan's 30th anniversary of independence, we invested 20 million somoni to build a kindergarten with a capacity of 300 preschool children in Istiklol and an extracurricular training center for children in Guliston.</v>
      </c>
      <c r="B3156" s="1" t="str">
        <f ca="1">IFERROR(__xludf.DUMMYFUNCTION("GOOGLETRANSLATE(A3156, ""zh"", ""en"")"),"Public welfare and volunteer service")</f>
        <v>Public welfare and volunteer service</v>
      </c>
      <c r="C3156" s="1" t="str">
        <f ca="1">IFERROR(__xludf.DUMMYFUNCTION("GOOGLETRANSLATE(E3156, ""zh"", ""en"")"),"Quantitative Text")</f>
        <v>Quantitative Text</v>
      </c>
    </row>
    <row r="3157" spans="1:3" ht="13" x14ac:dyDescent="0.15">
      <c r="A3157" s="1" t="str">
        <f ca="1">IFERROR(__xludf.DUMMYFUNCTION("GOOGLETRANSLATE(A3157, ""zh"", ""en"")"),"In 2022, Haier Education Foundation established the Chunhui 2022 Education Development Charitable Trust, which will use over RMB 24 million in assets to establish a charitable trust dedicated to building a charitable education public welfare system.")</f>
        <v>In 2022, Haier Education Foundation established the Chunhui 2022 Education Development Charitable Trust, which will use over RMB 24 million in assets to establish a charitable trust dedicated to building a charitable education public welfare system.</v>
      </c>
      <c r="B3157" s="1" t="str">
        <f ca="1">IFERROR(__xludf.DUMMYFUNCTION("GOOGLETRANSLATE(A3157, ""zh"", ""en"")"),"Public welfare and volunteer service")</f>
        <v>Public welfare and volunteer service</v>
      </c>
      <c r="C3157" s="1" t="str">
        <f ca="1">IFERROR(__xludf.DUMMYFUNCTION("GOOGLETRANSLATE(E3157, ""zh"", ""en"")"),"Quantitative Text")</f>
        <v>Quantitative Text</v>
      </c>
    </row>
    <row r="3158" spans="1:3" ht="13" x14ac:dyDescent="0.15">
      <c r="A3158" s="1" t="str">
        <f ca="1">IFERROR(__xludf.DUMMYFUNCTION("GOOGLETRANSLATE(A3158, ""zh"", ""en"")"),"Xinxiang Haibin Biochemical System Waste Gas Renovation Project invested RMB 500,000 to renovate the biochemical system, adding a first-level alkali spray tower and a set of UV photocatalytic equipment to improve the efficiency of odorous waste gas treatm"&amp;"ent through a combined process.")</f>
        <v>Xinxiang Haibin Biochemical System Waste Gas Renovation Project invested RMB 500,000 to renovate the biochemical system, adding a first-level alkali spray tower and a set of UV photocatalytic equipment to improve the efficiency of odorous waste gas treatment through a combined process.</v>
      </c>
      <c r="B3158" s="1" t="str">
        <f ca="1">IFERROR(__xludf.DUMMYFUNCTION("GOOGLETRANSLATE(A3158, ""zh"", ""en"")"),"Waste Management")</f>
        <v>Waste Management</v>
      </c>
      <c r="C3158" s="1" t="str">
        <f ca="1">IFERROR(__xludf.DUMMYFUNCTION("GOOGLETRANSLATE(E3158, ""zh"", ""en"")"),"Quantitative Text")</f>
        <v>Quantitative Text</v>
      </c>
    </row>
    <row r="3159" spans="1:3" ht="13" x14ac:dyDescent="0.15">
      <c r="A3159" s="1" t="str">
        <f ca="1">IFERROR(__xludf.DUMMYFUNCTION("GOOGLETRANSLATE(A3159, ""zh"", ""en"")"),"In 2022, the company further upgraded its ESG brand image, formulated an ESG strategy system, clarified six core ESG directions and future actions, and used them as a guide to actively carry out sustainable development practices.")</f>
        <v>In 2022, the company further upgraded its ESG brand image, formulated an ESG strategy system, clarified six core ESG directions and future actions, and used them as a guide to actively carry out sustainable development practices.</v>
      </c>
      <c r="B3159" s="1" t="str">
        <f ca="1">IFERROR(__xludf.DUMMYFUNCTION("GOOGLETRANSLATE(A3159, ""zh"", ""en"")"),"irrelevant text")</f>
        <v>irrelevant text</v>
      </c>
      <c r="C3159" s="1" t="str">
        <f ca="1">IFERROR(__xludf.DUMMYFUNCTION("GOOGLETRANSLATE(E3159, ""zh"", ""en"")"),"irrelevant text")</f>
        <v>irrelevant text</v>
      </c>
    </row>
    <row r="3160" spans="1:3" ht="13" x14ac:dyDescent="0.15">
      <c r="A3160" s="1" t="str">
        <f ca="1">IFERROR(__xludf.DUMMYFUNCTION("GOOGLETRANSLATE(A3160, ""zh"", ""en"")"),"We recognize that the digital society is the future development trend. Computer software skills have become the foundation of contemporary professional skills. Therefore, we make it one of the key points of professional skills training in our Argentina op"&amp;"erations.")</f>
        <v>We recognize that the digital society is the future development trend. Computer software skills have become the foundation of contemporary professional skills. Therefore, we make it one of the key points of professional skills training in our Argentina operations.</v>
      </c>
      <c r="B3160" s="1" t="str">
        <f ca="1">IFERROR(__xludf.DUMMYFUNCTION("GOOGLETRANSLATE(A3160, ""zh"", ""en"")"),"staff")</f>
        <v>staff</v>
      </c>
      <c r="C3160" s="1" t="str">
        <f ca="1">IFERROR(__xludf.DUMMYFUNCTION("GOOGLETRANSLATE(E3160, ""zh"", ""en"")"),"Qualitative text")</f>
        <v>Qualitative text</v>
      </c>
    </row>
    <row r="3161" spans="1:3" ht="13" x14ac:dyDescent="0.15">
      <c r="A3161" s="1" t="str">
        <f ca="1">IFERROR(__xludf.DUMMYFUNCTION("GOOGLETRANSLATE(A3161, ""zh"", ""en"")"),"To improve decision-making efficiency and professionalism, we have established a cross-departmental decision-making coordination organization to improve decision-making and effectively prevent the impact of individual decision-making errors on the develop"&amp;"ment of the Group. We have also improved the level of professionalism in decision-making and execution efficiency.")</f>
        <v>To improve decision-making efficiency and professionalism, we have established a cross-departmental decision-making coordination organization to improve decision-making and effectively prevent the impact of individual decision-making errors on the development of the Group. We have also improved the level of professionalism in decision-making and execution efficiency.</v>
      </c>
      <c r="B3161" s="1" t="str">
        <f ca="1">IFERROR(__xludf.DUMMYFUNCTION("GOOGLETRANSLATE(A3161, ""zh"", ""en"")"),"Organizational structure and operations")</f>
        <v>Organizational structure and operations</v>
      </c>
      <c r="C3161" s="1" t="str">
        <f ca="1">IFERROR(__xludf.DUMMYFUNCTION("GOOGLETRANSLATE(E3161, ""zh"", ""en"")"),"Qualitative text")</f>
        <v>Qualitative text</v>
      </c>
    </row>
    <row r="3162" spans="1:3" ht="13" x14ac:dyDescent="0.15">
      <c r="A3162" s="1" t="str">
        <f ca="1">IFERROR(__xludf.DUMMYFUNCTION("GOOGLETRANSLATE(A3162, ""zh"", ""en"")"),"34Innovation for Gcod Health Continuously innovate and enjoy healthy R&amp;D achievements As of the end of 2022, the Group has 21 digital evaluation projects for innovative drugs under development")</f>
        <v>34Innovation for Gcod Health Continuously innovate and enjoy healthy R&amp;D achievements As of the end of 2022, the Group has 21 digital evaluation projects for innovative drugs under development</v>
      </c>
      <c r="B3162" s="1" t="str">
        <f ca="1">IFERROR(__xludf.DUMMYFUNCTION("GOOGLETRANSLATE(A3162, ""zh"", ""en"")"),"Technological innovation")</f>
        <v>Technological innovation</v>
      </c>
      <c r="C3162" s="1" t="str">
        <f ca="1">IFERROR(__xludf.DUMMYFUNCTION("GOOGLETRANSLATE(E3162, ""zh"", ""en"")"),"Quantitative Text")</f>
        <v>Quantitative Text</v>
      </c>
    </row>
    <row r="3163" spans="1:3" ht="13" x14ac:dyDescent="0.15">
      <c r="A3163" s="1" t="str">
        <f ca="1">IFERROR(__xludf.DUMMYFUNCTION("GOOGLETRANSLATE(A3163, ""zh"", ""en"")"),"R&amp;D investment Fosun Pharma Group invested 58.85 billion yuan in R&amp;D in 2022. The R&amp;D investment of its pharmaceutical business was 5.097 billion yuan, a year-on-year increase of more than 13.62 billion yuan including capitalized expenses.")</f>
        <v>R&amp;D investment Fosun Pharma Group invested 58.85 billion yuan in R&amp;D in 2022. The R&amp;D investment of its pharmaceutical business was 5.097 billion yuan, a year-on-year increase of more than 13.62 billion yuan including capitalized expenses.</v>
      </c>
      <c r="B3163" s="1" t="str">
        <f ca="1">IFERROR(__xludf.DUMMYFUNCTION("GOOGLETRANSLATE(A3163, ""zh"", ""en"")"),"Technological innovation")</f>
        <v>Technological innovation</v>
      </c>
      <c r="C3163" s="1" t="str">
        <f ca="1">IFERROR(__xludf.DUMMYFUNCTION("GOOGLETRANSLATE(E3163, ""zh"", ""en"")"),"Quantitative Text")</f>
        <v>Quantitative Text</v>
      </c>
    </row>
    <row r="3164" spans="1:3" ht="13" x14ac:dyDescent="0.15">
      <c r="A3164" s="1" t="str">
        <f ca="1">IFERROR(__xludf.DUMMYFUNCTION("GOOGLETRANSLATE(A3164, ""zh"", ""en"")"),"We attach great importance to the prevention and control of foreign-related legal compliance risks, such as national security review, antitrust, intellectual property information disclosure, etc. We adhere to the joint meeting and monthly reporting mechan"&amp;"ism for foreign-related legal compliance risk investigation to ensure risk prevention and response.")</f>
        <v>We attach great importance to the prevention and control of foreign-related legal compliance risks, such as national security review, antitrust, intellectual property information disclosure, etc. We adhere to the joint meeting and monthly reporting mechanism for foreign-related legal compliance risk investigation to ensure risk prevention and response.</v>
      </c>
      <c r="B3164" s="1" t="str">
        <f ca="1">IFERROR(__xludf.DUMMYFUNCTION("GOOGLETRANSLATE(A3164, ""zh"", ""en"")"),"Legal proceedings and external sanctions")</f>
        <v>Legal proceedings and external sanctions</v>
      </c>
      <c r="C3164" s="1" t="str">
        <f ca="1">IFERROR(__xludf.DUMMYFUNCTION("GOOGLETRANSLATE(E3164, ""zh"", ""en"")"),"Qualitative text")</f>
        <v>Qualitative text</v>
      </c>
    </row>
    <row r="3165" spans="1:3" ht="13" x14ac:dyDescent="0.15">
      <c r="A3165" s="1" t="str">
        <f ca="1">IFERROR(__xludf.DUMMYFUNCTION("GOOGLETRANSLATE(A3165, ""zh"", ""en"")"),"In terms of EHS culture construction, Fosun Pharma Group continues to strengthen the top management, attaches importance to the middle management, promotes full participation of all employees, and further consolidates the EHS management of member companie"&amp;"s through a series of activities.")</f>
        <v>In terms of EHS culture construction, Fosun Pharma Group continues to strengthen the top management, attaches importance to the middle management, promotes full participation of all employees, and further consolidates the EHS management of member companies through a series of activities.</v>
      </c>
      <c r="B3165" s="1" t="str">
        <f ca="1">IFERROR(__xludf.DUMMYFUNCTION("GOOGLETRANSLATE(A3165, ""zh"", ""en"")"),"Environmental Policy")</f>
        <v>Environmental Policy</v>
      </c>
      <c r="C3165" s="1" t="str">
        <f ca="1">IFERROR(__xludf.DUMMYFUNCTION("GOOGLETRANSLATE(E3165, ""zh"", ""en"")"),"Qualitative text")</f>
        <v>Qualitative text</v>
      </c>
    </row>
    <row r="3166" spans="1:3" ht="13" x14ac:dyDescent="0.15">
      <c r="A3166" s="1" t="str">
        <f ca="1">IFERROR(__xludf.DUMMYFUNCTION("GOOGLETRANSLATE(A3166, ""zh"", ""en"")"),"We enriched employee training methods and organized 33 key training projects in 54 sessions throughout the year, training 5,732 people. Our online academy provided training for 6,375,520 people, totaling over 60 million hours of study.")</f>
        <v>We enriched employee training methods and organized 33 key training projects in 54 sessions throughout the year, training 5,732 people. Our online academy provided training for 6,375,520 people, totaling over 60 million hours of study.</v>
      </c>
      <c r="B3166" s="1" t="str">
        <f ca="1">IFERROR(__xludf.DUMMYFUNCTION("GOOGLETRANSLATE(A3166, ""zh"", ""en"")"),"staff")</f>
        <v>staff</v>
      </c>
      <c r="C3166" s="1" t="str">
        <f ca="1">IFERROR(__xludf.DUMMYFUNCTION("GOOGLETRANSLATE(E3166, ""zh"", ""en"")"),"Quantitative Text")</f>
        <v>Quantitative Text</v>
      </c>
    </row>
    <row r="3167" spans="1:3" ht="13" x14ac:dyDescent="0.15">
      <c r="A3167" s="1" t="str">
        <f ca="1">IFERROR(__xludf.DUMMYFUNCTION("GOOGLETRANSLATE(A3167, ""zh"", ""en"")"),"We have been deeply implementing social welfare projects such as Chunlei Gas Station, Driver's Home and Love Station, adhering to the belief of giving back to the local community and contributing to the prosperity of the local economy. We have been develo"&amp;"ping international business and continuously enhancing the image of a responsible international company.")</f>
        <v>We have been deeply implementing social welfare projects such as Chunlei Gas Station, Driver's Home and Love Station, adhering to the belief of giving back to the local community and contributing to the prosperity of the local economy. We have been developing international business and continuously enhancing the image of a responsible international company.</v>
      </c>
      <c r="B3167" s="1" t="str">
        <f ca="1">IFERROR(__xludf.DUMMYFUNCTION("GOOGLETRANSLATE(A3167, ""zh"", ""en"")"),"Public welfare and volunteer service")</f>
        <v>Public welfare and volunteer service</v>
      </c>
      <c r="C3167" s="1" t="str">
        <f ca="1">IFERROR(__xludf.DUMMYFUNCTION("GOOGLETRANSLATE(E3167, ""zh"", ""en"")"),"Qualitative text")</f>
        <v>Qualitative text</v>
      </c>
    </row>
    <row r="3168" spans="1:3" ht="13" x14ac:dyDescent="0.15">
      <c r="A3168" s="1" t="str">
        <f ca="1">IFERROR(__xludf.DUMMYFUNCTION("GOOGLETRANSLATE(A3168, ""zh"", ""en"")"),"The Group has invested RMB109.989 million in environmental protection operation and maintenance, mainly focusing on the operation of environmental protection facilities such as sewage and waste gas, and waste safety investment.")</f>
        <v>The Group has invested RMB109.989 million in environmental protection operation and maintenance, mainly focusing on the operation of environmental protection facilities such as sewage and waste gas, and waste safety investment.</v>
      </c>
      <c r="B3168" s="1" t="str">
        <f ca="1">IFERROR(__xludf.DUMMYFUNCTION("GOOGLETRANSLATE(A3168, ""zh"", ""en"")"),"Waste Management")</f>
        <v>Waste Management</v>
      </c>
      <c r="C3168" s="1" t="str">
        <f ca="1">IFERROR(__xludf.DUMMYFUNCTION("GOOGLETRANSLATE(E3168, ""zh"", ""en"")"),"Quantitative Text")</f>
        <v>Quantitative Text</v>
      </c>
    </row>
    <row r="3169" spans="1:3" ht="13" x14ac:dyDescent="0.15">
      <c r="A3169" s="1" t="str">
        <f ca="1">IFERROR(__xludf.DUMMYFUNCTION("GOOGLETRANSLATE(A3169, ""zh"", ""en"")"),"The company actively embraces the development trend of new energy vehicles towards electrification, intelligence and networking. Leveraging its gas station location advantage, it continues to advance the construction of a charging and swapping network, ai"&amp;"ming to build 5,000 charging and swapping stations by 2025.")</f>
        <v>The company actively embraces the development trend of new energy vehicles towards electrification, intelligence and networking. Leveraging its gas station location advantage, it continues to advance the construction of a charging and swapping network, aiming to build 5,000 charging and swapping stations by 2025.</v>
      </c>
      <c r="B3169" s="1" t="str">
        <f ca="1">IFERROR(__xludf.DUMMYFUNCTION("GOOGLETRANSLATE(A3169, ""zh"", ""en"")"),"Energy and resource consumption")</f>
        <v>Energy and resource consumption</v>
      </c>
      <c r="C3169" s="1" t="str">
        <f ca="1">IFERROR(__xludf.DUMMYFUNCTION("GOOGLETRANSLATE(E3169, ""zh"", ""en"")"),"Quantitative Text")</f>
        <v>Quantitative Text</v>
      </c>
    </row>
    <row r="3170" spans="1:3" ht="13" x14ac:dyDescent="0.15">
      <c r="A3170" s="1" t="str">
        <f ca="1">IFERROR(__xludf.DUMMYFUNCTION("GOOGLETRANSLATE(A3170, ""zh"", ""en"")"),"Incentive Mechanism Entrepreneurship Partner Dima Co., Ltd. takes the lead in discussing and formulating the Dima Co., Ltd. Entrepreneurship Partner Mechanism Guidelines to encourage internal entrepreneurship and stimulate team entrepreneurial spirit and "&amp;"subjective initiative to promote the common growth of employees")</f>
        <v>Incentive Mechanism Entrepreneurship Partner Dima Co., Ltd. takes the lead in discussing and formulating the Dima Co., Ltd. Entrepreneurship Partner Mechanism Guidelines to encourage internal entrepreneurship and stimulate team entrepreneurial spirit and subjective initiative to promote the common growth of employees</v>
      </c>
      <c r="B3170" s="1" t="str">
        <f ca="1">IFERROR(__xludf.DUMMYFUNCTION("GOOGLETRANSLATE(A3170, ""zh"", ""en"")"),"staff")</f>
        <v>staff</v>
      </c>
      <c r="C3170" s="1" t="str">
        <f ca="1">IFERROR(__xludf.DUMMYFUNCTION("GOOGLETRANSLATE(E3170, ""zh"", ""en"")"),"Qualitative text")</f>
        <v>Qualitative text</v>
      </c>
    </row>
    <row r="3171" spans="1:3" ht="13" x14ac:dyDescent="0.15">
      <c r="A3171" s="1" t="str">
        <f ca="1">IFERROR(__xludf.DUMMYFUNCTION("GOOGLETRANSLATE(A3171, ""zh"", ""en"")"),"In addition to guaranteeing the statutory benefits for each employee, the company also provides employees with birthday and holiday benefits, transportation subsidies, communication subsidies, heatstroke prevention subsidies, hospitalization allowances, w"&amp;"edding bonuses, etc.")</f>
        <v>In addition to guaranteeing the statutory benefits for each employee, the company also provides employees with birthday and holiday benefits, transportation subsidies, communication subsidies, heatstroke prevention subsidies, hospitalization allowances, wedding bonuses, etc.</v>
      </c>
      <c r="B3171" s="1" t="str">
        <f ca="1">IFERROR(__xludf.DUMMYFUNCTION("GOOGLETRANSLATE(A3171, ""zh"", ""en"")"),"staff")</f>
        <v>staff</v>
      </c>
      <c r="C3171" s="1" t="str">
        <f ca="1">IFERROR(__xludf.DUMMYFUNCTION("GOOGLETRANSLATE(E3171, ""zh"", ""en"")"),"Qualitative text")</f>
        <v>Qualitative text</v>
      </c>
    </row>
    <row r="3172" spans="1:3" ht="13" x14ac:dyDescent="0.15">
      <c r="A3172" s="1" t="str">
        <f ca="1">IFERROR(__xludf.DUMMYFUNCTION("GOOGLETRANSLATE(A3172, ""zh"", ""en"")"),"Dima Industry always adheres to the principle of fair employment and equal employment in its recruitment work, manages in accordance with the company's recruitment management system, and provides equal opportunities for people of different genders, ages, "&amp;"regions and nationalities.")</f>
        <v>Dima Industry always adheres to the principle of fair employment and equal employment in its recruitment work, manages in accordance with the company's recruitment management system, and provides equal opportunities for people of different genders, ages, regions and nationalities.</v>
      </c>
      <c r="B3172" s="1" t="str">
        <f ca="1">IFERROR(__xludf.DUMMYFUNCTION("GOOGLETRANSLATE(A3172, ""zh"", ""en"")"),"Promoting employment")</f>
        <v>Promoting employment</v>
      </c>
      <c r="C3172" s="1" t="str">
        <f ca="1">IFERROR(__xludf.DUMMYFUNCTION("GOOGLETRANSLATE(E3172, ""zh"", ""en"")"),"Qualitative text")</f>
        <v>Qualitative text</v>
      </c>
    </row>
    <row r="3173" spans="1:3" ht="13" x14ac:dyDescent="0.15">
      <c r="A3173" s="1" t="str">
        <f ca="1">IFERROR(__xludf.DUMMYFUNCTION("GOOGLETRANSLATE(A3173, ""zh"", ""en"")"),"Engineers dispatched by Dima Industries successfully completed the 20 major service support tasks in 2022. In 2018, the Egyptian Ministry of Defense purchased a communication command vehicle manufactured by Dima Industries and was very satisfied with the "&amp;"product.")</f>
        <v>Engineers dispatched by Dima Industries successfully completed the 20 major service support tasks in 2022. In 2018, the Egyptian Ministry of Defense purchased a communication command vehicle manufactured by Dima Industries and was very satisfied with the product.</v>
      </c>
      <c r="B3173" s="1" t="str">
        <f ca="1">IFERROR(__xludf.DUMMYFUNCTION("GOOGLETRANSLATE(A3173, ""zh"", ""en"")"),"Product quality")</f>
        <v>Product quality</v>
      </c>
      <c r="C3173" s="1" t="str">
        <f ca="1">IFERROR(__xludf.DUMMYFUNCTION("GOOGLETRANSLATE(E3173, ""zh"", ""en"")"),"Qualitative text")</f>
        <v>Qualitative text</v>
      </c>
    </row>
    <row r="3174" spans="1:3" ht="13" x14ac:dyDescent="0.15">
      <c r="A3174" s="1" t="str">
        <f ca="1">IFERROR(__xludf.DUMMYFUNCTION("GOOGLETRANSLATE(A3174, ""zh"", ""en"")"),"Carry out the withdrawal and reclamation of idle land, conduct demonstration and assessment of the well control safety and environmental risks of idle industrial and mining land such as abandoned well sites, screen idle land without safety and environment"&amp;"al risks, and carry out orderly land classification withdrawal.")</f>
        <v>Carry out the withdrawal and reclamation of idle land, conduct demonstration and assessment of the well control safety and environmental risks of idle industrial and mining land such as abandoned well sites, screen idle land without safety and environmental risks, and carry out orderly land classification withdrawal.</v>
      </c>
      <c r="B3174" s="1" t="str">
        <f ca="1">IFERROR(__xludf.DUMMYFUNCTION("GOOGLETRANSLATE(A3174, ""zh"", ""en"")"),"Land use")</f>
        <v>Land use</v>
      </c>
      <c r="C3174" s="1" t="str">
        <f ca="1">IFERROR(__xludf.DUMMYFUNCTION("GOOGLETRANSLATE(E3174, ""zh"", ""en"")"),"Qualitative text")</f>
        <v>Qualitative text</v>
      </c>
    </row>
    <row r="3175" spans="1:3" ht="13" x14ac:dyDescent="0.15">
      <c r="A3175" s="1" t="str">
        <f ca="1">IFERROR(__xludf.DUMMYFUNCTION("GOOGLETRANSLATE(A3175, ""zh"", ""en"")"),"The Strategy Committee, Audit Committee and Sustainable Development Committee of the Board of Directors are responsible for reviewing development plans, policies and systems related to addressing climate change and making recommendations to the Board of D"&amp;"irectors on the company's strategic positioning and industrial layout.")</f>
        <v>The Strategy Committee, Audit Committee and Sustainable Development Committee of the Board of Directors are responsible for reviewing development plans, policies and systems related to addressing climate change and making recommendations to the Board of Directors on the company's strategic positioning and industrial layout.</v>
      </c>
      <c r="B3175" s="1" t="str">
        <f ca="1">IFERROR(__xludf.DUMMYFUNCTION("GOOGLETRANSLATE(A3175, ""zh"", ""en"")"),"Addressing climate change")</f>
        <v>Addressing climate change</v>
      </c>
      <c r="C3175" s="1" t="str">
        <f ca="1">IFERROR(__xludf.DUMMYFUNCTION("GOOGLETRANSLATE(E3175, ""zh"", ""en"")"),"Qualitative text")</f>
        <v>Qualitative text</v>
      </c>
    </row>
    <row r="3176" spans="1:3" ht="13" x14ac:dyDescent="0.15">
      <c r="A3176" s="1" t="str">
        <f ca="1">IFERROR(__xludf.DUMMYFUNCTION("GOOGLETRANSLATE(A3176, ""zh"", ""en"")"),"The company has thoroughly implemented the science and technology reform demonstration action. Its eight directly affiliated research institutes have made substantial progress in optimizing the innovation culture system, clarifying the main research direc"&amp;"tions, and exploring management innovation models. The innovation momentum and vitality continue to increase.")</f>
        <v>The company has thoroughly implemented the science and technology reform demonstration action. Its eight directly affiliated research institutes have made substantial progress in optimizing the innovation culture system, clarifying the main research directions, and exploring management innovation models. The innovation momentum and vitality continue to increase.</v>
      </c>
      <c r="B3176" s="1" t="str">
        <f ca="1">IFERROR(__xludf.DUMMYFUNCTION("GOOGLETRANSLATE(A3176, ""zh"", ""en"")"),"Technological innovation")</f>
        <v>Technological innovation</v>
      </c>
      <c r="C3176" s="1" t="str">
        <f ca="1">IFERROR(__xludf.DUMMYFUNCTION("GOOGLETRANSLATE(E3176, ""zh"", ""en"")"),"Qualitative text")</f>
        <v>Qualitative text</v>
      </c>
    </row>
    <row r="3177" spans="1:3" ht="13" x14ac:dyDescent="0.15">
      <c r="A3177" s="1" t="str">
        <f ca="1">IFERROR(__xludf.DUMMYFUNCTION("GOOGLETRANSLATE(A3177, ""zh"", ""en"")"),"Physical risks: Chronic risks such as changes in rainfall, extreme climate fluctuations, and long-term increases in average temperature may lead to increased capital construction costs, such as extended construction periods, premature equipment wear and t"&amp;"ear, and increased insurance costs for equipment and personnel.")</f>
        <v>Physical risks: Chronic risks such as changes in rainfall, extreme climate fluctuations, and long-term increases in average temperature may lead to increased capital construction costs, such as extended construction periods, premature equipment wear and tear, and increased insurance costs for equipment and personnel.</v>
      </c>
      <c r="B3177" s="1" t="str">
        <f ca="1">IFERROR(__xludf.DUMMYFUNCTION("GOOGLETRANSLATE(A3177, ""zh"", ""en"")"),"Addressing climate change")</f>
        <v>Addressing climate change</v>
      </c>
      <c r="C3177" s="1" t="str">
        <f ca="1">IFERROR(__xludf.DUMMYFUNCTION("GOOGLETRANSLATE(E3177, ""zh"", ""en"")"),"Qualitative text")</f>
        <v>Qualitative text</v>
      </c>
    </row>
    <row r="3178" spans="1:3" ht="13" x14ac:dyDescent="0.15">
      <c r="A3178" s="1" t="str">
        <f ca="1">IFERROR(__xludf.DUMMYFUNCTION("GOOGLETRANSLATE(A3178, ""zh"", ""en"")"),"While the company is constantly standardizing its supplier management process, it is also strengthening the social responsibility of its supply chain. The company's social responsibility assessment of suppliers revealed no major violations involving labor"&amp;" disputes, environmental violations, etc.")</f>
        <v>While the company is constantly standardizing its supplier management process, it is also strengthening the social responsibility of its supply chain. The company's social responsibility assessment of suppliers revealed no major violations involving labor disputes, environmental violations, etc.</v>
      </c>
      <c r="B3178" s="1" t="str">
        <f ca="1">IFERROR(__xludf.DUMMYFUNCTION("GOOGLETRANSLATE(A3178, ""zh"", ""en"")"),"supply chain management")</f>
        <v>supply chain management</v>
      </c>
      <c r="C3178" s="1" t="str">
        <f ca="1">IFERROR(__xludf.DUMMYFUNCTION("GOOGLETRANSLATE(E3178, ""zh"", ""en"")"),"Quantitative Text")</f>
        <v>Quantitative Text</v>
      </c>
    </row>
    <row r="3179" spans="1:3" ht="13" x14ac:dyDescent="0.15">
      <c r="A3179" s="1" t="str">
        <f ca="1">IFERROR(__xludf.DUMMYFUNCTION("GOOGLETRANSLATE(A3179, ""zh"", ""en"")"),"Solidly carry out the work style re-rectification activities, adopt the ""four no two direct"" inspection and assessment method, and strengthen the supervision, inspection and assessment of eight major operations such as key positions and personnel confin"&amp;"ed space operations during the 15 key periods of the layer.")</f>
        <v>Solidly carry out the work style re-rectification activities, adopt the "four no two direct" inspection and assessment method, and strengthen the supervision, inspection and assessment of eight major operations such as key positions and personnel confined space operations during the 15 key periods of the layer.</v>
      </c>
      <c r="B3179" s="1" t="str">
        <f ca="1">IFERROR(__xludf.DUMMYFUNCTION("GOOGLETRANSLATE(A3179, ""zh"", ""en"")"),"staff")</f>
        <v>staff</v>
      </c>
      <c r="C3179" s="1" t="str">
        <f ca="1">IFERROR(__xludf.DUMMYFUNCTION("GOOGLETRANSLATE(E3179, ""zh"", ""en"")"),"Qualitative text")</f>
        <v>Qualitative text</v>
      </c>
    </row>
    <row r="3180" spans="1:3" ht="13" x14ac:dyDescent="0.15">
      <c r="A3180" s="1" t="str">
        <f ca="1">IFERROR(__xludf.DUMMYFUNCTION("GOOGLETRANSLATE(A3180, ""zh"", ""en"")"),"In August, the operation and management methods of the WeChat official account for safety management were revised. Grassroots units and functional departments were required to answer questions with a score of 85 or above every quarter. Shenma Di Zibu held"&amp;" a training course on fat control for the COVID-19 epidemic.")</f>
        <v>In August, the operation and management methods of the WeChat official account for safety management were revised. Grassroots units and functional departments were required to answer questions with a score of 85 or above every quarter. Shenma Di Zibu held a training course on fat control for the COVID-19 epidemic.</v>
      </c>
      <c r="B3180" s="1" t="str">
        <f ca="1">IFERROR(__xludf.DUMMYFUNCTION("GOOGLETRANSLATE(A3180, ""zh"", ""en"")"),"Fighting the epidemic")</f>
        <v>Fighting the epidemic</v>
      </c>
      <c r="C3180" s="1" t="str">
        <f ca="1">IFERROR(__xludf.DUMMYFUNCTION("GOOGLETRANSLATE(E3180, ""zh"", ""en"")"),"Qualitative text")</f>
        <v>Qualitative text</v>
      </c>
    </row>
    <row r="3181" spans="1:3" ht="13" x14ac:dyDescent="0.15">
      <c r="A3181" s="1" t="str">
        <f ca="1">IFERROR(__xludf.DUMMYFUNCTION("GOOGLETRANSLATE(A3181, ""zh"", ""en"")"),"The company and its major subsidiaries have prepared emergency response plans for environmental emergencies and environmental education plans, submitted them to local environmental protection departments for record, and regularly organized drills to ensur"&amp;"e the effectiveness and feasibility of the plans.")</f>
        <v>The company and its major subsidiaries have prepared emergency response plans for environmental emergencies and environmental education plans, submitted them to local environmental protection departments for record, and regularly organized drills to ensure the effectiveness and feasibility of the plans.</v>
      </c>
      <c r="B3181" s="1" t="str">
        <f ca="1">IFERROR(__xludf.DUMMYFUNCTION("GOOGLETRANSLATE(A3181, ""zh"", ""en"")"),"Environmental Policy")</f>
        <v>Environmental Policy</v>
      </c>
      <c r="C3181" s="1" t="str">
        <f ca="1">IFERROR(__xludf.DUMMYFUNCTION("GOOGLETRANSLATE(E3181, ""zh"", ""en"")"),"Qualitative text")</f>
        <v>Qualitative text</v>
      </c>
    </row>
    <row r="3182" spans="1:3" ht="13" x14ac:dyDescent="0.15">
      <c r="A3182" s="1" t="str">
        <f ca="1">IFERROR(__xludf.DUMMYFUNCTION("GOOGLETRANSLATE(A3182, ""zh"", ""en"")"),"Launched the market's first carbon neutrality index-linked income certificate product, the 888th issue of the Antai Return Series income certificate, focusing on the green investment track and providing investors with a one-stop green asset allocation sol"&amp;"ution.")</f>
        <v>Launched the market's first carbon neutrality index-linked income certificate product, the 888th issue of the Antai Return Series income certificate, focusing on the green investment track and providing investors with a one-stop green asset allocation solution.</v>
      </c>
      <c r="B3182" s="1" t="str">
        <f ca="1">IFERROR(__xludf.DUMMYFUNCTION("GOOGLETRANSLATE(A3182, ""zh"", ""en"")"),"Green Finance")</f>
        <v>Green Finance</v>
      </c>
      <c r="C3182" s="1" t="str">
        <f ca="1">IFERROR(__xludf.DUMMYFUNCTION("GOOGLETRANSLATE(E3182, ""zh"", ""en"")"),"Qualitative text")</f>
        <v>Qualitative text</v>
      </c>
    </row>
    <row r="3183" spans="1:3" ht="13" x14ac:dyDescent="0.15">
      <c r="A3183" s="1" t="str">
        <f ca="1">IFERROR(__xludf.DUMMYFUNCTION("GOOGLETRANSLATE(A3183, ""zh"", ""en"")"),"In response to regulatory requirements and the attention of the international capital market, the company focused on showcasing its practices in data quality management and privacy protection, expanding the original information security topic to include d"&amp;"ata security and privacy protection.")</f>
        <v>In response to regulatory requirements and the attention of the international capital market, the company focused on showcasing its practices in data quality management and privacy protection, expanding the original information security topic to include data security and privacy protection.</v>
      </c>
      <c r="B3183" s="1" t="str">
        <f ca="1">IFERROR(__xludf.DUMMYFUNCTION("GOOGLETRANSLATE(A3183, ""zh"", ""en"")"),"Data security")</f>
        <v>Data security</v>
      </c>
      <c r="C3183" s="1" t="str">
        <f ca="1">IFERROR(__xludf.DUMMYFUNCTION("GOOGLETRANSLATE(E3183, ""zh"", ""en"")"),"Qualitative text")</f>
        <v>Qualitative text</v>
      </c>
    </row>
    <row r="3184" spans="1:3" ht="13" x14ac:dyDescent="0.15">
      <c r="A3184" s="1" t="str">
        <f ca="1">IFERROR(__xludf.DUMMYFUNCTION("GOOGLETRANSLATE(A3184, ""zh"", ""en"")"),"At the same time, the labor union and the group's disciplinary committee jointly launched an online calligraphy and painting exhibition with the theme of ""Integrity Calligraphy and Painting to Promote Integrity and Integrity"". A total of 52 original cal"&amp;"ligraphy and painting works by employees were collected, and 33 outstanding works and shortlisted works were selected.")</f>
        <v>At the same time, the labor union and the group's disciplinary committee jointly launched an online calligraphy and painting exhibition with the theme of "Integrity Calligraphy and Painting to Promote Integrity and Integrity". A total of 52 original calligraphy and painting works by employees were collected, and 33 outstanding works and shortlisted works were selected.</v>
      </c>
      <c r="B3184" s="1" t="str">
        <f ca="1">IFERROR(__xludf.DUMMYFUNCTION("GOOGLETRANSLATE(A3184, ""zh"", ""en"")"),"Anti-corruption and anti-money laundering")</f>
        <v>Anti-corruption and anti-money laundering</v>
      </c>
      <c r="C3184" s="1" t="str">
        <f ca="1">IFERROR(__xludf.DUMMYFUNCTION("GOOGLETRANSLATE(E3184, ""zh"", ""en"")"),"Quantitative Text")</f>
        <v>Quantitative Text</v>
      </c>
    </row>
    <row r="3185" spans="1:3" ht="13" x14ac:dyDescent="0.15">
      <c r="A3185" s="1" t="str">
        <f ca="1">IFERROR(__xludf.DUMMYFUNCTION("GOOGLETRANSLATE(A3185, ""zh"", ""en"")"),"06 Stable Operations – Standardized Management 71 CITIC Securities 2022 Annual Social Responsibility Report Level Content and Indicator Index B6 Product Responsibility B6.4 Describe the quality inspection process and product recycling procedures")</f>
        <v>06 Stable Operations – Standardized Management 71 CITIC Securities 2022 Annual Social Responsibility Report Level Content and Indicator Index B6 Product Responsibility B6.4 Describe the quality inspection process and product recycling procedures</v>
      </c>
      <c r="B3185" s="1" t="str">
        <f ca="1">IFERROR(__xludf.DUMMYFUNCTION("GOOGLETRANSLATE(A3185, ""zh"", ""en"")"),"Product quality")</f>
        <v>Product quality</v>
      </c>
      <c r="C3185" s="1" t="str">
        <f ca="1">IFERROR(__xludf.DUMMYFUNCTION("GOOGLETRANSLATE(E3185, ""zh"", ""en"")"),"Qualitative text")</f>
        <v>Qualitative text</v>
      </c>
    </row>
    <row r="3186" spans="1:3" ht="13" x14ac:dyDescent="0.15">
      <c r="A3186" s="1" t="str">
        <f ca="1">IFERROR(__xludf.DUMMYFUNCTION("GOOGLETRANSLATE(A3186, ""zh"", ""en"")"),"The selection of the company's director candidates is based on a variety of diverse indicators, including but not limited to gender, age, culture, education background, industry experience, technical ability, professional qualifications and skills, knowle"&amp;"dge, years of service and other relevant factors.")</f>
        <v>The selection of the company's director candidates is based on a variety of diverse indicators, including but not limited to gender, age, culture, education background, industry experience, technical ability, professional qualifications and skills, knowledge, years of service and other relevant factors.</v>
      </c>
      <c r="B3186" s="1" t="str">
        <f ca="1">IFERROR(__xludf.DUMMYFUNCTION("GOOGLETRANSLATE(A3186, ""zh"", ""en"")"),"Organizational structure and operations")</f>
        <v>Organizational structure and operations</v>
      </c>
      <c r="C3186" s="1" t="str">
        <f ca="1">IFERROR(__xludf.DUMMYFUNCTION("GOOGLETRANSLATE(E3186, ""zh"", ""en"")"),"Qualitative text")</f>
        <v>Qualitative text</v>
      </c>
    </row>
    <row r="3187" spans="1:3" ht="13" x14ac:dyDescent="0.15">
      <c r="A3187" s="1" t="str">
        <f ca="1">IFERROR(__xludf.DUMMYFUNCTION("GOOGLETRANSLATE(A3187, ""zh"", ""en"")"),"The company has been unremittingly strengthening its theoretical innovation capabilities, earnestly studying and implementing Xi Jinping Thought on Socialism with Chinese Characteristics for a New Era, and promoting full coverage of theoretical learning. "&amp;"In 2022, a total of more than 20,000 people participated in the study.")</f>
        <v>The company has been unremittingly strengthening its theoretical innovation capabilities, earnestly studying and implementing Xi Jinping Thought on Socialism with Chinese Characteristics for a New Era, and promoting full coverage of theoretical learning. In 2022, a total of more than 20,000 people participated in the study.</v>
      </c>
      <c r="B3187" s="1" t="str">
        <f ca="1">IFERROR(__xludf.DUMMYFUNCTION("GOOGLETRANSLATE(A3187, ""zh"", ""en"")"),"Technological innovation")</f>
        <v>Technological innovation</v>
      </c>
      <c r="C3187" s="1" t="str">
        <f ca="1">IFERROR(__xludf.DUMMYFUNCTION("GOOGLETRANSLATE(E3187, ""zh"", ""en"")"),"Quantitative Text")</f>
        <v>Quantitative Text</v>
      </c>
    </row>
    <row r="3188" spans="1:3" ht="13" x14ac:dyDescent="0.15">
      <c r="A3188" s="1" t="str">
        <f ca="1">IFERROR(__xludf.DUMMYFUNCTION("GOOGLETRANSLATE(A3188, ""zh"", ""en"")"),"Effectively strengthen the internal and external supervision efforts, focusing on the core business operations, major economic activities and key risk areas of the enterprise, and carry out internal control evaluation special audits and economic responsib"&amp;"ility audits and other audit projects.")</f>
        <v>Effectively strengthen the internal and external supervision efforts, focusing on the core business operations, major economic activities and key risk areas of the enterprise, and carry out internal control evaluation special audits and economic responsibility audits and other audit projects.</v>
      </c>
      <c r="B3188" s="1" t="str">
        <f ca="1">IFERROR(__xludf.DUMMYFUNCTION("GOOGLETRANSLATE(A3188, ""zh"", ""en"")"),"Audit work")</f>
        <v>Audit work</v>
      </c>
      <c r="C3188" s="1" t="str">
        <f ca="1">IFERROR(__xludf.DUMMYFUNCTION("GOOGLETRANSLATE(E3188, ""zh"", ""en"")"),"Qualitative text")</f>
        <v>Qualitative text</v>
      </c>
    </row>
    <row r="3189" spans="1:3" ht="13" x14ac:dyDescent="0.15">
      <c r="A3189" s="1" t="str">
        <f ca="1">IFERROR(__xludf.DUMMYFUNCTION("GOOGLETRANSLATE(A3189, ""zh"", ""en"")"),"Risk Prevention and Control Shanghai Electric Group Co., Ltd. 45 Summary and Review of the Group's System Development and Implementation Since 2018 Analyzing Weak Points in Internal Control and Proposing Next Steps in Development and Improvement Measures")</f>
        <v>Risk Prevention and Control Shanghai Electric Group Co., Ltd. 45 Summary and Review of the Group's System Development and Implementation Since 2018 Analyzing Weak Points in Internal Control and Proposing Next Steps in Development and Improvement Measures</v>
      </c>
      <c r="B3189" s="1" t="str">
        <f ca="1">IFERROR(__xludf.DUMMYFUNCTION("GOOGLETRANSLATE(A3189, ""zh"", ""en"")"),"Legal proceedings and external sanctions")</f>
        <v>Legal proceedings and external sanctions</v>
      </c>
      <c r="C3189" s="1" t="str">
        <f ca="1">IFERROR(__xludf.DUMMYFUNCTION("GOOGLETRANSLATE(E3189, ""zh"", ""en"")"),"Qualitative text")</f>
        <v>Qualitative text</v>
      </c>
    </row>
    <row r="3190" spans="1:3" ht="13" x14ac:dyDescent="0.15">
      <c r="A3190" s="1" t="str">
        <f ca="1">IFERROR(__xludf.DUMMYFUNCTION("GOOGLETRANSLATE(A3190, ""zh"", ""en"")"),"The company focuses on different positions and key capabilities to build a full-process and multi-dimensional employee training mechanism for all employees, providing employees with diverse learning content to help the company's talent development and ech"&amp;"elon building.")</f>
        <v>The company focuses on different positions and key capabilities to build a full-process and multi-dimensional employee training mechanism for all employees, providing employees with diverse learning content to help the company's talent development and echelon building.</v>
      </c>
      <c r="B3190" s="1" t="str">
        <f ca="1">IFERROR(__xludf.DUMMYFUNCTION("GOOGLETRANSLATE(A3190, ""zh"", ""en"")"),"staff")</f>
        <v>staff</v>
      </c>
      <c r="C3190" s="1" t="str">
        <f ca="1">IFERROR(__xludf.DUMMYFUNCTION("GOOGLETRANSLATE(E3190, ""zh"", ""en"")"),"Qualitative text")</f>
        <v>Qualitative text</v>
      </c>
    </row>
    <row r="3191" spans="1:3" ht="13" x14ac:dyDescent="0.15">
      <c r="A3191" s="1" t="str">
        <f ca="1">IFERROR(__xludf.DUMMYFUNCTION("GOOGLETRANSLATE(A3191, ""zh"", ""en"")"),"At the same time, the company's labor union held a variety of online activities, including a classical dance and women's cultivation photography exhibition. More than 10,000 female employees participated in the activities, which improved their sense of ha"&amp;"ppiness in work and life.")</f>
        <v>At the same time, the company's labor union held a variety of online activities, including a classical dance and women's cultivation photography exhibition. More than 10,000 female employees participated in the activities, which improved their sense of happiness in work and life.</v>
      </c>
      <c r="B3191" s="1" t="str">
        <f ca="1">IFERROR(__xludf.DUMMYFUNCTION("GOOGLETRANSLATE(A3191, ""zh"", ""en"")"),"staff")</f>
        <v>staff</v>
      </c>
      <c r="C3191" s="1" t="str">
        <f ca="1">IFERROR(__xludf.DUMMYFUNCTION("GOOGLETRANSLATE(E3191, ""zh"", ""en"")"),"Quantitative Text")</f>
        <v>Quantitative Text</v>
      </c>
    </row>
    <row r="3192" spans="1:3" ht="13" x14ac:dyDescent="0.15">
      <c r="A3192" s="1" t="str">
        <f ca="1">IFERROR(__xludf.DUMMYFUNCTION("GOOGLETRANSLATE(A3192, ""zh"", ""en"")"),"On the basis of strengthening the closed-loop tracking management of environmental protection rectification at all levels, we successfully completed the Shanghai Electric Group's three-year environmental protection action plan during the reporting period "&amp;"in conjunction with the annual environmental protection work plan.")</f>
        <v>On the basis of strengthening the closed-loop tracking management of environmental protection rectification at all levels, we successfully completed the Shanghai Electric Group's three-year environmental protection action plan during the reporting period in conjunction with the annual environmental protection work plan.</v>
      </c>
      <c r="B3192" s="1" t="str">
        <f ca="1">IFERROR(__xludf.DUMMYFUNCTION("GOOGLETRANSLATE(A3192, ""zh"", ""en"")"),"Environmental Policy")</f>
        <v>Environmental Policy</v>
      </c>
      <c r="C3192" s="1" t="str">
        <f ca="1">IFERROR(__xludf.DUMMYFUNCTION("GOOGLETRANSLATE(E3192, ""zh"", ""en"")"),"Qualitative text")</f>
        <v>Qualitative text</v>
      </c>
    </row>
    <row r="3193" spans="1:3" ht="13" x14ac:dyDescent="0.15">
      <c r="A3193" s="1" t="str">
        <f ca="1">IFERROR(__xludf.DUMMYFUNCTION("GOOGLETRANSLATE(A3193, ""zh"", ""en"")"),"In 2022, the company carried out 33 key training projects, trained 5,732 employees, and Sinopec Online Academy trained a total of 6,375,520 people, with a total learning time of more than 60 million hours.")</f>
        <v>In 2022, the company carried out 33 key training projects, trained 5,732 employees, and Sinopec Online Academy trained a total of 6,375,520 people, with a total learning time of more than 60 million hours.</v>
      </c>
      <c r="B3193" s="1" t="str">
        <f ca="1">IFERROR(__xludf.DUMMYFUNCTION("GOOGLETRANSLATE(A3193, ""zh"", ""en"")"),"staff")</f>
        <v>staff</v>
      </c>
      <c r="C3193" s="1" t="str">
        <f ca="1">IFERROR(__xludf.DUMMYFUNCTION("GOOGLETRANSLATE(E3193, ""zh"", ""en"")"),"Quantitative Text")</f>
        <v>Quantitative Text</v>
      </c>
    </row>
    <row r="3194" spans="1:3" ht="13" x14ac:dyDescent="0.15">
      <c r="A3194" s="1" t="str">
        <f ca="1">IFERROR(__xludf.DUMMYFUNCTION("GOOGLETRANSLATE(A3194, ""zh"", ""en"")"),"Secondly, we developed and launched a consumer protection review system to achieve full coverage of system functions in all branches of the bank, providing a basic platform for the full process control of consumer protection review across the bank, and im"&amp;"proving the level of professionalism and digitalization of review.")</f>
        <v>Secondly, we developed and launched a consumer protection review system to achieve full coverage of system functions in all branches of the bank, providing a basic platform for the full process control of consumer protection review across the bank, and improving the level of professionalism and digitalization of review.</v>
      </c>
      <c r="B3194" s="1" t="str">
        <f ca="1">IFERROR(__xludf.DUMMYFUNCTION("GOOGLETRANSLATE(A3194, ""zh"", ""en"")"),"Customers and Consumers")</f>
        <v>Customers and Consumers</v>
      </c>
      <c r="C3194" s="1" t="str">
        <f ca="1">IFERROR(__xludf.DUMMYFUNCTION("GOOGLETRANSLATE(E3194, ""zh"", ""en"")"),"Qualitative text")</f>
        <v>Qualitative text</v>
      </c>
    </row>
    <row r="3195" spans="1:3" ht="13" x14ac:dyDescent="0.15">
      <c r="A3195" s="1" t="str">
        <f ca="1">IFERROR(__xludf.DUMMYFUNCTION("GOOGLETRANSLATE(A3195, ""zh"", ""en"")"),"Establish annual leave, family leave, marriage and funeral leave, maternity leave, breastfeeding leave, sick leave, and work injury leave, and optimize and adjust the types of leave, extend maternity leave, paternity leave for male employees, parental lea"&amp;"ve for couples, and other systems and policies to fully protect employees' rights to rest and leave.")</f>
        <v>Establish annual leave, family leave, marriage and funeral leave, maternity leave, breastfeeding leave, sick leave, and work injury leave, and optimize and adjust the types of leave, extend maternity leave, paternity leave for male employees, parental leave for couples, and other systems and policies to fully protect employees' rights to rest and leave.</v>
      </c>
      <c r="B3195" s="1" t="str">
        <f ca="1">IFERROR(__xludf.DUMMYFUNCTION("GOOGLETRANSLATE(A3195, ""zh"", ""en"")"),"staff")</f>
        <v>staff</v>
      </c>
      <c r="C3195" s="1" t="str">
        <f ca="1">IFERROR(__xludf.DUMMYFUNCTION("GOOGLETRANSLATE(E3195, ""zh"", ""en"")"),"Qualitative text")</f>
        <v>Qualitative text</v>
      </c>
    </row>
    <row r="3196" spans="1:3" ht="13" x14ac:dyDescent="0.15">
      <c r="A3196" s="1" t="str">
        <f ca="1">IFERROR(__xludf.DUMMYFUNCTION("GOOGLETRANSLATE(A3196, ""zh"", ""en"")"),"Smooth career development channels for employees, build a concise and clear job title system, establish a dual-channel management job sequence and a professional and technical job sequence. All employees can achieve career development within or across cha"&amp;"nnels.")</f>
        <v>Smooth career development channels for employees, build a concise and clear job title system, establish a dual-channel management job sequence and a professional and technical job sequence. All employees can achieve career development within or across channels.</v>
      </c>
      <c r="B3196" s="1" t="str">
        <f ca="1">IFERROR(__xludf.DUMMYFUNCTION("GOOGLETRANSLATE(A3196, ""zh"", ""en"")"),"staff")</f>
        <v>staff</v>
      </c>
      <c r="C3196" s="1" t="str">
        <f ca="1">IFERROR(__xludf.DUMMYFUNCTION("GOOGLETRANSLATE(E3196, ""zh"", ""en"")"),"Qualitative text")</f>
        <v>Qualitative text</v>
      </c>
    </row>
    <row r="3197" spans="1:3" ht="13" x14ac:dyDescent="0.15">
      <c r="A3197" s="1" t="str">
        <f ca="1">IFERROR(__xludf.DUMMYFUNCTION("GOOGLETRANSLATE(A3197, ""zh"", ""en"")"),"88 Procurement Contract Fulfillment Rate The procurement contract fulfillment rate disclosed in China Construction Bank's Social Responsibility Report refers to the fulfillment rate of contracts signed by China Construction Bank's head office as of the en"&amp;"d of the reporting period, with no contract terminations.")</f>
        <v>88 Procurement Contract Fulfillment Rate The procurement contract fulfillment rate disclosed in China Construction Bank's Social Responsibility Report refers to the fulfillment rate of contracts signed by China Construction Bank's head office as of the end of the reporting period, with no contract terminations.</v>
      </c>
      <c r="B3197" s="1" t="str">
        <f ca="1">IFERROR(__xludf.DUMMYFUNCTION("GOOGLETRANSLATE(A3197, ""zh"", ""en"")"),"supply chain management")</f>
        <v>supply chain management</v>
      </c>
      <c r="C3197" s="1" t="str">
        <f ca="1">IFERROR(__xludf.DUMMYFUNCTION("GOOGLETRANSLATE(E3197, ""zh"", ""en"")"),"Quantitative Text")</f>
        <v>Quantitative Text</v>
      </c>
    </row>
    <row r="3198" spans="1:3" ht="13" x14ac:dyDescent="0.15">
      <c r="A3198" s="1" t="str">
        <f ca="1">IFERROR(__xludf.DUMMYFUNCTION("GOOGLETRANSLATE(A3198, ""zh"", ""en"")"),"The company adheres to the environmental policy of energy conservation, emission reduction, clean and efficient operation, full participation of all employees and harmonious ecology. It provides environmental awareness training to all employees every quar"&amp;"ter and formulates green manufacturing and energy-saving management system covering all sites and processes.")</f>
        <v>The company adheres to the environmental policy of energy conservation, emission reduction, clean and efficient operation, full participation of all employees and harmonious ecology. It provides environmental awareness training to all employees every quarter and formulates green manufacturing and energy-saving management system covering all sites and processes.</v>
      </c>
      <c r="B3198" s="1" t="str">
        <f ca="1">IFERROR(__xludf.DUMMYFUNCTION("GOOGLETRANSLATE(A3198, ""zh"", ""en"")"),"Energy and resource consumption")</f>
        <v>Energy and resource consumption</v>
      </c>
      <c r="C3198" s="1" t="str">
        <f ca="1">IFERROR(__xludf.DUMMYFUNCTION("GOOGLETRANSLATE(E3198, ""zh"", ""en"")"),"Qualitative text")</f>
        <v>Qualitative text</v>
      </c>
    </row>
    <row r="3199" spans="1:3" ht="13" x14ac:dyDescent="0.15">
      <c r="A3199" s="1" t="str">
        <f ca="1">IFERROR(__xludf.DUMMYFUNCTION("GOOGLETRANSLATE(A3199, ""zh"", ""en"")"),"So far, we have discovered a total of foreign APT organizations such as CIA, Ocean Lotus, Mahacaudus, and Mermaid. With the ability to see the threat of network attacks, we strictly guard the country's first line of network security defense and comprehens"&amp;"ively protect the security of cyberspace.")</f>
        <v>So far, we have discovered a total of foreign APT organizations such as CIA, Ocean Lotus, Mahacaudus, and Mermaid. With the ability to see the threat of network attacks, we strictly guard the country's first line of network security defense and comprehensively protect the security of cyberspace.</v>
      </c>
      <c r="B3199" s="1" t="str">
        <f ca="1">IFERROR(__xludf.DUMMYFUNCTION("GOOGLETRANSLATE(A3199, ""zh"", ""en"")"),"Data security")</f>
        <v>Data security</v>
      </c>
      <c r="C3199" s="1" t="str">
        <f ca="1">IFERROR(__xludf.DUMMYFUNCTION("GOOGLETRANSLATE(E3199, ""zh"", ""en"")"),"Qualitative text")</f>
        <v>Qualitative text</v>
      </c>
    </row>
    <row r="3200" spans="1:3" ht="13" x14ac:dyDescent="0.15">
      <c r="A3200" s="1" t="str">
        <f ca="1">IFERROR(__xludf.DUMMYFUNCTION("GOOGLETRANSLATE(A3200, ""zh"", ""en"")"),"Strengthen Party building, deepen the implementation of the first-topic study system, and solidly promote the study, understanding, and implementation of Xi Jinping Thought on Socialism with Chinese Characteristics for a New Era and the important instruct"&amp;"ions and instructions of General Secretary Xi Jinping.")</f>
        <v>Strengthen Party building, deepen the implementation of the first-topic study system, and solidly promote the study, understanding, and implementation of Xi Jinping Thought on Socialism with Chinese Characteristics for a New Era and the important instructions and instructions of General Secretary Xi Jinping.</v>
      </c>
      <c r="B3200" s="1" t="str">
        <f ca="1">IFERROR(__xludf.DUMMYFUNCTION("GOOGLETRANSLATE(A3200, ""zh"", ""en"")"),"Organizational structure and operations")</f>
        <v>Organizational structure and operations</v>
      </c>
      <c r="C3200" s="1" t="str">
        <f ca="1">IFERROR(__xludf.DUMMYFUNCTION("GOOGLETRANSLATE(E3200, ""zh"", ""en"")"),"Qualitative text")</f>
        <v>Qualitative text</v>
      </c>
    </row>
    <row r="3201" spans="1:3" ht="13" x14ac:dyDescent="0.15">
      <c r="A3201" s="1" t="str">
        <f ca="1">IFERROR(__xludf.DUMMYFUNCTION("GOOGLETRANSLATE(A3201, ""zh"", ""en"")"),"Responsible supply chain user satisfaction believes that high-quality customer service can not only bring users an excellent user experience, but also enhance user stickiness and loyalty to promote the company's sustainable development in the market.")</f>
        <v>Responsible supply chain user satisfaction believes that high-quality customer service can not only bring users an excellent user experience, but also enhance user stickiness and loyalty to promote the company's sustainable development in the market.</v>
      </c>
      <c r="B3201" s="1" t="str">
        <f ca="1">IFERROR(__xludf.DUMMYFUNCTION("GOOGLETRANSLATE(A3201, ""zh"", ""en"")"),"Customers and Consumers")</f>
        <v>Customers and Consumers</v>
      </c>
      <c r="C3201" s="1" t="str">
        <f ca="1">IFERROR(__xludf.DUMMYFUNCTION("GOOGLETRANSLATE(E3201, ""zh"", ""en"")"),"Qualitative text")</f>
        <v>Qualitative text</v>
      </c>
    </row>
    <row r="3202" spans="1:3" ht="13" x14ac:dyDescent="0.15">
      <c r="A3202" s="1" t="str">
        <f ca="1">IFERROR(__xludf.DUMMYFUNCTION("GOOGLETRANSLATE(A3202, ""zh"", ""en"")"),"3. Environmental Protection: Practice Green Concept 1. Environmental Protection: The rapid development of the company is also inseparable from the development and support of the society. The company has always strived to fulfill its social responsibility "&amp;"while producing and operating.")</f>
        <v>3. Environmental Protection: Practice Green Concept 1. Environmental Protection: The rapid development of the company is also inseparable from the development and support of the society. The company has always strived to fulfill its social responsibility while producing and operating.</v>
      </c>
      <c r="B3202" s="1" t="str">
        <f ca="1">IFERROR(__xludf.DUMMYFUNCTION("GOOGLETRANSLATE(A3202, ""zh"", ""en"")"),"Environmental Policy")</f>
        <v>Environmental Policy</v>
      </c>
      <c r="C3202" s="1" t="str">
        <f ca="1">IFERROR(__xludf.DUMMYFUNCTION("GOOGLETRANSLATE(E3202, ""zh"", ""en"")"),"Qualitative text")</f>
        <v>Qualitative text</v>
      </c>
    </row>
    <row r="3203" spans="1:3" ht="13" x14ac:dyDescent="0.15">
      <c r="A3203" s="1" t="str">
        <f ca="1">IFERROR(__xludf.DUMMYFUNCTION("GOOGLETRANSLATE(A3203, ""zh"", ""en"")"),"Innovative technologies such as ULEDX have become the key to Hisense Visual's continuous breakthroughs in the global high-end market, effectively boosting Hisense Datou's steady progress in its overseas globalization strategy and overall scale growth.")</f>
        <v>Innovative technologies such as ULEDX have become the key to Hisense Visual's continuous breakthroughs in the global high-end market, effectively boosting Hisense Datou's steady progress in its overseas globalization strategy and overall scale growth.</v>
      </c>
      <c r="B3203" s="1" t="str">
        <f ca="1">IFERROR(__xludf.DUMMYFUNCTION("GOOGLETRANSLATE(A3203, ""zh"", ""en"")"),"Technological innovation")</f>
        <v>Technological innovation</v>
      </c>
      <c r="C3203" s="1" t="str">
        <f ca="1">IFERROR(__xludf.DUMMYFUNCTION("GOOGLETRANSLATE(E3203, ""zh"", ""en"")"),"Qualitative text")</f>
        <v>Qualitative text</v>
      </c>
    </row>
    <row r="3204" spans="1:3" ht="13" x14ac:dyDescent="0.15">
      <c r="A3204" s="1" t="str">
        <f ca="1">IFERROR(__xludf.DUMMYFUNCTION("GOOGLETRANSLATE(A3204, ""zh"", ""en"")"),"The company has a gym, a decompression room, a physiotherapy room, etc. It also regularly conducts expert lectures on active emotional adjustment and mental health to effectively relieve HisenseTosHIBA's psychological anxiety.")</f>
        <v>The company has a gym, a decompression room, a physiotherapy room, etc. It also regularly conducts expert lectures on active emotional adjustment and mental health to effectively relieve HisenseTosHIBA's psychological anxiety.</v>
      </c>
      <c r="B3204" s="1" t="str">
        <f ca="1">IFERROR(__xludf.DUMMYFUNCTION("GOOGLETRANSLATE(A3204, ""zh"", ""en"")"),"staff")</f>
        <v>staff</v>
      </c>
      <c r="C3204" s="1" t="str">
        <f ca="1">IFERROR(__xludf.DUMMYFUNCTION("GOOGLETRANSLATE(E3204, ""zh"", ""en"")"),"Qualitative text")</f>
        <v>Qualitative text</v>
      </c>
    </row>
    <row r="3205" spans="1:3" ht="13" x14ac:dyDescent="0.15">
      <c r="A3205" s="1" t="str">
        <f ca="1">IFERROR(__xludf.DUMMYFUNCTION("GOOGLETRANSLATE(A3205, ""zh"", ""en"")"),"Strategic and market risk tolerance Financial risk tolerance Operational risk tolerance Legal risk tolerance 1234 Ensure that the company's overall risk loss does not exceed 10% of the audited net assets of the previous year")</f>
        <v>Strategic and market risk tolerance Financial risk tolerance Operational risk tolerance Legal risk tolerance 1234 Ensure that the company's overall risk loss does not exceed 10% of the audited net assets of the previous year</v>
      </c>
      <c r="B3205" s="1" t="str">
        <f ca="1">IFERROR(__xludf.DUMMYFUNCTION("GOOGLETRANSLATE(A3205, ""zh"", ""en"")"),"Audit work")</f>
        <v>Audit work</v>
      </c>
      <c r="C3205" s="1" t="str">
        <f ca="1">IFERROR(__xludf.DUMMYFUNCTION("GOOGLETRANSLATE(E3205, ""zh"", ""en"")"),"Quantitative Text")</f>
        <v>Quantitative Text</v>
      </c>
    </row>
    <row r="3206" spans="1:3" ht="13" x14ac:dyDescent="0.15">
      <c r="A3206" s="1" t="str">
        <f ca="1">IFERROR(__xludf.DUMMYFUNCTION("GOOGLETRANSLATE(A3206, ""zh"", ""en"")"),"Formulate and issue implementation opinions on further improving the professional and technical post sequence system and regulations on the management and selection of high-level experts to form a 23-system system for the reform of the professional and te"&amp;"chnical post sequence for scientific researchers")</f>
        <v>Formulate and issue implementation opinions on further improving the professional and technical post sequence system and regulations on the management and selection of high-level experts to form a 23-system system for the reform of the professional and technical post sequence for scientific researchers</v>
      </c>
      <c r="B3206" s="1" t="str">
        <f ca="1">IFERROR(__xludf.DUMMYFUNCTION("GOOGLETRANSLATE(A3206, ""zh"", ""en"")"),"Organizational structure and operations")</f>
        <v>Organizational structure and operations</v>
      </c>
      <c r="C3206" s="1" t="str">
        <f ca="1">IFERROR(__xludf.DUMMYFUNCTION("GOOGLETRANSLATE(E3206, ""zh"", ""en"")"),"Qualitative text")</f>
        <v>Qualitative text</v>
      </c>
    </row>
    <row r="3207" spans="1:3" ht="13" x14ac:dyDescent="0.15">
      <c r="A3207" s="1" t="str">
        <f ca="1">IFERROR(__xludf.DUMMYFUNCTION("GOOGLETRANSLATE(A3207, ""zh"", ""en"")"),"In terms of the fund management system, the system launch and acceptance were completed, and the configuration and application of functions such as bill guarantees, letters of guarantee, bond issuance, and letters of credit were realized. The connection b"&amp;"etween the listed fund pool of 9 banks and the non-listed fund pool of 2 banks was completed.")</f>
        <v>In terms of the fund management system, the system launch and acceptance were completed, and the configuration and application of functions such as bill guarantees, letters of guarantee, bond issuance, and letters of credit were realized. The connection between the listed fund pool of 9 banks and the non-listed fund pool of 2 banks was completed.</v>
      </c>
      <c r="B3207" s="1" t="str">
        <f ca="1">IFERROR(__xludf.DUMMYFUNCTION("GOOGLETRANSLATE(A3207, ""zh"", ""en"")"),"Technological innovation")</f>
        <v>Technological innovation</v>
      </c>
      <c r="C3207" s="1" t="str">
        <f ca="1">IFERROR(__xludf.DUMMYFUNCTION("GOOGLETRANSLATE(E3207, ""zh"", ""en"")"),"Quantitative Text")</f>
        <v>Quantitative Text</v>
      </c>
    </row>
    <row r="3208" spans="1:3" ht="13" x14ac:dyDescent="0.15">
      <c r="A3208" s="1" t="str">
        <f ca="1">IFERROR(__xludf.DUMMYFUNCTION("GOOGLETRANSLATE(A3208, ""zh"", ""en"")"),"The company has set up a customer service quality complaint hotline. The subsidiaries will post the company's customer service quality complaint hotline and the unit's complaint hotline in the business hall and set up a suggestion box in a conspicuous pla"&amp;"ce in the business hall.")</f>
        <v>The company has set up a customer service quality complaint hotline. The subsidiaries will post the company's customer service quality complaint hotline and the unit's complaint hotline in the business hall and set up a suggestion box in a conspicuous place in the business hall.</v>
      </c>
      <c r="B3208" s="1" t="str">
        <f ca="1">IFERROR(__xludf.DUMMYFUNCTION("GOOGLETRANSLATE(A3208, ""zh"", ""en"")"),"Customers and Consumers")</f>
        <v>Customers and Consumers</v>
      </c>
      <c r="C3208" s="1" t="str">
        <f ca="1">IFERROR(__xludf.DUMMYFUNCTION("GOOGLETRANSLATE(E3208, ""zh"", ""en"")"),"Qualitative text")</f>
        <v>Qualitative text</v>
      </c>
    </row>
    <row r="3209" spans="1:3" ht="13" x14ac:dyDescent="0.15">
      <c r="A3209" s="1" t="str">
        <f ca="1">IFERROR(__xludf.DUMMYFUNCTION("GOOGLETRANSLATE(A3209, ""zh"", ""en"")"),"Participate in environmental volunteer services. In 2022, the company's Blue Power Youth Volunteer Service Team will further implement the concept of ecological civilization, bravely take the lead in protecting the environment and build a clean and beauti"&amp;"ful world.")</f>
        <v>Participate in environmental volunteer services. In 2022, the company's Blue Power Youth Volunteer Service Team will further implement the concept of ecological civilization, bravely take the lead in protecting the environment and build a clean and beautiful world.</v>
      </c>
      <c r="B3209" s="1" t="str">
        <f ca="1">IFERROR(__xludf.DUMMYFUNCTION("GOOGLETRANSLATE(A3209, ""zh"", ""en"")"),"Public welfare and volunteer service")</f>
        <v>Public welfare and volunteer service</v>
      </c>
      <c r="C3209" s="1" t="str">
        <f ca="1">IFERROR(__xludf.DUMMYFUNCTION("GOOGLETRANSLATE(E3209, ""zh"", ""en"")"),"Qualitative text")</f>
        <v>Qualitative text</v>
      </c>
    </row>
    <row r="3210" spans="1:3" ht="13" x14ac:dyDescent="0.15">
      <c r="A3210" s="1" t="str">
        <f ca="1">IFERROR(__xludf.DUMMYFUNCTION("GOOGLETRANSLATE(A3210, ""zh"", ""en"")"),"In the past few years, local suppliers and contractors have gradually expanded from participating in relatively small-scale service supplies such as logistics and stationery supply to participating in small-scale projects and actively participated in subc"&amp;"ontracting work for large contractors.")</f>
        <v>In the past few years, local suppliers and contractors have gradually expanded from participating in relatively small-scale service supplies such as logistics and stationery supply to participating in small-scale projects and actively participated in subcontracting work for large contractors.</v>
      </c>
      <c r="B3210" s="1" t="str">
        <f ca="1">IFERROR(__xludf.DUMMYFUNCTION("GOOGLETRANSLATE(A3210, ""zh"", ""en"")"),"supply chain management")</f>
        <v>supply chain management</v>
      </c>
      <c r="C3210" s="1" t="str">
        <f ca="1">IFERROR(__xludf.DUMMYFUNCTION("GOOGLETRANSLATE(E3210, ""zh"", ""en"")"),"Qualitative text")</f>
        <v>Qualitative text</v>
      </c>
    </row>
    <row r="3211" spans="1:3" ht="13" x14ac:dyDescent="0.15">
      <c r="A3211" s="1" t="str">
        <f ca="1">IFERROR(__xludf.DUMMYFUNCTION("GOOGLETRANSLATE(A3211, ""zh"", ""en"")"),"The ""Send Beaver Baby Home"" project was launched in Qinghe County, Xinjiang, to organically integrate popular science education, ecological environment protection, endangered animal protection, and increased income for farmers and herdsmen, and to explo"&amp;"re the establishment of a demonstration base for harmonious coexistence between man and nature.")</f>
        <v>The "Send Beaver Baby Home" project was launched in Qinghe County, Xinjiang, to organically integrate popular science education, ecological environment protection, endangered animal protection, and increased income for farmers and herdsmen, and to explore the establishment of a demonstration base for harmonious coexistence between man and nature.</v>
      </c>
      <c r="B3211" s="1" t="str">
        <f ca="1">IFERROR(__xludf.DUMMYFUNCTION("GOOGLETRANSLATE(A3211, ""zh"", ""en"")"),"biodiversity")</f>
        <v>biodiversity</v>
      </c>
      <c r="C3211" s="1" t="str">
        <f ca="1">IFERROR(__xludf.DUMMYFUNCTION("GOOGLETRANSLATE(E3211, ""zh"", ""en"")"),"Qualitative text")</f>
        <v>Qualitative text</v>
      </c>
    </row>
    <row r="3212" spans="1:3" ht="13" x14ac:dyDescent="0.15">
      <c r="A3212" s="1" t="str">
        <f ca="1">IFERROR(__xludf.DUMMYFUNCTION("GOOGLETRANSLATE(A3212, ""zh"", ""en"")"),"In 2022, a large number of new non-site law enforcement and overload control systems with independent intellectual property rights of Zhongchu Hengke were installed, contributing to the management of freight overload, road bridge protection, railway trans"&amp;"portation safety, etc. in many regions across the country.")</f>
        <v>In 2022, a large number of new non-site law enforcement and overload control systems with independent intellectual property rights of Zhongchu Hengke were installed, contributing to the management of freight overload, road bridge protection, railway transportation safety, etc. in many regions across the country.</v>
      </c>
      <c r="B3212" s="1" t="str">
        <f ca="1">IFERROR(__xludf.DUMMYFUNCTION("GOOGLETRANSLATE(A3212, ""zh"", ""en"")"),"Intellectual Property Protection")</f>
        <v>Intellectual Property Protection</v>
      </c>
      <c r="C3212" s="1" t="str">
        <f ca="1">IFERROR(__xludf.DUMMYFUNCTION("GOOGLETRANSLATE(E3212, ""zh"", ""en"")"),"Qualitative text")</f>
        <v>Qualitative text</v>
      </c>
    </row>
    <row r="3213" spans="1:3" ht="13" x14ac:dyDescent="0.15">
      <c r="A3213" s="1" t="str">
        <f ca="1">IFERROR(__xludf.DUMMYFUNCTION("GOOGLETRANSLATE(A3213, ""zh"", ""en"")"),"Conduct procurement bidding for bulk production materials; strictly implement the price comparison system for non-production materials; pay attention to market conditions; conduct market price surveys from time to time or introduce new suppliers to reduce"&amp;" the risk of inflated prices;")</f>
        <v>Conduct procurement bidding for bulk production materials; strictly implement the price comparison system for non-production materials; pay attention to market conditions; conduct market price surveys from time to time or introduce new suppliers to reduce the risk of inflated prices;</v>
      </c>
      <c r="B3213" s="1" t="str">
        <f ca="1">IFERROR(__xludf.DUMMYFUNCTION("GOOGLETRANSLATE(A3213, ""zh"", ""en"")"),"supply chain management")</f>
        <v>supply chain management</v>
      </c>
      <c r="C3213" s="1" t="str">
        <f ca="1">IFERROR(__xludf.DUMMYFUNCTION("GOOGLETRANSLATE(E3213, ""zh"", ""en"")"),"Qualitative text")</f>
        <v>Qualitative text</v>
      </c>
    </row>
    <row r="3214" spans="1:3" ht="13" x14ac:dyDescent="0.15">
      <c r="A3214" s="1" t="str">
        <f ca="1">IFERROR(__xludf.DUMMYFUNCTION("GOOGLETRANSLATE(A3214, ""zh"", ""en"")"),"The company has formulated and continuously improved relevant systems such as engineering construction project management regulations, material supply management regulations, bidding management regulations, and supporting implementation methods and standa"&amp;"rds to strengthen compliance management of suppliers.")</f>
        <v>The company has formulated and continuously improved relevant systems such as engineering construction project management regulations, material supply management regulations, bidding management regulations, and supporting implementation methods and standards to strengthen compliance management of suppliers.</v>
      </c>
      <c r="B3214" s="1" t="str">
        <f ca="1">IFERROR(__xludf.DUMMYFUNCTION("GOOGLETRANSLATE(A3214, ""zh"", ""en"")"),"supply chain management")</f>
        <v>supply chain management</v>
      </c>
      <c r="C3214" s="1" t="str">
        <f ca="1">IFERROR(__xludf.DUMMYFUNCTION("GOOGLETRANSLATE(E3214, ""zh"", ""en"")"),"Qualitative text")</f>
        <v>Qualitative text</v>
      </c>
    </row>
    <row r="3215" spans="1:3" ht="13" x14ac:dyDescent="0.15">
      <c r="A3215" s="1" t="str">
        <f ca="1">IFERROR(__xludf.DUMMYFUNCTION("GOOGLETRANSLATE(A3215, ""zh"", ""en"")"),"In 2023, the domestic and international macroeconomic situation will be more complex, volatile, unstable, uncertain and unpredictable. Development opportunities and risks and challenges will coexist, but the pace of comprehensive and profound transformati"&amp;"on of the energy industry will not stop.")</f>
        <v>In 2023, the domestic and international macroeconomic situation will be more complex, volatile, unstable, uncertain and unpredictable. Development opportunities and risks and challenges will coexist, but the pace of comprehensive and profound transformation of the energy industry will not stop.</v>
      </c>
      <c r="B3215" s="1" t="str">
        <f ca="1">IFERROR(__xludf.DUMMYFUNCTION("GOOGLETRANSLATE(A3215, ""zh"", ""en"")"),"Energy and resource consumption")</f>
        <v>Energy and resource consumption</v>
      </c>
      <c r="C3215" s="1" t="str">
        <f ca="1">IFERROR(__xludf.DUMMYFUNCTION("GOOGLETRANSLATE(E3215, ""zh"", ""en"")"),"Qualitative text")</f>
        <v>Qualitative text</v>
      </c>
    </row>
    <row r="3216" spans="1:3" ht="13" x14ac:dyDescent="0.15">
      <c r="A3216" s="1" t="str">
        <f ca="1">IFERROR(__xludf.DUMMYFUNCTION("GOOGLETRANSLATE(A3216, ""zh"", ""en"")"),"P38 Anti-Corruption 10. Enterprises should oppose all forms of corruption, including extortion and bribery, build anti-fraud systems to prevent commercial corruption and bribery, control overseas corruption and fraud, and conduct anti-fraud education.")</f>
        <v>P38 Anti-Corruption 10. Enterprises should oppose all forms of corruption, including extortion and bribery, build anti-fraud systems to prevent commercial corruption and bribery, control overseas corruption and fraud, and conduct anti-fraud education.</v>
      </c>
      <c r="B3216" s="1" t="str">
        <f ca="1">IFERROR(__xludf.DUMMYFUNCTION("GOOGLETRANSLATE(A3216, ""zh"", ""en"")"),"Anti-corruption and anti-money laundering")</f>
        <v>Anti-corruption and anti-money laundering</v>
      </c>
      <c r="C3216" s="1" t="str">
        <f ca="1">IFERROR(__xludf.DUMMYFUNCTION("GOOGLETRANSLATE(E3216, ""zh"", ""en"")"),"Qualitative text")</f>
        <v>Qualitative text</v>
      </c>
    </row>
    <row r="3217" spans="1:3" ht="13" x14ac:dyDescent="0.15">
      <c r="A3217" s="1" t="str">
        <f ca="1">IFERROR(__xludf.DUMMYFUNCTION("GOOGLETRANSLATE(A3217, ""zh"", ""en"")"),"Party building guides the company's board of directors to fully play its role in setting strategies, making decisions and preventing risks, continuously improves the corporate governance structure, enhances the ability to make independent business decisio"&amp;"ns, effectively stimulates endogenous motivation and vitality, and promotes high-quality development of the company.")</f>
        <v>Party building guides the company's board of directors to fully play its role in setting strategies, making decisions and preventing risks, continuously improves the corporate governance structure, enhances the ability to make independent business decisions, effectively stimulates endogenous motivation and vitality, and promotes high-quality development of the company.</v>
      </c>
      <c r="B3217" s="1" t="str">
        <f ca="1">IFERROR(__xludf.DUMMYFUNCTION("GOOGLETRANSLATE(A3217, ""zh"", ""en"")"),"Organizational structure and operations")</f>
        <v>Organizational structure and operations</v>
      </c>
      <c r="C3217" s="1" t="str">
        <f ca="1">IFERROR(__xludf.DUMMYFUNCTION("GOOGLETRANSLATE(E3217, ""zh"", ""en"")"),"Qualitative text")</f>
        <v>Qualitative text</v>
      </c>
    </row>
    <row r="3218" spans="1:3" ht="13" x14ac:dyDescent="0.15">
      <c r="A3218" s="1" t="str">
        <f ca="1">IFERROR(__xludf.DUMMYFUNCTION("GOOGLETRANSLATE(A3218, ""zh"", ""en"")"),"This project is not only a breakthrough for listed companies in Xiushui County, Jiangxi Province, but also a new breakthrough for Essence Securities in serving rural revitalization through capital market financing, providing strong support for the economi"&amp;"c development of old revolutionary base areas and rural revitalization.")</f>
        <v>This project is not only a breakthrough for listed companies in Xiushui County, Jiangxi Province, but also a new breakthrough for Essence Securities in serving rural revitalization through capital market financing, providing strong support for the economic development of old revolutionary base areas and rural revitalization.</v>
      </c>
      <c r="B3218" s="1" t="str">
        <f ca="1">IFERROR(__xludf.DUMMYFUNCTION("GOOGLETRANSLATE(A3218, ""zh"", ""en"")"),"Rural assistance")</f>
        <v>Rural assistance</v>
      </c>
      <c r="C3218" s="1" t="str">
        <f ca="1">IFERROR(__xludf.DUMMYFUNCTION("GOOGLETRANSLATE(E3218, ""zh"", ""en"")"),"Qualitative text")</f>
        <v>Qualitative text</v>
      </c>
    </row>
    <row r="3219" spans="1:3" ht="13" x14ac:dyDescent="0.15">
      <c r="A3219" s="1" t="str">
        <f ca="1">IFERROR(__xludf.DUMMYFUNCTION("GOOGLETRANSLATE(A3219, ""zh"", ""en"")"),"In terms of upgrading the online service platform of China Storage, in order to meet the online warehousing service needs of customers, the system has been seamlessly connected with the steel plastic storage management system. Customers can handle online "&amp;"services such as warehousing, outbound transfer, inventory query, etc.")</f>
        <v>In terms of upgrading the online service platform of China Storage, in order to meet the online warehousing service needs of customers, the system has been seamlessly connected with the steel plastic storage management system. Customers can handle online services such as warehousing, outbound transfer, inventory query, etc.</v>
      </c>
      <c r="B3219" s="1" t="str">
        <f ca="1">IFERROR(__xludf.DUMMYFUNCTION("GOOGLETRANSLATE(A3219, ""zh"", ""en"")"),"Customers and Consumers")</f>
        <v>Customers and Consumers</v>
      </c>
      <c r="C3219" s="1" t="str">
        <f ca="1">IFERROR(__xludf.DUMMYFUNCTION("GOOGLETRANSLATE(E3219, ""zh"", ""en"")"),"Qualitative text")</f>
        <v>Qualitative text</v>
      </c>
    </row>
    <row r="3220" spans="1:3" ht="13" x14ac:dyDescent="0.15">
      <c r="A3220" s="1" t="str">
        <f ca="1">IFERROR(__xludf.DUMMYFUNCTION("GOOGLETRANSLATE(A3220, ""zh"", ""en"")"),"Zhongchu Hengke has established industry-university-research cooperation with universities and research institutes such as Zhengzhou University, Zhengzhou University of Light Industry, and Henan University of Technology, and has jointly built employment p"&amp;"ractice bases with universities to jointly promote scientific and technological progress and talent training.")</f>
        <v>Zhongchu Hengke has established industry-university-research cooperation with universities and research institutes such as Zhengzhou University, Zhengzhou University of Light Industry, and Henan University of Technology, and has jointly built employment practice bases with universities to jointly promote scientific and technological progress and talent training.</v>
      </c>
      <c r="B3220" s="1" t="str">
        <f ca="1">IFERROR(__xludf.DUMMYFUNCTION("GOOGLETRANSLATE(A3220, ""zh"", ""en"")"),"Promoting employment")</f>
        <v>Promoting employment</v>
      </c>
      <c r="C3220" s="1" t="str">
        <f ca="1">IFERROR(__xludf.DUMMYFUNCTION("GOOGLETRANSLATE(E3220, ""zh"", ""en"")"),"Qualitative text")</f>
        <v>Qualitative text</v>
      </c>
    </row>
    <row r="3221" spans="1:3" ht="13" x14ac:dyDescent="0.15">
      <c r="A3221" s="1" t="str">
        <f ca="1">IFERROR(__xludf.DUMMYFUNCTION("GOOGLETRANSLATE(A3221, ""zh"", ""en"")"),"Establish a regular early warning and monitoring mechanism for major operational risks Organize annual and quarterly risk assessment meetings Report major risk management status to the company's board of directors' rule of law construction, internal contr"&amp;"ol, compliance and risk management committee")</f>
        <v>Establish a regular early warning and monitoring mechanism for major operational risks Organize annual and quarterly risk assessment meetings Report major risk management status to the company's board of directors' rule of law construction, internal control, compliance and risk management committee</v>
      </c>
      <c r="B3221" s="1" t="str">
        <f ca="1">IFERROR(__xludf.DUMMYFUNCTION("GOOGLETRANSLATE(A3221, ""zh"", ""en"")"),"Legal proceedings and external sanctions")</f>
        <v>Legal proceedings and external sanctions</v>
      </c>
      <c r="C3221" s="1" t="str">
        <f ca="1">IFERROR(__xludf.DUMMYFUNCTION("GOOGLETRANSLATE(E3221, ""zh"", ""en"")"),"Qualitative text")</f>
        <v>Qualitative text</v>
      </c>
    </row>
    <row r="3222" spans="1:3" ht="13" x14ac:dyDescent="0.15">
      <c r="A3222" s="1" t="str">
        <f ca="1">IFERROR(__xludf.DUMMYFUNCTION("GOOGLETRANSLATE(A3222, ""zh"", ""en"")"),"Safety and environmental management model protects the environment through meticulous management, strengthens group-level control, consolidates the company's environmental foundation management, achieves targeted and precise treatment of safety and enviro"&amp;"nmental work, and enhances the company's environmental risk prevention and green development capabilities.")</f>
        <v>Safety and environmental management model protects the environment through meticulous management, strengthens group-level control, consolidates the company's environmental foundation management, achieves targeted and precise treatment of safety and environmental work, and enhances the company's environmental risk prevention and green development capabilities.</v>
      </c>
      <c r="B3222" s="1" t="str">
        <f ca="1">IFERROR(__xludf.DUMMYFUNCTION("GOOGLETRANSLATE(A3222, ""zh"", ""en"")"),"Environmental Policy")</f>
        <v>Environmental Policy</v>
      </c>
      <c r="C3222" s="1" t="str">
        <f ca="1">IFERROR(__xludf.DUMMYFUNCTION("GOOGLETRANSLATE(E3222, ""zh"", ""en"")"),"Qualitative text")</f>
        <v>Qualitative text</v>
      </c>
    </row>
    <row r="3223" spans="1:3" ht="13" x14ac:dyDescent="0.15">
      <c r="A3223" s="1" t="str">
        <f ca="1">IFERROR(__xludf.DUMMYFUNCTION("GOOGLETRANSLATE(A3223, ""zh"", ""en"")"),"Based on its profound industry accumulation and industry insights, Shanghai Electric has realized a forward-looking layout of talent reserves in the school-enterprise cooperation, and at the same time created fertile soil for the training of professional "&amp;"talents and breakthroughs in the industry.")</f>
        <v>Based on its profound industry accumulation and industry insights, Shanghai Electric has realized a forward-looking layout of talent reserves in the school-enterprise cooperation, and at the same time created fertile soil for the training of professional talents and breakthroughs in the industry.</v>
      </c>
      <c r="B3223" s="1" t="str">
        <f ca="1">IFERROR(__xludf.DUMMYFUNCTION("GOOGLETRANSLATE(A3223, ""zh"", ""en"")"),"Promoting employment")</f>
        <v>Promoting employment</v>
      </c>
      <c r="C3223" s="1" t="str">
        <f ca="1">IFERROR(__xludf.DUMMYFUNCTION("GOOGLETRANSLATE(E3223, ""zh"", ""en"")"),"Qualitative text")</f>
        <v>Qualitative text</v>
      </c>
    </row>
    <row r="3224" spans="1:3" ht="13" x14ac:dyDescent="0.15">
      <c r="A3224" s="1" t="str">
        <f ca="1">IFERROR(__xludf.DUMMYFUNCTION("GOOGLETRANSLATE(A3224, ""zh"", ""en"")"),"As a provider of smart water solutions, Shanghai Electric's digital ecosystem continues to deepen its presence in the smart water industry, with capabilities in information system consulting, design, and software development, as well as strong comprehensi"&amp;"ve software and hardware integration capabilities.")</f>
        <v>As a provider of smart water solutions, Shanghai Electric's digital ecosystem continues to deepen its presence in the smart water industry, with capabilities in information system consulting, design, and software development, as well as strong comprehensive software and hardware integration capabilities.</v>
      </c>
      <c r="B3224" s="1" t="str">
        <f ca="1">IFERROR(__xludf.DUMMYFUNCTION("GOOGLETRANSLATE(A3224, ""zh"", ""en"")"),"Technological innovation")</f>
        <v>Technological innovation</v>
      </c>
      <c r="C3224" s="1" t="str">
        <f ca="1">IFERROR(__xludf.DUMMYFUNCTION("GOOGLETRANSLATE(E3224, ""zh"", ""en"")"),"Qualitative text")</f>
        <v>Qualitative text</v>
      </c>
    </row>
    <row r="3225" spans="1:3" ht="13" x14ac:dyDescent="0.15">
      <c r="A3225" s="1" t="str">
        <f ca="1">IFERROR(__xludf.DUMMYFUNCTION("GOOGLETRANSLATE(A3225, ""zh"", ""en"")"),"1. Rural Support In 2022, CITIC Securities donated a total of RMB 55.97 million to rural revitalization, with a total investment of RMB 50.47 million. The execution rate of donated funds was 100%, and all public welfare projects were successfully complete"&amp;"d.")</f>
        <v>1. Rural Support In 2022, CITIC Securities donated a total of RMB 55.97 million to rural revitalization, with a total investment of RMB 50.47 million. The execution rate of donated funds was 100%, and all public welfare projects were successfully completed.</v>
      </c>
      <c r="B3225" s="1" t="str">
        <f ca="1">IFERROR(__xludf.DUMMYFUNCTION("GOOGLETRANSLATE(A3225, ""zh"", ""en"")"),"Rural assistance")</f>
        <v>Rural assistance</v>
      </c>
      <c r="C3225" s="1" t="str">
        <f ca="1">IFERROR(__xludf.DUMMYFUNCTION("GOOGLETRANSLATE(E3225, ""zh"", ""en"")"),"Quantitative Text")</f>
        <v>Quantitative Text</v>
      </c>
    </row>
    <row r="3226" spans="1:3" ht="13" x14ac:dyDescent="0.15">
      <c r="A3226" s="1" t="str">
        <f ca="1">IFERROR(__xludf.DUMMYFUNCTION("GOOGLETRANSLATE(A3226, ""zh"", ""en"")"),"The company focuses on customer needs, establishes a regular customer communication mechanism, improves customer file management, actively connects with and deeply understands customer problems, and fully utilizes the advantages of the company's entire bu"&amp;"siness chain to provide customers with complete solutions.")</f>
        <v>The company focuses on customer needs, establishes a regular customer communication mechanism, improves customer file management, actively connects with and deeply understands customer problems, and fully utilizes the advantages of the company's entire business chain to provide customers with complete solutions.</v>
      </c>
      <c r="B3226" s="1" t="str">
        <f ca="1">IFERROR(__xludf.DUMMYFUNCTION("GOOGLETRANSLATE(A3226, ""zh"", ""en"")"),"Customers and Consumers")</f>
        <v>Customers and Consumers</v>
      </c>
      <c r="C3226" s="1" t="str">
        <f ca="1">IFERROR(__xludf.DUMMYFUNCTION("GOOGLETRANSLATE(E3226, ""zh"", ""en"")"),"Qualitative text")</f>
        <v>Qualitative text</v>
      </c>
    </row>
    <row r="3227" spans="1:3" ht="13" x14ac:dyDescent="0.15">
      <c r="A3227" s="1" t="str">
        <f ca="1">IFERROR(__xludf.DUMMYFUNCTION("GOOGLETRANSLATE(A3227, ""zh"", ""en"")"),"The company continuously improves its quality management system. All directly affiliated units benchmark the new quality management system standards and the company's QHSE management internationalization and industry management requirements to identify ga"&amp;"ps and continuously improve the quality management system documents.")</f>
        <v>The company continuously improves its quality management system. All directly affiliated units benchmark the new quality management system standards and the company's QHSE management internationalization and industry management requirements to identify gaps and continuously improve the quality management system documents.</v>
      </c>
      <c r="B3227" s="1" t="str">
        <f ca="1">IFERROR(__xludf.DUMMYFUNCTION("GOOGLETRANSLATE(A3227, ""zh"", ""en"")"),"Product quality")</f>
        <v>Product quality</v>
      </c>
      <c r="C3227" s="1" t="str">
        <f ca="1">IFERROR(__xludf.DUMMYFUNCTION("GOOGLETRANSLATE(E3227, ""zh"", ""en"")"),"Qualitative text")</f>
        <v>Qualitative text</v>
      </c>
    </row>
    <row r="3228" spans="1:3" ht="13" x14ac:dyDescent="0.15">
      <c r="A3228" s="1" t="str">
        <f ca="1">IFERROR(__xludf.DUMMYFUNCTION("GOOGLETRANSLATE(A3228, ""zh"", ""en"")"),"In 2022, Shanghai Electric will focus on overall quality level and the impact control of major quality incidents, continuously break through itself with high-quality management level, reduce internal quality loss rate, and further improve product yield ra"&amp;"te.")</f>
        <v>In 2022, Shanghai Electric will focus on overall quality level and the impact control of major quality incidents, continuously break through itself with high-quality management level, reduce internal quality loss rate, and further improve product yield rate.</v>
      </c>
      <c r="B3228" s="1" t="str">
        <f ca="1">IFERROR(__xludf.DUMMYFUNCTION("GOOGLETRANSLATE(A3228, ""zh"", ""en"")"),"Product quality")</f>
        <v>Product quality</v>
      </c>
      <c r="C3228" s="1" t="str">
        <f ca="1">IFERROR(__xludf.DUMMYFUNCTION("GOOGLETRANSLATE(E3228, ""zh"", ""en"")"),"Qualitative text")</f>
        <v>Qualitative text</v>
      </c>
    </row>
    <row r="3229" spans="1:3" ht="13" x14ac:dyDescent="0.15">
      <c r="A3229" s="1" t="str">
        <f ca="1">IFERROR(__xludf.DUMMYFUNCTION("GOOGLETRANSLATE(A3229, ""zh"", ""en"")"),"During the delivery period, the metal company fully utilized the advantages of supply chain integrated services to optimize the allocation of resources in all links of the supply chain, overcome the challenges brought by insufficient transportation capaci"&amp;"ty and limited production of raw materials, and complete the steel delivery service with high quality.")</f>
        <v>During the delivery period, the metal company fully utilized the advantages of supply chain integrated services to optimize the allocation of resources in all links of the supply chain, overcome the challenges brought by insufficient transportation capacity and limited production of raw materials, and complete the steel delivery service with high quality.</v>
      </c>
      <c r="B3229" s="1" t="str">
        <f ca="1">IFERROR(__xludf.DUMMYFUNCTION("GOOGLETRANSLATE(A3229, ""zh"", ""en"")"),"supply chain management")</f>
        <v>supply chain management</v>
      </c>
      <c r="C3229" s="1" t="str">
        <f ca="1">IFERROR(__xludf.DUMMYFUNCTION("GOOGLETRANSLATE(E3229, ""zh"", ""en"")"),"Qualitative text")</f>
        <v>Qualitative text</v>
      </c>
    </row>
    <row r="3230" spans="1:3" ht="13" x14ac:dyDescent="0.15">
      <c r="A3230" s="1" t="str">
        <f ca="1">IFERROR(__xludf.DUMMYFUNCTION("GOOGLETRANSLATE(A3230, ""zh"", ""en"")"),"The financial data disclosed in this report is derived from the 2022 annual report of SDIC Capital Co., Ltd. Other data are derived from the company's official documents and statistical reports, which have been manually collated internally and reviewed by"&amp;" relevant departments.")</f>
        <v>The financial data disclosed in this report is derived from the 2022 annual report of SDIC Capital Co., Ltd. Other data are derived from the company's official documents and statistical reports, which have been manually collated internally and reviewed by relevant departments.</v>
      </c>
      <c r="B3230" s="1" t="str">
        <f ca="1">IFERROR(__xludf.DUMMYFUNCTION("GOOGLETRANSLATE(A3230, ""zh"", ""en"")"),"irrelevant text")</f>
        <v>irrelevant text</v>
      </c>
      <c r="C3230" s="1" t="str">
        <f ca="1">IFERROR(__xludf.DUMMYFUNCTION("GOOGLETRANSLATE(E3230, ""zh"", ""en"")"),"irrelevant text")</f>
        <v>irrelevant text</v>
      </c>
    </row>
    <row r="3231" spans="1:3" ht="13" x14ac:dyDescent="0.15">
      <c r="A3231" s="1" t="str">
        <f ca="1">IFERROR(__xludf.DUMMYFUNCTION("GOOGLETRANSLATE(A3231, ""zh"", ""en"")"),"During the reporting period, the company revised and issued the supplier performance management control procedures, potential supplier registration management control procedures, and supplier selection management control procedures, setting higher require"&amp;"ments for supplier scale audits.")</f>
        <v>During the reporting period, the company revised and issued the supplier performance management control procedures, potential supplier registration management control procedures, and supplier selection management control procedures, setting higher requirements for supplier scale audits.</v>
      </c>
      <c r="B3231" s="1" t="str">
        <f ca="1">IFERROR(__xludf.DUMMYFUNCTION("GOOGLETRANSLATE(A3231, ""zh"", ""en"")"),"supply chain management")</f>
        <v>supply chain management</v>
      </c>
      <c r="C3231" s="1" t="str">
        <f ca="1">IFERROR(__xludf.DUMMYFUNCTION("GOOGLETRANSLATE(E3231, ""zh"", ""en"")"),"Qualitative text")</f>
        <v>Qualitative text</v>
      </c>
    </row>
    <row r="3232" spans="1:3" ht="13" x14ac:dyDescent="0.15">
      <c r="A3232" s="1" t="str">
        <f ca="1">IFERROR(__xludf.DUMMYFUNCTION("GOOGLETRANSLATE(A3232, ""zh"", ""en"")"),"2.3 Customer Focus and Service Excellence Aspects B7 Anti-Corruption General Disclosure Information on (a) Policies and (b) Compliance with relevant laws and regulations that have a significant impact on the issuer regarding the prevention of bribery, ext"&amp;"ortion, fraud and money laundering.")</f>
        <v>2.3 Customer Focus and Service Excellence Aspects B7 Anti-Corruption General Disclosure Information on (a) Policies and (b) Compliance with relevant laws and regulations that have a significant impact on the issuer regarding the prevention of bribery, extortion, fraud and money laundering.</v>
      </c>
      <c r="B3232" s="1" t="str">
        <f ca="1">IFERROR(__xludf.DUMMYFUNCTION("GOOGLETRANSLATE(A3232, ""zh"", ""en"")"),"Anti-corruption and anti-money laundering")</f>
        <v>Anti-corruption and anti-money laundering</v>
      </c>
      <c r="C3232" s="1" t="str">
        <f ca="1">IFERROR(__xludf.DUMMYFUNCTION("GOOGLETRANSLATE(E3232, ""zh"", ""en"")"),"Qualitative text")</f>
        <v>Qualitative text</v>
      </c>
    </row>
    <row r="3233" spans="1:3" ht="13" x14ac:dyDescent="0.15">
      <c r="A3233" s="1" t="str">
        <f ca="1">IFERROR(__xludf.DUMMYFUNCTION("GOOGLETRANSLATE(A3233, ""zh"", ""en"")"),"With the construction of a people-oriented philosophy and the implementation of a demonstration center as the main line, we will adhere to the concept of sharing the company's reform and development achievements with employees, establish and improve a lon"&amp;"g-term mechanism for doing practical things, and steadily promote the extension of practical things to the grassroots level and develop them in depth.")</f>
        <v>With the construction of a people-oriented philosophy and the implementation of a demonstration center as the main line, we will adhere to the concept of sharing the company's reform and development achievements with employees, establish and improve a long-term mechanism for doing practical things, and steadily promote the extension of practical things to the grassroots level and develop them in depth.</v>
      </c>
      <c r="B3233" s="1" t="str">
        <f ca="1">IFERROR(__xludf.DUMMYFUNCTION("GOOGLETRANSLATE(A3233, ""zh"", ""en"")"),"staff")</f>
        <v>staff</v>
      </c>
      <c r="C3233" s="1" t="str">
        <f ca="1">IFERROR(__xludf.DUMMYFUNCTION("GOOGLETRANSLATE(E3233, ""zh"", ""en"")"),"Qualitative text")</f>
        <v>Qualitative text</v>
      </c>
    </row>
    <row r="3234" spans="1:3" ht="13" x14ac:dyDescent="0.15">
      <c r="A3234" s="1" t="str">
        <f ca="1">IFERROR(__xludf.DUMMYFUNCTION("GOOGLETRANSLATE(A3234, ""zh"", ""en"")"),"Shanghai Electric provided all 26 2MW-class synchronous motors for the project. The excellent product quality and excellent service quality won high praise from the supervision company and the general contractor of the Uzbek Ministry of Water Resources.")</f>
        <v>Shanghai Electric provided all 26 2MW-class synchronous motors for the project. The excellent product quality and excellent service quality won high praise from the supervision company and the general contractor of the Uzbek Ministry of Water Resources.</v>
      </c>
      <c r="B3234" s="1" t="str">
        <f ca="1">IFERROR(__xludf.DUMMYFUNCTION("GOOGLETRANSLATE(A3234, ""zh"", ""en"")"),"Product quality")</f>
        <v>Product quality</v>
      </c>
      <c r="C3234" s="1" t="str">
        <f ca="1">IFERROR(__xludf.DUMMYFUNCTION("GOOGLETRANSLATE(E3234, ""zh"", ""en"")"),"Qualitative text")</f>
        <v>Qualitative text</v>
      </c>
    </row>
    <row r="3235" spans="1:3" ht="13" x14ac:dyDescent="0.15">
      <c r="A3235" s="1" t="str">
        <f ca="1">IFERROR(__xludf.DUMMYFUNCTION("GOOGLETRANSLATE(A3235, ""zh"", ""en"")"),"Since the first round of inspections in August 2017, the tangible and effective coverage of the 12 affiliated party organizations has been achieved through regular inspections, special inspections, upgraded inspections, and inspection reviews.")</f>
        <v>Since the first round of inspections in August 2017, the tangible and effective coverage of the 12 affiliated party organizations has been achieved through regular inspections, special inspections, upgraded inspections, and inspection reviews.</v>
      </c>
      <c r="B3235" s="1" t="str">
        <f ca="1">IFERROR(__xludf.DUMMYFUNCTION("GOOGLETRANSLATE(A3235, ""zh"", ""en"")"),"Organizational structure and operations")</f>
        <v>Organizational structure and operations</v>
      </c>
      <c r="C3235" s="1" t="str">
        <f ca="1">IFERROR(__xludf.DUMMYFUNCTION("GOOGLETRANSLATE(E3235, ""zh"", ""en"")"),"Quantitative Text")</f>
        <v>Quantitative Text</v>
      </c>
    </row>
    <row r="3236" spans="1:3" ht="13" x14ac:dyDescent="0.15">
      <c r="A3236" s="1" t="str">
        <f ca="1">IFERROR(__xludf.DUMMYFUNCTION("GOOGLETRANSLATE(A3236, ""zh"", ""en"")"),"The training program launched this time has been upgraded again to tailor-made graduate courses for model workers and craftsmen, enabling a closer integration of continuing education for model workers with industrial upgrading, enterprise development and "&amp;"technological innovation.")</f>
        <v>The training program launched this time has been upgraded again to tailor-made graduate courses for model workers and craftsmen, enabling a closer integration of continuing education for model workers with industrial upgrading, enterprise development and technological innovation.</v>
      </c>
      <c r="B3236" s="1" t="str">
        <f ca="1">IFERROR(__xludf.DUMMYFUNCTION("GOOGLETRANSLATE(A3236, ""zh"", ""en"")"),"staff")</f>
        <v>staff</v>
      </c>
      <c r="C3236" s="1" t="str">
        <f ca="1">IFERROR(__xludf.DUMMYFUNCTION("GOOGLETRANSLATE(E3236, ""zh"", ""en"")"),"Qualitative text")</f>
        <v>Qualitative text</v>
      </c>
    </row>
    <row r="3237" spans="1:3" ht="13" x14ac:dyDescent="0.15">
      <c r="A3237" s="1" t="str">
        <f ca="1">IFERROR(__xludf.DUMMYFUNCTION("GOOGLETRANSLATE(A3237, ""zh"", ""en"")"),"Green Packaging Hisense Vision actively promotes the concept of green packaging. Packaging materials strictly comply with the EU REACH Directive, Packaging and Packaging Waste Directive 9462EC and other laws and regulations during the product use stage.")</f>
        <v>Green Packaging Hisense Vision actively promotes the concept of green packaging. Packaging materials strictly comply with the EU REACH Directive, Packaging and Packaging Waste Directive 9462EC and other laws and regulations during the product use stage.</v>
      </c>
      <c r="B3237" s="1" t="str">
        <f ca="1">IFERROR(__xludf.DUMMYFUNCTION("GOOGLETRANSLATE(A3237, ""zh"", ""en"")"),"raw materials")</f>
        <v>raw materials</v>
      </c>
      <c r="C3237" s="1" t="str">
        <f ca="1">IFERROR(__xludf.DUMMYFUNCTION("GOOGLETRANSLATE(E3237, ""zh"", ""en"")"),"Qualitative text")</f>
        <v>Qualitative text</v>
      </c>
    </row>
    <row r="3238" spans="1:3" ht="13" x14ac:dyDescent="0.15">
      <c r="A3238" s="1" t="str">
        <f ca="1">IFERROR(__xludf.DUMMYFUNCTION("GOOGLETRANSLATE(A3238, ""zh"", ""en"")"),"Talent reserves are jointly cultivated to create a positive atmosphere of respect and appreciation for talent. Shanghai Electric Group Co., Ltd. (105105) is implementing new talent policies for new industry tracks. In 2022, the Group will focus on strateg"&amp;"ic reserves and increase efforts to attract talent through openness.")</f>
        <v>Talent reserves are jointly cultivated to create a positive atmosphere of respect and appreciation for talent. Shanghai Electric Group Co., Ltd. (105105) is implementing new talent policies for new industry tracks. In 2022, the Group will focus on strategic reserves and increase efforts to attract talent through openness.</v>
      </c>
      <c r="B3238" s="1" t="str">
        <f ca="1">IFERROR(__xludf.DUMMYFUNCTION("GOOGLETRANSLATE(A3238, ""zh"", ""en"")"),"staff")</f>
        <v>staff</v>
      </c>
      <c r="C3238" s="1" t="str">
        <f ca="1">IFERROR(__xludf.DUMMYFUNCTION("GOOGLETRANSLATE(E3238, ""zh"", ""en"")"),"Qualitative text")</f>
        <v>Qualitative text</v>
      </c>
    </row>
    <row r="3239" spans="1:3" ht="13" x14ac:dyDescent="0.15">
      <c r="A3239" s="1" t="str">
        <f ca="1">IFERROR(__xludf.DUMMYFUNCTION("GOOGLETRANSLATE(A3239, ""zh"", ""en"")"),"Life Care: Beautiful Electrical Life. Employees' lives are wonderful. We add color to employees' lives after work by organizing a variety of cultural, sports and educational activities and providing a stage for employees with special talents to showcase t"&amp;"heir talents.")</f>
        <v>Life Care: Beautiful Electrical Life. Employees' lives are wonderful. We add color to employees' lives after work by organizing a variety of cultural, sports and educational activities and providing a stage for employees with special talents to showcase their talents.</v>
      </c>
      <c r="B3239" s="1" t="str">
        <f ca="1">IFERROR(__xludf.DUMMYFUNCTION("GOOGLETRANSLATE(A3239, ""zh"", ""en"")"),"staff")</f>
        <v>staff</v>
      </c>
      <c r="C3239" s="1" t="str">
        <f ca="1">IFERROR(__xludf.DUMMYFUNCTION("GOOGLETRANSLATE(E3239, ""zh"", ""en"")"),"Qualitative text")</f>
        <v>Qualitative text</v>
      </c>
    </row>
    <row r="3240" spans="1:3" ht="13" x14ac:dyDescent="0.15">
      <c r="A3240" s="1" t="str">
        <f ca="1">IFERROR(__xludf.DUMMYFUNCTION("GOOGLETRANSLATE(A3240, ""zh"", ""en"")"),"China National Petroleum Corporation 2022 Environmental, Social and Governance Report 2 Materiality Principle The report uses a materiality analysis method to select key ESG issues of common concern to both internal and external parties.")</f>
        <v>China National Petroleum Corporation 2022 Environmental, Social and Governance Report 2 Materiality Principle The report uses a materiality analysis method to select key ESG issues of common concern to both internal and external parties.</v>
      </c>
      <c r="B3240" s="1" t="str">
        <f ca="1">IFERROR(__xludf.DUMMYFUNCTION("GOOGLETRANSLATE(A3240, ""zh"", ""en"")"),"irrelevant text")</f>
        <v>irrelevant text</v>
      </c>
      <c r="C3240" s="1" t="str">
        <f ca="1">IFERROR(__xludf.DUMMYFUNCTION("GOOGLETRANSLATE(E3240, ""zh"", ""en"")"),"irrelevant text")</f>
        <v>irrelevant text</v>
      </c>
    </row>
    <row r="3241" spans="1:3" ht="13" x14ac:dyDescent="0.15">
      <c r="A3241" s="1" t="str">
        <f ca="1">IFERROR(__xludf.DUMMYFUNCTION("GOOGLETRANSLATE(A3241, ""zh"", ""en"")"),"Forward-looking statements include all events that may or will occur in the future, including but not limited to assumptions, targets, estimates, and business plans, other than historical facts.")</f>
        <v>Forward-looking statements include all events that may or will occur in the future, including but not limited to assumptions, targets, estimates, and business plans, other than historical facts.</v>
      </c>
      <c r="B3241" s="1" t="str">
        <f ca="1">IFERROR(__xludf.DUMMYFUNCTION("GOOGLETRANSLATE(A3241, ""zh"", ""en"")"),"irrelevant text")</f>
        <v>irrelevant text</v>
      </c>
      <c r="C3241" s="1" t="str">
        <f ca="1">IFERROR(__xludf.DUMMYFUNCTION("GOOGLETRANSLATE(E3241, ""zh"", ""en"")"),"irrelevant text")</f>
        <v>irrelevant text</v>
      </c>
    </row>
    <row r="3242" spans="1:3" ht="13" x14ac:dyDescent="0.15">
      <c r="A3242" s="1" t="str">
        <f ca="1">IFERROR(__xludf.DUMMYFUNCTION("GOOGLETRANSLATE(A3242, ""zh"", ""en"")"),"Humanwell Pharmaceuticals strictly complies with the Company Law, the Securities Law, the Code of Corporate Governance for Listed Companies, and the regulatory documents issued by the China Securities Regulatory Commission and the Shanghai Stock Exchange "&amp;"to continuously improve the corporate governance structure and standardize the company's operations.")</f>
        <v>Humanwell Pharmaceuticals strictly complies with the Company Law, the Securities Law, the Code of Corporate Governance for Listed Companies, and the regulatory documents issued by the China Securities Regulatory Commission and the Shanghai Stock Exchange to continuously improve the corporate governance structure and standardize the company's operations.</v>
      </c>
      <c r="B3242" s="1" t="str">
        <f ca="1">IFERROR(__xludf.DUMMYFUNCTION("GOOGLETRANSLATE(A3242, ""zh"", ""en"")"),"Organizational structure and operations")</f>
        <v>Organizational structure and operations</v>
      </c>
      <c r="C3242" s="1" t="str">
        <f ca="1">IFERROR(__xludf.DUMMYFUNCTION("GOOGLETRANSLATE(E3242, ""zh"", ""en"")"),"Qualitative text")</f>
        <v>Qualitative text</v>
      </c>
    </row>
    <row r="3243" spans="1:3" ht="13" x14ac:dyDescent="0.15">
      <c r="A3243" s="1" t="str">
        <f ca="1">IFERROR(__xludf.DUMMYFUNCTION("GOOGLETRANSLATE(A3243, ""zh"", ""en"")"),"The case company has created hundreds of jobs for the local area through its unique localized business model, trained local professionals, taken root in the community, and carried out extensive employee activities to promote the development of community c"&amp;"ulture, education, and health.")</f>
        <v>The case company has created hundreds of jobs for the local area through its unique localized business model, trained local professionals, taken root in the community, and carried out extensive employee activities to promote the development of community culture, education, and health.</v>
      </c>
      <c r="B3243" s="1" t="str">
        <f ca="1">IFERROR(__xludf.DUMMYFUNCTION("GOOGLETRANSLATE(A3243, ""zh"", ""en"")"),"Promoting employment")</f>
        <v>Promoting employment</v>
      </c>
      <c r="C3243" s="1" t="str">
        <f ca="1">IFERROR(__xludf.DUMMYFUNCTION("GOOGLETRANSLATE(E3243, ""zh"", ""en"")"),"Qualitative text")</f>
        <v>Qualitative text</v>
      </c>
    </row>
    <row r="3244" spans="1:3" ht="13" x14ac:dyDescent="0.15">
      <c r="A3244" s="1" t="str">
        <f ca="1">IFERROR(__xludf.DUMMYFUNCTION("GOOGLETRANSLATE(A3244, ""zh"", ""en"")"),"The first phase of the reforestation project will plant 300,000 trees in a 300-hectare green belt around N'Djamena. 200,000 seedlings have already been planted. The main tree species include neem trees, African mahogany, etc.")</f>
        <v>The first phase of the reforestation project will plant 300,000 trees in a 300-hectare green belt around N'Djamena. 200,000 seedlings have already been planted. The main tree species include neem trees, African mahogany, etc.</v>
      </c>
      <c r="B3244" s="1" t="str">
        <f ca="1">IFERROR(__xludf.DUMMYFUNCTION("GOOGLETRANSLATE(A3244, ""zh"", ""en"")"),"Public welfare and volunteer service")</f>
        <v>Public welfare and volunteer service</v>
      </c>
      <c r="C3244" s="1" t="str">
        <f ca="1">IFERROR(__xludf.DUMMYFUNCTION("GOOGLETRANSLATE(E3244, ""zh"", ""en"")"),"Quantitative Text")</f>
        <v>Quantitative Text</v>
      </c>
    </row>
    <row r="3245" spans="1:3" ht="13" x14ac:dyDescent="0.15">
      <c r="A3245" s="1" t="str">
        <f ca="1">IFERROR(__xludf.DUMMYFUNCTION("GOOGLETRANSLATE(A3245, ""zh"", ""en"")"),"At the same time, the Wrigley project also established a community committee to provide free treatment and purification of produced water to local farmers to maximize the use of coalbed water and avoid or minimize the impact on the local environment, soci"&amp;"ety and economy.")</f>
        <v>At the same time, the Wrigley project also established a community committee to provide free treatment and purification of produced water to local farmers to maximize the use of coalbed water and avoid or minimize the impact on the local environment, society and economy.</v>
      </c>
      <c r="B3245" s="1" t="str">
        <f ca="1">IFERROR(__xludf.DUMMYFUNCTION("GOOGLETRANSLATE(A3245, ""zh"", ""en"")"),"Water resources")</f>
        <v>Water resources</v>
      </c>
      <c r="C3245" s="1" t="str">
        <f ca="1">IFERROR(__xludf.DUMMYFUNCTION("GOOGLETRANSLATE(E3245, ""zh"", ""en"")"),"Qualitative text")</f>
        <v>Qualitative text</v>
      </c>
    </row>
    <row r="3246" spans="1:3" ht="13" x14ac:dyDescent="0.15">
      <c r="A3246" s="1" t="str">
        <f ca="1">IFERROR(__xludf.DUMMYFUNCTION("GOOGLETRANSLATE(A3246, ""zh"", ""en"")"),"By the end of 2022, donations from retired employees of the company and enthusiastic members of the public and social groups exceeded RMB 17.8898 million, accounting for 47% of the total annual online donations of the China Green Foundation.")</f>
        <v>By the end of 2022, donations from retired employees of the company and enthusiastic members of the public and social groups exceeded RMB 17.8898 million, accounting for 47% of the total annual online donations of the China Green Foundation.</v>
      </c>
      <c r="B3246" s="1" t="str">
        <f ca="1">IFERROR(__xludf.DUMMYFUNCTION("GOOGLETRANSLATE(A3246, ""zh"", ""en"")"),"Public welfare and volunteer service")</f>
        <v>Public welfare and volunteer service</v>
      </c>
      <c r="C3246" s="1" t="str">
        <f ca="1">IFERROR(__xludf.DUMMYFUNCTION("GOOGLETRANSLATE(E3246, ""zh"", ""en"")"),"Quantitative Text")</f>
        <v>Quantitative Text</v>
      </c>
    </row>
    <row r="3247" spans="1:3" ht="13" x14ac:dyDescent="0.15">
      <c r="A3247" s="1" t="str">
        <f ca="1">IFERROR(__xludf.DUMMYFUNCTION("GOOGLETRANSLATE(A3247, ""zh"", ""en"")"),"Shenma brand nylon 66 salt and Shenma brand adipic acid are both high-tech products in Henan Province. Shenma brand is the leader, with scientific research as the focus, quality as the foundation, and service as the guarantee of the operation system, whic"&amp;"h further highlights the advantages of the entire industry chain.")</f>
        <v>Shenma brand nylon 66 salt and Shenma brand adipic acid are both high-tech products in Henan Province. Shenma brand is the leader, with scientific research as the focus, quality as the foundation, and service as the guarantee of the operation system, which further highlights the advantages of the entire industry chain.</v>
      </c>
      <c r="B3247" s="1" t="str">
        <f ca="1">IFERROR(__xludf.DUMMYFUNCTION("GOOGLETRANSLATE(A3247, ""zh"", ""en"")"),"Technological innovation")</f>
        <v>Technological innovation</v>
      </c>
      <c r="C3247" s="1" t="str">
        <f ca="1">IFERROR(__xludf.DUMMYFUNCTION("GOOGLETRANSLATE(E3247, ""zh"", ""en"")"),"Qualitative text")</f>
        <v>Qualitative text</v>
      </c>
    </row>
    <row r="3248" spans="1:3" ht="13" x14ac:dyDescent="0.15">
      <c r="A3248" s="1" t="str">
        <f ca="1">IFERROR(__xludf.DUMMYFUNCTION("GOOGLETRANSLATE(A3248, ""zh"", ""en"")"),"Leveraging the integrated purchasing power to achieve bulk bargaining, the centralized procurement of 12 bulk raw materials reduced costs by over RMB 5 million. Five major products, including spinning oil, were completed, making the Shenma brand well-know"&amp;"n in both domestic and international markets.")</f>
        <v>Leveraging the integrated purchasing power to achieve bulk bargaining, the centralized procurement of 12 bulk raw materials reduced costs by over RMB 5 million. Five major products, including spinning oil, were completed, making the Shenma brand well-known in both domestic and international markets.</v>
      </c>
      <c r="B3248" s="1" t="str">
        <f ca="1">IFERROR(__xludf.DUMMYFUNCTION("GOOGLETRANSLATE(A3248, ""zh"", ""en"")"),"raw materials")</f>
        <v>raw materials</v>
      </c>
      <c r="C3248" s="1" t="str">
        <f ca="1">IFERROR(__xludf.DUMMYFUNCTION("GOOGLETRANSLATE(E3248, ""zh"", ""en"")"),"Quantitative Text")</f>
        <v>Quantitative Text</v>
      </c>
    </row>
    <row r="3249" spans="1:3" ht="13" x14ac:dyDescent="0.15">
      <c r="A3249" s="1" t="str">
        <f ca="1">IFERROR(__xludf.DUMMYFUNCTION("GOOGLETRANSLATE(A3249, ""zh"", ""en"")"),"Throughout the year, more than 63 safety management systems were revised and improved, and 83 documents, including the decision on strengthening safety production work in 2021, were issued or forwarded, laying a solid foundation for the smooth development"&amp;" of safety work.")</f>
        <v>Throughout the year, more than 63 safety management systems were revised and improved, and 83 documents, including the decision on strengthening safety production work in 2021, were issued or forwarded, laying a solid foundation for the smooth development of safety work.</v>
      </c>
      <c r="B3249" s="1" t="str">
        <f ca="1">IFERROR(__xludf.DUMMYFUNCTION("GOOGLETRANSLATE(A3249, ""zh"", ""en"")"),"staff")</f>
        <v>staff</v>
      </c>
      <c r="C3249" s="1" t="str">
        <f ca="1">IFERROR(__xludf.DUMMYFUNCTION("GOOGLETRANSLATE(E3249, ""zh"", ""en"")"),"Quantitative Text")</f>
        <v>Quantitative Text</v>
      </c>
    </row>
    <row r="3250" spans="1:3" ht="13" x14ac:dyDescent="0.15">
      <c r="A3250" s="1" t="str">
        <f ca="1">IFERROR(__xludf.DUMMYFUNCTION("GOOGLETRANSLATE(A3250, ""zh"", ""en"")"),"We adhere to the principles of waste reduction, resource utilization and harmlessness, strictly implement solid waste management from the aspects of waste generation, reuse and harmless disposal, and strive to reduce the impact of our own waste on the env"&amp;"ironment.")</f>
        <v>We adhere to the principles of waste reduction, resource utilization and harmlessness, strictly implement solid waste management from the aspects of waste generation, reuse and harmless disposal, and strive to reduce the impact of our own waste on the environment.</v>
      </c>
      <c r="B3250" s="1" t="str">
        <f ca="1">IFERROR(__xludf.DUMMYFUNCTION("GOOGLETRANSLATE(A3250, ""zh"", ""en"")"),"Waste Management")</f>
        <v>Waste Management</v>
      </c>
      <c r="C3250" s="1" t="str">
        <f ca="1">IFERROR(__xludf.DUMMYFUNCTION("GOOGLETRANSLATE(E3250, ""zh"", ""en"")"),"Qualitative text")</f>
        <v>Qualitative text</v>
      </c>
    </row>
    <row r="3251" spans="1:3" ht="13" x14ac:dyDescent="0.15">
      <c r="A3251" s="1" t="str">
        <f ca="1">IFERROR(__xludf.DUMMYFUNCTION("GOOGLETRANSLATE(A3251, ""zh"", ""en"")"),"Build party building bases in industrial health care properties and other sectors to provide fixed places for party organizations at all levels of the company to carry out party organizational life, build a frontier position for party members' learning an"&amp;"d exchange activities, and create a strong party building cultural atmosphere.")</f>
        <v>Build party building bases in industrial health care properties and other sectors to provide fixed places for party organizations at all levels of the company to carry out party organizational life, build a frontier position for party members' learning and exchange activities, and create a strong party building cultural atmosphere.</v>
      </c>
      <c r="B3251" s="1" t="str">
        <f ca="1">IFERROR(__xludf.DUMMYFUNCTION("GOOGLETRANSLATE(A3251, ""zh"", ""en"")"),"Organizational structure and operations")</f>
        <v>Organizational structure and operations</v>
      </c>
      <c r="C3251" s="1" t="str">
        <f ca="1">IFERROR(__xludf.DUMMYFUNCTION("GOOGLETRANSLATE(E3251, ""zh"", ""en"")"),"Qualitative text")</f>
        <v>Qualitative text</v>
      </c>
    </row>
    <row r="3252" spans="1:3" ht="13" x14ac:dyDescent="0.15">
      <c r="A3252" s="1" t="str">
        <f ca="1">IFERROR(__xludf.DUMMYFUNCTION("GOOGLETRANSLATE(A3252, ""zh"", ""en"")"),"Case Study 7.2.2 Training and Development of Livzon Group's Middle and Senior Management Training: Kangyuan attaches great importance to internal talent cultivation and continuously improves its diversified training system with different levels and catego"&amp;"ries, constantly improving various training mechanisms.")</f>
        <v>Case Study 7.2.2 Training and Development of Livzon Group's Middle and Senior Management Training: Kangyuan attaches great importance to internal talent cultivation and continuously improves its diversified training system with different levels and categories, constantly improving various training mechanisms.</v>
      </c>
      <c r="B3252" s="1" t="str">
        <f ca="1">IFERROR(__xludf.DUMMYFUNCTION("GOOGLETRANSLATE(A3252, ""zh"", ""en"")"),"staff")</f>
        <v>staff</v>
      </c>
      <c r="C3252" s="1" t="str">
        <f ca="1">IFERROR(__xludf.DUMMYFUNCTION("GOOGLETRANSLATE(E3252, ""zh"", ""en"")"),"Qualitative text")</f>
        <v>Qualitative text</v>
      </c>
    </row>
    <row r="3253" spans="1:3" ht="13" x14ac:dyDescent="0.15">
      <c r="A3253" s="1" t="str">
        <f ca="1">IFERROR(__xludf.DUMMYFUNCTION("GOOGLETRANSLATE(A3253, ""zh"", ""en"")"),"The National Cyberspace Defenders have discovered a total of foreign APT organizations and captured the US CIANSA's network penetration attacks on my country for more than ten years, breaking the one-way transparency advantage of Western network powers an"&amp;"d defending cyberspace sovereignty.")</f>
        <v>The National Cyberspace Defenders have discovered a total of foreign APT organizations and captured the US CIANSA's network penetration attacks on my country for more than ten years, breaking the one-way transparency advantage of Western network powers and defending cyberspace sovereignty.</v>
      </c>
      <c r="B3253" s="1" t="str">
        <f ca="1">IFERROR(__xludf.DUMMYFUNCTION("GOOGLETRANSLATE(A3253, ""zh"", ""en"")"),"Data security")</f>
        <v>Data security</v>
      </c>
      <c r="C3253" s="1" t="str">
        <f ca="1">IFERROR(__xludf.DUMMYFUNCTION("GOOGLETRANSLATE(E3253, ""zh"", ""en"")"),"Qualitative text")</f>
        <v>Qualitative text</v>
      </c>
    </row>
    <row r="3254" spans="1:3" ht="13" x14ac:dyDescent="0.15">
      <c r="A3254" s="1" t="str">
        <f ca="1">IFERROR(__xludf.DUMMYFUNCTION("GOOGLETRANSLATE(A3254, ""zh"", ""en"")"),"The company has established a security emergency response team service system composed of a group of experienced, skilled and friendly professionals who can quickly respond to user needs and provide users with high-quality personalized solutions.")</f>
        <v>The company has established a security emergency response team service system composed of a group of experienced, skilled and friendly professionals who can quickly respond to user needs and provide users with high-quality personalized solutions.</v>
      </c>
      <c r="B3254" s="1" t="str">
        <f ca="1">IFERROR(__xludf.DUMMYFUNCTION("GOOGLETRANSLATE(A3254, ""zh"", ""en"")"),"Data security")</f>
        <v>Data security</v>
      </c>
      <c r="C3254" s="1" t="str">
        <f ca="1">IFERROR(__xludf.DUMMYFUNCTION("GOOGLETRANSLATE(E3254, ""zh"", ""en"")"),"Qualitative text")</f>
        <v>Qualitative text</v>
      </c>
    </row>
    <row r="3255" spans="1:3" ht="13" x14ac:dyDescent="0.15">
      <c r="A3255" s="1" t="str">
        <f ca="1">IFERROR(__xludf.DUMMYFUNCTION("GOOGLETRANSLATE(A3255, ""zh"", ""en"")"),"The audit content includes the internal control management and implementation of engineering management, financial and expense management, personnel management, procurement management, inventory management, quality management, EHS management, contract man"&amp;"agement and other aspects of the subsidiary's business activities.")</f>
        <v>The audit content includes the internal control management and implementation of engineering management, financial and expense management, personnel management, procurement management, inventory management, quality management, EHS management, contract management and other aspects of the subsidiary's business activities.</v>
      </c>
      <c r="B3255" s="1" t="str">
        <f ca="1">IFERROR(__xludf.DUMMYFUNCTION("GOOGLETRANSLATE(A3255, ""zh"", ""en"")"),"Audit work")</f>
        <v>Audit work</v>
      </c>
      <c r="C3255" s="1" t="str">
        <f ca="1">IFERROR(__xludf.DUMMYFUNCTION("GOOGLETRANSLATE(E3255, ""zh"", ""en"")"),"Qualitative text")</f>
        <v>Qualitative text</v>
      </c>
    </row>
    <row r="3256" spans="1:3" ht="13" x14ac:dyDescent="0.15">
      <c r="A3256" s="1" t="str">
        <f ca="1">IFERROR(__xludf.DUMMYFUNCTION("GOOGLETRANSLATE(A3256, ""zh"", ""en"")"),"Dima Industry has also established a long-term quarterly interview mechanism. Superiors and subordinates have formal interviews at least once a quarter to conduct in-depth exchanges on work goals, current problems, improvement plans and measures.")</f>
        <v>Dima Industry has also established a long-term quarterly interview mechanism. Superiors and subordinates have formal interviews at least once a quarter to conduct in-depth exchanges on work goals, current problems, improvement plans and measures.</v>
      </c>
      <c r="B3256" s="1" t="str">
        <f ca="1">IFERROR(__xludf.DUMMYFUNCTION("GOOGLETRANSLATE(A3256, ""zh"", ""en"")"),"staff")</f>
        <v>staff</v>
      </c>
      <c r="C3256" s="1" t="str">
        <f ca="1">IFERROR(__xludf.DUMMYFUNCTION("GOOGLETRANSLATE(E3256, ""zh"", ""en"")"),"Qualitative text")</f>
        <v>Qualitative text</v>
      </c>
    </row>
    <row r="3257" spans="1:3" ht="13" x14ac:dyDescent="0.15">
      <c r="A3257" s="1" t="str">
        <f ca="1">IFERROR(__xludf.DUMMYFUNCTION("GOOGLETRANSLATE(A3257, ""zh"", ""en"")"),"Among them, the raw material drug polymyxin E sodium mesylate independently developed by Livzon Group has obtained the European CEP certificate and passed the FDA review. Its domestic application materials for listing have been submitted and are currently"&amp;" in the registration review stage.")</f>
        <v>Among them, the raw material drug polymyxin E sodium mesylate independently developed by Livzon Group has obtained the European CEP certificate and passed the FDA review. Its domestic application materials for listing have been submitted and are currently in the registration review stage.</v>
      </c>
      <c r="B3257" s="1" t="str">
        <f ca="1">IFERROR(__xludf.DUMMYFUNCTION("GOOGLETRANSLATE(A3257, ""zh"", ""en"")"),"raw materials")</f>
        <v>raw materials</v>
      </c>
      <c r="C3257" s="1" t="str">
        <f ca="1">IFERROR(__xludf.DUMMYFUNCTION("GOOGLETRANSLATE(E3257, ""zh"", ""en"")"),"Qualitative text")</f>
        <v>Qualitative text</v>
      </c>
    </row>
    <row r="3258" spans="1:3" ht="13" x14ac:dyDescent="0.15">
      <c r="A3258" s="1" t="str">
        <f ca="1">IFERROR(__xludf.DUMMYFUNCTION("GOOGLETRANSLATE(A3258, ""zh"", ""en"")"),"In December 2022, we wrote and published articles such as ""Dingdong, You Have a Dima People's Guide to Slaughtering Sheep in the Fight Against the Epidemic,"" ""6 Things to Know After a Positive Test Turns Negative,"" etc. to help employees resume their "&amp;"normal lives and production.")</f>
        <v>In December 2022, we wrote and published articles such as "Dingdong, You Have a Dima People's Guide to Slaughtering Sheep in the Fight Against the Epidemic," "6 Things to Know After a Positive Test Turns Negative," etc. to help employees resume their normal lives and production.</v>
      </c>
      <c r="B3258" s="1" t="str">
        <f ca="1">IFERROR(__xludf.DUMMYFUNCTION("GOOGLETRANSLATE(A3258, ""zh"", ""en"")"),"Fighting the epidemic")</f>
        <v>Fighting the epidemic</v>
      </c>
      <c r="C3258" s="1" t="str">
        <f ca="1">IFERROR(__xludf.DUMMYFUNCTION("GOOGLETRANSLATE(E3258, ""zh"", ""en"")"),"Qualitative text")</f>
        <v>Qualitative text</v>
      </c>
    </row>
    <row r="3259" spans="1:3" ht="13" x14ac:dyDescent="0.15">
      <c r="A3259" s="1" t="str">
        <f ca="1">IFERROR(__xludf.DUMMYFUNCTION("GOOGLETRANSLATE(A3259, ""zh"", ""en"")"),"The main chemical plants are located in China, producing and selling various petrochemical products such as synthetic resins, synthetic fibers, synthetic rubber, basic organic chemicals, etc. The only overseas projects are the Sibur project in which it ho"&amp;"lds a stake and the Amur project under construction.")</f>
        <v>The main chemical plants are located in China, producing and selling various petrochemical products such as synthetic resins, synthetic fibers, synthetic rubber, basic organic chemicals, etc. The only overseas projects are the Sibur project in which it holds a stake and the Amur project under construction.</v>
      </c>
      <c r="B3259" s="1" t="str">
        <f ca="1">IFERROR(__xludf.DUMMYFUNCTION("GOOGLETRANSLATE(A3259, ""zh"", ""en"")"),"raw materials")</f>
        <v>raw materials</v>
      </c>
      <c r="C3259" s="1" t="str">
        <f ca="1">IFERROR(__xludf.DUMMYFUNCTION("GOOGLETRANSLATE(E3259, ""zh"", ""en"")"),"Qualitative text")</f>
        <v>Qualitative text</v>
      </c>
    </row>
    <row r="3260" spans="1:3" ht="13" x14ac:dyDescent="0.15">
      <c r="A3260" s="1" t="str">
        <f ca="1">IFERROR(__xludf.DUMMYFUNCTION("GOOGLETRANSLATE(A3260, ""zh"", ""en"")"),"The curriculum includes not only R&amp;D professional courses, the combination of multi-level and key technology platforms for generic drug new technology treatments, but also general courses such as leadership innovation tools. Furthermore, the program also "&amp;"includes the title of ""Leader in Original Research and Innovation in China.""")</f>
        <v>The curriculum includes not only R&amp;D professional courses, the combination of multi-level and key technology platforms for generic drug new technology treatments, but also general courses such as leadership innovation tools. Furthermore, the program also includes the title of "Leader in Original Research and Innovation in China."</v>
      </c>
      <c r="B3260" s="1" t="str">
        <f ca="1">IFERROR(__xludf.DUMMYFUNCTION("GOOGLETRANSLATE(A3260, ""zh"", ""en"")"),"Technological innovation")</f>
        <v>Technological innovation</v>
      </c>
      <c r="C3260" s="1" t="str">
        <f ca="1">IFERROR(__xludf.DUMMYFUNCTION("GOOGLETRANSLATE(E3260, ""zh"", ""en"")"),"Qualitative text")</f>
        <v>Qualitative text</v>
      </c>
    </row>
    <row r="3261" spans="1:3" ht="13" x14ac:dyDescent="0.15">
      <c r="A3261" s="1" t="str">
        <f ca="1">IFERROR(__xludf.DUMMYFUNCTION("GOOGLETRANSLATE(A3261, ""zh"", ""en"")"),"Fosun Pharma Group actively attracts outstanding external talents while focusing on strengthening internal training and improvement to build a talent echelon that identifies with corporate culture and has entrepreneurial spirit, thus building a talent poo"&amp;"l for the Group.")</f>
        <v>Fosun Pharma Group actively attracts outstanding external talents while focusing on strengthening internal training and improvement to build a talent echelon that identifies with corporate culture and has entrepreneurial spirit, thus building a talent pool for the Group.</v>
      </c>
      <c r="B3261" s="1" t="str">
        <f ca="1">IFERROR(__xludf.DUMMYFUNCTION("GOOGLETRANSLATE(A3261, ""zh"", ""en"")"),"staff")</f>
        <v>staff</v>
      </c>
      <c r="C3261" s="1" t="str">
        <f ca="1">IFERROR(__xludf.DUMMYFUNCTION("GOOGLETRANSLATE(E3261, ""zh"", ""en"")"),"Qualitative text")</f>
        <v>Qualitative text</v>
      </c>
    </row>
    <row r="3262" spans="1:3" ht="13" x14ac:dyDescent="0.15">
      <c r="A3262" s="1" t="str">
        <f ca="1">IFERROR(__xludf.DUMMYFUNCTION("GOOGLETRANSLATE(A3262, ""zh"", ""en"")"),"The company and its employees, including temporary workers, shall not engage in corruption, bribery, fraud, money laundering, etc. for any reason or in any form in any region. At the same time, suppliers, contractors and service providers are required to "&amp;"comply with the above regulations.")</f>
        <v>The company and its employees, including temporary workers, shall not engage in corruption, bribery, fraud, money laundering, etc. for any reason or in any form in any region. At the same time, suppliers, contractors and service providers are required to comply with the above regulations.</v>
      </c>
      <c r="B3262" s="1" t="str">
        <f ca="1">IFERROR(__xludf.DUMMYFUNCTION("GOOGLETRANSLATE(A3262, ""zh"", ""en"")"),"Anti-corruption and anti-money laundering")</f>
        <v>Anti-corruption and anti-money laundering</v>
      </c>
      <c r="C3262" s="1" t="str">
        <f ca="1">IFERROR(__xludf.DUMMYFUNCTION("GOOGLETRANSLATE(E3262, ""zh"", ""en"")"),"Qualitative text")</f>
        <v>Qualitative text</v>
      </c>
    </row>
    <row r="3263" spans="1:3" ht="13" x14ac:dyDescent="0.15">
      <c r="A3263" s="1" t="str">
        <f ca="1">IFERROR(__xludf.DUMMYFUNCTION("GOOGLETRANSLATE(A3263, ""zh"", ""en"")"),"The completion and commissioning of this station marks a substantial step forward for Sinopec in its entry into the heavy truck battery swapping field after developing hydrogen energy photovoltaic vehicle charging and swapping business, and its transforma"&amp;"tion into a comprehensive energy service provider for oil, gas, hydrogen and electricity.")</f>
        <v>The completion and commissioning of this station marks a substantial step forward for Sinopec in its entry into the heavy truck battery swapping field after developing hydrogen energy photovoltaic vehicle charging and swapping business, and its transformation into a comprehensive energy service provider for oil, gas, hydrogen and electricity.</v>
      </c>
      <c r="B3263" s="1" t="str">
        <f ca="1">IFERROR(__xludf.DUMMYFUNCTION("GOOGLETRANSLATE(A3263, ""zh"", ""en"")"),"Technological innovation")</f>
        <v>Technological innovation</v>
      </c>
      <c r="C3263" s="1" t="str">
        <f ca="1">IFERROR(__xludf.DUMMYFUNCTION("GOOGLETRANSLATE(E3263, ""zh"", ""en"")"),"Qualitative text")</f>
        <v>Qualitative text</v>
      </c>
    </row>
    <row r="3264" spans="1:3" ht="13" x14ac:dyDescent="0.15">
      <c r="A3264" s="1" t="str">
        <f ca="1">IFERROR(__xludf.DUMMYFUNCTION("GOOGLETRANSLATE(A3264, ""zh"", ""en"")"),"ROIEFESO Industry 4.0 Award Winners Announced on November 30, 2022: Haier Group's Jiaozhou and Laiyang Factories Selected")</f>
        <v>ROIEFESO Industry 4.0 Award Winners Announced on November 30, 2022: Haier Group's Jiaozhou and Laiyang Factories Selected</v>
      </c>
      <c r="B3264" s="1" t="str">
        <f ca="1">IFERROR(__xludf.DUMMYFUNCTION("GOOGLETRANSLATE(A3264, ""zh"", ""en"")"),"Technological innovation")</f>
        <v>Technological innovation</v>
      </c>
      <c r="C3264" s="1" t="str">
        <f ca="1">IFERROR(__xludf.DUMMYFUNCTION("GOOGLETRANSLATE(E3264, ""zh"", ""en"")"),"Quantitative Text")</f>
        <v>Quantitative Text</v>
      </c>
    </row>
    <row r="3265" spans="1:3" ht="13" x14ac:dyDescent="0.15">
      <c r="A3265" s="1" t="str">
        <f ca="1">IFERROR(__xludf.DUMMYFUNCTION("GOOGLETRANSLATE(A3265, ""zh"", ""en"")"),"On September 19, 2022, Haier Europe launched a charity donation campaign to the local Serbian foundation BudiHuman to raise funds through the sale of CandyFresco series refrigerators.")</f>
        <v>On September 19, 2022, Haier Europe launched a charity donation campaign to the local Serbian foundation BudiHuman to raise funds through the sale of CandyFresco series refrigerators.</v>
      </c>
      <c r="B3265" s="1" t="str">
        <f ca="1">IFERROR(__xludf.DUMMYFUNCTION("GOOGLETRANSLATE(A3265, ""zh"", ""en"")"),"Public welfare and volunteer service")</f>
        <v>Public welfare and volunteer service</v>
      </c>
      <c r="C3265" s="1" t="str">
        <f ca="1">IFERROR(__xludf.DUMMYFUNCTION("GOOGLETRANSLATE(E3265, ""zh"", ""en"")"),"Qualitative text")</f>
        <v>Qualitative text</v>
      </c>
    </row>
    <row r="3266" spans="1:3" ht="13" x14ac:dyDescent="0.15">
      <c r="A3266" s="1" t="str">
        <f ca="1">IFERROR(__xludf.DUMMYFUNCTION("GOOGLETRANSLATE(A3266, ""zh"", ""en"")"),"The management's comprehensive risk management executive leadership team is responsible for identifying climate change-related risk opportunities and response measures within the comprehensive risk management system and reporting to the Audit Committee an"&amp;"d the Sustainability Committee of the Board of Directors.")</f>
        <v>The management's comprehensive risk management executive leadership team is responsible for identifying climate change-related risk opportunities and response measures within the comprehensive risk management system and reporting to the Audit Committee and the Sustainability Committee of the Board of Directors.</v>
      </c>
      <c r="B3266" s="1" t="str">
        <f ca="1">IFERROR(__xludf.DUMMYFUNCTION("GOOGLETRANSLATE(A3266, ""zh"", ""en"")"),"Addressing climate change")</f>
        <v>Addressing climate change</v>
      </c>
      <c r="C3266" s="1" t="str">
        <f ca="1">IFERROR(__xludf.DUMMYFUNCTION("GOOGLETRANSLATE(E3266, ""zh"", ""en"")"),"Qualitative text")</f>
        <v>Qualitative text</v>
      </c>
    </row>
    <row r="3267" spans="1:3" ht="13" x14ac:dyDescent="0.15">
      <c r="A3267" s="1" t="str">
        <f ca="1">IFERROR(__xludf.DUMMYFUNCTION("GOOGLETRANSLATE(A3267, ""zh"", ""en"")"),"Since 2019, the company has entered its sixth strategic phase, the Eco-Brand Strategy Phase, transforming from a global leader in the home appliance industry to a global leader in high-end brands, scenario brands, and ecological brands in the era of the I"&amp;"nternet of Things.")</f>
        <v>Since 2019, the company has entered its sixth strategic phase, the Eco-Brand Strategy Phase, transforming from a global leader in the home appliance industry to a global leader in high-end brands, scenario brands, and ecological brands in the era of the Internet of Things.</v>
      </c>
      <c r="B3267" s="1" t="str">
        <f ca="1">IFERROR(__xludf.DUMMYFUNCTION("GOOGLETRANSLATE(A3267, ""zh"", ""en"")"),"Technological innovation")</f>
        <v>Technological innovation</v>
      </c>
      <c r="C3267" s="1" t="str">
        <f ca="1">IFERROR(__xludf.DUMMYFUNCTION("GOOGLETRANSLATE(E3267, ""zh"", ""en"")"),"Qualitative text")</f>
        <v>Qualitative text</v>
      </c>
    </row>
    <row r="3268" spans="1:3" ht="13" x14ac:dyDescent="0.15">
      <c r="A3268" s="1" t="str">
        <f ca="1">IFERROR(__xludf.DUMMYFUNCTION("GOOGLETRANSLATE(A3268, ""zh"", ""en"")"),"The Board's Development Strategy and ESG Committee is fully responsible for overseeing ESG matters, controlling the company's ESG strategy and objectives, regularly receiving ESG work reports, and reviewing the company's ESG performance.")</f>
        <v>The Board's Development Strategy and ESG Committee is fully responsible for overseeing ESG matters, controlling the company's ESG strategy and objectives, regularly receiving ESG work reports, and reviewing the company's ESG performance.</v>
      </c>
      <c r="B3268" s="1" t="str">
        <f ca="1">IFERROR(__xludf.DUMMYFUNCTION("GOOGLETRANSLATE(A3268, ""zh"", ""en"")"),"Organizational structure and operations")</f>
        <v>Organizational structure and operations</v>
      </c>
      <c r="C3268" s="1" t="str">
        <f ca="1">IFERROR(__xludf.DUMMYFUNCTION("GOOGLETRANSLATE(E3268, ""zh"", ""en"")"),"Qualitative text")</f>
        <v>Qualitative text</v>
      </c>
    </row>
    <row r="3269" spans="1:3" ht="13" x14ac:dyDescent="0.15">
      <c r="A3269" s="1" t="str">
        <f ca="1">IFERROR(__xludf.DUMMYFUNCTION("GOOGLETRANSLATE(A3269, ""zh"", ""en"")"),"The ESG Leadership Group reports to the Development Strategy and ESG Committee at least once a year on the progress of ESG work. The Committee provides guidance and suggestions on the implementation of the work it has heard.")</f>
        <v>The ESG Leadership Group reports to the Development Strategy and ESG Committee at least once a year on the progress of ESG work. The Committee provides guidance and suggestions on the implementation of the work it has heard.</v>
      </c>
      <c r="B3269" s="1" t="str">
        <f ca="1">IFERROR(__xludf.DUMMYFUNCTION("GOOGLETRANSLATE(A3269, ""zh"", ""en"")"),"Organizational structure and operations")</f>
        <v>Organizational structure and operations</v>
      </c>
      <c r="C3269" s="1" t="str">
        <f ca="1">IFERROR(__xludf.DUMMYFUNCTION("GOOGLETRANSLATE(E3269, ""zh"", ""en"")"),"Qualitative text")</f>
        <v>Qualitative text</v>
      </c>
    </row>
    <row r="3270" spans="1:3" ht="13" x14ac:dyDescent="0.15">
      <c r="A3270" s="1" t="str">
        <f ca="1">IFERROR(__xludf.DUMMYFUNCTION("GOOGLETRANSLATE(A3270, ""zh"", ""en"")"),"This policy provides detailed regulations on preventing improper transfer of benefits, preventing improper pursuit of benefits, and combating commercial bribery, and improves relevant training, reporting, and accountability content to further standardize "&amp;"the company's honest business management.")</f>
        <v>This policy provides detailed regulations on preventing improper transfer of benefits, preventing improper pursuit of benefits, and combating commercial bribery, and improves relevant training, reporting, and accountability content to further standardize the company's honest business management.</v>
      </c>
      <c r="B3270" s="1" t="str">
        <f ca="1">IFERROR(__xludf.DUMMYFUNCTION("GOOGLETRANSLATE(A3270, ""zh"", ""en"")"),"Anti-corruption and anti-money laundering")</f>
        <v>Anti-corruption and anti-money laundering</v>
      </c>
      <c r="C3270" s="1" t="str">
        <f ca="1">IFERROR(__xludf.DUMMYFUNCTION("GOOGLETRANSLATE(E3270, ""zh"", ""en"")"),"Qualitative text")</f>
        <v>Qualitative text</v>
      </c>
    </row>
    <row r="3271" spans="1:3" ht="13" x14ac:dyDescent="0.15">
      <c r="A3271" s="1" t="str">
        <f ca="1">IFERROR(__xludf.DUMMYFUNCTION("GOOGLETRANSLATE(A3271, ""zh"", ""en"")"),"Under the premise of anonymous scoring and not disclosing individual scores, the system automatically calculates the employee satisfaction survey results and combines factors such as employee age, employment time, and employee rank to form a multi-dimensi"&amp;"onal statistical analysis.")</f>
        <v>Under the premise of anonymous scoring and not disclosing individual scores, the system automatically calculates the employee satisfaction survey results and combines factors such as employee age, employment time, and employee rank to form a multi-dimensional statistical analysis.</v>
      </c>
      <c r="B3271" s="1" t="str">
        <f ca="1">IFERROR(__xludf.DUMMYFUNCTION("GOOGLETRANSLATE(A3271, ""zh"", ""en"")"),"staff")</f>
        <v>staff</v>
      </c>
      <c r="C3271" s="1" t="str">
        <f ca="1">IFERROR(__xludf.DUMMYFUNCTION("GOOGLETRANSLATE(E3271, ""zh"", ""en"")"),"Qualitative text")</f>
        <v>Qualitative text</v>
      </c>
    </row>
    <row r="3272" spans="1:3" ht="13" x14ac:dyDescent="0.15">
      <c r="A3272" s="1" t="str">
        <f ca="1">IFERROR(__xludf.DUMMYFUNCTION("GOOGLETRANSLATE(A3272, ""zh"", ""en"")"),"The company has established the CITIC Securities Co., Ltd. Customer Complaint and Reporting Handling System, established and improved the customer complaint and reporting handling mechanism, clarified the complaint and report acceptance and handling proce"&amp;"ss, and continuously standardized the company's complaint and reporting management work.")</f>
        <v>The company has established the CITIC Securities Co., Ltd. Customer Complaint and Reporting Handling System, established and improved the customer complaint and reporting handling mechanism, clarified the complaint and report acceptance and handling process, and continuously standardized the company's complaint and reporting management work.</v>
      </c>
      <c r="B3272" s="1" t="str">
        <f ca="1">IFERROR(__xludf.DUMMYFUNCTION("GOOGLETRANSLATE(A3272, ""zh"", ""en"")"),"Reporting System")</f>
        <v>Reporting System</v>
      </c>
      <c r="C3272" s="1" t="str">
        <f ca="1">IFERROR(__xludf.DUMMYFUNCTION("GOOGLETRANSLATE(E3272, ""zh"", ""en"")"),"Qualitative text")</f>
        <v>Qualitative text</v>
      </c>
    </row>
    <row r="3273" spans="1:3" ht="13" x14ac:dyDescent="0.15">
      <c r="A3273" s="1" t="str">
        <f ca="1">IFERROR(__xludf.DUMMYFUNCTION("GOOGLETRANSLATE(A3273, ""zh"", ""en"")"),"Shanghai Electric Group Co., Ltd. 31 The Shanghai Electric Board of Supervisors, as the company's supervisory body, is responsible for monitoring the company's operating and financial performance, as well as the performance of directors and senior managem"&amp;"ent, and making recommendations.")</f>
        <v>Shanghai Electric Group Co., Ltd. 31 The Shanghai Electric Board of Supervisors, as the company's supervisory body, is responsible for monitoring the company's operating and financial performance, as well as the performance of directors and senior management, and making recommendations.</v>
      </c>
      <c r="B3273" s="1" t="str">
        <f ca="1">IFERROR(__xludf.DUMMYFUNCTION("GOOGLETRANSLATE(A3273, ""zh"", ""en"")"),"Organizational structure and operations")</f>
        <v>Organizational structure and operations</v>
      </c>
      <c r="C3273" s="1" t="str">
        <f ca="1">IFERROR(__xludf.DUMMYFUNCTION("GOOGLETRANSLATE(E3273, ""zh"", ""en"")"),"Qualitative text")</f>
        <v>Qualitative text</v>
      </c>
    </row>
    <row r="3274" spans="1:3" ht="13" x14ac:dyDescent="0.15">
      <c r="A3274" s="1" t="str">
        <f ca="1">IFERROR(__xludf.DUMMYFUNCTION("GOOGLETRANSLATE(A3274, ""zh"", ""en"")"),"The company creates a comfortable working environment, good living conditions and rich cultural life, which helps to ease employees' work mood, enhance employees' trust and satisfaction in the company, improve work efficiency and enhance employees' happin"&amp;"ess.")</f>
        <v>The company creates a comfortable working environment, good living conditions and rich cultural life, which helps to ease employees' work mood, enhance employees' trust and satisfaction in the company, improve work efficiency and enhance employees' happiness.</v>
      </c>
      <c r="B3274" s="1" t="str">
        <f ca="1">IFERROR(__xludf.DUMMYFUNCTION("GOOGLETRANSLATE(A3274, ""zh"", ""en"")"),"staff")</f>
        <v>staff</v>
      </c>
      <c r="C3274" s="1" t="str">
        <f ca="1">IFERROR(__xludf.DUMMYFUNCTION("GOOGLETRANSLATE(E3274, ""zh"", ""en"")"),"Qualitative text")</f>
        <v>Qualitative text</v>
      </c>
    </row>
    <row r="3275" spans="1:3" ht="13" x14ac:dyDescent="0.15">
      <c r="A3275" s="1" t="str">
        <f ca="1">IFERROR(__xludf.DUMMYFUNCTION("GOOGLETRANSLATE(A3275, ""zh"", ""en"")"),"Over the past 18 years, the company has donated a total of RMB 184 million to the Health Express charity, which has opened 44 service points in 18 provinces and autonomous regions across China, helping more than 50,000 impoverished cataract patients and t"&amp;"heir families overcome their difficulties.")</f>
        <v>Over the past 18 years, the company has donated a total of RMB 184 million to the Health Express charity, which has opened 44 service points in 18 provinces and autonomous regions across China, helping more than 50,000 impoverished cataract patients and their families overcome their difficulties.</v>
      </c>
      <c r="B3275" s="1" t="str">
        <f ca="1">IFERROR(__xludf.DUMMYFUNCTION("GOOGLETRANSLATE(A3275, ""zh"", ""en"")"),"Public welfare and volunteer service")</f>
        <v>Public welfare and volunteer service</v>
      </c>
      <c r="C3275" s="1" t="str">
        <f ca="1">IFERROR(__xludf.DUMMYFUNCTION("GOOGLETRANSLATE(E3275, ""zh"", ""en"")"),"Quantitative Text")</f>
        <v>Quantitative Text</v>
      </c>
    </row>
    <row r="3276" spans="1:3" ht="13" x14ac:dyDescent="0.15">
      <c r="A3276" s="1" t="str">
        <f ca="1">IFERROR(__xludf.DUMMYFUNCTION("GOOGLETRANSLATE(A3276, ""zh"", ""en"")"),"Case Study: Climate Risk Stress Testing of Eight High-Carbon Industries. The Bank used mainstream international methods and internal rating models to conduct a household-by-household calculation and quantitative assessment of the impact of climate transit"&amp;"ion risks on clients' financial costs and credit ratings.")</f>
        <v>Case Study: Climate Risk Stress Testing of Eight High-Carbon Industries. The Bank used mainstream international methods and internal rating models to conduct a household-by-household calculation and quantitative assessment of the impact of climate transition risks on clients' financial costs and credit ratings.</v>
      </c>
      <c r="B3276" s="1" t="str">
        <f ca="1">IFERROR(__xludf.DUMMYFUNCTION("GOOGLETRANSLATE(A3276, ""zh"", ""en"")"),"Addressing climate change")</f>
        <v>Addressing climate change</v>
      </c>
      <c r="C3276" s="1" t="str">
        <f ca="1">IFERROR(__xludf.DUMMYFUNCTION("GOOGLETRANSLATE(E3276, ""zh"", ""en"")"),"Qualitative text")</f>
        <v>Qualitative text</v>
      </c>
    </row>
    <row r="3277" spans="1:3" ht="13" x14ac:dyDescent="0.15">
      <c r="A3277" s="1" t="str">
        <f ca="1">IFERROR(__xludf.DUMMYFUNCTION("GOOGLETRANSLATE(A3277, ""zh"", ""en"")"),"Physical risks include acute risks, such as those caused by extreme weather events like droughts and hurricanes, and chronic risks, which are longer-term changes in climate patterns, such as persistent high temperatures, that could cause sea level rise or"&amp;" prolonged heatwaves.")</f>
        <v>Physical risks include acute risks, such as those caused by extreme weather events like droughts and hurricanes, and chronic risks, which are longer-term changes in climate patterns, such as persistent high temperatures, that could cause sea level rise or prolonged heatwaves.</v>
      </c>
      <c r="B3277" s="1" t="str">
        <f ca="1">IFERROR(__xludf.DUMMYFUNCTION("GOOGLETRANSLATE(A3277, ""zh"", ""en"")"),"Addressing climate change")</f>
        <v>Addressing climate change</v>
      </c>
      <c r="C3277" s="1" t="str">
        <f ca="1">IFERROR(__xludf.DUMMYFUNCTION("GOOGLETRANSLATE(E3277, ""zh"", ""en"")"),"Qualitative text")</f>
        <v>Qualitative text</v>
      </c>
    </row>
    <row r="3278" spans="1:3" ht="13" x14ac:dyDescent="0.15">
      <c r="A3278" s="1" t="str">
        <f ca="1">IFERROR(__xludf.DUMMYFUNCTION("GOOGLETRANSLATE(A3278, ""zh"", ""en"")"),"We launched the ""I Love My Home"" project across the bank and supported local branches in building 100 employee homes and 100 small employee homes at the grassroots level, especially in remote and impoverished areas with elderly, children, and minorities"&amp;".")</f>
        <v>We launched the "I Love My Home" project across the bank and supported local branches in building 100 employee homes and 100 small employee homes at the grassroots level, especially in remote and impoverished areas with elderly, children, and minorities.</v>
      </c>
      <c r="B3278" s="1" t="str">
        <f ca="1">IFERROR(__xludf.DUMMYFUNCTION("GOOGLETRANSLATE(A3278, ""zh"", ""en"")"),"staff")</f>
        <v>staff</v>
      </c>
      <c r="C3278" s="1" t="str">
        <f ca="1">IFERROR(__xludf.DUMMYFUNCTION("GOOGLETRANSLATE(E3278, ""zh"", ""en"")"),"Quantitative Text")</f>
        <v>Quantitative Text</v>
      </c>
    </row>
    <row r="3279" spans="1:3" ht="13" x14ac:dyDescent="0.15">
      <c r="A3279" s="1" t="str">
        <f ca="1">IFERROR(__xludf.DUMMYFUNCTION("GOOGLETRANSLATE(A3279, ""zh"", ""en"")"),"Actively increase social employment opportunities. CMST adheres to the people-oriented concept and actively implements the deployment of the Party Central Committee, the State Council and the State-owned Assets Supervision and Administration Commission to"&amp;" steadily stabilize and expand employment, absorbing retired soldiers, recent college graduates and other groups.")</f>
        <v>Actively increase social employment opportunities. CMST adheres to the people-oriented concept and actively implements the deployment of the Party Central Committee, the State Council and the State-owned Assets Supervision and Administration Commission to steadily stabilize and expand employment, absorbing retired soldiers, recent college graduates and other groups.</v>
      </c>
      <c r="B3279" s="1" t="str">
        <f ca="1">IFERROR(__xludf.DUMMYFUNCTION("GOOGLETRANSLATE(A3279, ""zh"", ""en"")"),"Promoting employment")</f>
        <v>Promoting employment</v>
      </c>
      <c r="C3279" s="1" t="str">
        <f ca="1">IFERROR(__xludf.DUMMYFUNCTION("GOOGLETRANSLATE(E3279, ""zh"", ""en"")"),"Qualitative text")</f>
        <v>Qualitative text</v>
      </c>
    </row>
    <row r="3280" spans="1:3" ht="13" x14ac:dyDescent="0.15">
      <c r="A3280" s="1" t="str">
        <f ca="1">IFERROR(__xludf.DUMMYFUNCTION("GOOGLETRANSLATE(A3280, ""zh"", ""en"")"),"Compared with conventional freshwater-based fracturing fluids, this system can be directly prepared with filtered seawater with a salinity of less than 40,000 mg/L, saving freshwater resources while solving the problems of high freshwater transportation a"&amp;"nd storage costs.")</f>
        <v>Compared with conventional freshwater-based fracturing fluids, this system can be directly prepared with filtered seawater with a salinity of less than 40,000 mg/L, saving freshwater resources while solving the problems of high freshwater transportation and storage costs.</v>
      </c>
      <c r="B3280" s="1" t="str">
        <f ca="1">IFERROR(__xludf.DUMMYFUNCTION("GOOGLETRANSLATE(A3280, ""zh"", ""en"")"),"Water resources")</f>
        <v>Water resources</v>
      </c>
      <c r="C3280" s="1" t="str">
        <f ca="1">IFERROR(__xludf.DUMMYFUNCTION("GOOGLETRANSLATE(E3280, ""zh"", ""en"")"),"Qualitative text")</f>
        <v>Qualitative text</v>
      </c>
    </row>
    <row r="3281" spans="1:3" ht="13" x14ac:dyDescent="0.15">
      <c r="A3281" s="1" t="str">
        <f ca="1">IFERROR(__xludf.DUMMYFUNCTION("GOOGLETRANSLATE(A3281, ""zh"", ""en"")"),"Strengthen supplier risk management. Issue notices and announcements to suppliers to clarify the types of violations and treatment standards. Publish supplier restricted lists from time to time. Timely notify and warn of risk information for controlled su"&amp;"ppliers with violations and abnormalities.")</f>
        <v>Strengthen supplier risk management. Issue notices and announcements to suppliers to clarify the types of violations and treatment standards. Publish supplier restricted lists from time to time. Timely notify and warn of risk information for controlled suppliers with violations and abnormalities.</v>
      </c>
      <c r="B3281" s="1" t="str">
        <f ca="1">IFERROR(__xludf.DUMMYFUNCTION("GOOGLETRANSLATE(A3281, ""zh"", ""en"")"),"supply chain management")</f>
        <v>supply chain management</v>
      </c>
      <c r="C3281" s="1" t="str">
        <f ca="1">IFERROR(__xludf.DUMMYFUNCTION("GOOGLETRANSLATE(E3281, ""zh"", ""en"")"),"Qualitative text")</f>
        <v>Qualitative text</v>
      </c>
    </row>
    <row r="3282" spans="1:3" ht="13" x14ac:dyDescent="0.15">
      <c r="A3282" s="1" t="str">
        <f ca="1">IFERROR(__xludf.DUMMYFUNCTION("GOOGLETRANSLATE(A3282, ""zh"", ""en"")"),"P49 Labor Standards 3. Enterprises should uphold freedom of association, recognize the right of collective bargaining between labor and management, safeguard employee rights, establish and improve the system of employee representative conferences, and gua"&amp;"rantee employees' rights to know, participate, express, and supervise.")</f>
        <v>P49 Labor Standards 3. Enterprises should uphold freedom of association, recognize the right of collective bargaining between labor and management, safeguard employee rights, establish and improve the system of employee representative conferences, and guarantee employees' rights to know, participate, express, and supervise.</v>
      </c>
      <c r="B3282" s="1" t="str">
        <f ca="1">IFERROR(__xludf.DUMMYFUNCTION("GOOGLETRANSLATE(A3282, ""zh"", ""en"")"),"staff")</f>
        <v>staff</v>
      </c>
      <c r="C3282" s="1" t="str">
        <f ca="1">IFERROR(__xludf.DUMMYFUNCTION("GOOGLETRANSLATE(E3282, ""zh"", ""en"")"),"Qualitative text")</f>
        <v>Qualitative text</v>
      </c>
    </row>
    <row r="3283" spans="1:3" ht="13" x14ac:dyDescent="0.15">
      <c r="A3283" s="1" t="str">
        <f ca="1">IFERROR(__xludf.DUMMYFUNCTION("GOOGLETRANSLATE(A3283, ""zh"", ""en"")"),"Attaching great importance to social employment and related recruitment work, we completed 138 university intern recruitments, 152 social recruitments, and 21 campus recruitments throughout the year, providing more than 30 types of positions for applicant"&amp;"s.")</f>
        <v>Attaching great importance to social employment and related recruitment work, we completed 138 university intern recruitments, 152 social recruitments, and 21 campus recruitments throughout the year, providing more than 30 types of positions for applicants.</v>
      </c>
      <c r="B3283" s="1" t="str">
        <f ca="1">IFERROR(__xludf.DUMMYFUNCTION("GOOGLETRANSLATE(A3283, ""zh"", ""en"")"),"Promoting employment")</f>
        <v>Promoting employment</v>
      </c>
      <c r="C3283" s="1" t="str">
        <f ca="1">IFERROR(__xludf.DUMMYFUNCTION("GOOGLETRANSLATE(E3283, ""zh"", ""en"")"),"Quantitative Text")</f>
        <v>Quantitative Text</v>
      </c>
    </row>
    <row r="3284" spans="1:3" ht="13" x14ac:dyDescent="0.15">
      <c r="A3284" s="1" t="str">
        <f ca="1">IFERROR(__xludf.DUMMYFUNCTION("GOOGLETRANSLATE(A3284, ""zh"", ""en"")"),"This strategic bank includes large state-owned banks, joint-stock banks, and some provincial city commercial banks and rural commercial banks. In the future, a new round of cooperation will be launched in the areas of supply chain finance platform operati"&amp;"on, digital docking, customer resource sharing, etc.")</f>
        <v>This strategic bank includes large state-owned banks, joint-stock banks, and some provincial city commercial banks and rural commercial banks. In the future, a new round of cooperation will be launched in the areas of supply chain finance platform operation, digital docking, customer resource sharing, etc.</v>
      </c>
      <c r="B3284" s="1" t="str">
        <f ca="1">IFERROR(__xludf.DUMMYFUNCTION("GOOGLETRANSLATE(A3284, ""zh"", ""en"")"),"supply chain management")</f>
        <v>supply chain management</v>
      </c>
      <c r="C3284" s="1" t="str">
        <f ca="1">IFERROR(__xludf.DUMMYFUNCTION("GOOGLETRANSLATE(E3284, ""zh"", ""en"")"),"Qualitative text")</f>
        <v>Qualitative text</v>
      </c>
    </row>
    <row r="3285" spans="1:3" ht="13" x14ac:dyDescent="0.15">
      <c r="A3285" s="1" t="str">
        <f ca="1">IFERROR(__xludf.DUMMYFUNCTION("GOOGLETRANSLATE(A3285, ""zh"", ""en"")"),"360 provides customized industrial Internet attack scenario research platforms based on the actual situation of universities, such as usage scenarios, management architecture, and business types, to support the laboratory's research and teaching activitie"&amp;"s on industrial Internet security attack and defense.")</f>
        <v>360 provides customized industrial Internet attack scenario research platforms based on the actual situation of universities, such as usage scenarios, management architecture, and business types, to support the laboratory's research and teaching activities on industrial Internet security attack and defense.</v>
      </c>
      <c r="B3285" s="1" t="str">
        <f ca="1">IFERROR(__xludf.DUMMYFUNCTION("GOOGLETRANSLATE(A3285, ""zh"", ""en"")"),"Data security")</f>
        <v>Data security</v>
      </c>
      <c r="C3285" s="1" t="str">
        <f ca="1">IFERROR(__xludf.DUMMYFUNCTION("GOOGLETRANSLATE(E3285, ""zh"", ""en"")"),"Qualitative text")</f>
        <v>Qualitative text</v>
      </c>
    </row>
    <row r="3286" spans="1:3" ht="13" x14ac:dyDescent="0.15">
      <c r="A3286" s="1" t="str">
        <f ca="1">IFERROR(__xludf.DUMMYFUNCTION("GOOGLETRANSLATE(A3286, ""zh"", ""en"")"),"At the same time, the company collects and responds to investors' inquiries, complaints, suggestions and other requests through the investor relations column opened on the website and the Shanghai Stock Exchange e-interactive platform, and publishes and u"&amp;"pdates relevant information on investor relations management in a timely manner.")</f>
        <v>At the same time, the company collects and responds to investors' inquiries, complaints, suggestions and other requests through the investor relations column opened on the website and the Shanghai Stock Exchange e-interactive platform, and publishes and updates relevant information on investor relations management in a timely manner.</v>
      </c>
      <c r="B3286" s="1" t="str">
        <f ca="1">IFERROR(__xludf.DUMMYFUNCTION("GOOGLETRANSLATE(A3286, ""zh"", ""en"")"),"Information Disclosure and Investor Communication")</f>
        <v>Information Disclosure and Investor Communication</v>
      </c>
      <c r="C3286" s="1" t="str">
        <f ca="1">IFERROR(__xludf.DUMMYFUNCTION("GOOGLETRANSLATE(E3286, ""zh"", ""en"")"),"Qualitative text")</f>
        <v>Qualitative text</v>
      </c>
    </row>
    <row r="3287" spans="1:3" ht="13" x14ac:dyDescent="0.15">
      <c r="A3287" s="1" t="str">
        <f ca="1">IFERROR(__xludf.DUMMYFUNCTION("GOOGLETRANSLATE(A3287, ""zh"", ""en"")"),"By the end of 2022, the Hefei platform will establish business connections with Gansu Commodities. The Foshan platform, Ningbo platform and other platforms will establish business connections with Ouyeel Cloud Commerce. The Tianjin platform and Tangshan p"&amp;"latform will maintain communication with Shanxi Huayuan Road and Port Group.")</f>
        <v>By the end of 2022, the Hefei platform will establish business connections with Gansu Commodities. The Foshan platform, Ningbo platform and other platforms will establish business connections with Ouyeel Cloud Commerce. The Tianjin platform and Tangshan platform will maintain communication with Shanxi Huayuan Road and Port Group.</v>
      </c>
      <c r="B3287" s="1" t="str">
        <f ca="1">IFERROR(__xludf.DUMMYFUNCTION("GOOGLETRANSLATE(A3287, ""zh"", ""en"")"),"supply chain management")</f>
        <v>supply chain management</v>
      </c>
      <c r="C3287" s="1" t="str">
        <f ca="1">IFERROR(__xludf.DUMMYFUNCTION("GOOGLETRANSLATE(E3287, ""zh"", ""en"")"),"Qualitative text")</f>
        <v>Qualitative text</v>
      </c>
    </row>
    <row r="3288" spans="1:3" ht="13" x14ac:dyDescent="0.15">
      <c r="A3288" s="1" t="str">
        <f ca="1">IFERROR(__xludf.DUMMYFUNCTION("GOOGLETRANSLATE(A3288, ""zh"", ""en"")"),"Organize and carry out legal compliance training, including eight types of special training, including economic sanctions, import and export controls, anti-corruption, anti-commercial bribery, and prevention of insider trading. Carry out compliance public"&amp;"ity activities to strengthen the company's employees' legal awareness and compliance spirit.")</f>
        <v>Organize and carry out legal compliance training, including eight types of special training, including economic sanctions, import and export controls, anti-corruption, anti-commercial bribery, and prevention of insider trading. Carry out compliance publicity activities to strengthen the company's employees' legal awareness and compliance spirit.</v>
      </c>
      <c r="B3288" s="1" t="str">
        <f ca="1">IFERROR(__xludf.DUMMYFUNCTION("GOOGLETRANSLATE(A3288, ""zh"", ""en"")"),"Legal proceedings and external sanctions")</f>
        <v>Legal proceedings and external sanctions</v>
      </c>
      <c r="C3288" s="1" t="str">
        <f ca="1">IFERROR(__xludf.DUMMYFUNCTION("GOOGLETRANSLATE(E3288, ""zh"", ""en"")"),"Qualitative text")</f>
        <v>Qualitative text</v>
      </c>
    </row>
    <row r="3289" spans="1:3" ht="13" x14ac:dyDescent="0.15">
      <c r="A3289" s="1" t="str">
        <f ca="1">IFERROR(__xludf.DUMMYFUNCTION("GOOGLETRANSLATE(A3289, ""zh"", ""en"")"),"The head office held a production safety committee meeting and a production safety work meeting to study and deploy production safety work and mobilize the entire bank to further clarify tasks and strengthen responsibilities to promote the implementation "&amp;"of various production safety tasks.")</f>
        <v>The head office held a production safety committee meeting and a production safety work meeting to study and deploy production safety work and mobilize the entire bank to further clarify tasks and strengthen responsibilities to promote the implementation of various production safety tasks.</v>
      </c>
      <c r="B3289" s="1" t="str">
        <f ca="1">IFERROR(__xludf.DUMMYFUNCTION("GOOGLETRANSLATE(A3289, ""zh"", ""en"")"),"staff")</f>
        <v>staff</v>
      </c>
      <c r="C3289" s="1" t="str">
        <f ca="1">IFERROR(__xludf.DUMMYFUNCTION("GOOGLETRANSLATE(E3289, ""zh"", ""en"")"),"Qualitative text")</f>
        <v>Qualitative text</v>
      </c>
    </row>
    <row r="3290" spans="1:3" ht="13" x14ac:dyDescent="0.15">
      <c r="A3290" s="1" t="str">
        <f ca="1">IFERROR(__xludf.DUMMYFUNCTION("GOOGLETRANSLATE(A3290, ""zh"", ""en"")"),"Emission reduction targets: Every year, we carry out low-carbon publicity activities throughout the bank in conjunction with World Environment Day, World Water Day and National Energy Conservation Publicity Week, carry out professional knowledge training "&amp;"on carbon peak and carbon neutrality, and enhance employees' awareness of low-carbon and energy-saving living.")</f>
        <v>Emission reduction targets: Every year, we carry out low-carbon publicity activities throughout the bank in conjunction with World Environment Day, World Water Day and National Energy Conservation Publicity Week, carry out professional knowledge training on carbon peak and carbon neutrality, and enhance employees' awareness of low-carbon and energy-saving living.</v>
      </c>
      <c r="B3290" s="1" t="str">
        <f ca="1">IFERROR(__xludf.DUMMYFUNCTION("GOOGLETRANSLATE(A3290, ""zh"", ""en"")"),"carbon emissions")</f>
        <v>carbon emissions</v>
      </c>
      <c r="C3290" s="1" t="str">
        <f ca="1">IFERROR(__xludf.DUMMYFUNCTION("GOOGLETRANSLATE(E3290, ""zh"", ""en"")"),"Qualitative text")</f>
        <v>Qualitative text</v>
      </c>
    </row>
    <row r="3291" spans="1:3" ht="13" x14ac:dyDescent="0.15">
      <c r="A3291" s="1" t="str">
        <f ca="1">IFERROR(__xludf.DUMMYFUNCTION("GOOGLETRANSLATE(A3291, ""zh"", ""en"")"),"Conduct compliance audits. The Bank conducts operational risk audits and anti-money laundering audits every year. Based on the risk assessment results of different business units, it dynamically determines the audit coverage and scope of employee behavior"&amp;", operational risk, and anti-money laundering.")</f>
        <v>Conduct compliance audits. The Bank conducts operational risk audits and anti-money laundering audits every year. Based on the risk assessment results of different business units, it dynamically determines the audit coverage and scope of employee behavior, operational risk, and anti-money laundering.</v>
      </c>
      <c r="B3291" s="1" t="str">
        <f ca="1">IFERROR(__xludf.DUMMYFUNCTION("GOOGLETRANSLATE(A3291, ""zh"", ""en"")"),"Audit work")</f>
        <v>Audit work</v>
      </c>
      <c r="C3291" s="1" t="str">
        <f ca="1">IFERROR(__xludf.DUMMYFUNCTION("GOOGLETRANSLATE(E3291, ""zh"", ""en"")"),"Qualitative text")</f>
        <v>Qualitative text</v>
      </c>
    </row>
    <row r="3292" spans="1:3" ht="13" x14ac:dyDescent="0.15">
      <c r="A3292" s="1" t="str">
        <f ca="1">IFERROR(__xludf.DUMMYFUNCTION("GOOGLETRANSLATE(A3292, ""zh"", ""en"")"),"2. Standards used by China Construction Bank The standards used by your bank to prepare the performance information of the 2022 Social Responsibility Report are listed in the Report Preparation Basis in the Social Responsibility Report Notes (hereinafter "&amp;"referred to as the Preparation Basis).")</f>
        <v>2. Standards used by China Construction Bank The standards used by your bank to prepare the performance information of the 2022 Social Responsibility Report are listed in the Report Preparation Basis in the Social Responsibility Report Notes (hereinafter referred to as the Preparation Basis).</v>
      </c>
      <c r="B3292" s="1" t="str">
        <f ca="1">IFERROR(__xludf.DUMMYFUNCTION("GOOGLETRANSLATE(A3292, ""zh"", ""en"")"),"irrelevant text")</f>
        <v>irrelevant text</v>
      </c>
      <c r="C3292" s="1" t="str">
        <f ca="1">IFERROR(__xludf.DUMMYFUNCTION("GOOGLETRANSLATE(E3292, ""zh"", ""en"")"),"irrelevant text")</f>
        <v>irrelevant text</v>
      </c>
    </row>
    <row r="3293" spans="1:3" ht="13" x14ac:dyDescent="0.15">
      <c r="A3293" s="1" t="str">
        <f ca="1">IFERROR(__xludf.DUMMYFUNCTION("GOOGLETRANSLATE(A3293, ""zh"", ""en"")"),"Appendix V ESG Ratings: MSCIESG Rating: BBB In 2022, Haier Smart Home's MSCI MSCIESG rating was upgraded from BB to BBB, the highest level in the Chinese home appliance industry.")</f>
        <v>Appendix V ESG Ratings: MSCIESG Rating: BBB In 2022, Haier Smart Home's MSCI MSCIESG rating was upgraded from BB to BBB, the highest level in the Chinese home appliance industry.</v>
      </c>
      <c r="B3293" s="1" t="str">
        <f ca="1">IFERROR(__xludf.DUMMYFUNCTION("GOOGLETRANSLATE(A3293, ""zh"", ""en"")"),"Sustainable certification")</f>
        <v>Sustainable certification</v>
      </c>
      <c r="C3293" s="1" t="str">
        <f ca="1">IFERROR(__xludf.DUMMYFUNCTION("GOOGLETRANSLATE(E3293, ""zh"", ""en"")"),"Quantitative Text")</f>
        <v>Quantitative Text</v>
      </c>
    </row>
    <row r="3294" spans="1:3" ht="13" x14ac:dyDescent="0.15">
      <c r="A3294" s="1" t="str">
        <f ca="1">IFERROR(__xludf.DUMMYFUNCTION("GOOGLETRANSLATE(A3294, ""zh"", ""en"")"),"Fortune Global Most Admired Companies Ranking February 2023 Fortune magazine released the 2023 Global Most Admired Companies Ranking. Haier Smart Home was selected again and topped the home appliances and home furnishings industry for the first time.")</f>
        <v>Fortune Global Most Admired Companies Ranking February 2023 Fortune magazine released the 2023 Global Most Admired Companies Ranking. Haier Smart Home was selected again and topped the home appliances and home furnishings industry for the first time.</v>
      </c>
      <c r="B3294" s="1" t="str">
        <f ca="1">IFERROR(__xludf.DUMMYFUNCTION("GOOGLETRANSLATE(A3294, ""zh"", ""en"")"),"Sustainable certification")</f>
        <v>Sustainable certification</v>
      </c>
      <c r="C3294" s="1" t="str">
        <f ca="1">IFERROR(__xludf.DUMMYFUNCTION("GOOGLETRANSLATE(E3294, ""zh"", ""en"")"),"Quantitative Text")</f>
        <v>Quantitative Text</v>
      </c>
    </row>
    <row r="3295" spans="1:3" ht="13" x14ac:dyDescent="0.15">
      <c r="A3295" s="1" t="str">
        <f ca="1">IFERROR(__xludf.DUMMYFUNCTION("GOOGLETRANSLATE(A3295, ""zh"", ""en"")"),"Livzon Group, a subsidiary of Kangyuan Group, has established a systematic human rights due diligence process, including human rights risk assessment, annual human rights policy implementation review and reporting, and the development and implementation o"&amp;"f mitigation and remediation measures.")</f>
        <v>Livzon Group, a subsidiary of Kangyuan Group, has established a systematic human rights due diligence process, including human rights risk assessment, annual human rights policy implementation review and reporting, and the development and implementation of mitigation and remediation measures.</v>
      </c>
      <c r="B3295" s="1" t="str">
        <f ca="1">IFERROR(__xludf.DUMMYFUNCTION("GOOGLETRANSLATE(A3295, ""zh"", ""en"")"),"staff")</f>
        <v>staff</v>
      </c>
      <c r="C3295" s="1" t="str">
        <f ca="1">IFERROR(__xludf.DUMMYFUNCTION("GOOGLETRANSLATE(E3295, ""zh"", ""en"")"),"Qualitative text")</f>
        <v>Qualitative text</v>
      </c>
    </row>
    <row r="3296" spans="1:3" ht="13" x14ac:dyDescent="0.15">
      <c r="A3296" s="1" t="str">
        <f ca="1">IFERROR(__xludf.DUMMYFUNCTION("GOOGLETRANSLATE(A3296, ""zh"", ""en"")"),"Performance Appraisal and Feedback Mechanism: The Group has established a clear performance appraisal and feedback mechanism and continues to implement the OKR and KPI dual-track management system. Performance appraisals covering all employees are conduct"&amp;"ed every six months.")</f>
        <v>Performance Appraisal and Feedback Mechanism: The Group has established a clear performance appraisal and feedback mechanism and continues to implement the OKR and KPI dual-track management system. Performance appraisals covering all employees are conducted every six months.</v>
      </c>
      <c r="B3296" s="1" t="str">
        <f ca="1">IFERROR(__xludf.DUMMYFUNCTION("GOOGLETRANSLATE(A3296, ""zh"", ""en"")"),"staff")</f>
        <v>staff</v>
      </c>
      <c r="C3296" s="1" t="str">
        <f ca="1">IFERROR(__xludf.DUMMYFUNCTION("GOOGLETRANSLATE(E3296, ""zh"", ""en"")"),"Qualitative text")</f>
        <v>Qualitative text</v>
      </c>
    </row>
    <row r="3297" spans="1:3" ht="13" x14ac:dyDescent="0.15">
      <c r="A3297" s="1" t="str">
        <f ca="1">IFERROR(__xludf.DUMMYFUNCTION("GOOGLETRANSLATE(A3297, ""zh"", ""en"")"),"In 2022, Livzon Group, a subsidiary of Kangyuan Group, continued to promote the revitalization of the Astragalus industry. The planting area of ​​its self-built base in Hunyuan County, Datong City, Shanxi Province increased by 300 mu and 55 new local work"&amp;"ers were hired.")</f>
        <v>In 2022, Livzon Group, a subsidiary of Kangyuan Group, continued to promote the revitalization of the Astragalus industry. The planting area of ​​its self-built base in Hunyuan County, Datong City, Shanxi Province increased by 300 mu and 55 new local workers were hired.</v>
      </c>
      <c r="B3297" s="1" t="str">
        <f ca="1">IFERROR(__xludf.DUMMYFUNCTION("GOOGLETRANSLATE(A3297, ""zh"", ""en"")"),"Promoting employment")</f>
        <v>Promoting employment</v>
      </c>
      <c r="C3297" s="1" t="str">
        <f ca="1">IFERROR(__xludf.DUMMYFUNCTION("GOOGLETRANSLATE(E3297, ""zh"", ""en"")"),"Quantitative Text")</f>
        <v>Quantitative Text</v>
      </c>
    </row>
    <row r="3298" spans="1:3" ht="13" x14ac:dyDescent="0.15">
      <c r="A3298" s="1" t="str">
        <f ca="1">IFERROR(__xludf.DUMMYFUNCTION("GOOGLETRANSLATE(A3298, ""zh"", ""en"")"),"Each production subsidiary of the Group shall fill in and apply for a pollutant discharge permit in accordance with the law on the national unified platform. After the permit is issued, it shall strictly follow the permit requirements to discharge polluta"&amp;"nts within the validity period and resolutely ensure the compliance of pollutant emissions.")</f>
        <v>Each production subsidiary of the Group shall fill in and apply for a pollutant discharge permit in accordance with the law on the national unified platform. After the permit is issued, it shall strictly follow the permit requirements to discharge pollutants within the validity period and resolutely ensure the compliance of pollutant emissions.</v>
      </c>
      <c r="B3298" s="1" t="str">
        <f ca="1">IFERROR(__xludf.DUMMYFUNCTION("GOOGLETRANSLATE(A3298, ""zh"", ""en"")"),"Waste Management")</f>
        <v>Waste Management</v>
      </c>
      <c r="C3298" s="1" t="str">
        <f ca="1">IFERROR(__xludf.DUMMYFUNCTION("GOOGLETRANSLATE(E3298, ""zh"", ""en"")"),"Qualitative text")</f>
        <v>Qualitative text</v>
      </c>
    </row>
    <row r="3299" spans="1:3" ht="13" x14ac:dyDescent="0.15">
      <c r="A3299" s="1" t="str">
        <f ca="1">IFERROR(__xludf.DUMMYFUNCTION("GOOGLETRANSLATE(A3299, ""zh"", ""en"")"),"At the same time, according to the requirements of the pollutant discharge permit and the company's self-monitoring plan, Xinxiang Haibin conducts manual inspections of exhaust gas every quarter to ensure the authenticity and accuracy of exhaust gas relat"&amp;"ed data and promote efficient exhaust gas management.")</f>
        <v>At the same time, according to the requirements of the pollutant discharge permit and the company's self-monitoring plan, Xinxiang Haibin conducts manual inspections of exhaust gas every quarter to ensure the authenticity and accuracy of exhaust gas related data and promote efficient exhaust gas management.</v>
      </c>
      <c r="B3299" s="1" t="str">
        <f ca="1">IFERROR(__xludf.DUMMYFUNCTION("GOOGLETRANSLATE(A3299, ""zh"", ""en"")"),"Waste Management")</f>
        <v>Waste Management</v>
      </c>
      <c r="C3299" s="1" t="str">
        <f ca="1">IFERROR(__xludf.DUMMYFUNCTION("GOOGLETRANSLATE(E3299, ""zh"", ""en"")"),"Qualitative text")</f>
        <v>Qualitative text</v>
      </c>
    </row>
    <row r="3300" spans="1:3" ht="13" x14ac:dyDescent="0.15">
      <c r="A3300" s="1" t="str">
        <f ca="1">IFERROR(__xludf.DUMMYFUNCTION("GOOGLETRANSLATE(A3300, ""zh"", ""en"")"),"Facing the new opportunities of dual carbonization, Shanghai Electric is actively planning high-quality, high-level and high-impact strategic cooperation, and continues to optimize cooperation models and innovate cooperation ideas to maintain its pioneeri"&amp;"ng position in many fields such as energy manufacturing.")</f>
        <v>Facing the new opportunities of dual carbonization, Shanghai Electric is actively planning high-quality, high-level and high-impact strategic cooperation, and continues to optimize cooperation models and innovate cooperation ideas to maintain its pioneering position in many fields such as energy manufacturing.</v>
      </c>
      <c r="B3300" s="1" t="str">
        <f ca="1">IFERROR(__xludf.DUMMYFUNCTION("GOOGLETRANSLATE(A3300, ""zh"", ""en"")"),"carbon emissions")</f>
        <v>carbon emissions</v>
      </c>
      <c r="C3300" s="1" t="str">
        <f ca="1">IFERROR(__xludf.DUMMYFUNCTION("GOOGLETRANSLATE(E3300, ""zh"", ""en"")"),"Qualitative text")</f>
        <v>Qualitative text</v>
      </c>
    </row>
    <row r="3301" spans="1:3" ht="13" x14ac:dyDescent="0.15">
      <c r="A3301" s="1" t="str">
        <f ca="1">IFERROR(__xludf.DUMMYFUNCTION("GOOGLETRANSLATE(A3301, ""zh"", ""en"")"),"The 14th Five-Year Plan was released. 2022 Social Responsibility Report was released on May 26, 2022. The 19th World Brand Conference, hosted by the World Brand Lab, was held in Beijing on July 26, 2022.")</f>
        <v>The 14th Five-Year Plan was released. 2022 Social Responsibility Report was released on May 26, 2022. The 19th World Brand Conference, hosted by the World Brand Lab, was held in Beijing on July 26, 2022.</v>
      </c>
      <c r="B3301" s="1" t="str">
        <f ca="1">IFERROR(__xludf.DUMMYFUNCTION("GOOGLETRANSLATE(A3301, ""zh"", ""en"")"),"irrelevant text")</f>
        <v>irrelevant text</v>
      </c>
      <c r="C3301" s="1" t="str">
        <f ca="1">IFERROR(__xludf.DUMMYFUNCTION("GOOGLETRANSLATE(E3301, ""zh"", ""en"")"),"irrelevant text")</f>
        <v>irrelevant text</v>
      </c>
    </row>
    <row r="3302" spans="1:3" ht="13" x14ac:dyDescent="0.15">
      <c r="A3302" s="1" t="str">
        <f ca="1">IFERROR(__xludf.DUMMYFUNCTION("GOOGLETRANSLATE(A3302, ""zh"", ""en"")"),"Carry out cross-industry technical exchanges and cooperation through major scientific research projects in key areas of the group, explore the establishment of cross-industry project organizations, further integrate the group's scientific and technologica"&amp;"l resources, and promote industry collaborative innovation.")</f>
        <v>Carry out cross-industry technical exchanges and cooperation through major scientific research projects in key areas of the group, explore the establishment of cross-industry project organizations, further integrate the group's scientific and technological resources, and promote industry collaborative innovation.</v>
      </c>
      <c r="B3302" s="1" t="str">
        <f ca="1">IFERROR(__xludf.DUMMYFUNCTION("GOOGLETRANSLATE(A3302, ""zh"", ""en"")"),"Technological innovation")</f>
        <v>Technological innovation</v>
      </c>
      <c r="C3302" s="1" t="str">
        <f ca="1">IFERROR(__xludf.DUMMYFUNCTION("GOOGLETRANSLATE(E3302, ""zh"", ""en"")"),"Qualitative text")</f>
        <v>Qualitative text</v>
      </c>
    </row>
    <row r="3303" spans="1:3" ht="13" x14ac:dyDescent="0.15">
      <c r="A3303" s="1" t="str">
        <f ca="1">IFERROR(__xludf.DUMMYFUNCTION("GOOGLETRANSLATE(A3303, ""zh"", ""en"")"),"Through the unified rice model of seed selection, seedling cultivation, mechanical operation, tillage management, fertilization and pest and disease control, a 10,000-acre green organic rice planting base covering the Erhai Lake basin has been formed, wit"&amp;"h Gusheng Village as the main base.")</f>
        <v>Through the unified rice model of seed selection, seedling cultivation, mechanical operation, tillage management, fertilization and pest and disease control, a 10,000-acre green organic rice planting base covering the Erhai Lake basin has been formed, with Gusheng Village as the main base.</v>
      </c>
      <c r="B3303" s="1" t="str">
        <f ca="1">IFERROR(__xludf.DUMMYFUNCTION("GOOGLETRANSLATE(A3303, ""zh"", ""en"")"),"biodiversity")</f>
        <v>biodiversity</v>
      </c>
      <c r="C3303" s="1" t="str">
        <f ca="1">IFERROR(__xludf.DUMMYFUNCTION("GOOGLETRANSLATE(E3303, ""zh"", ""en"")"),"Qualitative text")</f>
        <v>Qualitative text</v>
      </c>
    </row>
    <row r="3304" spans="1:3" ht="13" x14ac:dyDescent="0.15">
      <c r="A3304" s="1" t="str">
        <f ca="1">IFERROR(__xludf.DUMMYFUNCTION("GOOGLETRANSLATE(A3304, ""zh"", ""en"")"),"Adhering to the concept of openness, collaboration and win-win cooperation, Shanghai Electric has joined hands with more than 70 world-class companies, collaborating with global customers, partners, employees and other creators to empower global industria"&amp;"l innovation and steadily embark on the path of green and sustainable development.")</f>
        <v>Adhering to the concept of openness, collaboration and win-win cooperation, Shanghai Electric has joined hands with more than 70 world-class companies, collaborating with global customers, partners, employees and other creators to empower global industrial innovation and steadily embark on the path of green and sustainable development.</v>
      </c>
      <c r="B3304" s="1" t="str">
        <f ca="1">IFERROR(__xludf.DUMMYFUNCTION("GOOGLETRANSLATE(A3304, ""zh"", ""en"")"),"Technological innovation")</f>
        <v>Technological innovation</v>
      </c>
      <c r="C3304" s="1" t="str">
        <f ca="1">IFERROR(__xludf.DUMMYFUNCTION("GOOGLETRANSLATE(E3304, ""zh"", ""en"")"),"Qualitative text")</f>
        <v>Qualitative text</v>
      </c>
    </row>
    <row r="3305" spans="1:3" ht="13" x14ac:dyDescent="0.15">
      <c r="A3305" s="1" t="str">
        <f ca="1">IFERROR(__xludf.DUMMYFUNCTION("GOOGLETRANSLATE(A3305, ""zh"", ""en"")"),"We accepted a total of 44 non-litigation cases, including 16 legal consultations, 3 correspondence processing, 20 notarizations, and 5 non-litigation mediations, ensuring that employees receive timely, convenient, high-quality, and efficient legal aid ser"&amp;"vices.")</f>
        <v>We accepted a total of 44 non-litigation cases, including 16 legal consultations, 3 correspondence processing, 20 notarizations, and 5 non-litigation mediations, ensuring that employees receive timely, convenient, high-quality, and efficient legal aid services.</v>
      </c>
      <c r="B3305" s="1" t="str">
        <f ca="1">IFERROR(__xludf.DUMMYFUNCTION("GOOGLETRANSLATE(A3305, ""zh"", ""en"")"),"Legal proceedings and external sanctions")</f>
        <v>Legal proceedings and external sanctions</v>
      </c>
      <c r="C3305" s="1" t="str">
        <f ca="1">IFERROR(__xludf.DUMMYFUNCTION("GOOGLETRANSLATE(E3305, ""zh"", ""en"")"),"Quantitative Text")</f>
        <v>Quantitative Text</v>
      </c>
    </row>
    <row r="3306" spans="1:3" ht="13" x14ac:dyDescent="0.15">
      <c r="A3306" s="1" t="str">
        <f ca="1">IFERROR(__xludf.DUMMYFUNCTION("GOOGLETRANSLATE(A3306, ""zh"", ""en"")"),"During the reporting period, the company strictly followed the above-mentioned system to strengthen the management of insider information. No insider was found to have used insider information to buy or sell the company's stocks before the disclosure of m"&amp;"ajor sensitive information that affected the company's stock price.")</f>
        <v>During the reporting period, the company strictly followed the above-mentioned system to strengthen the management of insider information. No insider was found to have used insider information to buy or sell the company's stocks before the disclosure of major sensitive information that affected the company's stock price.</v>
      </c>
      <c r="B3306" s="1" t="str">
        <f ca="1">IFERROR(__xludf.DUMMYFUNCTION("GOOGLETRANSLATE(A3306, ""zh"", ""en"")"),"Information Disclosure and Investor Communication")</f>
        <v>Information Disclosure and Investor Communication</v>
      </c>
      <c r="C3306" s="1" t="str">
        <f ca="1">IFERROR(__xludf.DUMMYFUNCTION("GOOGLETRANSLATE(E3306, ""zh"", ""en"")"),"Quantitative Text")</f>
        <v>Quantitative Text</v>
      </c>
    </row>
    <row r="3307" spans="1:3" ht="13" x14ac:dyDescent="0.15">
      <c r="A3307" s="1" t="str">
        <f ca="1">IFERROR(__xludf.DUMMYFUNCTION("GOOGLETRANSLATE(A3307, ""zh"", ""en"")"),"The company prohibits forced labor and child labor and firmly protects the human rights of workers. If similar incidents occur, we will strictly handle them in accordance with laws, regulations and company regulations and properly place forced laborers an"&amp;"d child laborers.")</f>
        <v>The company prohibits forced labor and child labor and firmly protects the human rights of workers. If similar incidents occur, we will strictly handle them in accordance with laws, regulations and company regulations and properly place forced laborers and child laborers.</v>
      </c>
      <c r="B3307" s="1" t="str">
        <f ca="1">IFERROR(__xludf.DUMMYFUNCTION("GOOGLETRANSLATE(A3307, ""zh"", ""en"")"),"staff")</f>
        <v>staff</v>
      </c>
      <c r="C3307" s="1" t="str">
        <f ca="1">IFERROR(__xludf.DUMMYFUNCTION("GOOGLETRANSLATE(E3307, ""zh"", ""en"")"),"Qualitative text")</f>
        <v>Qualitative text</v>
      </c>
    </row>
    <row r="3308" spans="1:3" ht="13" x14ac:dyDescent="0.15">
      <c r="A3308" s="1" t="str">
        <f ca="1">IFERROR(__xludf.DUMMYFUNCTION("GOOGLETRANSLATE(A3308, ""zh"", ""en"")"),"The company has formulated an environmental self-monitoring plan in accordance with the requirements of the environmental protection department and has made it public. According to the monitoring plan, the company has commissioned a qualified unit to regu"&amp;"larly monitor relevant pollutants and make the monitoring results public.")</f>
        <v>The company has formulated an environmental self-monitoring plan in accordance with the requirements of the environmental protection department and has made it public. According to the monitoring plan, the company has commissioned a qualified unit to regularly monitor relevant pollutants and make the monitoring results public.</v>
      </c>
      <c r="B3308" s="1" t="str">
        <f ca="1">IFERROR(__xludf.DUMMYFUNCTION("GOOGLETRANSLATE(A3308, ""zh"", ""en"")"),"Environmental Policy")</f>
        <v>Environmental Policy</v>
      </c>
      <c r="C3308" s="1" t="str">
        <f ca="1">IFERROR(__xludf.DUMMYFUNCTION("GOOGLETRANSLATE(E3308, ""zh"", ""en"")"),"Qualitative text")</f>
        <v>Qualitative text</v>
      </c>
    </row>
    <row r="3309" spans="1:3" ht="13" x14ac:dyDescent="0.15">
      <c r="A3309" s="1" t="str">
        <f ca="1">IFERROR(__xludf.DUMMYFUNCTION("GOOGLETRANSLATE(A3309, ""zh"", ""en"")"),"Women's Day illustration activities, essential oil stress relief activities for female employees, knowledge competitions to protect female employees' rights, and fun sports games for female employees. The company's overseas operations also attach great im"&amp;"portance to the rights and development of female employees.")</f>
        <v>Women's Day illustration activities, essential oil stress relief activities for female employees, knowledge competitions to protect female employees' rights, and fun sports games for female employees. The company's overseas operations also attach great importance to the rights and development of female employees.</v>
      </c>
      <c r="B3309" s="1" t="str">
        <f ca="1">IFERROR(__xludf.DUMMYFUNCTION("GOOGLETRANSLATE(A3309, ""zh"", ""en"")"),"staff")</f>
        <v>staff</v>
      </c>
      <c r="C3309" s="1" t="str">
        <f ca="1">IFERROR(__xludf.DUMMYFUNCTION("GOOGLETRANSLATE(E3309, ""zh"", ""en"")"),"Qualitative text")</f>
        <v>Qualitative text</v>
      </c>
    </row>
    <row r="3310" spans="1:3" ht="13" x14ac:dyDescent="0.15">
      <c r="A3310" s="1" t="str">
        <f ca="1">IFERROR(__xludf.DUMMYFUNCTION("GOOGLETRANSLATE(A3310, ""zh"", ""en"")"),"I Plant a Tree for Carbon Neutrality. This activity is held on the fundraising platform of China Green Foundation, the National Voluntary Tree Planting Network, to raise funds for China National Petroleum Corporation employees and other members of the pub"&amp;"lic to be used for voluntary tree planting and the construction of carbon sink forests and carbon neutral forests.")</f>
        <v>I Plant a Tree for Carbon Neutrality. This activity is held on the fundraising platform of China Green Foundation, the National Voluntary Tree Planting Network, to raise funds for China National Petroleum Corporation employees and other members of the public to be used for voluntary tree planting and the construction of carbon sink forests and carbon neutral forests.</v>
      </c>
      <c r="B3310" s="1" t="str">
        <f ca="1">IFERROR(__xludf.DUMMYFUNCTION("GOOGLETRANSLATE(A3310, ""zh"", ""en"")"),"Public welfare and volunteer service")</f>
        <v>Public welfare and volunteer service</v>
      </c>
      <c r="C3310" s="1" t="str">
        <f ca="1">IFERROR(__xludf.DUMMYFUNCTION("GOOGLETRANSLATE(E3310, ""zh"", ""en"")"),"Qualitative text")</f>
        <v>Qualitative text</v>
      </c>
    </row>
    <row r="3311" spans="1:3" ht="13" x14ac:dyDescent="0.15">
      <c r="A3311" s="1" t="str">
        <f ca="1">IFERROR(__xludf.DUMMYFUNCTION("GOOGLETRANSLATE(A3311, ""zh"", ""en"")"),"3. Number of work-related fatalities The number of work-related fatalities disclosed in the Environmental, Social and Governance (ESG) report refers to the number of deaths in industrial production safety accidents of China National Petroleum Corporation "&amp;"in 2022.")</f>
        <v>3. Number of work-related fatalities The number of work-related fatalities disclosed in the Environmental, Social and Governance (ESG) report refers to the number of deaths in industrial production safety accidents of China National Petroleum Corporation in 2022.</v>
      </c>
      <c r="B3311" s="1" t="str">
        <f ca="1">IFERROR(__xludf.DUMMYFUNCTION("GOOGLETRANSLATE(A3311, ""zh"", ""en"")"),"staff")</f>
        <v>staff</v>
      </c>
      <c r="C3311" s="1" t="str">
        <f ca="1">IFERROR(__xludf.DUMMYFUNCTION("GOOGLETRANSLATE(E3311, ""zh"", ""en"")"),"Quantitative Text")</f>
        <v>Quantitative Text</v>
      </c>
    </row>
    <row r="3312" spans="1:3" ht="13" x14ac:dyDescent="0.15">
      <c r="A3312" s="1" t="str">
        <f ca="1">IFERROR(__xludf.DUMMYFUNCTION("GOOGLETRANSLATE(A3312, ""zh"", ""en"")"),"At the same time, we actively participated in social welfare undertakings, organized party member volunteers to provide support to multiple front-line epidemic prevention points, actively helped social groups affected by the epidemic, did a good job in so"&amp;"cial anti-epidemic work, and played the vanguard and exemplary role of party members.")</f>
        <v>At the same time, we actively participated in social welfare undertakings, organized party member volunteers to provide support to multiple front-line epidemic prevention points, actively helped social groups affected by the epidemic, did a good job in social anti-epidemic work, and played the vanguard and exemplary role of party members.</v>
      </c>
      <c r="B3312" s="1" t="str">
        <f ca="1">IFERROR(__xludf.DUMMYFUNCTION("GOOGLETRANSLATE(A3312, ""zh"", ""en"")"),"Fighting the epidemic")</f>
        <v>Fighting the epidemic</v>
      </c>
      <c r="C3312" s="1" t="str">
        <f ca="1">IFERROR(__xludf.DUMMYFUNCTION("GOOGLETRANSLATE(E3312, ""zh"", ""en"")"),"Qualitative text")</f>
        <v>Qualitative text</v>
      </c>
    </row>
    <row r="3313" spans="1:3" ht="13" x14ac:dyDescent="0.15">
      <c r="A3313" s="1" t="str">
        <f ca="1">IFERROR(__xludf.DUMMYFUNCTION("GOOGLETRANSLATE(A3313, ""zh"", ""en"")"),"Meropenem for injection, BeiNeng, a key product of Haibin Pharmaceutical, a subsidiary of Kangyuan, passed the generic drug quality and efficacy consistency evaluation in 2020, becoming the first meropenem for injection to pass the consistency evaluation "&amp;"in China.")</f>
        <v>Meropenem for injection, BeiNeng, a key product of Haibin Pharmaceutical, a subsidiary of Kangyuan, passed the generic drug quality and efficacy consistency evaluation in 2020, becoming the first meropenem for injection to pass the consistency evaluation in China.</v>
      </c>
      <c r="B3313" s="1" t="str">
        <f ca="1">IFERROR(__xludf.DUMMYFUNCTION("GOOGLETRANSLATE(A3313, ""zh"", ""en"")"),"Product quality")</f>
        <v>Product quality</v>
      </c>
      <c r="C3313" s="1" t="str">
        <f ca="1">IFERROR(__xludf.DUMMYFUNCTION("GOOGLETRANSLATE(E3313, ""zh"", ""en"")"),"Quantitative Text")</f>
        <v>Quantitative Text</v>
      </c>
    </row>
    <row r="3314" spans="1:3" ht="13" x14ac:dyDescent="0.15">
      <c r="A3314" s="1" t="str">
        <f ca="1">IFERROR(__xludf.DUMMYFUNCTION("GOOGLETRANSLATE(A3314, ""zh"", ""en"")"),"Haier Smart Home requires its suppliers and partners to follow high standards of business ethics, requiring them to formulate formal business ethics policies and sign special integrity agreements with them, including the module supplier on-site interconne"&amp;"ction integrity statement and other documents.")</f>
        <v>Haier Smart Home requires its suppliers and partners to follow high standards of business ethics, requiring them to formulate formal business ethics policies and sign special integrity agreements with them, including the module supplier on-site interconnection integrity statement and other documents.</v>
      </c>
      <c r="B3314" s="1" t="str">
        <f ca="1">IFERROR(__xludf.DUMMYFUNCTION("GOOGLETRANSLATE(A3314, ""zh"", ""en"")"),"Anti-corruption and anti-money laundering")</f>
        <v>Anti-corruption and anti-money laundering</v>
      </c>
      <c r="C3314" s="1" t="str">
        <f ca="1">IFERROR(__xludf.DUMMYFUNCTION("GOOGLETRANSLATE(E3314, ""zh"", ""en"")"),"Qualitative text")</f>
        <v>Qualitative text</v>
      </c>
    </row>
    <row r="3315" spans="1:3" ht="13" x14ac:dyDescent="0.15">
      <c r="A3315" s="1" t="str">
        <f ca="1">IFERROR(__xludf.DUMMYFUNCTION("GOOGLETRANSLATE(A3315, ""zh"", ""en"")"),"The company continuously strengthens the management of various types of solid waste generated during operations, strictly abides by relevant national laws and regulations in all aspects such as storage, transportation and disposal, and prevents and contro"&amp;"ls environmental pollution risks, and continuously improves the comprehensive utilization efficiency of waste.")</f>
        <v>The company continuously strengthens the management of various types of solid waste generated during operations, strictly abides by relevant national laws and regulations in all aspects such as storage, transportation and disposal, and prevents and controls environmental pollution risks, and continuously improves the comprehensive utilization efficiency of waste.</v>
      </c>
      <c r="B3315" s="1" t="str">
        <f ca="1">IFERROR(__xludf.DUMMYFUNCTION("GOOGLETRANSLATE(A3315, ""zh"", ""en"")"),"Waste Management")</f>
        <v>Waste Management</v>
      </c>
      <c r="C3315" s="1" t="str">
        <f ca="1">IFERROR(__xludf.DUMMYFUNCTION("GOOGLETRANSLATE(E3315, ""zh"", ""en"")"),"Qualitative text")</f>
        <v>Qualitative text</v>
      </c>
    </row>
    <row r="3316" spans="1:3" ht="13" x14ac:dyDescent="0.15">
      <c r="A3316" s="1" t="str">
        <f ca="1">IFERROR(__xludf.DUMMYFUNCTION("GOOGLETRANSLATE(A3316, ""zh"", ""en"")"),"The company continues to improve its compliance risk control over key aspects of its business processes and strengthens service compliance management in aspects such as customer account opening and transaction return visits. At the same time, the company "&amp;"actively conducts employee training to ensure service compliance.")</f>
        <v>The company continues to improve its compliance risk control over key aspects of its business processes and strengthens service compliance management in aspects such as customer account opening and transaction return visits. At the same time, the company actively conducts employee training to ensure service compliance.</v>
      </c>
      <c r="B3316" s="1" t="str">
        <f ca="1">IFERROR(__xludf.DUMMYFUNCTION("GOOGLETRANSLATE(A3316, ""zh"", ""en"")"),"Customers and Consumers")</f>
        <v>Customers and Consumers</v>
      </c>
      <c r="C3316" s="1" t="str">
        <f ca="1">IFERROR(__xludf.DUMMYFUNCTION("GOOGLETRANSLATE(E3316, ""zh"", ""en"")"),"Qualitative text")</f>
        <v>Qualitative text</v>
      </c>
    </row>
    <row r="3317" spans="1:3" ht="13" x14ac:dyDescent="0.15">
      <c r="A3317" s="1" t="str">
        <f ca="1">IFERROR(__xludf.DUMMYFUNCTION("GOOGLETRANSLATE(A3317, ""zh"", ""en"")"),"This year, the company held various ESG forums in different formats, focusing on different fields, conveying the company's ESG philosophy to the market and building a bridge of communication between issuers and investors from all over the world.")</f>
        <v>This year, the company held various ESG forums in different formats, focusing on different fields, conveying the company's ESG philosophy to the market and building a bridge of communication between issuers and investors from all over the world.</v>
      </c>
      <c r="B3317" s="1" t="str">
        <f ca="1">IFERROR(__xludf.DUMMYFUNCTION("GOOGLETRANSLATE(A3317, ""zh"", ""en"")"),"Information Disclosure and Investor Communication")</f>
        <v>Information Disclosure and Investor Communication</v>
      </c>
      <c r="C3317" s="1" t="str">
        <f ca="1">IFERROR(__xludf.DUMMYFUNCTION("GOOGLETRANSLATE(E3317, ""zh"", ""en"")"),"Qualitative text")</f>
        <v>Qualitative text</v>
      </c>
    </row>
    <row r="3318" spans="1:3" ht="13" x14ac:dyDescent="0.15">
      <c r="A3318" s="1" t="str">
        <f ca="1">IFERROR(__xludf.DUMMYFUNCTION("GOOGLETRANSLATE(A3318, ""zh"", ""en"")"),"SDIC Capital closely follows the core culture of SDIC and takes the vision of building a first-class listed financial holding platform for central enterprises in China as its mission to establish a distinctive corporate culture consisting of the company's"&amp;" vision, mission, responsibility and business philosophy.")</f>
        <v>SDIC Capital closely follows the core culture of SDIC and takes the vision of building a first-class listed financial holding platform for central enterprises in China as its mission to establish a distinctive corporate culture consisting of the company's vision, mission, responsibility and business philosophy.</v>
      </c>
      <c r="B3318" s="1" t="str">
        <f ca="1">IFERROR(__xludf.DUMMYFUNCTION("GOOGLETRANSLATE(A3318, ""zh"", ""en"")"),"Organizational structure and operations")</f>
        <v>Organizational structure and operations</v>
      </c>
      <c r="C3318" s="1" t="str">
        <f ca="1">IFERROR(__xludf.DUMMYFUNCTION("GOOGLETRANSLATE(E3318, ""zh"", ""en"")"),"Qualitative text")</f>
        <v>Qualitative text</v>
      </c>
    </row>
    <row r="3319" spans="1:3" ht="13" x14ac:dyDescent="0.15">
      <c r="A3319" s="1" t="str">
        <f ca="1">IFERROR(__xludf.DUMMYFUNCTION("GOOGLETRANSLATE(A3319, ""zh"", ""en"")"),"SDIC is committed to creating a better future through investment and aims to become a world-class capital investment company. We will integrate the core values ​​of innovation, professionalism, prudence and people-oriented into every aspect of our managem"&amp;"ent and operations.")</f>
        <v>SDIC is committed to creating a better future through investment and aims to become a world-class capital investment company. We will integrate the core values ​​of innovation, professionalism, prudence and people-oriented into every aspect of our management and operations.</v>
      </c>
      <c r="B3319" s="1" t="str">
        <f ca="1">IFERROR(__xludf.DUMMYFUNCTION("GOOGLETRANSLATE(A3319, ""zh"", ""en"")"),"Organizational structure and operations")</f>
        <v>Organizational structure and operations</v>
      </c>
      <c r="C3319" s="1" t="str">
        <f ca="1">IFERROR(__xludf.DUMMYFUNCTION("GOOGLETRANSLATE(E3319, ""zh"", ""en"")"),"Qualitative text")</f>
        <v>Qualitative text</v>
      </c>
    </row>
    <row r="3320" spans="1:3" ht="13" x14ac:dyDescent="0.15">
      <c r="A3320" s="1" t="str">
        <f ca="1">IFERROR(__xludf.DUMMYFUNCTION("GOOGLETRANSLATE(A3320, ""zh"", ""en"")"),"89929597 Key Areas Level General Disclosure and Key Performance Indicator Disclosure Index B. Social Operating Practices Level B5 Supply Chain Practices General Disclosure Policy on Managing Environmental and Social Risks in the Supply Chain")</f>
        <v>89929597 Key Areas Level General Disclosure and Key Performance Indicator Disclosure Index B. Social Operating Practices Level B5 Supply Chain Practices General Disclosure Policy on Managing Environmental and Social Risks in the Supply Chain</v>
      </c>
      <c r="B3320" s="1" t="str">
        <f ca="1">IFERROR(__xludf.DUMMYFUNCTION("GOOGLETRANSLATE(A3320, ""zh"", ""en"")"),"supply chain management")</f>
        <v>supply chain management</v>
      </c>
      <c r="C3320" s="1" t="str">
        <f ca="1">IFERROR(__xludf.DUMMYFUNCTION("GOOGLETRANSLATE(E3320, ""zh"", ""en"")"),"Qualitative text")</f>
        <v>Qualitative text</v>
      </c>
    </row>
    <row r="3321" spans="1:3" ht="13" x14ac:dyDescent="0.15">
      <c r="A3321" s="1" t="str">
        <f ca="1">IFERROR(__xludf.DUMMYFUNCTION("GOOGLETRANSLATE(A3321, ""zh"", ""en"")"),"The station actively builds hydrogen transportation application scenarios based on its integrated advantages. The station realizes hydrogen transmission through pipelines. The pipeline is 1.7 kilometers long and has a pressure of 1.2 MPa. It can effective"&amp;"ly reduce energy loss while improving the safety of the hydrogen refueling station.")</f>
        <v>The station actively builds hydrogen transportation application scenarios based on its integrated advantages. The station realizes hydrogen transmission through pipelines. The pipeline is 1.7 kilometers long and has a pressure of 1.2 MPa. It can effectively reduce energy loss while improving the safety of the hydrogen refueling station.</v>
      </c>
      <c r="B3321" s="1" t="str">
        <f ca="1">IFERROR(__xludf.DUMMYFUNCTION("GOOGLETRANSLATE(A3321, ""zh"", ""en"")"),"Energy and resource consumption")</f>
        <v>Energy and resource consumption</v>
      </c>
      <c r="C3321" s="1" t="str">
        <f ca="1">IFERROR(__xludf.DUMMYFUNCTION("GOOGLETRANSLATE(E3321, ""zh"", ""en"")"),"Qualitative text")</f>
        <v>Qualitative text</v>
      </c>
    </row>
    <row r="3322" spans="1:3" ht="13" x14ac:dyDescent="0.15">
      <c r="A3322" s="1" t="str">
        <f ca="1">IFERROR(__xludf.DUMMYFUNCTION("GOOGLETRANSLATE(A3322, ""zh"", ""en"")"),"The company continues to optimize the accounting module of the carbon asset management information system to improve the efficiency of enterprise data reporting. It completes the carbon inventory and carbon verification work at the plant level of all subo"&amp;"rdinate enterprises in the system, laying a solid foundation for the formulation of emission control measures.")</f>
        <v>The company continues to optimize the accounting module of the carbon asset management information system to improve the efficiency of enterprise data reporting. It completes the carbon inventory and carbon verification work at the plant level of all subordinate enterprises in the system, laying a solid foundation for the formulation of emission control measures.</v>
      </c>
      <c r="B3322" s="1" t="str">
        <f ca="1">IFERROR(__xludf.DUMMYFUNCTION("GOOGLETRANSLATE(A3322, ""zh"", ""en"")"),"carbon emissions")</f>
        <v>carbon emissions</v>
      </c>
      <c r="C3322" s="1" t="str">
        <f ca="1">IFERROR(__xludf.DUMMYFUNCTION("GOOGLETRANSLATE(E3322, ""zh"", ""en"")"),"Qualitative text")</f>
        <v>Qualitative text</v>
      </c>
    </row>
    <row r="3323" spans="1:3" ht="13" x14ac:dyDescent="0.15">
      <c r="A3323" s="1" t="str">
        <f ca="1">IFERROR(__xludf.DUMMYFUNCTION("GOOGLETRANSLATE(A3323, ""zh"", ""en"")"),"Occupational disease hazard risk management and employee occupational health management. The company attaches great importance to the identification, assessment and control of occupational health risks, and incorporates occupational disease risk managemen"&amp;"t into the company's comprehensive risk management system to implement an integrated management model.")</f>
        <v>Occupational disease hazard risk management and employee occupational health management. The company attaches great importance to the identification, assessment and control of occupational health risks, and incorporates occupational disease risk management into the company's comprehensive risk management system to implement an integrated management model.</v>
      </c>
      <c r="B3323" s="1" t="str">
        <f ca="1">IFERROR(__xludf.DUMMYFUNCTION("GOOGLETRANSLATE(A3323, ""zh"", ""en"")"),"staff")</f>
        <v>staff</v>
      </c>
      <c r="C3323" s="1" t="str">
        <f ca="1">IFERROR(__xludf.DUMMYFUNCTION("GOOGLETRANSLATE(E3323, ""zh"", ""en"")"),"Qualitative text")</f>
        <v>Qualitative text</v>
      </c>
    </row>
    <row r="3324" spans="1:3" ht="13" x14ac:dyDescent="0.15">
      <c r="A3324" s="1" t="str">
        <f ca="1">IFERROR(__xludf.DUMMYFUNCTION("GOOGLETRANSLATE(A3324, ""zh"", ""en"")"),"In addition to overall planning of the company's main strategies, its main task is to analyze the global economy and industry situation and combine the actual situation of the enterprise to provide feasible suggestions and opinions for the formulation of "&amp;"the company's environmental, social and governance policies.")</f>
        <v>In addition to overall planning of the company's main strategies, its main task is to analyze the global economy and industry situation and combine the actual situation of the enterprise to provide feasible suggestions and opinions for the formulation of the company's environmental, social and governance policies.</v>
      </c>
      <c r="B3324" s="1" t="str">
        <f ca="1">IFERROR(__xludf.DUMMYFUNCTION("GOOGLETRANSLATE(A3324, ""zh"", ""en"")"),"Organizational structure and operations")</f>
        <v>Organizational structure and operations</v>
      </c>
      <c r="C3324" s="1" t="str">
        <f ca="1">IFERROR(__xludf.DUMMYFUNCTION("GOOGLETRANSLATE(E3324, ""zh"", ""en"")"),"Qualitative text")</f>
        <v>Qualitative text</v>
      </c>
    </row>
    <row r="3325" spans="1:3" ht="13" x14ac:dyDescent="0.15">
      <c r="A3325" s="1" t="str">
        <f ca="1">IFERROR(__xludf.DUMMYFUNCTION("GOOGLETRANSLATE(A3325, ""zh"", ""en"")"),"Focus on the impact of enterprises on the external environment during production and operation in accordance with regulatory requirements. During due diligence, focus on the environmental risk scores of projects in high environmental risk areas and streng"&amp;"then credit risk management.")</f>
        <v>Focus on the impact of enterprises on the external environment during production and operation in accordance with regulatory requirements. During due diligence, focus on the environmental risk scores of projects in high environmental risk areas and strengthen credit risk management.</v>
      </c>
      <c r="B3325" s="1" t="str">
        <f ca="1">IFERROR(__xludf.DUMMYFUNCTION("GOOGLETRANSLATE(A3325, ""zh"", ""en"")"),"Environmental Policy")</f>
        <v>Environmental Policy</v>
      </c>
      <c r="C3325" s="1" t="str">
        <f ca="1">IFERROR(__xludf.DUMMYFUNCTION("GOOGLETRANSLATE(E3325, ""zh"", ""en"")"),"Qualitative text")</f>
        <v>Qualitative text</v>
      </c>
    </row>
    <row r="3326" spans="1:3" ht="13" x14ac:dyDescent="0.15">
      <c r="A3326" s="1" t="str">
        <f ca="1">IFERROR(__xludf.DUMMYFUNCTION("GOOGLETRANSLATE(A3326, ""zh"", ""en"")"),"We focus on building value chains and have collaborated with the Salta Provincial Government to complete external financing proposals for six production projects. We have also collaborated on developing production cooperation projects to promote developme"&amp;"nt cooperation and foreign investment management in the Los Andes region.")</f>
        <v>We focus on building value chains and have collaborated with the Salta Provincial Government to complete external financing proposals for six production projects. We have also collaborated on developing production cooperation projects to promote development cooperation and foreign investment management in the Los Andes region.</v>
      </c>
      <c r="B3326" s="1" t="str">
        <f ca="1">IFERROR(__xludf.DUMMYFUNCTION("GOOGLETRANSLATE(A3326, ""zh"", ""en"")"),"Technological innovation")</f>
        <v>Technological innovation</v>
      </c>
      <c r="C3326" s="1" t="str">
        <f ca="1">IFERROR(__xludf.DUMMYFUNCTION("GOOGLETRANSLATE(E3326, ""zh"", ""en"")"),"Qualitative text")</f>
        <v>Qualitative text</v>
      </c>
    </row>
    <row r="3327" spans="1:3" ht="13" x14ac:dyDescent="0.15">
      <c r="A3327" s="1" t="str">
        <f ca="1">IFERROR(__xludf.DUMMYFUNCTION("GOOGLETRANSLATE(A3327, ""zh"", ""en"")"),"Direct energy consumption mainly comes from the production activities of mines and smelters, as well as diesel, gasoline and coal used in transportation activities. Indirect energy consumption mainly comes from the purchased electricity from mines and sme"&amp;"lters.")</f>
        <v>Direct energy consumption mainly comes from the production activities of mines and smelters, as well as diesel, gasoline and coal used in transportation activities. Indirect energy consumption mainly comes from the purchased electricity from mines and smelters.</v>
      </c>
      <c r="B3327" s="1" t="str">
        <f ca="1">IFERROR(__xludf.DUMMYFUNCTION("GOOGLETRANSLATE(A3327, ""zh"", ""en"")"),"Energy and resource consumption")</f>
        <v>Energy and resource consumption</v>
      </c>
      <c r="C3327" s="1" t="str">
        <f ca="1">IFERROR(__xludf.DUMMYFUNCTION("GOOGLETRANSLATE(E3327, ""zh"", ""en"")"),"Qualitative text")</f>
        <v>Qualitative text</v>
      </c>
    </row>
    <row r="3328" spans="1:3" ht="13" x14ac:dyDescent="0.15">
      <c r="A3328" s="1" t="str">
        <f ca="1">IFERROR(__xludf.DUMMYFUNCTION("GOOGLETRANSLATE(A3328, ""zh"", ""en"")"),"Risk assessment: Regularly arrange occupational health examinations for employees in daily work and those exposed to occupational hazards during the reporting period. The results are kept confidential. The employee health examination coverage rate is 100%"&amp;".")</f>
        <v>Risk assessment: Regularly arrange occupational health examinations for employees in daily work and those exposed to occupational hazards during the reporting period. The results are kept confidential. The employee health examination coverage rate is 100%.</v>
      </c>
      <c r="B3328" s="1" t="str">
        <f ca="1">IFERROR(__xludf.DUMMYFUNCTION("GOOGLETRANSLATE(A3328, ""zh"", ""en"")"),"staff")</f>
        <v>staff</v>
      </c>
      <c r="C3328" s="1" t="str">
        <f ca="1">IFERROR(__xludf.DUMMYFUNCTION("GOOGLETRANSLATE(E3328, ""zh"", ""en"")"),"Quantitative Text")</f>
        <v>Quantitative Text</v>
      </c>
    </row>
    <row r="3329" spans="1:3" ht="13" x14ac:dyDescent="0.15">
      <c r="A3329" s="1" t="str">
        <f ca="1">IFERROR(__xludf.DUMMYFUNCTION("GOOGLETRANSLATE(A3329, ""zh"", ""en"")"),"In April 2022, Renfu Chengtian organized all employees to carry out training on laws and regulations such as the Guidelines for the Investigation and Management of Safety Risks in Hazardous Chemical Enterprises and the New Solid Waste Law to enhance the s"&amp;"afety awareness and knowledge reserves of all employees.")</f>
        <v>In April 2022, Renfu Chengtian organized all employees to carry out training on laws and regulations such as the Guidelines for the Investigation and Management of Safety Risks in Hazardous Chemical Enterprises and the New Solid Waste Law to enhance the safety awareness and knowledge reserves of all employees.</v>
      </c>
      <c r="B3329" s="1" t="str">
        <f ca="1">IFERROR(__xludf.DUMMYFUNCTION("GOOGLETRANSLATE(A3329, ""zh"", ""en"")"),"Chemical Safety")</f>
        <v>Chemical Safety</v>
      </c>
      <c r="C3329" s="1" t="str">
        <f ca="1">IFERROR(__xludf.DUMMYFUNCTION("GOOGLETRANSLATE(E3329, ""zh"", ""en"")"),"Qualitative text")</f>
        <v>Qualitative text</v>
      </c>
    </row>
    <row r="3330" spans="1:3" ht="13" x14ac:dyDescent="0.15">
      <c r="A3330" s="1" t="str">
        <f ca="1">IFERROR(__xludf.DUMMYFUNCTION("GOOGLETRANSLATE(A3330, ""zh"", ""en"")"),"Do not destroy the original vegetation and ecosystem; do not use protected animals in the production of experimental animals and the conduct of animal experiments; do not use protected plants and protected animals as raw materials in the production proces"&amp;"s;")</f>
        <v>Do not destroy the original vegetation and ecosystem; do not use protected animals in the production of experimental animals and the conduct of animal experiments; do not use protected plants and protected animals as raw materials in the production process;</v>
      </c>
      <c r="B3330" s="1" t="str">
        <f ca="1">IFERROR(__xludf.DUMMYFUNCTION("GOOGLETRANSLATE(A3330, ""zh"", ""en"")"),"raw materials")</f>
        <v>raw materials</v>
      </c>
      <c r="C3330" s="1" t="str">
        <f ca="1">IFERROR(__xludf.DUMMYFUNCTION("GOOGLETRANSLATE(E3330, ""zh"", ""en"")"),"Qualitative text")</f>
        <v>Qualitative text</v>
      </c>
    </row>
    <row r="3331" spans="1:3" ht="13" x14ac:dyDescent="0.15">
      <c r="A3331" s="1" t="str">
        <f ca="1">IFERROR(__xludf.DUMMYFUNCTION("GOOGLETRANSLATE(A3331, ""zh"", ""en"")"),"The company's business personnel received training on the regulations and knowledge of the medical representative registration management method and received training on the content of the Hubei Provincial Drug Administration's reminder and warning letter"&amp;" on the governance of unhealthy practices in the field of drug purchase and sales.")</f>
        <v>The company's business personnel received training on the regulations and knowledge of the medical representative registration management method and received training on the content of the Hubei Provincial Drug Administration's reminder and warning letter on the governance of unhealthy practices in the field of drug purchase and sales.</v>
      </c>
      <c r="B3331" s="1" t="str">
        <f ca="1">IFERROR(__xludf.DUMMYFUNCTION("GOOGLETRANSLATE(A3331, ""zh"", ""en"")"),"Anti-unfair competition")</f>
        <v>Anti-unfair competition</v>
      </c>
      <c r="C3331" s="1" t="str">
        <f ca="1">IFERROR(__xludf.DUMMYFUNCTION("GOOGLETRANSLATE(E3331, ""zh"", ""en"")"),"Qualitative text")</f>
        <v>Qualitative text</v>
      </c>
    </row>
    <row r="3332" spans="1:3" ht="13" x14ac:dyDescent="0.15">
      <c r="A3332" s="1" t="str">
        <f ca="1">IFERROR(__xludf.DUMMYFUNCTION("GOOGLETRANSLATE(A3332, ""zh"", ""en"")"),"Strengthen the supervision and evaluation mechanism. In 2022, the external auditor KPMG conducted internal control audits on 43 units of the company, covering monetary fund management, asset management, project management, contract management, information"&amp;" system and other businesses.")</f>
        <v>Strengthen the supervision and evaluation mechanism. In 2022, the external auditor KPMG conducted internal control audits on 43 units of the company, covering monetary fund management, asset management, project management, contract management, information system and other businesses.</v>
      </c>
      <c r="B3332" s="1" t="str">
        <f ca="1">IFERROR(__xludf.DUMMYFUNCTION("GOOGLETRANSLATE(A3332, ""zh"", ""en"")"),"Audit work")</f>
        <v>Audit work</v>
      </c>
      <c r="C3332" s="1" t="str">
        <f ca="1">IFERROR(__xludf.DUMMYFUNCTION("GOOGLETRANSLATE(E3332, ""zh"", ""en"")"),"Quantitative Text")</f>
        <v>Quantitative Text</v>
      </c>
    </row>
    <row r="3333" spans="1:3" ht="13" x14ac:dyDescent="0.15">
      <c r="A3333" s="1" t="str">
        <f ca="1">IFERROR(__xludf.DUMMYFUNCTION("GOOGLETRANSLATE(A3333, ""zh"", ""en"")"),"The domestic information security team and overseas regional information security contact persons hold a security meeting every two months to discuss topics such as IoT security phishing email drills and regional information security planning.")</f>
        <v>The domestic information security team and overseas regional information security contact persons hold a security meeting every two months to discuss topics such as IoT security phishing email drills and regional information security planning.</v>
      </c>
      <c r="B3333" s="1" t="str">
        <f ca="1">IFERROR(__xludf.DUMMYFUNCTION("GOOGLETRANSLATE(A3333, ""zh"", ""en"")"),"Data security")</f>
        <v>Data security</v>
      </c>
      <c r="C3333" s="1" t="str">
        <f ca="1">IFERROR(__xludf.DUMMYFUNCTION("GOOGLETRANSLATE(E3333, ""zh"", ""en"")"),"Qualitative text")</f>
        <v>Qualitative text</v>
      </c>
    </row>
    <row r="3334" spans="1:3" ht="13" x14ac:dyDescent="0.15">
      <c r="A3334" s="1" t="str">
        <f ca="1">IFERROR(__xludf.DUMMYFUNCTION("GOOGLETRANSLATE(A3334, ""zh"", ""en"")"),"At the same time, we actively take measures to formulate a risk management plan for adverse reactions in the pharmacovigilance management of the entire life cycle, and regularly improve the scientific support for pharmacovigilance in the drug development "&amp;"stage according to the plan.")</f>
        <v>At the same time, we actively take measures to formulate a risk management plan for adverse reactions in the pharmacovigilance management of the entire life cycle, and regularly improve the scientific support for pharmacovigilance in the drug development stage according to the plan.</v>
      </c>
      <c r="B3334" s="1" t="str">
        <f ca="1">IFERROR(__xludf.DUMMYFUNCTION("GOOGLETRANSLATE(A3334, ""zh"", ""en"")"),"Product quality")</f>
        <v>Product quality</v>
      </c>
      <c r="C3334" s="1" t="str">
        <f ca="1">IFERROR(__xludf.DUMMYFUNCTION("GOOGLETRANSLATE(E3334, ""zh"", ""en"")"),"Qualitative text")</f>
        <v>Qualitative text</v>
      </c>
    </row>
    <row r="3335" spans="1:3" ht="13" x14ac:dyDescent="0.15">
      <c r="A3335" s="1" t="str">
        <f ca="1">IFERROR(__xludf.DUMMYFUNCTION("GOOGLETRANSLATE(A3335, ""zh"", ""en"")"),"In view of the four aspects of the laws and regulations issued in 2022, the headquarters and member companies actively organize the participation of quality personnel in the quality law to provide professional knowledge training and answer questions.")</f>
        <v>In view of the four aspects of the laws and regulations issued in 2022, the headquarters and member companies actively organize the participation of quality personnel in the quality law to provide professional knowledge training and answer questions.</v>
      </c>
      <c r="B3335" s="1" t="str">
        <f ca="1">IFERROR(__xludf.DUMMYFUNCTION("GOOGLETRANSLATE(A3335, ""zh"", ""en"")"),"Product quality")</f>
        <v>Product quality</v>
      </c>
      <c r="C3335" s="1" t="str">
        <f ca="1">IFERROR(__xludf.DUMMYFUNCTION("GOOGLETRANSLATE(E3335, ""zh"", ""en"")"),"Qualitative text")</f>
        <v>Qualitative text</v>
      </c>
    </row>
    <row r="3336" spans="1:3" ht="13" x14ac:dyDescent="0.15">
      <c r="A3336" s="1" t="str">
        <f ca="1">IFERROR(__xludf.DUMMYFUNCTION("GOOGLETRANSLATE(A3336, ""zh"", ""en"")"),"Under this strategy, we also need to flexibly integrate supply chains and channel resources based on the characteristics of different categories. For example, small household appliances do not necessarily need to build their own factories, and marketing m"&amp;"ethods can also rely more on online digital tools.")</f>
        <v>Under this strategy, we also need to flexibly integrate supply chains and channel resources based on the characteristics of different categories. For example, small household appliances do not necessarily need to build their own factories, and marketing methods can also rely more on online digital tools.</v>
      </c>
      <c r="B3336" s="1" t="str">
        <f ca="1">IFERROR(__xludf.DUMMYFUNCTION("GOOGLETRANSLATE(A3336, ""zh"", ""en"")"),"supply chain management")</f>
        <v>supply chain management</v>
      </c>
      <c r="C3336" s="1" t="str">
        <f ca="1">IFERROR(__xludf.DUMMYFUNCTION("GOOGLETRANSLATE(E3336, ""zh"", ""en"")"),"Qualitative text")</f>
        <v>Qualitative text</v>
      </c>
    </row>
    <row r="3337" spans="1:3" ht="13" x14ac:dyDescent="0.15">
      <c r="A3337" s="1" t="str">
        <f ca="1">IFERROR(__xludf.DUMMYFUNCTION("GOOGLETRANSLATE(A3337, ""zh"", ""en"")"),"At the same time, we have opened up channels for old-for-new and home appliance recycling, making it convenient for users to submit applications for recycling used home appliances through online channels such as the official website, APP, WeChat public ac"&amp;"count, etc., and obtain online valuations to exchange old appliances for new ones, and get coupons, points, or cash.")</f>
        <v>At the same time, we have opened up channels for old-for-new and home appliance recycling, making it convenient for users to submit applications for recycling used home appliances through online channels such as the official website, APP, WeChat public account, etc., and obtain online valuations to exchange old appliances for new ones, and get coupons, points, or cash.</v>
      </c>
      <c r="B3337" s="1" t="str">
        <f ca="1">IFERROR(__xludf.DUMMYFUNCTION("GOOGLETRANSLATE(A3337, ""zh"", ""en"")"),"Waste Management")</f>
        <v>Waste Management</v>
      </c>
      <c r="C3337" s="1" t="str">
        <f ca="1">IFERROR(__xludf.DUMMYFUNCTION("GOOGLETRANSLATE(E3337, ""zh"", ""en"")"),"Qualitative text")</f>
        <v>Qualitative text</v>
      </c>
    </row>
    <row r="3338" spans="1:3" ht="13" x14ac:dyDescent="0.15">
      <c r="A3338" s="1" t="str">
        <f ca="1">IFERROR(__xludf.DUMMYFUNCTION("GOOGLETRANSLATE(A3338, ""zh"", ""en"")"),"Each employee can gradually develop good behavioral habits through this activity, which also further consolidates the foundation of full participation in safety work.")</f>
        <v>Each employee can gradually develop good behavioral habits through this activity, which also further consolidates the foundation of full participation in safety work.</v>
      </c>
      <c r="B3338" s="1" t="str">
        <f ca="1">IFERROR(__xludf.DUMMYFUNCTION("GOOGLETRANSLATE(A3338, ""zh"", ""en"")"),"staff")</f>
        <v>staff</v>
      </c>
      <c r="C3338" s="1" t="str">
        <f ca="1">IFERROR(__xludf.DUMMYFUNCTION("GOOGLETRANSLATE(E3338, ""zh"", ""en"")"),"Qualitative text")</f>
        <v>Qualitative text</v>
      </c>
    </row>
    <row r="3339" spans="1:3" ht="13" x14ac:dyDescent="0.15">
      <c r="A3339" s="1" t="str">
        <f ca="1">IFERROR(__xludf.DUMMYFUNCTION("GOOGLETRANSLATE(A3339, ""zh"", ""en"")"),"During the lockdown period, the company contacted the psychological counseling center to organize a number of online psychological group counseling activities. The activity themes included dynamic psychological management under the long-term epidemic, how"&amp;" to help children learn effectively during the epidemic, etc.")</f>
        <v>During the lockdown period, the company contacted the psychological counseling center to organize a number of online psychological group counseling activities. The activity themes included dynamic psychological management under the long-term epidemic, how to help children learn effectively during the epidemic, etc.</v>
      </c>
      <c r="B3339" s="1" t="str">
        <f ca="1">IFERROR(__xludf.DUMMYFUNCTION("GOOGLETRANSLATE(A3339, ""zh"", ""en"")"),"Fighting the epidemic")</f>
        <v>Fighting the epidemic</v>
      </c>
      <c r="C3339" s="1" t="str">
        <f ca="1">IFERROR(__xludf.DUMMYFUNCTION("GOOGLETRANSLATE(E3339, ""zh"", ""en"")"),"Qualitative text")</f>
        <v>Qualitative text</v>
      </c>
    </row>
    <row r="3340" spans="1:3" ht="13" x14ac:dyDescent="0.15">
      <c r="A3340" s="1" t="str">
        <f ca="1">IFERROR(__xludf.DUMMYFUNCTION("GOOGLETRANSLATE(A3340, ""zh"", ""en"")"),"We attached great importance to service at the service support site and completed the service support tasks during the 20th National Congress actively and conscientiously. Customers also expressed their affirmation and praise for the technical capabilitie"&amp;"s and service quality of the group's after-sales personnel.")</f>
        <v>We attached great importance to service at the service support site and completed the service support tasks during the 20th National Congress actively and conscientiously. Customers also expressed their affirmation and praise for the technical capabilities and service quality of the group's after-sales personnel.</v>
      </c>
      <c r="B3340" s="1" t="str">
        <f ca="1">IFERROR(__xludf.DUMMYFUNCTION("GOOGLETRANSLATE(A3340, ""zh"", ""en"")"),"Customers and Consumers")</f>
        <v>Customers and Consumers</v>
      </c>
      <c r="C3340" s="1" t="str">
        <f ca="1">IFERROR(__xludf.DUMMYFUNCTION("GOOGLETRANSLATE(E3340, ""zh"", ""en"")"),"Qualitative text")</f>
        <v>Qualitative text</v>
      </c>
    </row>
    <row r="3341" spans="1:3" ht="13" x14ac:dyDescent="0.15">
      <c r="A3341" s="1" t="str">
        <f ca="1">IFERROR(__xludf.DUMMYFUNCTION("GOOGLETRANSLATE(A3341, ""zh"", ""en"")"),"2023 is the starting year for the full implementation of the spirit of the 20th National Congress of the Communist Party of China, the crucial year for deepening the implementation of the 14th Five-Year Plan and promoting the high-quality development of C"&amp;"hina Animal Husbandry Co., Ltd., and the key year for accelerating the construction of a world-class enterprise.")</f>
        <v>2023 is the starting year for the full implementation of the spirit of the 20th National Congress of the Communist Party of China, the crucial year for deepening the implementation of the 14th Five-Year Plan and promoting the high-quality development of China Animal Husbandry Co., Ltd., and the key year for accelerating the construction of a world-class enterprise.</v>
      </c>
      <c r="B3341" s="1" t="str">
        <f ca="1">IFERROR(__xludf.DUMMYFUNCTION("GOOGLETRANSLATE(A3341, ""zh"", ""en"")"),"irrelevant text")</f>
        <v>irrelevant text</v>
      </c>
      <c r="C3341" s="1" t="str">
        <f ca="1">IFERROR(__xludf.DUMMYFUNCTION("GOOGLETRANSLATE(E3341, ""zh"", ""en"")"),"irrelevant text")</f>
        <v>irrelevant text</v>
      </c>
    </row>
    <row r="3342" spans="1:3" ht="13" x14ac:dyDescent="0.15">
      <c r="A3342" s="1" t="str">
        <f ca="1">IFERROR(__xludf.DUMMYFUNCTION("GOOGLETRANSLATE(A3342, ""zh"", ""en"")"),"Through the above-mentioned control measures, the compliance of relevant joint ventures has been greatly improved compared with previous years. Among them, the compliance rate of joint venture inspections in 2022 increased by nearly 20% compared with 2021"&amp;". The awareness of compliance and contract compliance in various regions has been continuously improved.")</f>
        <v>Through the above-mentioned control measures, the compliance of relevant joint ventures has been greatly improved compared with previous years. Among them, the compliance rate of joint venture inspections in 2022 increased by nearly 20% compared with 2021. The awareness of compliance and contract compliance in various regions has been continuously improved.</v>
      </c>
      <c r="B3342" s="1" t="str">
        <f ca="1">IFERROR(__xludf.DUMMYFUNCTION("GOOGLETRANSLATE(A3342, ""zh"", ""en"")"),"Legal proceedings and external sanctions")</f>
        <v>Legal proceedings and external sanctions</v>
      </c>
      <c r="C3342" s="1" t="str">
        <f ca="1">IFERROR(__xludf.DUMMYFUNCTION("GOOGLETRANSLATE(E3342, ""zh"", ""en"")"),"Quantitative Text")</f>
        <v>Quantitative Text</v>
      </c>
    </row>
    <row r="3343" spans="1:3" ht="13" x14ac:dyDescent="0.15">
      <c r="A3343" s="1" t="str">
        <f ca="1">IFERROR(__xludf.DUMMYFUNCTION("GOOGLETRANSLATE(A3343, ""zh"", ""en"")"),"In terms of social welfare, Fosun Pharma leveraged its own industrial advantages and jointly established the Star Love 121 Special Fund with the Shanghai Fosun Charity Foundation to carry out a number of public welfare activities in the fields of rural re"&amp;"vitalization, health care, support, education, etc.")</f>
        <v>In terms of social welfare, Fosun Pharma leveraged its own industrial advantages and jointly established the Star Love 121 Special Fund with the Shanghai Fosun Charity Foundation to carry out a number of public welfare activities in the fields of rural revitalization, health care, support, education, etc.</v>
      </c>
      <c r="B3343" s="1" t="str">
        <f ca="1">IFERROR(__xludf.DUMMYFUNCTION("GOOGLETRANSLATE(A3343, ""zh"", ""en"")"),"Public welfare and volunteer service")</f>
        <v>Public welfare and volunteer service</v>
      </c>
      <c r="C3343" s="1" t="str">
        <f ca="1">IFERROR(__xludf.DUMMYFUNCTION("GOOGLETRANSLATE(E3343, ""zh"", ""en"")"),"Qualitative text")</f>
        <v>Qualitative text</v>
      </c>
    </row>
    <row r="3344" spans="1:3" ht="13" x14ac:dyDescent="0.15">
      <c r="A3344" s="1" t="str">
        <f ca="1">IFERROR(__xludf.DUMMYFUNCTION("GOOGLETRANSLATE(A3344, ""zh"", ""en"")"),"Deputy Secretary of the Party Committee and President 2022 Social Responsibility Report Crossing the 200th Anniversary, Working Together to Create a Better Future Crossing the 200th Anniversary, Working Together to Create a Better Future 2022 Social Respo"&amp;"nsibility Report 2022 marks the 120th anniversary of Shanghai Electric.")</f>
        <v>Deputy Secretary of the Party Committee and President 2022 Social Responsibility Report Crossing the 200th Anniversary, Working Together to Create a Better Future Crossing the 200th Anniversary, Working Together to Create a Better Future 2022 Social Responsibility Report 2022 marks the 120th anniversary of Shanghai Electric.</v>
      </c>
      <c r="B3344" s="1" t="str">
        <f ca="1">IFERROR(__xludf.DUMMYFUNCTION("GOOGLETRANSLATE(A3344, ""zh"", ""en"")"),"irrelevant text")</f>
        <v>irrelevant text</v>
      </c>
      <c r="C3344" s="1" t="str">
        <f ca="1">IFERROR(__xludf.DUMMYFUNCTION("GOOGLETRANSLATE(E3344, ""zh"", ""en"")"),"irrelevant text")</f>
        <v>irrelevant text</v>
      </c>
    </row>
    <row r="3345" spans="1:3" ht="13" x14ac:dyDescent="0.15">
      <c r="A3345" s="1" t="str">
        <f ca="1">IFERROR(__xludf.DUMMYFUNCTION("GOOGLETRANSLATE(A3345, ""zh"", ""en"")"),"Take the environmental and climate risk management of clients or projects as an important part of client selection, access, credit approval, and post-loan management, and actively carry out risk management and control to achieve full-process management of"&amp;" environmental and climate risk credit.")</f>
        <v>Take the environmental and climate risk management of clients or projects as an important part of client selection, access, credit approval, and post-loan management, and actively carry out risk management and control to achieve full-process management of environmental and climate risk credit.</v>
      </c>
      <c r="B3345" s="1" t="str">
        <f ca="1">IFERROR(__xludf.DUMMYFUNCTION("GOOGLETRANSLATE(A3345, ""zh"", ""en"")"),"Addressing climate change")</f>
        <v>Addressing climate change</v>
      </c>
      <c r="C3345" s="1" t="str">
        <f ca="1">IFERROR(__xludf.DUMMYFUNCTION("GOOGLETRANSLATE(E3345, ""zh"", ""en"")"),"Qualitative text")</f>
        <v>Qualitative text</v>
      </c>
    </row>
    <row r="3346" spans="1:3" ht="13" x14ac:dyDescent="0.15">
      <c r="A3346" s="1" t="str">
        <f ca="1">IFERROR(__xludf.DUMMYFUNCTION("GOOGLETRANSLATE(A3346, ""zh"", ""en"")"),"The content of this report was prepared in accordance with an established process, including identifying and prioritizing key stakeholders, identifying and prioritizing key environmental, social and governance issues, collecting relevant information for t"&amp;"he report, and reviewing the quantitative data in the report.")</f>
        <v>The content of this report was prepared in accordance with an established process, including identifying and prioritizing key stakeholders, identifying and prioritizing key environmental, social and governance issues, collecting relevant information for the report, and reviewing the quantitative data in the report.</v>
      </c>
      <c r="B3346" s="1" t="str">
        <f ca="1">IFERROR(__xludf.DUMMYFUNCTION("GOOGLETRANSLATE(A3346, ""zh"", ""en"")"),"irrelevant text")</f>
        <v>irrelevant text</v>
      </c>
      <c r="C3346" s="1" t="str">
        <f ca="1">IFERROR(__xludf.DUMMYFUNCTION("GOOGLETRANSLATE(E3346, ""zh"", ""en"")"),"irrelevant text")</f>
        <v>irrelevant text</v>
      </c>
    </row>
    <row r="3347" spans="1:3" ht="13" x14ac:dyDescent="0.15">
      <c r="A3347" s="1" t="str">
        <f ca="1">IFERROR(__xludf.DUMMYFUNCTION("GOOGLETRANSLATE(A3347, ""zh"", ""en"")"),"In order to actively respond to national policy requirements and the development trend of financial digital transformation, a new FinTech topic was added to showcase the company's application and practice in the integration of FinTech and securities busin"&amp;"ess in digital services and product innovation.")</f>
        <v>In order to actively respond to national policy requirements and the development trend of financial digital transformation, a new FinTech topic was added to showcase the company's application and practice in the integration of FinTech and securities business in digital services and product innovation.</v>
      </c>
      <c r="B3347" s="1" t="str">
        <f ca="1">IFERROR(__xludf.DUMMYFUNCTION("GOOGLETRANSLATE(A3347, ""zh"", ""en"")"),"Technological innovation")</f>
        <v>Technological innovation</v>
      </c>
      <c r="C3347" s="1" t="str">
        <f ca="1">IFERROR(__xludf.DUMMYFUNCTION("GOOGLETRANSLATE(E3347, ""zh"", ""en"")"),"Qualitative text")</f>
        <v>Qualitative text</v>
      </c>
    </row>
    <row r="3348" spans="1:3" ht="13" x14ac:dyDescent="0.15">
      <c r="A3348" s="1" t="str">
        <f ca="1">IFERROR(__xludf.DUMMYFUNCTION("GOOGLETRANSLATE(A3348, ""zh"", ""en"")"),"The completion and commissioning of my country's third-generation nuclear power Hualong One demonstration project marks that my country's nuclear power technology level and comprehensive strength have entered the world's top echelon, strongly supporting m"&amp;"y country's transition from a major nuclear power country to a nuclear power powerhouse.")</f>
        <v>The completion and commissioning of my country's third-generation nuclear power Hualong One demonstration project marks that my country's nuclear power technology level and comprehensive strength have entered the world's top echelon, strongly supporting my country's transition from a major nuclear power country to a nuclear power powerhouse.</v>
      </c>
      <c r="B3348" s="1" t="str">
        <f ca="1">IFERROR(__xludf.DUMMYFUNCTION("GOOGLETRANSLATE(A3348, ""zh"", ""en"")"),"Technological innovation")</f>
        <v>Technological innovation</v>
      </c>
      <c r="C3348" s="1" t="str">
        <f ca="1">IFERROR(__xludf.DUMMYFUNCTION("GOOGLETRANSLATE(E3348, ""zh"", ""en"")"),"Qualitative text")</f>
        <v>Qualitative text</v>
      </c>
    </row>
    <row r="3349" spans="1:3" ht="13" x14ac:dyDescent="0.15">
      <c r="A3349" s="1" t="str">
        <f ca="1">IFERROR(__xludf.DUMMYFUNCTION("GOOGLETRANSLATE(A3349, ""zh"", ""en"")"),"Shanghai Electric has been ranked among the top 50 most valuable brands in China for six consecutive years. It participated in the construction of Shanghai's largest centralized photovoltaic project. On November 11, 2022, Shanghai Electric held a meeting "&amp;"to study and implement the spirit of the 20th National Congress of the Communist Party of China.")</f>
        <v>Shanghai Electric has been ranked among the top 50 most valuable brands in China for six consecutive years. It participated in the construction of Shanghai's largest centralized photovoltaic project. On November 11, 2022, Shanghai Electric held a meeting to study and implement the spirit of the 20th National Congress of the Communist Party of China.</v>
      </c>
      <c r="B3349" s="1" t="str">
        <f ca="1">IFERROR(__xludf.DUMMYFUNCTION("GOOGLETRANSLATE(A3349, ""zh"", ""en"")"),"Technological innovation")</f>
        <v>Technological innovation</v>
      </c>
      <c r="C3349" s="1" t="str">
        <f ca="1">IFERROR(__xludf.DUMMYFUNCTION("GOOGLETRANSLATE(E3349, ""zh"", ""en"")"),"Qualitative text")</f>
        <v>Qualitative text</v>
      </c>
    </row>
    <row r="3350" spans="1:3" ht="13" x14ac:dyDescent="0.15">
      <c r="A3350" s="1" t="str">
        <f ca="1">IFERROR(__xludf.DUMMYFUNCTION("GOOGLETRANSLATE(A3350, ""zh"", ""en"")"),"Level A2A3 Resource Use Environment and Natural Resources The Bank provides customers with green energy rights redemption through the CCB Life APP, which connects to low-carbon scenarios such as buses, subways, and shared bicycles, guiding them to a low-c"&amp;"arbon lifestyle.")</f>
        <v>Level A2A3 Resource Use Environment and Natural Resources The Bank provides customers with green energy rights redemption through the CCB Life APP, which connects to low-carbon scenarios such as buses, subways, and shared bicycles, guiding them to a low-carbon lifestyle.</v>
      </c>
      <c r="B3350" s="1" t="str">
        <f ca="1">IFERROR(__xludf.DUMMYFUNCTION("GOOGLETRANSLATE(A3350, ""zh"", ""en"")"),"carbon emissions")</f>
        <v>carbon emissions</v>
      </c>
      <c r="C3350" s="1" t="str">
        <f ca="1">IFERROR(__xludf.DUMMYFUNCTION("GOOGLETRANSLATE(E3350, ""zh"", ""en"")"),"Qualitative text")</f>
        <v>Qualitative text</v>
      </c>
    </row>
    <row r="3351" spans="1:3" ht="13" x14ac:dyDescent="0.15">
      <c r="A3351" s="1" t="str">
        <f ca="1">IFERROR(__xludf.DUMMYFUNCTION("GOOGLETRANSLATE(A3351, ""zh"", ""en"")"),"All upstream, midstream and downstream enterprises of the construction company and their subordinate units have obtained pollutant discharge permits or have registered pollutant discharge permit information. Relevant information can be found on the Nation"&amp;"al Pollutant Discharge Permit Management Information Platform.")</f>
        <v>All upstream, midstream and downstream enterprises of the construction company and their subordinate units have obtained pollutant discharge permits or have registered pollutant discharge permit information. Relevant information can be found on the National Pollutant Discharge Permit Management Information Platform.</v>
      </c>
      <c r="B3351" s="1" t="str">
        <f ca="1">IFERROR(__xludf.DUMMYFUNCTION("GOOGLETRANSLATE(A3351, ""zh"", ""en"")"),"Waste Management")</f>
        <v>Waste Management</v>
      </c>
      <c r="C3351" s="1" t="str">
        <f ca="1">IFERROR(__xludf.DUMMYFUNCTION("GOOGLETRANSLATE(E3351, ""zh"", ""en"")"),"Qualitative text")</f>
        <v>Qualitative text</v>
      </c>
    </row>
    <row r="3352" spans="1:3" ht="13" x14ac:dyDescent="0.15">
      <c r="A3352" s="1" t="str">
        <f ca="1">IFERROR(__xludf.DUMMYFUNCTION("GOOGLETRANSLATE(A3352, ""zh"", ""en"")"),"The company implements clear handling measures for violations of anti-corruption regulations. Depending on the severity of the case, it may include notification, suspension of trading qualifications, cancellation of trading qualifications, inclusion in th"&amp;"e company's blacklist, reporting to judicial authorities, and criminal prosecution.")</f>
        <v>The company implements clear handling measures for violations of anti-corruption regulations. Depending on the severity of the case, it may include notification, suspension of trading qualifications, cancellation of trading qualifications, inclusion in the company's blacklist, reporting to judicial authorities, and criminal prosecution.</v>
      </c>
      <c r="B3352" s="1" t="str">
        <f ca="1">IFERROR(__xludf.DUMMYFUNCTION("GOOGLETRANSLATE(A3352, ""zh"", ""en"")"),"Anti-corruption and anti-money laundering")</f>
        <v>Anti-corruption and anti-money laundering</v>
      </c>
      <c r="C3352" s="1" t="str">
        <f ca="1">IFERROR(__xludf.DUMMYFUNCTION("GOOGLETRANSLATE(E3352, ""zh"", ""en"")"),"Qualitative text")</f>
        <v>Qualitative text</v>
      </c>
    </row>
    <row r="3353" spans="1:3" ht="13" x14ac:dyDescent="0.15">
      <c r="A3353" s="1" t="str">
        <f ca="1">IFERROR(__xludf.DUMMYFUNCTION("GOOGLETRANSLATE(A3353, ""zh"", ""en"")"),"Level 105 B2 Health and Safety General Disclosure Information on a) Policies on providing a safe working environment and protecting employees from occupational hazards and b) Compliance with relevant laws and regulations that have a significant impact on "&amp;"the issuer")</f>
        <v>Level 105 B2 Health and Safety General Disclosure Information on a) Policies on providing a safe working environment and protecting employees from occupational hazards and b) Compliance with relevant laws and regulations that have a significant impact on the issuer</v>
      </c>
      <c r="B3353" s="1" t="str">
        <f ca="1">IFERROR(__xludf.DUMMYFUNCTION("GOOGLETRANSLATE(A3353, ""zh"", ""en"")"),"staff")</f>
        <v>staff</v>
      </c>
      <c r="C3353" s="1" t="str">
        <f ca="1">IFERROR(__xludf.DUMMYFUNCTION("GOOGLETRANSLATE(E3353, ""zh"", ""en"")"),"Qualitative text")</f>
        <v>Qualitative text</v>
      </c>
    </row>
    <row r="3354" spans="1:3" ht="13" x14ac:dyDescent="0.15">
      <c r="A3354" s="1" t="str">
        <f ca="1">IFERROR(__xludf.DUMMYFUNCTION("GOOGLETRANSLATE(A3354, ""zh"", ""en"")"),"We will earnestly carry out targeted poverty alleviation work in Yanhou Village, Xijie Subdistrict, Longquan City, and strive to expand agricultural product sales channels in the counterpart regions, help improve the supply level and quality of agricultur"&amp;"al products in the counterpart regions, and help win the battle against poverty.")</f>
        <v>We will earnestly carry out targeted poverty alleviation work in Yanhou Village, Xijie Subdistrict, Longquan City, and strive to expand agricultural product sales channels in the counterpart regions, help improve the supply level and quality of agricultural products in the counterpart regions, and help win the battle against poverty.</v>
      </c>
      <c r="B3354" s="1" t="str">
        <f ca="1">IFERROR(__xludf.DUMMYFUNCTION("GOOGLETRANSLATE(A3354, ""zh"", ""en"")"),"Rural assistance")</f>
        <v>Rural assistance</v>
      </c>
      <c r="C3354" s="1" t="str">
        <f ca="1">IFERROR(__xludf.DUMMYFUNCTION("GOOGLETRANSLATE(E3354, ""zh"", ""en"")"),"Qualitative text")</f>
        <v>Qualitative text</v>
      </c>
    </row>
    <row r="3355" spans="1:3" ht="13" x14ac:dyDescent="0.15">
      <c r="A3355" s="1" t="str">
        <f ca="1">IFERROR(__xludf.DUMMYFUNCTION("GOOGLETRANSLATE(A3355, ""zh"", ""en"")"),"In the future, both parties will fully leverage the resource advantages of factoring state-owned enterprises and the practical experience accumulated in the disposal of non-performing assets in the early stage, and fully leverage the powerful database lic"&amp;"ense advantages and financial advantages of Alibaba Asset Management to jointly build a special asset ecosystem.")</f>
        <v>In the future, both parties will fully leverage the resource advantages of factoring state-owned enterprises and the practical experience accumulated in the disposal of non-performing assets in the early stage, and fully leverage the powerful database license advantages and financial advantages of Alibaba Asset Management to jointly build a special asset ecosystem.</v>
      </c>
      <c r="B3355" s="1" t="str">
        <f ca="1">IFERROR(__xludf.DUMMYFUNCTION("GOOGLETRANSLATE(A3355, ""zh"", ""en"")"),"irrelevant text")</f>
        <v>irrelevant text</v>
      </c>
      <c r="C3355" s="1" t="str">
        <f ca="1">IFERROR(__xludf.DUMMYFUNCTION("GOOGLETRANSLATE(E3355, ""zh"", ""en"")"),"irrelevant text")</f>
        <v>irrelevant text</v>
      </c>
    </row>
    <row r="3356" spans="1:3" ht="13" x14ac:dyDescent="0.15">
      <c r="A3356" s="1" t="str">
        <f ca="1">IFERROR(__xludf.DUMMYFUNCTION("GOOGLETRANSLATE(A3356, ""zh"", ""en"")"),"Supporting the development of characteristic agriculture in rural areas, we planted 16,175 mu of quinoa in 10 townships in Dongxiang County, Gansu Province, increasing the income of 4,964 households and generating annual sales of over 70 million yuan for "&amp;"Dongxiang quinoa.")</f>
        <v>Supporting the development of characteristic agriculture in rural areas, we planted 16,175 mu of quinoa in 10 townships in Dongxiang County, Gansu Province, increasing the income of 4,964 households and generating annual sales of over 70 million yuan for Dongxiang quinoa.</v>
      </c>
      <c r="B3356" s="1" t="str">
        <f ca="1">IFERROR(__xludf.DUMMYFUNCTION("GOOGLETRANSLATE(A3356, ""zh"", ""en"")"),"Rural assistance")</f>
        <v>Rural assistance</v>
      </c>
      <c r="C3356" s="1" t="str">
        <f ca="1">IFERROR(__xludf.DUMMYFUNCTION("GOOGLETRANSLATE(E3356, ""zh"", ""en"")"),"Quantitative Text")</f>
        <v>Quantitative Text</v>
      </c>
    </row>
    <row r="3357" spans="1:3" ht="13" x14ac:dyDescent="0.15">
      <c r="A3357" s="1" t="str">
        <f ca="1">IFERROR(__xludf.DUMMYFUNCTION("GOOGLETRANSLATE(A3357, ""zh"", ""en"")"),"Strictly comply with national laws and regulations to standardize information security management, create a safe, stable, healthy and reliable network environment, prevent and eliminate network and information security incidents, and improve security mana"&amp;"gement and technical protection capabilities.")</f>
        <v>Strictly comply with national laws and regulations to standardize information security management, create a safe, stable, healthy and reliable network environment, prevent and eliminate network and information security incidents, and improve security management and technical protection capabilities.</v>
      </c>
      <c r="B3357" s="1" t="str">
        <f ca="1">IFERROR(__xludf.DUMMYFUNCTION("GOOGLETRANSLATE(A3357, ""zh"", ""en"")"),"Data security")</f>
        <v>Data security</v>
      </c>
      <c r="C3357" s="1" t="str">
        <f ca="1">IFERROR(__xludf.DUMMYFUNCTION("GOOGLETRANSLATE(E3357, ""zh"", ""en"")"),"Qualitative text")</f>
        <v>Qualitative text</v>
      </c>
    </row>
    <row r="3358" spans="1:3" ht="13" x14ac:dyDescent="0.15">
      <c r="A3358" s="1" t="str">
        <f ca="1">IFERROR(__xludf.DUMMYFUNCTION("GOOGLETRANSLATE(A3358, ""zh"", ""en"")"),"Identify and invite stakeholders such as investors and experts in the field of sustainable development to assess the importance of the issue, and combine this with the evaluation of the importance of the issue by internal employees to form a two-dimension"&amp;"al evaluation of the importance of the issue.")</f>
        <v>Identify and invite stakeholders such as investors and experts in the field of sustainable development to assess the importance of the issue, and combine this with the evaluation of the importance of the issue by internal employees to form a two-dimensional evaluation of the importance of the issue.</v>
      </c>
      <c r="B3358" s="1" t="str">
        <f ca="1">IFERROR(__xludf.DUMMYFUNCTION("GOOGLETRANSLATE(A3358, ""zh"", ""en"")"),"irrelevant text")</f>
        <v>irrelevant text</v>
      </c>
      <c r="C3358" s="1" t="str">
        <f ca="1">IFERROR(__xludf.DUMMYFUNCTION("GOOGLETRANSLATE(E3358, ""zh"", ""en"")"),"irrelevant text")</f>
        <v>irrelevant text</v>
      </c>
    </row>
    <row r="3359" spans="1:3" ht="13" x14ac:dyDescent="0.15">
      <c r="A3359" s="1" t="str">
        <f ca="1">IFERROR(__xludf.DUMMYFUNCTION("GOOGLETRANSLATE(A3359, ""zh"", ""en"")"),"AI Investment Advisory: CITIC Securities' AI team independently developed an intelligent investment advisory product based on an intelligent cloud platform, providing professional, comprehensive, transparent and convenient investment advice. Professional "&amp;"institutional-level investment strategies are available to small and medium-sized clients.")</f>
        <v>AI Investment Advisory: CITIC Securities' AI team independently developed an intelligent investment advisory product based on an intelligent cloud platform, providing professional, comprehensive, transparent and convenient investment advice. Professional institutional-level investment strategies are available to small and medium-sized clients.</v>
      </c>
      <c r="B3359" s="1" t="str">
        <f ca="1">IFERROR(__xludf.DUMMYFUNCTION("GOOGLETRANSLATE(A3359, ""zh"", ""en"")"),"Customers and Consumers")</f>
        <v>Customers and Consumers</v>
      </c>
      <c r="C3359" s="1" t="str">
        <f ca="1">IFERROR(__xludf.DUMMYFUNCTION("GOOGLETRANSLATE(E3359, ""zh"", ""en"")"),"Qualitative text")</f>
        <v>Qualitative text</v>
      </c>
    </row>
    <row r="3360" spans="1:3" ht="13" x14ac:dyDescent="0.15">
      <c r="A3360" s="1" t="str">
        <f ca="1">IFERROR(__xludf.DUMMYFUNCTION("GOOGLETRANSLATE(A3360, ""zh"", ""en"")"),"We focus on our advanced business level and technological capabilities, actively leverage our advantages in many regions and fields, and continuously provide financial, human and technical assistance to impoverished areas, disaster areas and other areas i"&amp;"n urgent need of help.")</f>
        <v>We focus on our advanced business level and technological capabilities, actively leverage our advantages in many regions and fields, and continuously provide financial, human and technical assistance to impoverished areas, disaster areas and other areas in urgent need of help.</v>
      </c>
      <c r="B3360" s="1" t="str">
        <f ca="1">IFERROR(__xludf.DUMMYFUNCTION("GOOGLETRANSLATE(A3360, ""zh"", ""en"")"),"Public welfare and volunteer service")</f>
        <v>Public welfare and volunteer service</v>
      </c>
      <c r="C3360" s="1" t="str">
        <f ca="1">IFERROR(__xludf.DUMMYFUNCTION("GOOGLETRANSLATE(E3360, ""zh"", ""en"")"),"Qualitative text")</f>
        <v>Qualitative text</v>
      </c>
    </row>
    <row r="3361" spans="1:3" ht="13" x14ac:dyDescent="0.15">
      <c r="A3361" s="1" t="str">
        <f ca="1">IFERROR(__xludf.DUMMYFUNCTION("GOOGLETRANSLATE(A3361, ""zh"", ""en"")"),"6.1 Caring for the countryside and supporting its revitalization 6.2 Upholding philanthropy and love 6.3 Caring for the community and delivering warmth Key Performance Indicator B8.1 Focusing on areas of contribution such as education, environmental issue"&amp;"s, labor needs, health, culture, and sports")</f>
        <v>6.1 Caring for the countryside and supporting its revitalization 6.2 Upholding philanthropy and love 6.3 Caring for the community and delivering warmth Key Performance Indicator B8.1 Focusing on areas of contribution such as education, environmental issues, labor needs, health, culture, and sports</v>
      </c>
      <c r="B3361" s="1" t="str">
        <f ca="1">IFERROR(__xludf.DUMMYFUNCTION("GOOGLETRANSLATE(A3361, ""zh"", ""en"")"),"Public welfare and volunteer service")</f>
        <v>Public welfare and volunteer service</v>
      </c>
      <c r="C3361" s="1" t="str">
        <f ca="1">IFERROR(__xludf.DUMMYFUNCTION("GOOGLETRANSLATE(E3361, ""zh"", ""en"")"),"Qualitative text")</f>
        <v>Qualitative text</v>
      </c>
    </row>
    <row r="3362" spans="1:3" ht="13" x14ac:dyDescent="0.15">
      <c r="A3362" s="1" t="str">
        <f ca="1">IFERROR(__xludf.DUMMYFUNCTION("GOOGLETRANSLATE(A3362, ""zh"", ""en"")"),"P4849B2 Health and Safety General Disclosure Information on 1. Policies and 2. Compliance with relevant laws and regulations that have a significant impact on the issuer regarding providing a safe working environment and protecting employees from occupati"&amp;"onal hazards")</f>
        <v>P4849B2 Health and Safety General Disclosure Information on 1. Policies and 2. Compliance with relevant laws and regulations that have a significant impact on the issuer regarding providing a safe working environment and protecting employees from occupational hazards</v>
      </c>
      <c r="B3362" s="1" t="str">
        <f ca="1">IFERROR(__xludf.DUMMYFUNCTION("GOOGLETRANSLATE(A3362, ""zh"", ""en"")"),"staff")</f>
        <v>staff</v>
      </c>
      <c r="C3362" s="1" t="str">
        <f ca="1">IFERROR(__xludf.DUMMYFUNCTION("GOOGLETRANSLATE(E3362, ""zh"", ""en"")"),"Qualitative text")</f>
        <v>Qualitative text</v>
      </c>
    </row>
    <row r="3363" spans="1:3" ht="13" x14ac:dyDescent="0.15">
      <c r="A3363" s="1" t="str">
        <f ca="1">IFERROR(__xludf.DUMMYFUNCTION("GOOGLETRANSLATE(A3363, ""zh"", ""en"")"),"In 2022, Candy launched the Do It Yourself website in the UK and Italy, developing easier and more efficient digital user interaction and improving the efficiency of after-sales communication.")</f>
        <v>In 2022, Candy launched the Do It Yourself website in the UK and Italy, developing easier and more efficient digital user interaction and improving the efficiency of after-sales communication.</v>
      </c>
      <c r="B3363" s="1" t="str">
        <f ca="1">IFERROR(__xludf.DUMMYFUNCTION("GOOGLETRANSLATE(A3363, ""zh"", ""en"")"),"Customers and Consumers")</f>
        <v>Customers and Consumers</v>
      </c>
      <c r="C3363" s="1" t="str">
        <f ca="1">IFERROR(__xludf.DUMMYFUNCTION("GOOGLETRANSLATE(E3363, ""zh"", ""en"")"),"Qualitative text")</f>
        <v>Qualitative text</v>
      </c>
    </row>
    <row r="3364" spans="1:3" ht="13" x14ac:dyDescent="0.15">
      <c r="A3364" s="1" t="str">
        <f ca="1">IFERROR(__xludf.DUMMYFUNCTION("GOOGLETRANSLATE(A3364, ""zh"", ""en"")"),"2021 China Light Industry Top 100 Technology Enterprises On August 10, 2022, Haier Smart Home won the first place in the 2021 China Light Industry Top 100 Technology Enterprises list selected by the China Light Industry Federation.")</f>
        <v>2021 China Light Industry Top 100 Technology Enterprises On August 10, 2022, Haier Smart Home won the first place in the 2021 China Light Industry Top 100 Technology Enterprises list selected by the China Light Industry Federation.</v>
      </c>
      <c r="B3364" s="1" t="str">
        <f ca="1">IFERROR(__xludf.DUMMYFUNCTION("GOOGLETRANSLATE(A3364, ""zh"", ""en"")"),"Technological innovation")</f>
        <v>Technological innovation</v>
      </c>
      <c r="C3364" s="1" t="str">
        <f ca="1">IFERROR(__xludf.DUMMYFUNCTION("GOOGLETRANSLATE(E3364, ""zh"", ""en"")"),"Quantitative Text")</f>
        <v>Quantitative Text</v>
      </c>
    </row>
    <row r="3365" spans="1:3" ht="13" x14ac:dyDescent="0.15">
      <c r="A3365" s="1" t="str">
        <f ca="1">IFERROR(__xludf.DUMMYFUNCTION("GOOGLETRANSLATE(A3365, ""zh"", ""en"")"),"The 23rd China Design Patent Gold Award was announced on the official website of the State Intellectual Property Office on April 15, 2022. Haier Smart Home won the 22nd China Patent Award for its Casarte Galaxy wall-mounted air conditioner and won the Gol"&amp;"d Award in the home appliance industry.")</f>
        <v>The 23rd China Design Patent Gold Award was announced on the official website of the State Intellectual Property Office on April 15, 2022. Haier Smart Home won the 22nd China Patent Award for its Casarte Galaxy wall-mounted air conditioner and won the Gold Award in the home appliance industry.</v>
      </c>
      <c r="B3365" s="1" t="str">
        <f ca="1">IFERROR(__xludf.DUMMYFUNCTION("GOOGLETRANSLATE(A3365, ""zh"", ""en"")"),"Intellectual Property Protection")</f>
        <v>Intellectual Property Protection</v>
      </c>
      <c r="C3365" s="1" t="str">
        <f ca="1">IFERROR(__xludf.DUMMYFUNCTION("GOOGLETRANSLATE(E3365, ""zh"", ""en"")"),"Quantitative Text")</f>
        <v>Quantitative Text</v>
      </c>
    </row>
    <row r="3366" spans="1:3" ht="13" x14ac:dyDescent="0.15">
      <c r="A3366" s="1" t="str">
        <f ca="1">IFERROR(__xludf.DUMMYFUNCTION("GOOGLETRANSLATE(A3366, ""zh"", ""en"")"),"The first batch of national digital pilot demonstration list On October 31, 2022, the Ministry of Industry and Information Technology announced the 2022 pilot demonstration list for the integration of new generation information technology and manufacturin"&amp;"g. Haier Smart Home was on the list and ranked first.")</f>
        <v>The first batch of national digital pilot demonstration list On October 31, 2022, the Ministry of Industry and Information Technology announced the 2022 pilot demonstration list for the integration of new generation information technology and manufacturing. Haier Smart Home was on the list and ranked first.</v>
      </c>
      <c r="B3366" s="1" t="str">
        <f ca="1">IFERROR(__xludf.DUMMYFUNCTION("GOOGLETRANSLATE(A3366, ""zh"", ""en"")"),"Technological innovation")</f>
        <v>Technological innovation</v>
      </c>
      <c r="C3366" s="1" t="str">
        <f ca="1">IFERROR(__xludf.DUMMYFUNCTION("GOOGLETRANSLATE(E3366, ""zh"", ""en"")"),"Quantitative Text")</f>
        <v>Quantitative Text</v>
      </c>
    </row>
    <row r="3367" spans="1:3" ht="13" x14ac:dyDescent="0.15">
      <c r="A3367" s="1" t="str">
        <f ca="1">IFERROR(__xludf.DUMMYFUNCTION("GOOGLETRANSLATE(A3367, ""zh"", ""en"")"),"GEA was named Smart Home Appliance Company of the Year on January 13, 2022. GEA was named Smart Home Appliance Company of the Year by IoTBreakthrough. This is the fourth year GEA has received this award.")</f>
        <v>GEA was named Smart Home Appliance Company of the Year on January 13, 2022. GEA was named Smart Home Appliance Company of the Year by IoTBreakthrough. This is the fourth year GEA has received this award.</v>
      </c>
      <c r="B3367" s="1" t="str">
        <f ca="1">IFERROR(__xludf.DUMMYFUNCTION("GOOGLETRANSLATE(A3367, ""zh"", ""en"")"),"Technological innovation")</f>
        <v>Technological innovation</v>
      </c>
      <c r="C3367" s="1" t="str">
        <f ca="1">IFERROR(__xludf.DUMMYFUNCTION("GOOGLETRANSLATE(E3367, ""zh"", ""en"")"),"Quantitative Text")</f>
        <v>Quantitative Text</v>
      </c>
    </row>
    <row r="3368" spans="1:3" ht="13" x14ac:dyDescent="0.15">
      <c r="A3368" s="1" t="str">
        <f ca="1">IFERROR(__xludf.DUMMYFUNCTION("GOOGLETRANSLATE(A3368, ""zh"", ""en"")"),"As a global enterprise with operations around the world, Shanghai Electric continues to promote ecological balance and biodiversity conservation in its operations and project areas, striving to achieve the vision of harmonious coexistence between man and "&amp;"nature.")</f>
        <v>As a global enterprise with operations around the world, Shanghai Electric continues to promote ecological balance and biodiversity conservation in its operations and project areas, striving to achieve the vision of harmonious coexistence between man and nature.</v>
      </c>
      <c r="B3368" s="1" t="str">
        <f ca="1">IFERROR(__xludf.DUMMYFUNCTION("GOOGLETRANSLATE(A3368, ""zh"", ""en"")"),"biodiversity")</f>
        <v>biodiversity</v>
      </c>
      <c r="C3368" s="1" t="str">
        <f ca="1">IFERROR(__xludf.DUMMYFUNCTION("GOOGLETRANSLATE(E3368, ""zh"", ""en"")"),"Qualitative text")</f>
        <v>Qualitative text</v>
      </c>
    </row>
    <row r="3369" spans="1:3" ht="13" x14ac:dyDescent="0.15">
      <c r="A3369" s="1" t="str">
        <f ca="1">IFERROR(__xludf.DUMMYFUNCTION("GOOGLETRANSLATE(A3369, ""zh"", ""en"")"),"VIII. Use of the Report This report expresses a limited assurance opinion on selected performance information in the Social Responsibility Report for the reference and use of the Board of Directors of the Bank only. It is not intended and should not be us"&amp;"ed by anyone other than the specified parties.")</f>
        <v>VIII. Use of the Report This report expresses a limited assurance opinion on selected performance information in the Social Responsibility Report for the reference and use of the Board of Directors of the Bank only. It is not intended and should not be used by anyone other than the specified parties.</v>
      </c>
      <c r="B3369" s="1" t="str">
        <f ca="1">IFERROR(__xludf.DUMMYFUNCTION("GOOGLETRANSLATE(A3369, ""zh"", ""en"")"),"irrelevant text")</f>
        <v>irrelevant text</v>
      </c>
      <c r="C3369" s="1" t="str">
        <f ca="1">IFERROR(__xludf.DUMMYFUNCTION("GOOGLETRANSLATE(E3369, ""zh"", ""en"")"),"irrelevant text")</f>
        <v>irrelevant text</v>
      </c>
    </row>
    <row r="3370" spans="1:3" ht="13" x14ac:dyDescent="0.15">
      <c r="A3370" s="1" t="str">
        <f ca="1">IFERROR(__xludf.DUMMYFUNCTION("GOOGLETRANSLATE(A3370, ""zh"", ""en"")"),"In terms of software resource collaboration, the two parties jointly built an internal and external communication and cooperation platform and organized a number of salon forums and training activities for joint research and cooperation in common technica"&amp;"l fields such as industrial software digitalization, heat pumps and energy storage.")</f>
        <v>In terms of software resource collaboration, the two parties jointly built an internal and external communication and cooperation platform and organized a number of salon forums and training activities for joint research and cooperation in common technical fields such as industrial software digitalization, heat pumps and energy storage.</v>
      </c>
      <c r="B3370" s="1" t="str">
        <f ca="1">IFERROR(__xludf.DUMMYFUNCTION("GOOGLETRANSLATE(A3370, ""zh"", ""en"")"),"Technological innovation")</f>
        <v>Technological innovation</v>
      </c>
      <c r="C3370" s="1" t="str">
        <f ca="1">IFERROR(__xludf.DUMMYFUNCTION("GOOGLETRANSLATE(E3370, ""zh"", ""en"")"),"Qualitative text")</f>
        <v>Qualitative text</v>
      </c>
    </row>
    <row r="3371" spans="1:3" ht="13" x14ac:dyDescent="0.15">
      <c r="A3371" s="1" t="str">
        <f ca="1">IFERROR(__xludf.DUMMYFUNCTION("GOOGLETRANSLATE(A3371, ""zh"", ""en"")"),"The Investment Research Cube Platform is a one-stop resource platform for in-depth investment research services. It aims to operate a closed-loop service platform for business collaboration and enhance CITIC Research's internal and external service capabi"&amp;"lities and customer loyalty, improving management and research efficiency.")</f>
        <v>The Investment Research Cube Platform is a one-stop resource platform for in-depth investment research services. It aims to operate a closed-loop service platform for business collaboration and enhance CITIC Research's internal and external service capabilities and customer loyalty, improving management and research efficiency.</v>
      </c>
      <c r="B3371" s="1" t="str">
        <f ca="1">IFERROR(__xludf.DUMMYFUNCTION("GOOGLETRANSLATE(A3371, ""zh"", ""en"")"),"Organizational structure and operations")</f>
        <v>Organizational structure and operations</v>
      </c>
      <c r="C3371" s="1" t="str">
        <f ca="1">IFERROR(__xludf.DUMMYFUNCTION("GOOGLETRANSLATE(E3371, ""zh"", ""en"")"),"Qualitative text")</f>
        <v>Qualitative text</v>
      </c>
    </row>
    <row r="3372" spans="1:3" ht="13" x14ac:dyDescent="0.15">
      <c r="A3372" s="1" t="str">
        <f ca="1">IFERROR(__xludf.DUMMYFUNCTION("GOOGLETRANSLATE(A3372, ""zh"", ""en"")"),"To improve employee motivation, fully tap their potential and expand their career possibilities, we have established a Y-shaped career development channel to encourage employees to choose the development channel that suits them according to their own char"&amp;"acteristics.")</f>
        <v>To improve employee motivation, fully tap their potential and expand their career possibilities, we have established a Y-shaped career development channel to encourage employees to choose the development channel that suits them according to their own characteristics.</v>
      </c>
      <c r="B3372" s="1" t="str">
        <f ca="1">IFERROR(__xludf.DUMMYFUNCTION("GOOGLETRANSLATE(A3372, ""zh"", ""en"")"),"staff")</f>
        <v>staff</v>
      </c>
      <c r="C3372" s="1" t="str">
        <f ca="1">IFERROR(__xludf.DUMMYFUNCTION("GOOGLETRANSLATE(E3372, ""zh"", ""en"")"),"Qualitative text")</f>
        <v>Qualitative text</v>
      </c>
    </row>
    <row r="3373" spans="1:3" ht="13" x14ac:dyDescent="0.15">
      <c r="A3373" s="1" t="str">
        <f ca="1">IFERROR(__xludf.DUMMYFUNCTION("GOOGLETRANSLATE(A3373, ""zh"", ""en"")"),"This activity allowed employees to exchange and share their experiences in learning and applying the law, and to inspire each other and promote work on issues such as how trade unions can implement the democratic procedures of the staff representative con"&amp;"ference, do a good job in collective consultation, and standardize the labor and employment of enterprises.")</f>
        <v>This activity allowed employees to exchange and share their experiences in learning and applying the law, and to inspire each other and promote work on issues such as how trade unions can implement the democratic procedures of the staff representative conference, do a good job in collective consultation, and standardize the labor and employment of enterprises.</v>
      </c>
      <c r="B3373" s="1" t="str">
        <f ca="1">IFERROR(__xludf.DUMMYFUNCTION("GOOGLETRANSLATE(A3373, ""zh"", ""en"")"),"staff")</f>
        <v>staff</v>
      </c>
      <c r="C3373" s="1" t="str">
        <f ca="1">IFERROR(__xludf.DUMMYFUNCTION("GOOGLETRANSLATE(E3373, ""zh"", ""en"")"),"Qualitative text")</f>
        <v>Qualitative text</v>
      </c>
    </row>
    <row r="3374" spans="1:3" ht="13" x14ac:dyDescent="0.15">
      <c r="A3374" s="1" t="str">
        <f ca="1">IFERROR(__xludf.DUMMYFUNCTION("GOOGLETRANSLATE(A3374, ""zh"", ""en"")"),"In 1995, the company's headquarters moved to Sunshine Building. The company was rated as a national large-scale enterprise by the National Enterprise Classification Coordination Group and was recognized by the Development Research Center of the State Coun"&amp;"cil as China's largest energy-saving lamp production and export base.")</f>
        <v>In 1995, the company's headquarters moved to Sunshine Building. The company was rated as a national large-scale enterprise by the National Enterprise Classification Coordination Group and was recognized by the Development Research Center of the State Council as China's largest energy-saving lamp production and export base.</v>
      </c>
      <c r="B3374" s="1" t="str">
        <f ca="1">IFERROR(__xludf.DUMMYFUNCTION("GOOGLETRANSLATE(A3374, ""zh"", ""en"")"),"Energy and resource consumption")</f>
        <v>Energy and resource consumption</v>
      </c>
      <c r="C3374" s="1" t="str">
        <f ca="1">IFERROR(__xludf.DUMMYFUNCTION("GOOGLETRANSLATE(E3374, ""zh"", ""en"")"),"Qualitative text")</f>
        <v>Qualitative text</v>
      </c>
    </row>
    <row r="3375" spans="1:3" ht="13" x14ac:dyDescent="0.15">
      <c r="A3375" s="1" t="str">
        <f ca="1">IFERROR(__xludf.DUMMYFUNCTION("GOOGLETRANSLATE(A3375, ""zh"", ""en"")"),"We have established an excellent E-training system for young college students, opened training courses for young and middle-aged management personnel, and provided training courses for model workers and craftsmen for technical workers to comprehensively i"&amp;"mprove the comprehensive quality of Shanghai Electric employees.")</f>
        <v>We have established an excellent E-training system for young college students, opened training courses for young and middle-aged management personnel, and provided training courses for model workers and craftsmen for technical workers to comprehensively improve the comprehensive quality of Shanghai Electric employees.</v>
      </c>
      <c r="B3375" s="1" t="str">
        <f ca="1">IFERROR(__xludf.DUMMYFUNCTION("GOOGLETRANSLATE(A3375, ""zh"", ""en"")"),"staff")</f>
        <v>staff</v>
      </c>
      <c r="C3375" s="1" t="str">
        <f ca="1">IFERROR(__xludf.DUMMYFUNCTION("GOOGLETRANSLATE(E3375, ""zh"", ""en"")"),"Qualitative text")</f>
        <v>Qualitative text</v>
      </c>
    </row>
    <row r="3376" spans="1:3" ht="13" x14ac:dyDescent="0.15">
      <c r="A3376" s="1" t="str">
        <f ca="1">IFERROR(__xludf.DUMMYFUNCTION("GOOGLETRANSLATE(A3376, ""zh"", ""en"")"),"Shanghai Electric hopes to continuously enhance the strategic insight and self-motivation of young and middle-aged cadres through two training sessions, so that they can not only become managers in their professional fields but also become state-owned ent"&amp;"erprise managers who pursue entrepreneurial spirit.")</f>
        <v>Shanghai Electric hopes to continuously enhance the strategic insight and self-motivation of young and middle-aged cadres through two training sessions, so that they can not only become managers in their professional fields but also become state-owned enterprise managers who pursue entrepreneurial spirit.</v>
      </c>
      <c r="B3376" s="1" t="str">
        <f ca="1">IFERROR(__xludf.DUMMYFUNCTION("GOOGLETRANSLATE(A3376, ""zh"", ""en"")"),"staff")</f>
        <v>staff</v>
      </c>
      <c r="C3376" s="1" t="str">
        <f ca="1">IFERROR(__xludf.DUMMYFUNCTION("GOOGLETRANSLATE(E3376, ""zh"", ""en"")"),"Qualitative text")</f>
        <v>Qualitative text</v>
      </c>
    </row>
    <row r="3377" spans="1:3" ht="13" x14ac:dyDescent="0.15">
      <c r="A3377" s="1" t="str">
        <f ca="1">IFERROR(__xludf.DUMMYFUNCTION("GOOGLETRANSLATE(A3377, ""zh"", ""en"")"),"On February 6, 2022, Shanghai United Equity Exchange Co., Ltd. visited Shanghai Electric and the two sides discussed the possibility of further expanding business models in multiple areas such as resource introduction, capital trading, and asset revitaliz"&amp;"ation.")</f>
        <v>On February 6, 2022, Shanghai United Equity Exchange Co., Ltd. visited Shanghai Electric and the two sides discussed the possibility of further expanding business models in multiple areas such as resource introduction, capital trading, and asset revitalization.</v>
      </c>
      <c r="B3377" s="1" t="str">
        <f ca="1">IFERROR(__xludf.DUMMYFUNCTION("GOOGLETRANSLATE(A3377, ""zh"", ""en"")"),"Technological innovation")</f>
        <v>Technological innovation</v>
      </c>
      <c r="C3377" s="1" t="str">
        <f ca="1">IFERROR(__xludf.DUMMYFUNCTION("GOOGLETRANSLATE(E3377, ""zh"", ""en"")"),"Qualitative text")</f>
        <v>Qualitative text</v>
      </c>
    </row>
    <row r="3378" spans="1:3" ht="13" x14ac:dyDescent="0.15">
      <c r="A3378" s="1" t="str">
        <f ca="1">IFERROR(__xludf.DUMMYFUNCTION("GOOGLETRANSLATE(A3378, ""zh"", ""en"")"),"Environmental Protection 61 Cases CASE 2022: The company's refining and chemical enterprises actively participated in the national petroleum and chemical industry energy efficiency leader and water efficiency leader selection activities organized by the C"&amp;"hina Petroleum and Chemical Industry Federation.")</f>
        <v>Environmental Protection 61 Cases CASE 2022: The company's refining and chemical enterprises actively participated in the national petroleum and chemical industry energy efficiency leader and water efficiency leader selection activities organized by the China Petroleum and Chemical Industry Federation.</v>
      </c>
      <c r="B3378" s="1" t="str">
        <f ca="1">IFERROR(__xludf.DUMMYFUNCTION("GOOGLETRANSLATE(A3378, ""zh"", ""en"")"),"Water resources")</f>
        <v>Water resources</v>
      </c>
      <c r="C3378" s="1" t="str">
        <f ca="1">IFERROR(__xludf.DUMMYFUNCTION("GOOGLETRANSLATE(E3378, ""zh"", ""en"")"),"Qualitative text")</f>
        <v>Qualitative text</v>
      </c>
    </row>
    <row r="3379" spans="1:3" ht="13" x14ac:dyDescent="0.15">
      <c r="A3379" s="1" t="str">
        <f ca="1">IFERROR(__xludf.DUMMYFUNCTION("GOOGLETRANSLATE(A3379, ""zh"", ""en"")"),"As of the end of the reporting period, we have signed 19 public welfare project agreements for the prevention and treatment of chronic diseases, including 17 remote areas in need of assistance, covering 8 provinces and 1 autonomous region across the count"&amp;"ry, and helping more than 6,400 low-income chronic disease patients.")</f>
        <v>As of the end of the reporting period, we have signed 19 public welfare project agreements for the prevention and treatment of chronic diseases, including 17 remote areas in need of assistance, covering 8 provinces and 1 autonomous region across the country, and helping more than 6,400 low-income chronic disease patients.</v>
      </c>
      <c r="B3379" s="1" t="str">
        <f ca="1">IFERROR(__xludf.DUMMYFUNCTION("GOOGLETRANSLATE(A3379, ""zh"", ""en"")"),"Public welfare and volunteer service")</f>
        <v>Public welfare and volunteer service</v>
      </c>
      <c r="C3379" s="1" t="str">
        <f ca="1">IFERROR(__xludf.DUMMYFUNCTION("GOOGLETRANSLATE(E3379, ""zh"", ""en"")"),"Quantitative Text")</f>
        <v>Quantitative Text</v>
      </c>
    </row>
    <row r="3380" spans="1:3" ht="13" x14ac:dyDescent="0.15">
      <c r="A3380" s="1" t="str">
        <f ca="1">IFERROR(__xludf.DUMMYFUNCTION("GOOGLETRANSLATE(A3380, ""zh"", ""en"")"),"Consumer protection education specialists focused on topics such as how to reasonably allocate income and expenditure and use financial means to achieve wealth dreams, promoting the importance of rational financial planning and the use of consumer loans t"&amp;"o lay the foundation for students' future wealth accumulation.")</f>
        <v>Consumer protection education specialists focused on topics such as how to reasonably allocate income and expenditure and use financial means to achieve wealth dreams, promoting the importance of rational financial planning and the use of consumer loans to lay the foundation for students' future wealth accumulation.</v>
      </c>
      <c r="B3380" s="1" t="str">
        <f ca="1">IFERROR(__xludf.DUMMYFUNCTION("GOOGLETRANSLATE(A3380, ""zh"", ""en"")"),"Customers and Consumers")</f>
        <v>Customers and Consumers</v>
      </c>
      <c r="C3380" s="1" t="str">
        <f ca="1">IFERROR(__xludf.DUMMYFUNCTION("GOOGLETRANSLATE(E3380, ""zh"", ""en"")"),"Qualitative text")</f>
        <v>Qualitative text</v>
      </c>
    </row>
    <row r="3381" spans="1:3" ht="13" x14ac:dyDescent="0.15">
      <c r="A3381" s="1" t="str">
        <f ca="1">IFERROR(__xludf.DUMMYFUNCTION("GOOGLETRANSLATE(A3381, ""zh"", ""en"")"),"Livzon Group conducts human rights due diligence investigations. The personal information of the complainant and the content of the report must be strictly confidential. Reporting materials and records must be classified as confidential documents. Complet"&amp;"ed cases must be filed and preserved.")</f>
        <v>Livzon Group conducts human rights due diligence investigations. The personal information of the complainant and the content of the report must be strictly confidential. Reporting materials and records must be classified as confidential documents. Completed cases must be filed and preserved.</v>
      </c>
      <c r="B3381" s="1" t="str">
        <f ca="1">IFERROR(__xludf.DUMMYFUNCTION("GOOGLETRANSLATE(A3381, ""zh"", ""en"")"),"Reporting System")</f>
        <v>Reporting System</v>
      </c>
      <c r="C3381" s="1" t="str">
        <f ca="1">IFERROR(__xludf.DUMMYFUNCTION("GOOGLETRANSLATE(E3381, ""zh"", ""en"")"),"Qualitative text")</f>
        <v>Qualitative text</v>
      </c>
    </row>
    <row r="3382" spans="1:3" ht="13" x14ac:dyDescent="0.15">
      <c r="A3382" s="1" t="str">
        <f ca="1">IFERROR(__xludf.DUMMYFUNCTION("GOOGLETRANSLATE(A3382, ""zh"", ""en"")"),"The electronic version of this report can be downloaded from the Shanghai Stock Exchange website www.sse.com.cn or the Company's official website www.xizangzhufeng.com")</f>
        <v>The electronic version of this report can be downloaded from the Shanghai Stock Exchange website www.sse.com.cn or the Company's official website www.xizangzhufeng.com</v>
      </c>
      <c r="B3382" s="1" t="str">
        <f ca="1">IFERROR(__xludf.DUMMYFUNCTION("GOOGLETRANSLATE(A3382, ""zh"", ""en"")"),"irrelevant text")</f>
        <v>irrelevant text</v>
      </c>
      <c r="C3382" s="1" t="str">
        <f ca="1">IFERROR(__xludf.DUMMYFUNCTION("GOOGLETRANSLATE(E3382, ""zh"", ""en"")"),"irrelevant text")</f>
        <v>irrelevant text</v>
      </c>
    </row>
    <row r="3383" spans="1:3" ht="13" x14ac:dyDescent="0.15">
      <c r="A3383" s="1" t="str">
        <f ca="1">IFERROR(__xludf.DUMMYFUNCTION("GOOGLETRANSLATE(A3383, ""zh"", ""en"")"),"Compared with traditional injection preparations, microsphere preparations have specific tropism for target organs, have advantages such as long-term drug release and high bioavailability, can greatly improve the convenience and compliance of patients' me"&amp;"dication, and have outstanding clinical advantages.")</f>
        <v>Compared with traditional injection preparations, microsphere preparations have specific tropism for target organs, have advantages such as long-term drug release and high bioavailability, can greatly improve the convenience and compliance of patients' medication, and have outstanding clinical advantages.</v>
      </c>
      <c r="B3383" s="1" t="str">
        <f ca="1">IFERROR(__xludf.DUMMYFUNCTION("GOOGLETRANSLATE(A3383, ""zh"", ""en"")"),"Product quality")</f>
        <v>Product quality</v>
      </c>
      <c r="C3383" s="1" t="str">
        <f ca="1">IFERROR(__xludf.DUMMYFUNCTION("GOOGLETRANSLATE(E3383, ""zh"", ""en"")"),"Qualitative text")</f>
        <v>Qualitative text</v>
      </c>
    </row>
    <row r="3384" spans="1:3" ht="13" x14ac:dyDescent="0.15">
      <c r="A3384" s="1" t="str">
        <f ca="1">IFERROR(__xludf.DUMMYFUNCTION("GOOGLETRANSLATE(A3384, ""zh"", ""en"")"),"Recombinant human chorionic gonadotropin for injection is actively developing overseas registration related work. Currently, the registration information submission has been completed in Indonesia, five countries in Central and South America, two countrie"&amp;"s in Central Asia, Pakistan, etc. Among them, Tajikistan has approved the marketing of the product.")</f>
        <v>Recombinant human chorionic gonadotropin for injection is actively developing overseas registration related work. Currently, the registration information submission has been completed in Indonesia, five countries in Central and South America, two countries in Central Asia, Pakistan, etc. Among them, Tajikistan has approved the marketing of the product.</v>
      </c>
      <c r="B3384" s="1" t="str">
        <f ca="1">IFERROR(__xludf.DUMMYFUNCTION("GOOGLETRANSLATE(A3384, ""zh"", ""en"")"),"Technological innovation")</f>
        <v>Technological innovation</v>
      </c>
      <c r="C3384" s="1" t="str">
        <f ca="1">IFERROR(__xludf.DUMMYFUNCTION("GOOGLETRANSLATE(E3384, ""zh"", ""en"")"),"Quantitative Text")</f>
        <v>Quantitative Text</v>
      </c>
    </row>
    <row r="3385" spans="1:3" ht="13" x14ac:dyDescent="0.15">
      <c r="A3385" s="1" t="str">
        <f ca="1">IFERROR(__xludf.DUMMYFUNCTION("GOOGLETRANSLATE(A3385, ""zh"", ""en"")"),"The company responds to diverse customer demands and rapidly changing market trends by relying on digital strategies to promote service innovation, promote the organic integration of financial technology, explore new business models, and drive high-qualit"&amp;"y development of products and services.")</f>
        <v>The company responds to diverse customer demands and rapidly changing market trends by relying on digital strategies to promote service innovation, promote the organic integration of financial technology, explore new business models, and drive high-quality development of products and services.</v>
      </c>
      <c r="B3385" s="1" t="str">
        <f ca="1">IFERROR(__xludf.DUMMYFUNCTION("GOOGLETRANSLATE(A3385, ""zh"", ""en"")"),"Customers and Consumers")</f>
        <v>Customers and Consumers</v>
      </c>
      <c r="C3385" s="1" t="str">
        <f ca="1">IFERROR(__xludf.DUMMYFUNCTION("GOOGLETRANSLATE(E3385, ""zh"", ""en"")"),"Qualitative text")</f>
        <v>Qualitative text</v>
      </c>
    </row>
    <row r="3386" spans="1:3" ht="13" x14ac:dyDescent="0.15">
      <c r="A3386" s="1" t="str">
        <f ca="1">IFERROR(__xludf.DUMMYFUNCTION("GOOGLETRANSLATE(A3386, ""zh"", ""en"")"),"The company has established a variety of channels for communication with employees and adheres to democratic procedures. It conducts multi-level communication and exchanges through employee representative seminars and online interactions, encouraging empl"&amp;"oyees to participate in the company's production, operation and management.")</f>
        <v>The company has established a variety of channels for communication with employees and adheres to democratic procedures. It conducts multi-level communication and exchanges through employee representative seminars and online interactions, encouraging employees to participate in the company's production, operation and management.</v>
      </c>
      <c r="B3386" s="1" t="str">
        <f ca="1">IFERROR(__xludf.DUMMYFUNCTION("GOOGLETRANSLATE(A3386, ""zh"", ""en"")"),"staff")</f>
        <v>staff</v>
      </c>
      <c r="C3386" s="1" t="str">
        <f ca="1">IFERROR(__xludf.DUMMYFUNCTION("GOOGLETRANSLATE(E3386, ""zh"", ""en"")"),"Qualitative text")</f>
        <v>Qualitative text</v>
      </c>
    </row>
    <row r="3387" spans="1:3" ht="13" x14ac:dyDescent="0.15">
      <c r="A3387" s="1" t="str">
        <f ca="1">IFERROR(__xludf.DUMMYFUNCTION("GOOGLETRANSLATE(A3387, ""zh"", ""en"")"),"In addition, we actively assist employees in applying and submitting materials according to the local government's talent policies to help them apply for local high-level talent, craftsman industry innovation development talent innovation team and other q"&amp;"ualification certifications.")</f>
        <v>In addition, we actively assist employees in applying and submitting materials according to the local government's talent policies to help them apply for local high-level talent, craftsman industry innovation development talent innovation team and other qualification certifications.</v>
      </c>
      <c r="B3387" s="1" t="str">
        <f ca="1">IFERROR(__xludf.DUMMYFUNCTION("GOOGLETRANSLATE(A3387, ""zh"", ""en"")"),"staff")</f>
        <v>staff</v>
      </c>
      <c r="C3387" s="1" t="str">
        <f ca="1">IFERROR(__xludf.DUMMYFUNCTION("GOOGLETRANSLATE(E3387, ""zh"", ""en"")"),"Qualitative text")</f>
        <v>Qualitative text</v>
      </c>
    </row>
    <row r="3388" spans="1:3" ht="13" x14ac:dyDescent="0.15">
      <c r="A3388" s="1" t="str">
        <f ca="1">IFERROR(__xludf.DUMMYFUNCTION("GOOGLETRANSLATE(A3388, ""zh"", ""en"")"),"We adhere to the principle of both ability and political integrity, with moral integrity as the priority, establish a democratic and open competition and merit-based talent selection mechanism, establish and improve talent development mechanisms, and stri"&amp;"ve to create a good environment and atmosphere for all kinds of talents to stand out and make the best use of their talents.")</f>
        <v>We adhere to the principle of both ability and political integrity, with moral integrity as the priority, establish a democratic and open competition and merit-based talent selection mechanism, establish and improve talent development mechanisms, and strive to create a good environment and atmosphere for all kinds of talents to stand out and make the best use of their talents.</v>
      </c>
      <c r="B3388" s="1" t="str">
        <f ca="1">IFERROR(__xludf.DUMMYFUNCTION("GOOGLETRANSLATE(A3388, ""zh"", ""en"")"),"staff")</f>
        <v>staff</v>
      </c>
      <c r="C3388" s="1" t="str">
        <f ca="1">IFERROR(__xludf.DUMMYFUNCTION("GOOGLETRANSLATE(E3388, ""zh"", ""en"")"),"Qualitative text")</f>
        <v>Qualitative text</v>
      </c>
    </row>
    <row r="3389" spans="1:3" ht="13" x14ac:dyDescent="0.15">
      <c r="A3389" s="1" t="str">
        <f ca="1">IFERROR(__xludf.DUMMYFUNCTION("GOOGLETRANSLATE(A3389, ""zh"", ""en"")"),"We hold regular employee forums to understand employee mindset changes in a timely manner, gain insights into employee turnover tendencies, and conduct one-on-one communications with departing employees to gain a deeper understanding of the reasons for th"&amp;"eir departure, thereby improving our talent retention plans in a targeted manner.")</f>
        <v>We hold regular employee forums to understand employee mindset changes in a timely manner, gain insights into employee turnover tendencies, and conduct one-on-one communications with departing employees to gain a deeper understanding of the reasons for their departure, thereby improving our talent retention plans in a targeted manner.</v>
      </c>
      <c r="B3389" s="1" t="str">
        <f ca="1">IFERROR(__xludf.DUMMYFUNCTION("GOOGLETRANSLATE(A3389, ""zh"", ""en"")"),"staff")</f>
        <v>staff</v>
      </c>
      <c r="C3389" s="1" t="str">
        <f ca="1">IFERROR(__xludf.DUMMYFUNCTION("GOOGLETRANSLATE(E3389, ""zh"", ""en"")"),"Qualitative text")</f>
        <v>Qualitative text</v>
      </c>
    </row>
    <row r="3390" spans="1:3" ht="13" x14ac:dyDescent="0.15">
      <c r="A3390" s="1" t="str">
        <f ca="1">IFERROR(__xludf.DUMMYFUNCTION("GOOGLETRANSLATE(A3390, ""zh"", ""en"")"),"Joincare EHS Internal Audit Joincare continues to increase investment in occupational health and safety, promotes improvements in production safety technology and upgrades in production safety equipment, and actively conducts safety training and emergency"&amp;" drills.")</f>
        <v>Joincare EHS Internal Audit Joincare continues to increase investment in occupational health and safety, promotes improvements in production safety technology and upgrades in production safety equipment, and actively conducts safety training and emergency drills.</v>
      </c>
      <c r="B3390" s="1" t="str">
        <f ca="1">IFERROR(__xludf.DUMMYFUNCTION("GOOGLETRANSLATE(A3390, ""zh"", ""en"")"),"Audit work")</f>
        <v>Audit work</v>
      </c>
      <c r="C3390" s="1" t="str">
        <f ca="1">IFERROR(__xludf.DUMMYFUNCTION("GOOGLETRANSLATE(E3390, ""zh"", ""en"")"),"Qualitative text")</f>
        <v>Qualitative text</v>
      </c>
    </row>
    <row r="3391" spans="1:3" ht="13" x14ac:dyDescent="0.15">
      <c r="A3391" s="1" t="str">
        <f ca="1">IFERROR(__xludf.DUMMYFUNCTION("GOOGLETRANSLATE(A3391, ""zh"", ""en"")"),"Publicly publish recruitment information on social recruitment platforms, such as the company's website and official account, and participate in various job fairs in the local area, such as organizing units in Shanghai and Nanjing to participate in specia"&amp;"l online campus job fairs for state-owned assets systems.")</f>
        <v>Publicly publish recruitment information on social recruitment platforms, such as the company's website and official account, and participate in various job fairs in the local area, such as organizing units in Shanghai and Nanjing to participate in special online campus job fairs for state-owned assets systems.</v>
      </c>
      <c r="B3391" s="1" t="str">
        <f ca="1">IFERROR(__xludf.DUMMYFUNCTION("GOOGLETRANSLATE(A3391, ""zh"", ""en"")"),"Promoting employment")</f>
        <v>Promoting employment</v>
      </c>
      <c r="C3391" s="1" t="str">
        <f ca="1">IFERROR(__xludf.DUMMYFUNCTION("GOOGLETRANSLATE(E3391, ""zh"", ""en"")"),"Qualitative text")</f>
        <v>Qualitative text</v>
      </c>
    </row>
    <row r="3392" spans="1:3" ht="13" x14ac:dyDescent="0.15">
      <c r="A3392" s="1" t="str">
        <f ca="1">IFERROR(__xludf.DUMMYFUNCTION("GOOGLETRANSLATE(A3392, ""zh"", ""en"")"),"In 2022, the company's domestic greenhouse gas emissions per unit of oil and gas production, methane emission intensity, and energy consumption decreased by 411% and 0.45% year-on-year respectively. No major or above safety and environmental accidents occ"&amp;"urred throughout the year.")</f>
        <v>In 2022, the company's domestic greenhouse gas emissions per unit of oil and gas production, methane emission intensity, and energy consumption decreased by 411% and 0.45% year-on-year respectively. No major or above safety and environmental accidents occurred throughout the year.</v>
      </c>
      <c r="B3392" s="1" t="str">
        <f ca="1">IFERROR(__xludf.DUMMYFUNCTION("GOOGLETRANSLATE(A3392, ""zh"", ""en"")"),"carbon emissions")</f>
        <v>carbon emissions</v>
      </c>
      <c r="C3392" s="1" t="str">
        <f ca="1">IFERROR(__xludf.DUMMYFUNCTION("GOOGLETRANSLATE(E3392, ""zh"", ""en"")"),"Quantitative Text")</f>
        <v>Quantitative Text</v>
      </c>
    </row>
    <row r="3393" spans="1:3" ht="13" x14ac:dyDescent="0.15">
      <c r="A3393" s="1" t="str">
        <f ca="1">IFERROR(__xludf.DUMMYFUNCTION("GOOGLETRANSLATE(A3393, ""zh"", ""en"")"),"TOSHIBA is a world-class high-end and high-quality display brand - Toshiba. Toshiba is positioned as a global high-end brand and focuses on the layout of high-end OLED, rocket launcher audio series, flagship TV, to create a world-class audio and video atm"&amp;"osphere.")</f>
        <v>TOSHIBA is a world-class high-end and high-quality display brand - Toshiba. Toshiba is positioned as a global high-end brand and focuses on the layout of high-end OLED, rocket launcher audio series, flagship TV, to create a world-class audio and video atmosphere.</v>
      </c>
      <c r="B3393" s="1" t="str">
        <f ca="1">IFERROR(__xludf.DUMMYFUNCTION("GOOGLETRANSLATE(A3393, ""zh"", ""en"")"),"Product quality")</f>
        <v>Product quality</v>
      </c>
      <c r="C3393" s="1" t="str">
        <f ca="1">IFERROR(__xludf.DUMMYFUNCTION("GOOGLETRANSLATE(E3393, ""zh"", ""en"")"),"Qualitative text")</f>
        <v>Qualitative text</v>
      </c>
    </row>
    <row r="3394" spans="1:3" ht="13" x14ac:dyDescent="0.15">
      <c r="A3394" s="1" t="str">
        <f ca="1">IFERROR(__xludf.DUMMYFUNCTION("GOOGLETRANSLATE(A3394, ""zh"", ""en"")"),"Focusing on industry needs, the company continues to increase the layout of its warehousing network and builds a central storage supply chain integrated service platform in core industrial clusters to conduct VMI supplier inventory management for upstream"&amp;" companies and optimize social inventory management.")</f>
        <v>Focusing on industry needs, the company continues to increase the layout of its warehousing network and builds a central storage supply chain integrated service platform in core industrial clusters to conduct VMI supplier inventory management for upstream companies and optimize social inventory management.</v>
      </c>
      <c r="B3394" s="1" t="str">
        <f ca="1">IFERROR(__xludf.DUMMYFUNCTION("GOOGLETRANSLATE(A3394, ""zh"", ""en"")"),"supply chain management")</f>
        <v>supply chain management</v>
      </c>
      <c r="C3394" s="1" t="str">
        <f ca="1">IFERROR(__xludf.DUMMYFUNCTION("GOOGLETRANSLATE(E3394, ""zh"", ""en"")"),"Qualitative text")</f>
        <v>Qualitative text</v>
      </c>
    </row>
    <row r="3395" spans="1:3" ht="13" x14ac:dyDescent="0.15">
      <c r="A3395" s="1" t="str">
        <f ca="1">IFERROR(__xludf.DUMMYFUNCTION("GOOGLETRANSLATE(A3395, ""zh"", ""en"")"),"The Jingmang Project kick-starts new employees' careers. In September 2022, to enhance the company's R&amp;D management effectiveness and strengthen the training and exchange of R&amp;D talents, the company held a special leadership training program for mid-level"&amp;" R&amp;D backbones.")</f>
        <v>The Jingmang Project kick-starts new employees' careers. In September 2022, to enhance the company's R&amp;D management effectiveness and strengthen the training and exchange of R&amp;D talents, the company held a special leadership training program for mid-level R&amp;D backbones.</v>
      </c>
      <c r="B3395" s="1" t="str">
        <f ca="1">IFERROR(__xludf.DUMMYFUNCTION("GOOGLETRANSLATE(A3395, ""zh"", ""en"")"),"staff")</f>
        <v>staff</v>
      </c>
      <c r="C3395" s="1" t="str">
        <f ca="1">IFERROR(__xludf.DUMMYFUNCTION("GOOGLETRANSLATE(E3395, ""zh"", ""en"")"),"Qualitative text")</f>
        <v>Qualitative text</v>
      </c>
    </row>
    <row r="3396" spans="1:3" ht="13" x14ac:dyDescent="0.15">
      <c r="A3396" s="1" t="str">
        <f ca="1">IFERROR(__xludf.DUMMYFUNCTION("GOOGLETRANSLATE(A3396, ""zh"", ""en"")"),"Ouyang Zhongcan, an academician of the Chinese Academy of Sciences, commented that Hisense Visual ULEDX display technology surpasses the picture quality of OLED and elevates the picture quality of LCD TVs to an unprecedented new height.")</f>
        <v>Ouyang Zhongcan, an academician of the Chinese Academy of Sciences, commented that Hisense Visual ULEDX display technology surpasses the picture quality of OLED and elevates the picture quality of LCD TVs to an unprecedented new height.</v>
      </c>
      <c r="B3396" s="1" t="str">
        <f ca="1">IFERROR(__xludf.DUMMYFUNCTION("GOOGLETRANSLATE(A3396, ""zh"", ""en"")"),"Technological innovation")</f>
        <v>Technological innovation</v>
      </c>
      <c r="C3396" s="1" t="str">
        <f ca="1">IFERROR(__xludf.DUMMYFUNCTION("GOOGLETRANSLATE(E3396, ""zh"", ""en"")"),"Qualitative text")</f>
        <v>Qualitative text</v>
      </c>
    </row>
    <row r="3397" spans="1:3" ht="13" x14ac:dyDescent="0.15">
      <c r="A3397" s="1" t="str">
        <f ca="1">IFERROR(__xludf.DUMMYFUNCTION("GOOGLETRANSLATE(A3397, ""zh"", ""en"")"),"In 2022, we fully participated in the legal review of the company's investment projects and reviewed a total of 75 systems. We strictly reviewed business contracts and non-operating procurement contracts, and reviewed more than 200 contracts of various ty"&amp;"pes throughout the year.")</f>
        <v>In 2022, we fully participated in the legal review of the company's investment projects and reviewed a total of 75 systems. We strictly reviewed business contracts and non-operating procurement contracts, and reviewed more than 200 contracts of various types throughout the year.</v>
      </c>
      <c r="B3397" s="1" t="str">
        <f ca="1">IFERROR(__xludf.DUMMYFUNCTION("GOOGLETRANSLATE(A3397, ""zh"", ""en"")"),"Legal proceedings and external sanctions")</f>
        <v>Legal proceedings and external sanctions</v>
      </c>
      <c r="C3397" s="1" t="str">
        <f ca="1">IFERROR(__xludf.DUMMYFUNCTION("GOOGLETRANSLATE(E3397, ""zh"", ""en"")"),"Quantitative Text")</f>
        <v>Quantitative Text</v>
      </c>
    </row>
    <row r="3398" spans="1:3" ht="13" x14ac:dyDescent="0.15">
      <c r="A3398" s="1" t="str">
        <f ca="1">IFERROR(__xludf.DUMMYFUNCTION("GOOGLETRANSLATE(A3398, ""zh"", ""en"")"),"The company's disciplinary committee produced a micro-video on discipline and law for the Xiao Hisense Visual Technology disciplinary committee to promote a lesson together. The video focuses on the various misunderstandings that cadres and employees may "&amp;"have about bribery. Through the micro-video, the legal education content is made clearer and more specific about the requirements of anti-corruption and promoting integrity.")</f>
        <v>The company's disciplinary committee produced a micro-video on discipline and law for the Xiao Hisense Visual Technology disciplinary committee to promote a lesson together. The video focuses on the various misunderstandings that cadres and employees may have about bribery. Through the micro-video, the legal education content is made clearer and more specific about the requirements of anti-corruption and promoting integrity.</v>
      </c>
      <c r="B3398" s="1" t="str">
        <f ca="1">IFERROR(__xludf.DUMMYFUNCTION("GOOGLETRANSLATE(A3398, ""zh"", ""en"")"),"Anti-corruption and anti-money laundering")</f>
        <v>Anti-corruption and anti-money laundering</v>
      </c>
      <c r="C3398" s="1" t="str">
        <f ca="1">IFERROR(__xludf.DUMMYFUNCTION("GOOGLETRANSLATE(E3398, ""zh"", ""en"")"),"Qualitative text")</f>
        <v>Qualitative text</v>
      </c>
    </row>
    <row r="3399" spans="1:3" ht="13" x14ac:dyDescent="0.15">
      <c r="A3399" s="1" t="str">
        <f ca="1">IFERROR(__xludf.DUMMYFUNCTION("GOOGLETRANSLATE(A3399, ""zh"", ""en"")"),"Carry out targeted zero-pollution and environmental protection professional capacity improvement projects for senior professionals and key backbone personnel, drive employees to continuously improve their professional competence, and provide the organizat"&amp;"ion with a high-quality and sustainable talent team.")</f>
        <v>Carry out targeted zero-pollution and environmental protection professional capacity improvement projects for senior professionals and key backbone personnel, drive employees to continuously improve their professional competence, and provide the organization with a high-quality and sustainable talent team.</v>
      </c>
      <c r="B3399" s="1" t="str">
        <f ca="1">IFERROR(__xludf.DUMMYFUNCTION("GOOGLETRANSLATE(A3399, ""zh"", ""en"")"),"staff")</f>
        <v>staff</v>
      </c>
      <c r="C3399" s="1" t="str">
        <f ca="1">IFERROR(__xludf.DUMMYFUNCTION("GOOGLETRANSLATE(E3399, ""zh"", ""en"")"),"Qualitative text")</f>
        <v>Qualitative text</v>
      </c>
    </row>
    <row r="3400" spans="1:3" ht="13" x14ac:dyDescent="0.15">
      <c r="A3400" s="1" t="str">
        <f ca="1">IFERROR(__xludf.DUMMYFUNCTION("GOOGLETRANSLATE(A3400, ""zh"", ""en"")"),"During the project operation and management stage, insurance is provided. Regular submission of project progress reports and ESMS implementation reports, combined with environmental monitoring reports, etc. are required by the Asian Development Bank and r"&amp;"elevant departments to track and disclose the environmental and social impacts of the project throughout the entire cycle.")</f>
        <v>During the project operation and management stage, insurance is provided. Regular submission of project progress reports and ESMS implementation reports, combined with environmental monitoring reports, etc. are required by the Asian Development Bank and relevant departments to track and disclose the environmental and social impacts of the project throughout the entire cycle.</v>
      </c>
      <c r="B3400" s="1" t="str">
        <f ca="1">IFERROR(__xludf.DUMMYFUNCTION("GOOGLETRANSLATE(A3400, ""zh"", ""en"")"),"Information Disclosure and Investor Communication")</f>
        <v>Information Disclosure and Investor Communication</v>
      </c>
      <c r="C3400" s="1" t="str">
        <f ca="1">IFERROR(__xludf.DUMMYFUNCTION("GOOGLETRANSLATE(E3400, ""zh"", ""en"")"),"Qualitative text")</f>
        <v>Qualitative text</v>
      </c>
    </row>
    <row r="3401" spans="1:3" ht="13" x14ac:dyDescent="0.15">
      <c r="A3401" s="1" t="str">
        <f ca="1">IFERROR(__xludf.DUMMYFUNCTION("GOOGLETRANSLATE(A3401, ""zh"", ""en"")"),"First, the company provides a comprehensive health insurance plan designed to provide employees with necessary medical care services and provide employees with health examinations and physical examinations to ensure that employees can detect and treat pot"&amp;"ential health problems in a timely manner.")</f>
        <v>First, the company provides a comprehensive health insurance plan designed to provide employees with necessary medical care services and provide employees with health examinations and physical examinations to ensure that employees can detect and treat potential health problems in a timely manner.</v>
      </c>
      <c r="B3401" s="1" t="str">
        <f ca="1">IFERROR(__xludf.DUMMYFUNCTION("GOOGLETRANSLATE(A3401, ""zh"", ""en"")"),"staff")</f>
        <v>staff</v>
      </c>
      <c r="C3401" s="1" t="str">
        <f ca="1">IFERROR(__xludf.DUMMYFUNCTION("GOOGLETRANSLATE(E3401, ""zh"", ""en"")"),"Qualitative text")</f>
        <v>Qualitative text</v>
      </c>
    </row>
    <row r="3402" spans="1:3" ht="13" x14ac:dyDescent="0.15">
      <c r="A3402" s="1" t="str">
        <f ca="1">IFERROR(__xludf.DUMMYFUNCTION("GOOGLETRANSLATE(A3402, ""zh"", ""en"")"),"We identify material topics through the following four steps: 01. Topic Identification: Based on reporting standards, benchmarking with peers, industry sustainability trends, and the Group's business development, we identify material topics for the year.")</f>
        <v>We identify material topics through the following four steps: 01. Topic Identification: Based on reporting standards, benchmarking with peers, industry sustainability trends, and the Group's business development, we identify material topics for the year.</v>
      </c>
      <c r="B3402" s="1" t="str">
        <f ca="1">IFERROR(__xludf.DUMMYFUNCTION("GOOGLETRANSLATE(A3402, ""zh"", ""en"")"),"irrelevant text")</f>
        <v>irrelevant text</v>
      </c>
      <c r="C3402" s="1" t="str">
        <f ca="1">IFERROR(__xludf.DUMMYFUNCTION("GOOGLETRANSLATE(E3402, ""zh"", ""en"")"),"irrelevant text")</f>
        <v>irrelevant text</v>
      </c>
    </row>
    <row r="3403" spans="1:3" ht="13" x14ac:dyDescent="0.15">
      <c r="A3403" s="1" t="str">
        <f ca="1">IFERROR(__xludf.DUMMYFUNCTION("GOOGLETRANSLATE(A3403, ""zh"", ""en"")"),"During the bidding and evaluation stage, the Group and its subsidiaries jointly form a bidding and evaluation team to select the best supplier through a comprehensive evaluation of technical and commercial scores to prevent subjective assumptions and corr"&amp;"uption.")</f>
        <v>During the bidding and evaluation stage, the Group and its subsidiaries jointly form a bidding and evaluation team to select the best supplier through a comprehensive evaluation of technical and commercial scores to prevent subjective assumptions and corruption.</v>
      </c>
      <c r="B3403" s="1" t="str">
        <f ca="1">IFERROR(__xludf.DUMMYFUNCTION("GOOGLETRANSLATE(A3403, ""zh"", ""en"")"),"Anti-corruption and anti-money laundering")</f>
        <v>Anti-corruption and anti-money laundering</v>
      </c>
      <c r="C3403" s="1" t="str">
        <f ca="1">IFERROR(__xludf.DUMMYFUNCTION("GOOGLETRANSLATE(E3403, ""zh"", ""en"")"),"Qualitative text")</f>
        <v>Qualitative text</v>
      </c>
    </row>
    <row r="3404" spans="1:3" ht="13" x14ac:dyDescent="0.15">
      <c r="A3404" s="1" t="str">
        <f ca="1">IFERROR(__xludf.DUMMYFUNCTION("GOOGLETRANSLATE(A3404, ""zh"", ""en"")"),"The Board believes that when selecting directors, the Company should consider measurable objectives from multiple perspectives, including but not limited to educational background, professional experience, age, gender, region, and race, in order to achiev"&amp;"e and maintain a diverse board of directors.")</f>
        <v>The Board believes that when selecting directors, the Company should consider measurable objectives from multiple perspectives, including but not limited to educational background, professional experience, age, gender, region, and race, in order to achieve and maintain a diverse board of directors.</v>
      </c>
      <c r="B3404" s="1" t="str">
        <f ca="1">IFERROR(__xludf.DUMMYFUNCTION("GOOGLETRANSLATE(A3404, ""zh"", ""en"")"),"Organizational structure and operations")</f>
        <v>Organizational structure and operations</v>
      </c>
      <c r="C3404" s="1" t="str">
        <f ca="1">IFERROR(__xludf.DUMMYFUNCTION("GOOGLETRANSLATE(E3404, ""zh"", ""en"")"),"Qualitative text")</f>
        <v>Qualitative text</v>
      </c>
    </row>
    <row r="3405" spans="1:3" ht="13" x14ac:dyDescent="0.15">
      <c r="A3405" s="1" t="str">
        <f ca="1">IFERROR(__xludf.DUMMYFUNCTION("GOOGLETRANSLATE(A3405, ""zh"", ""en"")"),"5.1.4 Pharmacovigilance Kangyuan strictly follows the requirements of the Good Pharmacovigilance Practice (GVP) to expand the scope of the pharmacovigilance management system from post-marketing to the entire life cycle of the drug before and after market"&amp;" launch.")</f>
        <v>5.1.4 Pharmacovigilance Kangyuan strictly follows the requirements of the Good Pharmacovigilance Practice (GVP) to expand the scope of the pharmacovigilance management system from post-marketing to the entire life cycle of the drug before and after market launch.</v>
      </c>
      <c r="B3405" s="1" t="str">
        <f ca="1">IFERROR(__xludf.DUMMYFUNCTION("GOOGLETRANSLATE(A3405, ""zh"", ""en"")"),"Product quality")</f>
        <v>Product quality</v>
      </c>
      <c r="C3405" s="1" t="str">
        <f ca="1">IFERROR(__xludf.DUMMYFUNCTION("GOOGLETRANSLATE(E3405, ""zh"", ""en"")"),"Qualitative text")</f>
        <v>Qualitative text</v>
      </c>
    </row>
    <row r="3406" spans="1:3" ht="13" x14ac:dyDescent="0.15">
      <c r="A3406" s="1" t="str">
        <f ca="1">IFERROR(__xludf.DUMMYFUNCTION("GOOGLETRANSLATE(A3406, ""zh"", ""en"")"),"We always keep in mind the principle of high utilization and low emissions in our production operations, focus on optimizing resource utilization, promote the implementation of established emission reduction strategies, and assist in the transition to a l"&amp;"ow-carbon economy, thereby achieving sustainable development and utilization of mineral resources.")</f>
        <v>We always keep in mind the principle of high utilization and low emissions in our production operations, focus on optimizing resource utilization, promote the implementation of established emission reduction strategies, and assist in the transition to a low-carbon economy, thereby achieving sustainable development and utilization of mineral resources.</v>
      </c>
      <c r="B3406" s="1" t="str">
        <f ca="1">IFERROR(__xludf.DUMMYFUNCTION("GOOGLETRANSLATE(A3406, ""zh"", ""en"")"),"carbon emissions")</f>
        <v>carbon emissions</v>
      </c>
      <c r="C3406" s="1" t="str">
        <f ca="1">IFERROR(__xludf.DUMMYFUNCTION("GOOGLETRANSLATE(E3406, ""zh"", ""en"")"),"Qualitative text")</f>
        <v>Qualitative text</v>
      </c>
    </row>
    <row r="3407" spans="1:3" ht="13" x14ac:dyDescent="0.15">
      <c r="A3407" s="1" t="str">
        <f ca="1">IFERROR(__xludf.DUMMYFUNCTION("GOOGLETRANSLATE(A3407, ""zh"", ""en"")"),"In terms of balancing resource conservation and business development, Tibet Qomolangma is full of responsibility and mission, adhering to the concept of green development, scientifically and rationally developing, utilizing and managing natural resources,"&amp;" improving resource utilization and reducing waste.")</f>
        <v>In terms of balancing resource conservation and business development, Tibet Qomolangma is full of responsibility and mission, adhering to the concept of green development, scientifically and rationally developing, utilizing and managing natural resources, improving resource utilization and reducing waste.</v>
      </c>
      <c r="B3407" s="1" t="str">
        <f ca="1">IFERROR(__xludf.DUMMYFUNCTION("GOOGLETRANSLATE(A3407, ""zh"", ""en"")"),"Energy and resource consumption")</f>
        <v>Energy and resource consumption</v>
      </c>
      <c r="C3407" s="1" t="str">
        <f ca="1">IFERROR(__xludf.DUMMYFUNCTION("GOOGLETRANSLATE(E3407, ""zh"", ""en"")"),"Qualitative text")</f>
        <v>Qualitative text</v>
      </c>
    </row>
    <row r="3408" spans="1:3" ht="13" x14ac:dyDescent="0.15">
      <c r="A3408" s="1" t="str">
        <f ca="1">IFERROR(__xludf.DUMMYFUNCTION("GOOGLETRANSLATE(A3408, ""zh"", ""en"")"),"Leveraging the company's comprehensive professional chain and product categories to continuously enrich its business chain and achieve its comparative advantage of being exceptionally complete, we will redefine and expand the meaning of integration, estab"&amp;"lish a new integration model, and fully unleash benefits and efficiency.")</f>
        <v>Leveraging the company's comprehensive professional chain and product categories to continuously enrich its business chain and achieve its comparative advantage of being exceptionally complete, we will redefine and expand the meaning of integration, establish a new integration model, and fully unleash benefits and efficiency.</v>
      </c>
      <c r="B3408" s="1" t="str">
        <f ca="1">IFERROR(__xludf.DUMMYFUNCTION("GOOGLETRANSLATE(A3408, ""zh"", ""en"")"),"Technological innovation")</f>
        <v>Technological innovation</v>
      </c>
      <c r="C3408" s="1" t="str">
        <f ca="1">IFERROR(__xludf.DUMMYFUNCTION("GOOGLETRANSLATE(E3408, ""zh"", ""en"")"),"Qualitative text")</f>
        <v>Qualitative text</v>
      </c>
    </row>
    <row r="3409" spans="1:3" ht="13" x14ac:dyDescent="0.15">
      <c r="A3409" s="1" t="str">
        <f ca="1">IFERROR(__xludf.DUMMYFUNCTION("GOOGLETRANSLATE(A3409, ""zh"", ""en"")"),"16. Employee turnover rate The employee turnover rate disclosed in the Environmental, Social and Governance (ESG) report refers to the ratio of the number of employees who voluntarily resigned from PetroChina Company Limited to the total number of employe"&amp;"es in 2022.")</f>
        <v>16. Employee turnover rate The employee turnover rate disclosed in the Environmental, Social and Governance (ESG) report refers to the ratio of the number of employees who voluntarily resigned from PetroChina Company Limited to the total number of employees in 2022.</v>
      </c>
      <c r="B3409" s="1" t="str">
        <f ca="1">IFERROR(__xludf.DUMMYFUNCTION("GOOGLETRANSLATE(A3409, ""zh"", ""en"")"),"staff")</f>
        <v>staff</v>
      </c>
      <c r="C3409" s="1" t="str">
        <f ca="1">IFERROR(__xludf.DUMMYFUNCTION("GOOGLETRANSLATE(E3409, ""zh"", ""en"")"),"Qualitative text")</f>
        <v>Qualitative text</v>
      </c>
    </row>
    <row r="3410" spans="1:3" ht="13" x14ac:dyDescent="0.15">
      <c r="A3410" s="1" t="str">
        <f ca="1">IFERROR(__xludf.DUMMYFUNCTION("GOOGLETRANSLATE(A3410, ""zh"", ""en"")"),"Level 109 B2 Health and Safety General Disclosure Information on a) Policies on providing a safe working environment and protecting employees from occupational hazards and b) Compliance with relevant laws and regulations that have a significant impact on "&amp;"the issuer")</f>
        <v>Level 109 B2 Health and Safety General Disclosure Information on a) Policies on providing a safe working environment and protecting employees from occupational hazards and b) Compliance with relevant laws and regulations that have a significant impact on the issuer</v>
      </c>
      <c r="B3410" s="1" t="str">
        <f ca="1">IFERROR(__xludf.DUMMYFUNCTION("GOOGLETRANSLATE(A3410, ""zh"", ""en"")"),"staff")</f>
        <v>staff</v>
      </c>
      <c r="C3410" s="1" t="str">
        <f ca="1">IFERROR(__xludf.DUMMYFUNCTION("GOOGLETRANSLATE(E3410, ""zh"", ""en"")"),"Qualitative text")</f>
        <v>Qualitative text</v>
      </c>
    </row>
    <row r="3411" spans="1:3" ht="13" x14ac:dyDescent="0.15">
      <c r="A3411" s="1" t="str">
        <f ca="1">IFERROR(__xludf.DUMMYFUNCTION("GOOGLETRANSLATE(A3411, ""zh"", ""en"")"),"Actively respond to the country's and the company's call for energy conservation and emission reduction. Post environmental protection promotional signs based on the building's office needs and equipment and facility configuration. Implement technical ene"&amp;"rgy-saving control to reduce the building's energy consumption and save the company's operating costs.")</f>
        <v>Actively respond to the country's and the company's call for energy conservation and emission reduction. Post environmental protection promotional signs based on the building's office needs and equipment and facility configuration. Implement technical energy-saving control to reduce the building's energy consumption and save the company's operating costs.</v>
      </c>
      <c r="B3411" s="1" t="str">
        <f ca="1">IFERROR(__xludf.DUMMYFUNCTION("GOOGLETRANSLATE(A3411, ""zh"", ""en"")"),"Energy and resource consumption")</f>
        <v>Energy and resource consumption</v>
      </c>
      <c r="C3411" s="1" t="str">
        <f ca="1">IFERROR(__xludf.DUMMYFUNCTION("GOOGLETRANSLATE(E3411, ""zh"", ""en"")"),"Qualitative text")</f>
        <v>Qualitative text</v>
      </c>
    </row>
    <row r="3412" spans="1:3" ht="13" x14ac:dyDescent="0.15">
      <c r="A3412" s="1" t="str">
        <f ca="1">IFERROR(__xludf.DUMMYFUNCTION("GOOGLETRANSLATE(A3412, ""zh"", ""en"")"),"Establish a comprehensive and hierarchical examination system for professional and technical positions, guiding employees to continuously deepen their professional fields and engage in lifelong learning.")</f>
        <v>Establish a comprehensive and hierarchical examination system for professional and technical positions, guiding employees to continuously deepen their professional fields and engage in lifelong learning.</v>
      </c>
      <c r="B3412" s="1" t="str">
        <f ca="1">IFERROR(__xludf.DUMMYFUNCTION("GOOGLETRANSLATE(A3412, ""zh"", ""en"")"),"staff")</f>
        <v>staff</v>
      </c>
      <c r="C3412" s="1" t="str">
        <f ca="1">IFERROR(__xludf.DUMMYFUNCTION("GOOGLETRANSLATE(E3412, ""zh"", ""en"")"),"Qualitative text")</f>
        <v>Qualitative text</v>
      </c>
    </row>
    <row r="3413" spans="1:3" ht="13" x14ac:dyDescent="0.15">
      <c r="A3413" s="1" t="str">
        <f ca="1">IFERROR(__xludf.DUMMYFUNCTION("GOOGLETRANSLATE(A3413, ""zh"", ""en"")"),"3.2 Energy Conservation, Efficiency Improvement, and Green Development Key Performance Indicators A2.2 Total direct and/or indirect energy consumption by type (e.g., electricity or oil) calculated in thousands of kilowatt-hours and density (e.g., per unit"&amp;" of production per facility)")</f>
        <v>3.2 Energy Conservation, Efficiency Improvement, and Green Development Key Performance Indicators A2.2 Total direct and/or indirect energy consumption by type (e.g., electricity or oil) calculated in thousands of kilowatt-hours and density (e.g., per unit of production per facility)</v>
      </c>
      <c r="B3413" s="1" t="str">
        <f ca="1">IFERROR(__xludf.DUMMYFUNCTION("GOOGLETRANSLATE(A3413, ""zh"", ""en"")"),"Energy and resource consumption")</f>
        <v>Energy and resource consumption</v>
      </c>
      <c r="C3413" s="1" t="str">
        <f ca="1">IFERROR(__xludf.DUMMYFUNCTION("GOOGLETRANSLATE(E3413, ""zh"", ""en"")"),"Quantitative Text")</f>
        <v>Quantitative Text</v>
      </c>
    </row>
    <row r="3414" spans="1:3" ht="13" x14ac:dyDescent="0.15">
      <c r="A3414" s="1" t="str">
        <f ca="1">IFERROR(__xludf.DUMMYFUNCTION("GOOGLETRANSLATE(A3414, ""zh"", ""en"")"),"The company has always adhered to the three self-strategies of the 2018-2028 strategic plan, namely independent products, independent markets and independent brands. In 2022, the company will continue to integrate internal and external organizational reso"&amp;"urces, build processes and implement management.")</f>
        <v>The company has always adhered to the three self-strategies of the 2018-2028 strategic plan, namely independent products, independent markets and independent brands. In 2022, the company will continue to integrate internal and external organizational resources, build processes and implement management.</v>
      </c>
      <c r="B3414" s="1" t="str">
        <f ca="1">IFERROR(__xludf.DUMMYFUNCTION("GOOGLETRANSLATE(A3414, ""zh"", ""en"")"),"Organizational structure and operations")</f>
        <v>Organizational structure and operations</v>
      </c>
      <c r="C3414" s="1" t="str">
        <f ca="1">IFERROR(__xludf.DUMMYFUNCTION("GOOGLETRANSLATE(E3414, ""zh"", ""en"")"),"Qualitative text")</f>
        <v>Qualitative text</v>
      </c>
    </row>
    <row r="3415" spans="1:3" ht="13" x14ac:dyDescent="0.15">
      <c r="A3415" s="1" t="str">
        <f ca="1">IFERROR(__xludf.DUMMYFUNCTION("GOOGLETRANSLATE(A3415, ""zh"", ""en"")"),"The training course for young and middle-aged workers of Shanghai Electric Group Co., Ltd., 111333 technical workers training model workers and craftsmen, was officially launched on the morning of February 26.")</f>
        <v>The training course for young and middle-aged workers of Shanghai Electric Group Co., Ltd., 111333 technical workers training model workers and craftsmen, was officially launched on the morning of February 26.</v>
      </c>
      <c r="B3415" s="1" t="str">
        <f ca="1">IFERROR(__xludf.DUMMYFUNCTION("GOOGLETRANSLATE(A3415, ""zh"", ""en"")"),"staff")</f>
        <v>staff</v>
      </c>
      <c r="C3415" s="1" t="str">
        <f ca="1">IFERROR(__xludf.DUMMYFUNCTION("GOOGLETRANSLATE(E3415, ""zh"", ""en"")"),"Qualitative text")</f>
        <v>Qualitative text</v>
      </c>
    </row>
    <row r="3416" spans="1:3" ht="13" x14ac:dyDescent="0.15">
      <c r="A3416" s="1" t="str">
        <f ca="1">IFERROR(__xludf.DUMMYFUNCTION("GOOGLETRANSLATE(A3416, ""zh"", ""en"")"),"In 2007, China Construction Bank donated RMB 120 million to establish the China Construction Bank Special Fund for High School Students' Growth Plan to help high school students with outstanding academic performance and financial difficulties across the c"&amp;"ountry complete their studies and grow into talents.")</f>
        <v>In 2007, China Construction Bank donated RMB 120 million to establish the China Construction Bank Special Fund for High School Students' Growth Plan to help high school students with outstanding academic performance and financial difficulties across the country complete their studies and grow into talents.</v>
      </c>
      <c r="B3416" s="1" t="str">
        <f ca="1">IFERROR(__xludf.DUMMYFUNCTION("GOOGLETRANSLATE(A3416, ""zh"", ""en"")"),"Public welfare and volunteer service")</f>
        <v>Public welfare and volunteer service</v>
      </c>
      <c r="C3416" s="1" t="str">
        <f ca="1">IFERROR(__xludf.DUMMYFUNCTION("GOOGLETRANSLATE(E3416, ""zh"", ""en"")"),"Quantitative Text")</f>
        <v>Quantitative Text</v>
      </c>
    </row>
    <row r="3417" spans="1:3" ht="13" x14ac:dyDescent="0.15">
      <c r="A3417" s="1" t="str">
        <f ca="1">IFERROR(__xludf.DUMMYFUNCTION("GOOGLETRANSLATE(A3417, ""zh"", ""en"")"),"At the user level, there are organizational type, engineering type, and family type. From the geographical distribution, there are urban users and rural users. From the purchasing method, there are local purchase, professional market purchase, online purc"&amp;"hase, commissioned purchase, bidding, and targeted purchase, etc.")</f>
        <v>At the user level, there are organizational type, engineering type, and family type. From the geographical distribution, there are urban users and rural users. From the purchasing method, there are local purchase, professional market purchase, online purchase, commissioned purchase, bidding, and targeted purchase, etc.</v>
      </c>
      <c r="B3417" s="1" t="str">
        <f ca="1">IFERROR(__xludf.DUMMYFUNCTION("GOOGLETRANSLATE(A3417, ""zh"", ""en"")"),"Customers and Consumers")</f>
        <v>Customers and Consumers</v>
      </c>
      <c r="C3417" s="1" t="str">
        <f ca="1">IFERROR(__xludf.DUMMYFUNCTION("GOOGLETRANSLATE(E3417, ""zh"", ""en"")"),"Qualitative text")</f>
        <v>Qualitative text</v>
      </c>
    </row>
    <row r="3418" spans="1:3" ht="13" x14ac:dyDescent="0.15">
      <c r="A3418" s="1" t="str">
        <f ca="1">IFERROR(__xludf.DUMMYFUNCTION("GOOGLETRANSLATE(A3418, ""zh"", ""en"")"),"If you have any further inquiries or comments or suggestions on this report, please contact us by fax at 075586252165 or email at joincarejoincare.com")</f>
        <v>If you have any further inquiries or comments or suggestions on this report, please contact us by fax at 075586252165 or email at joincarejoincare.com</v>
      </c>
      <c r="B3418" s="1" t="str">
        <f ca="1">IFERROR(__xludf.DUMMYFUNCTION("GOOGLETRANSLATE(A3418, ""zh"", ""en"")"),"irrelevant text")</f>
        <v>irrelevant text</v>
      </c>
      <c r="C3418" s="1" t="str">
        <f ca="1">IFERROR(__xludf.DUMMYFUNCTION("GOOGLETRANSLATE(E3418, ""zh"", ""en"")"),"irrelevant text")</f>
        <v>irrelevant text</v>
      </c>
    </row>
    <row r="3419" spans="1:3" ht="13" x14ac:dyDescent="0.15">
      <c r="A3419" s="1" t="str">
        <f ca="1">IFERROR(__xludf.DUMMYFUNCTION("GOOGLETRANSLATE(A3419, ""zh"", ""en"")"),"Its subsidiary, Xinjiaaisi, was selected as an excellent dual-carbon case in Zhejiang Province and recommended to join the Zhejiang Carbon Peaking and Carbon Neutrality Science and Technology Innovation Consortium. Academician Gao Xiang introduced the Xin"&amp;"jiaaisi case at the China Green and Low-Carbon Innovation Conference.")</f>
        <v>Its subsidiary, Xinjiaaisi, was selected as an excellent dual-carbon case in Zhejiang Province and recommended to join the Zhejiang Carbon Peaking and Carbon Neutrality Science and Technology Innovation Consortium. Academician Gao Xiang introduced the Xinjiaaisi case at the China Green and Low-Carbon Innovation Conference.</v>
      </c>
      <c r="B3419" s="1" t="str">
        <f ca="1">IFERROR(__xludf.DUMMYFUNCTION("GOOGLETRANSLATE(A3419, ""zh"", ""en"")"),"carbon emissions")</f>
        <v>carbon emissions</v>
      </c>
      <c r="C3419" s="1" t="str">
        <f ca="1">IFERROR(__xludf.DUMMYFUNCTION("GOOGLETRANSLATE(E3419, ""zh"", ""en"")"),"Qualitative text")</f>
        <v>Qualitative text</v>
      </c>
    </row>
    <row r="3420" spans="1:3" ht="13" x14ac:dyDescent="0.15">
      <c r="A3420" s="1" t="str">
        <f ca="1">IFERROR(__xludf.DUMMYFUNCTION("GOOGLETRANSLATE(A3420, ""zh"", ""en"")"),"To promote community development, we encourage employees to participate in volunteer activities and donations. We also promote health education and promote industrial support to effectively solve the employment difficulties faced by people in need, contri"&amp;"buting to the realization of common prosperity for all.")</f>
        <v>To promote community development, we encourage employees to participate in volunteer activities and donations. We also promote health education and promote industrial support to effectively solve the employment difficulties faced by people in need, contributing to the realization of common prosperity for all.</v>
      </c>
      <c r="B3420" s="1" t="str">
        <f ca="1">IFERROR(__xludf.DUMMYFUNCTION("GOOGLETRANSLATE(A3420, ""zh"", ""en"")"),"Public welfare and volunteer service")</f>
        <v>Public welfare and volunteer service</v>
      </c>
      <c r="C3420" s="1" t="str">
        <f ca="1">IFERROR(__xludf.DUMMYFUNCTION("GOOGLETRANSLATE(E3420, ""zh"", ""en"")"),"Qualitative text")</f>
        <v>Qualitative text</v>
      </c>
    </row>
    <row r="3421" spans="1:3" ht="13" x14ac:dyDescent="0.15">
      <c r="A3421" s="1" t="str">
        <f ca="1">IFERROR(__xludf.DUMMYFUNCTION("GOOGLETRANSLATE(A3421, ""zh"", ""en"")"),"It is expected that after completion, the park will be able to provide nearly 10,000 jobs, drive employment for tens of thousands of people in Tajikistan, effectively promote Tajikistan's industrial modernization process, and accelerate the implementation"&amp;" of the Belt and Road Initiative in Tajikistan and surrounding Central Asian regions.")</f>
        <v>It is expected that after completion, the park will be able to provide nearly 10,000 jobs, drive employment for tens of thousands of people in Tajikistan, effectively promote Tajikistan's industrial modernization process, and accelerate the implementation of the Belt and Road Initiative in Tajikistan and surrounding Central Asian regions.</v>
      </c>
      <c r="B3421" s="1" t="str">
        <f ca="1">IFERROR(__xludf.DUMMYFUNCTION("GOOGLETRANSLATE(A3421, ""zh"", ""en"")"),"Promoting employment")</f>
        <v>Promoting employment</v>
      </c>
      <c r="C3421" s="1" t="str">
        <f ca="1">IFERROR(__xludf.DUMMYFUNCTION("GOOGLETRANSLATE(E3421, ""zh"", ""en"")"),"Qualitative text")</f>
        <v>Qualitative text</v>
      </c>
    </row>
    <row r="3422" spans="1:3" ht="13" x14ac:dyDescent="0.15">
      <c r="A3422" s="1" t="str">
        <f ca="1">IFERROR(__xludf.DUMMYFUNCTION("GOOGLETRANSLATE(A3422, ""zh"", ""en"")"),"The supporting talent fund supports the group in achieving 100% contractual coverage of enterprise managers in new industries and new tracks, and implements differentiated remuneration, market-based exit mechanisms, and mid- to long-term tenure incentives"&amp;" to continuously stimulate the company's momentum and vitality.")</f>
        <v>The supporting talent fund supports the group in achieving 100% contractual coverage of enterprise managers in new industries and new tracks, and implements differentiated remuneration, market-based exit mechanisms, and mid- to long-term tenure incentives to continuously stimulate the company's momentum and vitality.</v>
      </c>
      <c r="B3422" s="1" t="str">
        <f ca="1">IFERROR(__xludf.DUMMYFUNCTION("GOOGLETRANSLATE(A3422, ""zh"", ""en"")"),"staff")</f>
        <v>staff</v>
      </c>
      <c r="C3422" s="1" t="str">
        <f ca="1">IFERROR(__xludf.DUMMYFUNCTION("GOOGLETRANSLATE(E3422, ""zh"", ""en"")"),"Qualitative text")</f>
        <v>Qualitative text</v>
      </c>
    </row>
    <row r="3423" spans="1:3" ht="13" x14ac:dyDescent="0.15">
      <c r="A3423" s="1" t="str">
        <f ca="1">IFERROR(__xludf.DUMMYFUNCTION("GOOGLETRANSLATE(A3423, ""zh"", ""en"")"),"State-owned investment capital serves the high-quality development of agriculture. Focusing on the theme of promoting agriculture through quality and green development, we will accelerate the development of rural industries and local industries, promote t"&amp;"he integrated development of the primary, secondary and tertiary industries in rural areas, and help increase farmers' income, enrich themselves, and prosper the rural economy.")</f>
        <v>State-owned investment capital serves the high-quality development of agriculture. Focusing on the theme of promoting agriculture through quality and green development, we will accelerate the development of rural industries and local industries, promote the integrated development of the primary, secondary and tertiary industries in rural areas, and help increase farmers' income, enrich themselves, and prosper the rural economy.</v>
      </c>
      <c r="B3423" s="1" t="str">
        <f ca="1">IFERROR(__xludf.DUMMYFUNCTION("GOOGLETRANSLATE(A3423, ""zh"", ""en"")"),"Rural assistance")</f>
        <v>Rural assistance</v>
      </c>
      <c r="C3423" s="1" t="str">
        <f ca="1">IFERROR(__xludf.DUMMYFUNCTION("GOOGLETRANSLATE(E3423, ""zh"", ""en"")"),"Qualitative text")</f>
        <v>Qualitative text</v>
      </c>
    </row>
    <row r="3424" spans="1:3" ht="13" x14ac:dyDescent="0.15">
      <c r="A3424" s="1" t="str">
        <f ca="1">IFERROR(__xludf.DUMMYFUNCTION("GOOGLETRANSLATE(A3424, ""zh"", ""en"")"),"Invite well-known domestic digital technology companies such as Lianlian Technology and JD Technology to visit mountainous counties to conduct digital business exchanges, strengthen digital thinking, help mountainous counties seize the opportunities of di"&amp;"gital reform in the province, and empower the development of mountainous counties with digital technology.")</f>
        <v>Invite well-known domestic digital technology companies such as Lianlian Technology and JD Technology to visit mountainous counties to conduct digital business exchanges, strengthen digital thinking, help mountainous counties seize the opportunities of digital reform in the province, and empower the development of mountainous counties with digital technology.</v>
      </c>
      <c r="B3424" s="1" t="str">
        <f ca="1">IFERROR(__xludf.DUMMYFUNCTION("GOOGLETRANSLATE(A3424, ""zh"", ""en"")"),"Technological innovation")</f>
        <v>Technological innovation</v>
      </c>
      <c r="C3424" s="1" t="str">
        <f ca="1">IFERROR(__xludf.DUMMYFUNCTION("GOOGLETRANSLATE(E3424, ""zh"", ""en"")"),"Qualitative text")</f>
        <v>Qualitative text</v>
      </c>
    </row>
    <row r="3425" spans="1:3" ht="13" x14ac:dyDescent="0.15">
      <c r="A3425" s="1" t="str">
        <f ca="1">IFERROR(__xludf.DUMMYFUNCTION("GOOGLETRANSLATE(A3425, ""zh"", ""en"")"),"Shanghai Electric Group Co., Ltd. 119 Cares about rural revitalization Cares about rural development Through project construction and special assistance, we help rural areas tap into their economic development potential and contribute electrical power to "&amp;"rural revitalization.")</f>
        <v>Shanghai Electric Group Co., Ltd. 119 Cares about rural revitalization Cares about rural development Through project construction and special assistance, we help rural areas tap into their economic development potential and contribute electrical power to rural revitalization.</v>
      </c>
      <c r="B3425" s="1" t="str">
        <f ca="1">IFERROR(__xludf.DUMMYFUNCTION("GOOGLETRANSLATE(A3425, ""zh"", ""en"")"),"Rural assistance")</f>
        <v>Rural assistance</v>
      </c>
      <c r="C3425" s="1" t="str">
        <f ca="1">IFERROR(__xludf.DUMMYFUNCTION("GOOGLETRANSLATE(E3425, ""zh"", ""en"")"),"Qualitative text")</f>
        <v>Qualitative text</v>
      </c>
    </row>
    <row r="3426" spans="1:3" ht="13" x14ac:dyDescent="0.15">
      <c r="A3426" s="1" t="str">
        <f ca="1">IFERROR(__xludf.DUMMYFUNCTION("GOOGLETRANSLATE(A3426, ""zh"", ""en"")"),"Northwest Oilfield cybersecurity publicity continues at well stations. Sinopec continues to revise and improve its cybersecurity management regulations. Sinopec's cybersecurity and informatization assessment regulations and other management methods have b"&amp;"een updated, including technical specifications such as network equipment security baselines.")</f>
        <v>Northwest Oilfield cybersecurity publicity continues at well stations. Sinopec continues to revise and improve its cybersecurity management regulations. Sinopec's cybersecurity and informatization assessment regulations and other management methods have been updated, including technical specifications such as network equipment security baselines.</v>
      </c>
      <c r="B3426" s="1" t="str">
        <f ca="1">IFERROR(__xludf.DUMMYFUNCTION("GOOGLETRANSLATE(A3426, ""zh"", ""en"")"),"Data security")</f>
        <v>Data security</v>
      </c>
      <c r="C3426" s="1" t="str">
        <f ca="1">IFERROR(__xludf.DUMMYFUNCTION("GOOGLETRANSLATE(E3426, ""zh"", ""en"")"),"Qualitative text")</f>
        <v>Qualitative text</v>
      </c>
    </row>
    <row r="3427" spans="1:3" ht="13" x14ac:dyDescent="0.15">
      <c r="A3427" s="1" t="str">
        <f ca="1">IFERROR(__xludf.DUMMYFUNCTION("GOOGLETRANSLATE(A3427, ""zh"", ""en"")"),"We will make every effort to ensure smooth transportation and maintain the stability of the industrial chain and supply chain. We will use the construction of China's reliable warehouses as a starting point to set industry benchmarks and address industry "&amp;"shortcomings. We will promote the participation of real enterprises in the futures market and achieve stable operations through safe and high-quality futures delivery services.")</f>
        <v>We will make every effort to ensure smooth transportation and maintain the stability of the industrial chain and supply chain. We will use the construction of China's reliable warehouses as a starting point to set industry benchmarks and address industry shortcomings. We will promote the participation of real enterprises in the futures market and achieve stable operations through safe and high-quality futures delivery services.</v>
      </c>
      <c r="B3427" s="1" t="str">
        <f ca="1">IFERROR(__xludf.DUMMYFUNCTION("GOOGLETRANSLATE(A3427, ""zh"", ""en"")"),"supply chain management")</f>
        <v>supply chain management</v>
      </c>
      <c r="C3427" s="1" t="str">
        <f ca="1">IFERROR(__xludf.DUMMYFUNCTION("GOOGLETRANSLATE(E3427, ""zh"", ""en"")"),"Qualitative text")</f>
        <v>Qualitative text</v>
      </c>
    </row>
    <row r="3428" spans="1:3" ht="13" x14ac:dyDescent="0.15">
      <c r="A3428" s="1" t="str">
        <f ca="1">IFERROR(__xludf.DUMMYFUNCTION("GOOGLETRANSLATE(A3428, ""zh"", ""en"")"),"The company has always been customer satisfaction-oriented and has taken every customer's demands seriously. It has established a full-range and full-chain service quality control system from pre-sales consultation, logistics distribution, installation an"&amp;"d maintenance, value-added services, technical support, spare parts guarantee, etc.")</f>
        <v>The company has always been customer satisfaction-oriented and has taken every customer's demands seriously. It has established a full-range and full-chain service quality control system from pre-sales consultation, logistics distribution, installation and maintenance, value-added services, technical support, spare parts guarantee, etc.</v>
      </c>
      <c r="B3428" s="1" t="str">
        <f ca="1">IFERROR(__xludf.DUMMYFUNCTION("GOOGLETRANSLATE(A3428, ""zh"", ""en"")"),"Customers and Consumers")</f>
        <v>Customers and Consumers</v>
      </c>
      <c r="C3428" s="1" t="str">
        <f ca="1">IFERROR(__xludf.DUMMYFUNCTION("GOOGLETRANSLATE(E3428, ""zh"", ""en"")"),"Qualitative text")</f>
        <v>Qualitative text</v>
      </c>
    </row>
    <row r="3429" spans="1:3" ht="13" x14ac:dyDescent="0.15">
      <c r="A3429" s="1" t="str">
        <f ca="1">IFERROR(__xludf.DUMMYFUNCTION("GOOGLETRANSLATE(A3429, ""zh"", ""en"")"),"In 2022, Zhongchu Hengke was once again recognized as a national high-tech enterprise and was listed as a science and technology reform demonstration enterprise by the State-owned Enterprise Reform Leading Group of the State Council. It was approved to es"&amp;"tablish the Henan Province Smart Weighing Internet of Things System Engineering Technology Research Center.")</f>
        <v>In 2022, Zhongchu Hengke was once again recognized as a national high-tech enterprise and was listed as a science and technology reform demonstration enterprise by the State-owned Enterprise Reform Leading Group of the State Council. It was approved to establish the Henan Province Smart Weighing Internet of Things System Engineering Technology Research Center.</v>
      </c>
      <c r="B3429" s="1" t="str">
        <f ca="1">IFERROR(__xludf.DUMMYFUNCTION("GOOGLETRANSLATE(A3429, ""zh"", ""en"")"),"Technological innovation")</f>
        <v>Technological innovation</v>
      </c>
      <c r="C3429" s="1" t="str">
        <f ca="1">IFERROR(__xludf.DUMMYFUNCTION("GOOGLETRANSLATE(E3429, ""zh"", ""en"")"),"Qualitative text")</f>
        <v>Qualitative text</v>
      </c>
    </row>
    <row r="3430" spans="1:3" ht="13" x14ac:dyDescent="0.15">
      <c r="A3430" s="1" t="str">
        <f ca="1">IFERROR(__xludf.DUMMYFUNCTION("GOOGLETRANSLATE(A3430, ""zh"", ""en"")"),"The company has carried out 101 safety production education and training sessions this year, with 640 participants. It has also conducted 19 emergency drills with 317 participants, including activities such as Safety Production Month and Fire Safety Week "&amp;"on November 9th.")</f>
        <v>The company has carried out 101 safety production education and training sessions this year, with 640 participants. It has also conducted 19 emergency drills with 317 participants, including activities such as Safety Production Month and Fire Safety Week on November 9th.</v>
      </c>
      <c r="B3430" s="1" t="str">
        <f ca="1">IFERROR(__xludf.DUMMYFUNCTION("GOOGLETRANSLATE(A3430, ""zh"", ""en"")"),"staff")</f>
        <v>staff</v>
      </c>
      <c r="C3430" s="1" t="str">
        <f ca="1">IFERROR(__xludf.DUMMYFUNCTION("GOOGLETRANSLATE(E3430, ""zh"", ""en"")"),"Quantitative Text")</f>
        <v>Quantitative Text</v>
      </c>
    </row>
    <row r="3431" spans="1:3" ht="13" x14ac:dyDescent="0.15">
      <c r="A3431" s="1" t="str">
        <f ca="1">IFERROR(__xludf.DUMMYFUNCTION("GOOGLETRANSLATE(A3431, ""zh"", ""en"")"),"Fully protect the rights of personal information subjects and further implement requirements such as informed consent, separate authorization, and protection of minors' information in product and service processes to ensure customer authorization is obtai"&amp;"ned before using personal information.")</f>
        <v>Fully protect the rights of personal information subjects and further implement requirements such as informed consent, separate authorization, and protection of minors' information in product and service processes to ensure customer authorization is obtained before using personal information.</v>
      </c>
      <c r="B3431" s="1" t="str">
        <f ca="1">IFERROR(__xludf.DUMMYFUNCTION("GOOGLETRANSLATE(A3431, ""zh"", ""en"")"),"Customers and Consumers")</f>
        <v>Customers and Consumers</v>
      </c>
      <c r="C3431" s="1" t="str">
        <f ca="1">IFERROR(__xludf.DUMMYFUNCTION("GOOGLETRANSLATE(E3431, ""zh"", ""en"")"),"Qualitative text")</f>
        <v>Qualitative text</v>
      </c>
    </row>
    <row r="3432" spans="1:3" ht="13" x14ac:dyDescent="0.15">
      <c r="A3432" s="1" t="str">
        <f ca="1">IFERROR(__xludf.DUMMYFUNCTION("GOOGLETRANSLATE(A3432, ""zh"", ""en"")"),"In 2022, the company organized an online briefing on the 2021 annual results and the 2022 interim results, responded to investors' demands in a timely manner, solicited their opinions, and implemented corresponding improvements.")</f>
        <v>In 2022, the company organized an online briefing on the 2021 annual results and the 2022 interim results, responded to investors' demands in a timely manner, solicited their opinions, and implemented corresponding improvements.</v>
      </c>
      <c r="B3432" s="1" t="str">
        <f ca="1">IFERROR(__xludf.DUMMYFUNCTION("GOOGLETRANSLATE(A3432, ""zh"", ""en"")"),"Information Disclosure and Investor Communication")</f>
        <v>Information Disclosure and Investor Communication</v>
      </c>
      <c r="C3432" s="1" t="str">
        <f ca="1">IFERROR(__xludf.DUMMYFUNCTION("GOOGLETRANSLATE(E3432, ""zh"", ""en"")"),"Qualitative text")</f>
        <v>Qualitative text</v>
      </c>
    </row>
    <row r="3433" spans="1:3" ht="13" x14ac:dyDescent="0.15">
      <c r="A3433" s="1" t="str">
        <f ca="1">IFERROR(__xludf.DUMMYFUNCTION("GOOGLETRANSLATE(A3433, ""zh"", ""en"")"),"Special consumer support areas were opened in gas stations, convenience stores, and online platforms for non-oil product sales. Livestreaming sales competitions were organized to promote featured agricultural products. Support products were sold nationwid"&amp;"e through more than 20,000 gas stations and convenience stores.")</f>
        <v>Special consumer support areas were opened in gas stations, convenience stores, and online platforms for non-oil product sales. Livestreaming sales competitions were organized to promote featured agricultural products. Support products were sold nationwide through more than 20,000 gas stations and convenience stores.</v>
      </c>
      <c r="B3433" s="1" t="str">
        <f ca="1">IFERROR(__xludf.DUMMYFUNCTION("GOOGLETRANSLATE(A3433, ""zh"", ""en"")"),"Rural assistance")</f>
        <v>Rural assistance</v>
      </c>
      <c r="C3433" s="1" t="str">
        <f ca="1">IFERROR(__xludf.DUMMYFUNCTION("GOOGLETRANSLATE(E3433, ""zh"", ""en"")"),"Quantitative Text")</f>
        <v>Quantitative Text</v>
      </c>
    </row>
    <row r="3434" spans="1:3" ht="13" x14ac:dyDescent="0.15">
      <c r="A3434" s="1" t="str">
        <f ca="1">IFERROR(__xludf.DUMMYFUNCTION("GOOGLETRANSLATE(A3434, ""zh"", ""en"")"),"As the times change, Shanghai Electric's innovation model is also advancing with the times, transforming from single products in the past to system integration solutions, forming a new double-layer causal relationship of scientific and technological innov"&amp;"ation and accelerating the transformation of scientific and technological achievements.")</f>
        <v>As the times change, Shanghai Electric's innovation model is also advancing with the times, transforming from single products in the past to system integration solutions, forming a new double-layer causal relationship of scientific and technological innovation and accelerating the transformation of scientific and technological achievements.</v>
      </c>
      <c r="B3434" s="1" t="str">
        <f ca="1">IFERROR(__xludf.DUMMYFUNCTION("GOOGLETRANSLATE(A3434, ""zh"", ""en"")"),"Technological innovation")</f>
        <v>Technological innovation</v>
      </c>
      <c r="C3434" s="1" t="str">
        <f ca="1">IFERROR(__xludf.DUMMYFUNCTION("GOOGLETRANSLATE(E3434, ""zh"", ""en"")"),"Qualitative text")</f>
        <v>Qualitative text</v>
      </c>
    </row>
    <row r="3435" spans="1:3" ht="13" x14ac:dyDescent="0.15">
      <c r="A3435" s="1" t="str">
        <f ca="1">IFERROR(__xludf.DUMMYFUNCTION("GOOGLETRANSLATE(A3435, ""zh"", ""en"")"),"The company strictly implements relevant policies and systems, including the employee compliance code and the customer complaint reporting system. In addition, it issued the CITIC Securities Co., Ltd. Reporting and Whistleblower Protection Policy this yea"&amp;"r, clarifying the reporting process and channels.")</f>
        <v>The company strictly implements relevant policies and systems, including the employee compliance code and the customer complaint reporting system. In addition, it issued the CITIC Securities Co., Ltd. Reporting and Whistleblower Protection Policy this year, clarifying the reporting process and channels.</v>
      </c>
      <c r="B3435" s="1" t="str">
        <f ca="1">IFERROR(__xludf.DUMMYFUNCTION("GOOGLETRANSLATE(A3435, ""zh"", ""en"")"),"Reporting System")</f>
        <v>Reporting System</v>
      </c>
      <c r="C3435" s="1" t="str">
        <f ca="1">IFERROR(__xludf.DUMMYFUNCTION("GOOGLETRANSLATE(E3435, ""zh"", ""en"")"),"Qualitative text")</f>
        <v>Qualitative text</v>
      </c>
    </row>
    <row r="3436" spans="1:3" ht="13" x14ac:dyDescent="0.15">
      <c r="A3436" s="1" t="str">
        <f ca="1">IFERROR(__xludf.DUMMYFUNCTION("GOOGLETRANSLATE(A3436, ""zh"", ""en"")"),"The company actively exercises its shareholder rights and guides its holding companies to actively create positive impacts on the environment and society through various means such as proactively communicating with them on ESG issues, helping them improve"&amp;" their ESG standards.")</f>
        <v>The company actively exercises its shareholder rights and guides its holding companies to actively create positive impacts on the environment and society through various means such as proactively communicating with them on ESG issues, helping them improve their ESG standards.</v>
      </c>
      <c r="B3436" s="1" t="str">
        <f ca="1">IFERROR(__xludf.DUMMYFUNCTION("GOOGLETRANSLATE(A3436, ""zh"", ""en"")"),"Shareholder and creditor rights")</f>
        <v>Shareholder and creditor rights</v>
      </c>
      <c r="C3436" s="1" t="str">
        <f ca="1">IFERROR(__xludf.DUMMYFUNCTION("GOOGLETRANSLATE(E3436, ""zh"", ""en"")"),"Qualitative text")</f>
        <v>Qualitative text</v>
      </c>
    </row>
    <row r="3437" spans="1:3" ht="13" x14ac:dyDescent="0.15">
      <c r="A3437" s="1" t="str">
        <f ca="1">IFERROR(__xludf.DUMMYFUNCTION("GOOGLETRANSLATE(A3437, ""zh"", ""en"")"),"In the future, we will continue to implement the concept of sustainable development, improve the company's management level, actively increase cooperation from all sectors of society, and make greater contributions to global economic growth, sustainable d"&amp;"evelopment goals and the well-being of people in all countries.")</f>
        <v>In the future, we will continue to implement the concept of sustainable development, improve the company's management level, actively increase cooperation from all sectors of society, and make greater contributions to global economic growth, sustainable development goals and the well-being of people in all countries.</v>
      </c>
      <c r="B3437" s="1" t="str">
        <f ca="1">IFERROR(__xludf.DUMMYFUNCTION("GOOGLETRANSLATE(A3437, ""zh"", ""en"")"),"irrelevant text")</f>
        <v>irrelevant text</v>
      </c>
      <c r="C3437" s="1" t="str">
        <f ca="1">IFERROR(__xludf.DUMMYFUNCTION("GOOGLETRANSLATE(E3437, ""zh"", ""en"")"),"irrelevant text")</f>
        <v>irrelevant text</v>
      </c>
    </row>
    <row r="3438" spans="1:3" ht="13" x14ac:dyDescent="0.15">
      <c r="A3438" s="1" t="str">
        <f ca="1">IFERROR(__xludf.DUMMYFUNCTION("GOOGLETRANSLATE(A3438, ""zh"", ""en"")"),"The establishment of a CCUS full-process intelligent operation and control system comprehensively improves the management level and efficiency of the demonstration zone. A series of technologies for industrial promotion of the entire CCUS chain has been e"&amp;"stablished, which has played a strong role in promoting industrial development.")</f>
        <v>The establishment of a CCUS full-process intelligent operation and control system comprehensively improves the management level and efficiency of the demonstration zone. A series of technologies for industrial promotion of the entire CCUS chain has been established, which has played a strong role in promoting industrial development.</v>
      </c>
      <c r="B3438" s="1" t="str">
        <f ca="1">IFERROR(__xludf.DUMMYFUNCTION("GOOGLETRANSLATE(A3438, ""zh"", ""en"")"),"carbon emissions")</f>
        <v>carbon emissions</v>
      </c>
      <c r="C3438" s="1" t="str">
        <f ca="1">IFERROR(__xludf.DUMMYFUNCTION("GOOGLETRANSLATE(E3438, ""zh"", ""en"")"),"Qualitative text")</f>
        <v>Qualitative text</v>
      </c>
    </row>
    <row r="3439" spans="1:3" ht="13" x14ac:dyDescent="0.15">
      <c r="A3439" s="1" t="str">
        <f ca="1">IFERROR(__xludf.DUMMYFUNCTION("GOOGLETRANSLATE(A3439, ""zh"", ""en"")"),"Our corporate vision is to be a world-class equipment enterprise leading industrial development. Our spiritual spectrum is to actively demonstrate the spirit of innovation, meticulousness, and continuous improvement. We believe in the spirit of carrying p"&amp;"ole motors, the spirit of 10,000 tons, the spirit of ants gnawing bones, and the spirit of Li Bin.")</f>
        <v>Our corporate vision is to be a world-class equipment enterprise leading industrial development. Our spiritual spectrum is to actively demonstrate the spirit of innovation, meticulousness, and continuous improvement. We believe in the spirit of carrying pole motors, the spirit of 10,000 tons, the spirit of ants gnawing bones, and the spirit of Li Bin.</v>
      </c>
      <c r="B3439" s="1" t="str">
        <f ca="1">IFERROR(__xludf.DUMMYFUNCTION("GOOGLETRANSLATE(A3439, ""zh"", ""en"")"),"Organizational structure and operations")</f>
        <v>Organizational structure and operations</v>
      </c>
      <c r="C3439" s="1" t="str">
        <f ca="1">IFERROR(__xludf.DUMMYFUNCTION("GOOGLETRANSLATE(E3439, ""zh"", ""en"")"),"Qualitative text")</f>
        <v>Qualitative text</v>
      </c>
    </row>
    <row r="3440" spans="1:3" ht="13" x14ac:dyDescent="0.15">
      <c r="A3440" s="1" t="str">
        <f ca="1">IFERROR(__xludf.DUMMYFUNCTION("GOOGLETRANSLATE(A3440, ""zh"", ""en"")"),"To actively promote anti-corruption and strengthen the fight against corruption and prevent the spread of corruption, the Group has established various reporting channels, including telephone and door-to-door reporting, to obtain clues from internal and e"&amp;"xternal personnel.")</f>
        <v>To actively promote anti-corruption and strengthen the fight against corruption and prevent the spread of corruption, the Group has established various reporting channels, including telephone and door-to-door reporting, to obtain clues from internal and external personnel.</v>
      </c>
      <c r="B3440" s="1" t="str">
        <f ca="1">IFERROR(__xludf.DUMMYFUNCTION("GOOGLETRANSLATE(A3440, ""zh"", ""en"")"),"Reporting System")</f>
        <v>Reporting System</v>
      </c>
      <c r="C3440" s="1" t="str">
        <f ca="1">IFERROR(__xludf.DUMMYFUNCTION("GOOGLETRANSLATE(E3440, ""zh"", ""en"")"),"Qualitative text")</f>
        <v>Qualitative text</v>
      </c>
    </row>
    <row r="3441" spans="1:3" ht="13" x14ac:dyDescent="0.15">
      <c r="A3441" s="1" t="str">
        <f ca="1">IFERROR(__xludf.DUMMYFUNCTION("GOOGLETRANSLATE(A3441, ""zh"", ""en"")"),"Livzon Group's clients in developing countries, namely pharmaceutical manufacturers, need to conduct a comprehensive study of impurities in their pharmaceutical products and implement reasonable and effective control when applying for international pharma"&amp;"ceutical production standards for their pharmaceutical products.")</f>
        <v>Livzon Group's clients in developing countries, namely pharmaceutical manufacturers, need to conduct a comprehensive study of impurities in their pharmaceutical products and implement reasonable and effective control when applying for international pharmaceutical production standards for their pharmaceutical products.</v>
      </c>
      <c r="B3441" s="1" t="str">
        <f ca="1">IFERROR(__xludf.DUMMYFUNCTION("GOOGLETRANSLATE(A3441, ""zh"", ""en"")"),"Product quality")</f>
        <v>Product quality</v>
      </c>
      <c r="C3441" s="1" t="str">
        <f ca="1">IFERROR(__xludf.DUMMYFUNCTION("GOOGLETRANSLATE(E3441, ""zh"", ""en"")"),"Qualitative text")</f>
        <v>Qualitative text</v>
      </c>
    </row>
    <row r="3442" spans="1:3" ht="13" x14ac:dyDescent="0.15">
      <c r="A3442" s="1" t="str">
        <f ca="1">IFERROR(__xludf.DUMMYFUNCTION("GOOGLETRANSLATE(A3442, ""zh"", ""en"")"),"In 2021, the model workers stationed in the village often voluntarily gave up their holidays and rest time to stick to the front line of consolidating the results of poverty alleviation, working hard and selflessly, and vigorously carrying out assistance "&amp;"work in ideology, culture, medical care, education and industry.")</f>
        <v>In 2021, the model workers stationed in the village often voluntarily gave up their holidays and rest time to stick to the front line of consolidating the results of poverty alleviation, working hard and selflessly, and vigorously carrying out assistance work in ideology, culture, medical care, education and industry.</v>
      </c>
      <c r="B3442" s="1" t="str">
        <f ca="1">IFERROR(__xludf.DUMMYFUNCTION("GOOGLETRANSLATE(A3442, ""zh"", ""en"")"),"Rural assistance")</f>
        <v>Rural assistance</v>
      </c>
      <c r="C3442" s="1" t="str">
        <f ca="1">IFERROR(__xludf.DUMMYFUNCTION("GOOGLETRANSLATE(E3442, ""zh"", ""en"")"),"Qualitative text")</f>
        <v>Qualitative text</v>
      </c>
    </row>
    <row r="3443" spans="1:3" ht="13" x14ac:dyDescent="0.15">
      <c r="A3443" s="1" t="str">
        <f ca="1">IFERROR(__xludf.DUMMYFUNCTION("GOOGLETRANSLATE(A3443, ""zh"", ""en"")"),"In addition, the company has established an emergency management system and formulated an emergency management plan. It conducts emergency management training for all employees at least once a year, conducts tabletop exercises and implements comprehensive"&amp;" exercises to improve the response speed and practical capabilities of the emergency team.")</f>
        <v>In addition, the company has established an emergency management system and formulated an emergency management plan. It conducts emergency management training for all employees at least once a year, conducts tabletop exercises and implements comprehensive exercises to improve the response speed and practical capabilities of the emergency team.</v>
      </c>
      <c r="B3443" s="1" t="str">
        <f ca="1">IFERROR(__xludf.DUMMYFUNCTION("GOOGLETRANSLATE(A3443, ""zh"", ""en"")"),"staff")</f>
        <v>staff</v>
      </c>
      <c r="C3443" s="1" t="str">
        <f ca="1">IFERROR(__xludf.DUMMYFUNCTION("GOOGLETRANSLATE(E3443, ""zh"", ""en"")"),"Qualitative text")</f>
        <v>Qualitative text</v>
      </c>
    </row>
    <row r="3444" spans="1:3" ht="13" x14ac:dyDescent="0.15">
      <c r="A3444" s="1" t="str">
        <f ca="1">IFERROR(__xludf.DUMMYFUNCTION("GOOGLETRANSLATE(A3444, ""zh"", ""en"")"),"In 2022, the company organized a system-wide special rectification campaign for contractor safety, conducted special inspections on several high-risk construction projects, and ordered contractors to suspend work for rectification and accountability asses"&amp;"sments based on any violations found.")</f>
        <v>In 2022, the company organized a system-wide special rectification campaign for contractor safety, conducted special inspections on several high-risk construction projects, and ordered contractors to suspend work for rectification and accountability assessments based on any violations found.</v>
      </c>
      <c r="B3444" s="1" t="str">
        <f ca="1">IFERROR(__xludf.DUMMYFUNCTION("GOOGLETRANSLATE(A3444, ""zh"", ""en"")"),"staff")</f>
        <v>staff</v>
      </c>
      <c r="C3444" s="1" t="str">
        <f ca="1">IFERROR(__xludf.DUMMYFUNCTION("GOOGLETRANSLATE(E3444, ""zh"", ""en"")"),"Qualitative text")</f>
        <v>Qualitative text</v>
      </c>
    </row>
    <row r="3445" spans="1:3" ht="13" x14ac:dyDescent="0.15">
      <c r="A3445" s="1" t="str">
        <f ca="1">IFERROR(__xludf.DUMMYFUNCTION("GOOGLETRANSLATE(A3445, ""zh"", ""en"")"),"According to the agreement, Shanghai Electric and Bentley will leverage their respective strengths to jointly build an industrial metaverse based on the Industrial Internet and intelligent manufacturing, focusing on industrial software supply capabilities"&amp;" and vigorously promoting industrial software integration technology.")</f>
        <v>According to the agreement, Shanghai Electric and Bentley will leverage their respective strengths to jointly build an industrial metaverse based on the Industrial Internet and intelligent manufacturing, focusing on industrial software supply capabilities and vigorously promoting industrial software integration technology.</v>
      </c>
      <c r="B3445" s="1" t="str">
        <f ca="1">IFERROR(__xludf.DUMMYFUNCTION("GOOGLETRANSLATE(A3445, ""zh"", ""en"")"),"Technological innovation")</f>
        <v>Technological innovation</v>
      </c>
      <c r="C3445" s="1" t="str">
        <f ca="1">IFERROR(__xludf.DUMMYFUNCTION("GOOGLETRANSLATE(E3445, ""zh"", ""en"")"),"Qualitative text")</f>
        <v>Qualitative text</v>
      </c>
    </row>
    <row r="3446" spans="1:3" ht="13" x14ac:dyDescent="0.15">
      <c r="A3446" s="1" t="str">
        <f ca="1">IFERROR(__xludf.DUMMYFUNCTION("GOOGLETRANSLATE(A3446, ""zh"", ""en"")"),"In 2022, Kazakhstan PK Company signed 23 supply contracts with 13 local suppliers with Kazakhstan local content certificates, covering various fields such as oil, chemicals, labor protection and security products.")</f>
        <v>In 2022, Kazakhstan PK Company signed 23 supply contracts with 13 local suppliers with Kazakhstan local content certificates, covering various fields such as oil, chemicals, labor protection and security products.</v>
      </c>
      <c r="B3446" s="1" t="str">
        <f ca="1">IFERROR(__xludf.DUMMYFUNCTION("GOOGLETRANSLATE(A3446, ""zh"", ""en"")"),"supply chain management")</f>
        <v>supply chain management</v>
      </c>
      <c r="C3446" s="1" t="str">
        <f ca="1">IFERROR(__xludf.DUMMYFUNCTION("GOOGLETRANSLATE(E3446, ""zh"", ""en"")"),"Quantitative Text")</f>
        <v>Quantitative Text</v>
      </c>
    </row>
    <row r="3447" spans="1:3" ht="13" x14ac:dyDescent="0.15">
      <c r="A3447" s="1" t="str">
        <f ca="1">IFERROR(__xludf.DUMMYFUNCTION("GOOGLETRANSLATE(A3447, ""zh"", ""en"")"),"During the beneficiation stage, we conduct research on the comprehensive recovery of valuable metals from beneficiation tailings and arrange dedicated personnel to manage the stockpiled beneficiation tailings. In addition, through closed storage managemen"&amp;"t, land restoration and reclamation, beneficiation tailings can be permanently stored.")</f>
        <v>During the beneficiation stage, we conduct research on the comprehensive recovery of valuable metals from beneficiation tailings and arrange dedicated personnel to manage the stockpiled beneficiation tailings. In addition, through closed storage management, land restoration and reclamation, beneficiation tailings can be permanently stored.</v>
      </c>
      <c r="B3447" s="1" t="str">
        <f ca="1">IFERROR(__xludf.DUMMYFUNCTION("GOOGLETRANSLATE(A3447, ""zh"", ""en"")"),"Waste Management")</f>
        <v>Waste Management</v>
      </c>
      <c r="C3447" s="1" t="str">
        <f ca="1">IFERROR(__xludf.DUMMYFUNCTION("GOOGLETRANSLATE(E3447, ""zh"", ""en"")"),"Qualitative text")</f>
        <v>Qualitative text</v>
      </c>
    </row>
    <row r="3448" spans="1:3" ht="13" x14ac:dyDescent="0.15">
      <c r="A3448" s="1" t="str">
        <f ca="1">IFERROR(__xludf.DUMMYFUNCTION("GOOGLETRANSLATE(A3448, ""zh"", ""en"")"),"This report is the 14th consecutive social responsibility report released by the Group. It truthfully discloses the Group's responsibilities to key stakeholders such as shareholders, customers, partners, employees, the environment, and the community, and "&amp;"reflects the Group's performance in fulfilling its ESG responsibilities.")</f>
        <v>This report is the 14th consecutive social responsibility report released by the Group. It truthfully discloses the Group's responsibilities to key stakeholders such as shareholders, customers, partners, employees, the environment, and the community, and reflects the Group's performance in fulfilling its ESG responsibilities.</v>
      </c>
      <c r="B3448" s="1" t="str">
        <f ca="1">IFERROR(__xludf.DUMMYFUNCTION("GOOGLETRANSLATE(A3448, ""zh"", ""en"")"),"irrelevant text")</f>
        <v>irrelevant text</v>
      </c>
      <c r="C3448" s="1" t="str">
        <f ca="1">IFERROR(__xludf.DUMMYFUNCTION("GOOGLETRANSLATE(E3448, ""zh"", ""en"")"),"irrelevant text")</f>
        <v>irrelevant text</v>
      </c>
    </row>
    <row r="3449" spans="1:3" ht="13" x14ac:dyDescent="0.15">
      <c r="A3449" s="1" t="str">
        <f ca="1">IFERROR(__xludf.DUMMYFUNCTION("GOOGLETRANSLATE(A3449, ""zh"", ""en"")"),"Establish an encrypted cloud disk and monitor it through data leakage prevention software. Manage information assets by classifying them according to their sensitivity and importance. Periodically conduct risk assessments and take appropriate management m"&amp;"easures.")</f>
        <v>Establish an encrypted cloud disk and monitor it through data leakage prevention software. Manage information assets by classifying them according to their sensitivity and importance. Periodically conduct risk assessments and take appropriate management measures.</v>
      </c>
      <c r="B3449" s="1" t="str">
        <f ca="1">IFERROR(__xludf.DUMMYFUNCTION("GOOGLETRANSLATE(A3449, ""zh"", ""en"")"),"Data security")</f>
        <v>Data security</v>
      </c>
      <c r="C3449" s="1" t="str">
        <f ca="1">IFERROR(__xludf.DUMMYFUNCTION("GOOGLETRANSLATE(E3449, ""zh"", ""en"")"),"Qualitative text")</f>
        <v>Qualitative text</v>
      </c>
    </row>
    <row r="3450" spans="1:3" ht="13" x14ac:dyDescent="0.15">
      <c r="A3450" s="1" t="str">
        <f ca="1">IFERROR(__xludf.DUMMYFUNCTION("GOOGLETRANSLATE(A3450, ""zh"", ""en"")"),"We have formulated information security management systems applicable to the entire group, such as computer information system security management system, IDC data center operation and maintenance management requirements, backup system, etc. to standardiz"&amp;"e information security management system and management process.")</f>
        <v>We have formulated information security management systems applicable to the entire group, such as computer information system security management system, IDC data center operation and maintenance management requirements, backup system, etc. to standardize information security management system and management process.</v>
      </c>
      <c r="B3450" s="1" t="str">
        <f ca="1">IFERROR(__xludf.DUMMYFUNCTION("GOOGLETRANSLATE(A3450, ""zh"", ""en"")"),"Data security")</f>
        <v>Data security</v>
      </c>
      <c r="C3450" s="1" t="str">
        <f ca="1">IFERROR(__xludf.DUMMYFUNCTION("GOOGLETRANSLATE(E3450, ""zh"", ""en"")"),"Qualitative text")</f>
        <v>Qualitative text</v>
      </c>
    </row>
    <row r="3451" spans="1:3" ht="13" x14ac:dyDescent="0.15">
      <c r="A3451" s="1" t="str">
        <f ca="1">IFERROR(__xludf.DUMMYFUNCTION("GOOGLETRANSLATE(A3451, ""zh"", ""en"")"),"The project provided EBCC with on-site key position training, regular systematic training, the establishment of an international standard management system and its inspection system, and other professional training to help it meet international standards "&amp;"in business management and compliance.")</f>
        <v>The project provided EBCC with on-site key position training, regular systematic training, the establishment of an international standard management system and its inspection system, and other professional training to help it meet international standards in business management and compliance.</v>
      </c>
      <c r="B3451" s="1" t="str">
        <f ca="1">IFERROR(__xludf.DUMMYFUNCTION("GOOGLETRANSLATE(A3451, ""zh"", ""en"")"),"staff")</f>
        <v>staff</v>
      </c>
      <c r="C3451" s="1" t="str">
        <f ca="1">IFERROR(__xludf.DUMMYFUNCTION("GOOGLETRANSLATE(E3451, ""zh"", ""en"")"),"Qualitative text")</f>
        <v>Qualitative text</v>
      </c>
    </row>
    <row r="3452" spans="1:3" ht="13" x14ac:dyDescent="0.15">
      <c r="A3452" s="1" t="str">
        <f ca="1">IFERROR(__xludf.DUMMYFUNCTION("GOOGLETRANSLATE(A3452, ""zh"", ""en"")"),"By the end of 2022, China Petroleum will have 717 pollution sources under network monitoring, and all key pollution sources required by the state will be fully monitored. The scope of automatic monitoring of network pollution sources covers China Petroleu"&amp;"m's major production facilities and pollution sources.")</f>
        <v>By the end of 2022, China Petroleum will have 717 pollution sources under network monitoring, and all key pollution sources required by the state will be fully monitored. The scope of automatic monitoring of network pollution sources covers China Petroleum's major production facilities and pollution sources.</v>
      </c>
      <c r="B3452" s="1" t="str">
        <f ca="1">IFERROR(__xludf.DUMMYFUNCTION("GOOGLETRANSLATE(A3452, ""zh"", ""en"")"),"Waste Management")</f>
        <v>Waste Management</v>
      </c>
      <c r="C3452" s="1" t="str">
        <f ca="1">IFERROR(__xludf.DUMMYFUNCTION("GOOGLETRANSLATE(E3452, ""zh"", ""en"")"),"Quantitative Text")</f>
        <v>Quantitative Text</v>
      </c>
    </row>
    <row r="3453" spans="1:3" ht="13" x14ac:dyDescent="0.15">
      <c r="A3453" s="1" t="str">
        <f ca="1">IFERROR(__xludf.DUMMYFUNCTION("GOOGLETRANSLATE(A3453, ""zh"", ""en"")"),"Under the guidance and support of Fosun Pharma Party Committee, Fosun Pharma Group has maintained steady business performance and continued to provide patients with more accessible products and better medical services.")</f>
        <v>Under the guidance and support of Fosun Pharma Party Committee, Fosun Pharma Group has maintained steady business performance and continued to provide patients with more accessible products and better medical services.</v>
      </c>
      <c r="B3453" s="1" t="str">
        <f ca="1">IFERROR(__xludf.DUMMYFUNCTION("GOOGLETRANSLATE(A3453, ""zh"", ""en"")"),"Product quality")</f>
        <v>Product quality</v>
      </c>
      <c r="C3453" s="1" t="str">
        <f ca="1">IFERROR(__xludf.DUMMYFUNCTION("GOOGLETRANSLATE(E3453, ""zh"", ""en"")"),"Qualitative text")</f>
        <v>Qualitative text</v>
      </c>
    </row>
    <row r="3454" spans="1:3" ht="13" x14ac:dyDescent="0.15">
      <c r="A3454" s="1" t="str">
        <f ca="1">IFERROR(__xludf.DUMMYFUNCTION("GOOGLETRANSLATE(A3454, ""zh"", ""en"")"),"Since 2017, the Mexican company has carried out social welfare activities in the orphanage for six consecutive years to warm the hearts of children. It has fulfilled its corporate social responsibility in a way that is most recognized by local people and "&amp;"won the respect of local people and the government.")</f>
        <v>Since 2017, the Mexican company has carried out social welfare activities in the orphanage for six consecutive years to warm the hearts of children. It has fulfilled its corporate social responsibility in a way that is most recognized by local people and won the respect of local people and the government.</v>
      </c>
      <c r="B3454" s="1" t="str">
        <f ca="1">IFERROR(__xludf.DUMMYFUNCTION("GOOGLETRANSLATE(A3454, ""zh"", ""en"")"),"Public welfare and volunteer service")</f>
        <v>Public welfare and volunteer service</v>
      </c>
      <c r="C3454" s="1" t="str">
        <f ca="1">IFERROR(__xludf.DUMMYFUNCTION("GOOGLETRANSLATE(E3454, ""zh"", ""en"")"),"Qualitative text")</f>
        <v>Qualitative text</v>
      </c>
    </row>
    <row r="3455" spans="1:3" ht="13" x14ac:dyDescent="0.15">
      <c r="A3455" s="1" t="str">
        <f ca="1">IFERROR(__xludf.DUMMYFUNCTION("GOOGLETRANSLATE(A3455, ""zh"", ""en"")"),"Revise the position management regulations of the headquarters of China Animal Husbandry Industry Co., Ltd. On the basis of organizing selection and appointment, comprehensively use open competition for non-management sequence qualification review and oth"&amp;"er methods to broaden the methods and channels for selecting and appointing cadres.")</f>
        <v>Revise the position management regulations of the headquarters of China Animal Husbandry Industry Co., Ltd. On the basis of organizing selection and appointment, comprehensively use open competition for non-management sequence qualification review and other methods to broaden the methods and channels for selecting and appointing cadres.</v>
      </c>
      <c r="B3455" s="1" t="str">
        <f ca="1">IFERROR(__xludf.DUMMYFUNCTION("GOOGLETRANSLATE(A3455, ""zh"", ""en"")"),"Organizational structure and operations")</f>
        <v>Organizational structure and operations</v>
      </c>
      <c r="C3455" s="1" t="str">
        <f ca="1">IFERROR(__xludf.DUMMYFUNCTION("GOOGLETRANSLATE(E3455, ""zh"", ""en"")"),"Qualitative text")</f>
        <v>Qualitative text</v>
      </c>
    </row>
    <row r="3456" spans="1:3" ht="13" x14ac:dyDescent="0.15">
      <c r="A3456" s="1" t="str">
        <f ca="1">IFERROR(__xludf.DUMMYFUNCTION("GOOGLETRANSLATE(A3456, ""zh"", ""en"")"),"In order to fully learn the spirit of the conference, the Party Committee organized all employees to watch the opening ceremony online and organized some backbone members of the Party Committee to watch and study on site and listen to the report delivered"&amp;" by General Secretary Xi Jinping on behalf of the 19th Central Committee to the conference.")</f>
        <v>In order to fully learn the spirit of the conference, the Party Committee organized all employees to watch the opening ceremony online and organized some backbone members of the Party Committee to watch and study on site and listen to the report delivered by General Secretary Xi Jinping on behalf of the 19th Central Committee to the conference.</v>
      </c>
      <c r="B3456" s="1" t="str">
        <f ca="1">IFERROR(__xludf.DUMMYFUNCTION("GOOGLETRANSLATE(A3456, ""zh"", ""en"")"),"Organizational structure and operations")</f>
        <v>Organizational structure and operations</v>
      </c>
      <c r="C3456" s="1" t="str">
        <f ca="1">IFERROR(__xludf.DUMMYFUNCTION("GOOGLETRANSLATE(E3456, ""zh"", ""en"")"),"Qualitative text")</f>
        <v>Qualitative text</v>
      </c>
    </row>
    <row r="3457" spans="1:3" ht="13" x14ac:dyDescent="0.15">
      <c r="A3457" s="1" t="str">
        <f ca="1">IFERROR(__xludf.DUMMYFUNCTION("GOOGLETRANSLATE(A3457, ""zh"", ""en"")"),"You can choose the following methods to let us know your valuable opinions. Address: Building A, No. 1, Jiuxianqiao Road, Chaoyang District, Beijing. Postal code: Phone: Fax: 360 Security Technology Co., Ltd. Environmental, Social and Governance Report.")</f>
        <v>You can choose the following methods to let us know your valuable opinions. Address: Building A, No. 1, Jiuxianqiao Road, Chaoyang District, Beijing. Postal code: Phone: Fax: 360 Security Technology Co., Ltd. Environmental, Social and Governance Report.</v>
      </c>
      <c r="B3457" s="1" t="str">
        <f ca="1">IFERROR(__xludf.DUMMYFUNCTION("GOOGLETRANSLATE(A3457, ""zh"", ""en"")"),"irrelevant text")</f>
        <v>irrelevant text</v>
      </c>
      <c r="C3457" s="1" t="str">
        <f ca="1">IFERROR(__xludf.DUMMYFUNCTION("GOOGLETRANSLATE(E3457, ""zh"", ""en"")"),"irrelevant text")</f>
        <v>irrelevant text</v>
      </c>
    </row>
    <row r="3458" spans="1:3" ht="13" x14ac:dyDescent="0.15">
      <c r="A3458" s="1" t="str">
        <f ca="1">IFERROR(__xludf.DUMMYFUNCTION("GOOGLETRANSLATE(A3458, ""zh"", ""en"")"),"Focusing on industry needs, the company continues to increase the layout of warehousing outlets, builds a central storage and warehousing supply chain integrated service platform in core industrial clusters, and conducts VMI supplier inventory management "&amp;"for upstream companies, optimizing social inventory management.")</f>
        <v>Focusing on industry needs, the company continues to increase the layout of warehousing outlets, builds a central storage and warehousing supply chain integrated service platform in core industrial clusters, and conducts VMI supplier inventory management for upstream companies, optimizing social inventory management.</v>
      </c>
      <c r="B3458" s="1" t="str">
        <f ca="1">IFERROR(__xludf.DUMMYFUNCTION("GOOGLETRANSLATE(A3458, ""zh"", ""en"")"),"supply chain management")</f>
        <v>supply chain management</v>
      </c>
      <c r="C3458" s="1" t="str">
        <f ca="1">IFERROR(__xludf.DUMMYFUNCTION("GOOGLETRANSLATE(E3458, ""zh"", ""en"")"),"Qualitative text")</f>
        <v>Qualitative text</v>
      </c>
    </row>
    <row r="3459" spans="1:3" ht="13" x14ac:dyDescent="0.15">
      <c r="A3459" s="1" t="str">
        <f ca="1">IFERROR(__xludf.DUMMYFUNCTION("GOOGLETRANSLATE(A3459, ""zh"", ""en"")"),"We believe that as an industry leader, Haier Smart Home will fully leverage its resource advantages, grasp the trends of the times, refine its global innovation system, enhance its product innovation capabilities, and contribute to the transformation and "&amp;"upgrading of China's home appliance industry.")</f>
        <v>We believe that as an industry leader, Haier Smart Home will fully leverage its resource advantages, grasp the trends of the times, refine its global innovation system, enhance its product innovation capabilities, and contribute to the transformation and upgrading of China's home appliance industry.</v>
      </c>
      <c r="B3459" s="1" t="str">
        <f ca="1">IFERROR(__xludf.DUMMYFUNCTION("GOOGLETRANSLATE(A3459, ""zh"", ""en"")"),"Technological innovation")</f>
        <v>Technological innovation</v>
      </c>
      <c r="C3459" s="1" t="str">
        <f ca="1">IFERROR(__xludf.DUMMYFUNCTION("GOOGLETRANSLATE(E3459, ""zh"", ""en"")"),"Qualitative text")</f>
        <v>Qualitative text</v>
      </c>
    </row>
    <row r="3460" spans="1:3" ht="13" x14ac:dyDescent="0.15">
      <c r="A3460" s="1" t="str">
        <f ca="1">IFERROR(__xludf.DUMMYFUNCTION("GOOGLETRANSLATE(A3460, ""zh"", ""en"")"),"During the reporting period, the company improved its R&amp;D qualification management procedures, certified two Intermediate II researchers and one Intermediate I researcher, implemented departmental training plans, completed 24 training sessions, and streng"&amp;"thened the knowledge and skills of the R&amp;D team.")</f>
        <v>During the reporting period, the company improved its R&amp;D qualification management procedures, certified two Intermediate II researchers and one Intermediate I researcher, implemented departmental training plans, completed 24 training sessions, and strengthened the knowledge and skills of the R&amp;D team.</v>
      </c>
      <c r="B3460" s="1" t="str">
        <f ca="1">IFERROR(__xludf.DUMMYFUNCTION("GOOGLETRANSLATE(A3460, ""zh"", ""en"")"),"Technological innovation")</f>
        <v>Technological innovation</v>
      </c>
      <c r="C3460" s="1" t="str">
        <f ca="1">IFERROR(__xludf.DUMMYFUNCTION("GOOGLETRANSLATE(E3460, ""zh"", ""en"")"),"Quantitative Text")</f>
        <v>Quantitative Text</v>
      </c>
    </row>
    <row r="3461" spans="1:3" ht="13" x14ac:dyDescent="0.15">
      <c r="A3461" s="1" t="str">
        <f ca="1">IFERROR(__xludf.DUMMYFUNCTION("GOOGLETRANSLATE(A3461, ""zh"", ""en"")"),"In July, Renfu Pharmaceutical's Ruiqining, Metoprolol Succinate Sustained-Release Tablets, Ruifu Omeprazole Sodium Injection, Fumeize Memantine Hydrochloride Sustained-Release Capsules, Yiquxin, and Octreotide Acetate Injection were awarded the bids for t"&amp;"he seventh batch of national centralized drug procurement.")</f>
        <v>In July, Renfu Pharmaceutical's Ruiqining, Metoprolol Succinate Sustained-Release Tablets, Ruifu Omeprazole Sodium Injection, Fumeize Memantine Hydrochloride Sustained-Release Capsules, Yiquxin, and Octreotide Acetate Injection were awarded the bids for the seventh batch of national centralized drug procurement.</v>
      </c>
      <c r="B3461" s="1" t="str">
        <f ca="1">IFERROR(__xludf.DUMMYFUNCTION("GOOGLETRANSLATE(A3461, ""zh"", ""en"")"),"Product quality")</f>
        <v>Product quality</v>
      </c>
      <c r="C3461" s="1" t="str">
        <f ca="1">IFERROR(__xludf.DUMMYFUNCTION("GOOGLETRANSLATE(E3461, ""zh"", ""en"")"),"Quantitative Text")</f>
        <v>Quantitative Text</v>
      </c>
    </row>
    <row r="3462" spans="1:3" ht="13" x14ac:dyDescent="0.15">
      <c r="A3462" s="1" t="str">
        <f ca="1">IFERROR(__xludf.DUMMYFUNCTION("GOOGLETRANSLATE(A3462, ""zh"", ""en"")"),"Key Effectiveness Indicators B7.1 Number of concluded corruption cases filed against the issuer or its employees during the period of loss and the outcomes of the cases")</f>
        <v>Key Effectiveness Indicators B7.1 Number of concluded corruption cases filed against the issuer or its employees during the period of loss and the outcomes of the cases</v>
      </c>
      <c r="B3462" s="1" t="str">
        <f ca="1">IFERROR(__xludf.DUMMYFUNCTION("GOOGLETRANSLATE(A3462, ""zh"", ""en"")"),"Legal proceedings and external sanctions")</f>
        <v>Legal proceedings and external sanctions</v>
      </c>
      <c r="C3462" s="1" t="str">
        <f ca="1">IFERROR(__xludf.DUMMYFUNCTION("GOOGLETRANSLATE(E3462, ""zh"", ""en"")"),"Quantitative Text")</f>
        <v>Quantitative Text</v>
      </c>
    </row>
    <row r="3463" spans="1:3" ht="13" x14ac:dyDescent="0.15">
      <c r="A3463" s="1" t="str">
        <f ca="1">IFERROR(__xludf.DUMMYFUNCTION("GOOGLETRANSLATE(A3463, ""zh"", ""en"")"),"In November, Yichang Renfu received the registration certificate for Paracetamol and Codeine Tablets issued by the UK Medicines and Healthcare Products Regulatory Agency (MHRA). This is the company's first anesthetic compound preparation product approved "&amp;"for marketing by the UK MHRA.")</f>
        <v>In November, Yichang Renfu received the registration certificate for Paracetamol and Codeine Tablets issued by the UK Medicines and Healthcare Products Regulatory Agency (MHRA). This is the company's first anesthetic compound preparation product approved for marketing by the UK MHRA.</v>
      </c>
      <c r="B3463" s="1" t="str">
        <f ca="1">IFERROR(__xludf.DUMMYFUNCTION("GOOGLETRANSLATE(A3463, ""zh"", ""en"")"),"Product quality")</f>
        <v>Product quality</v>
      </c>
      <c r="C3463" s="1" t="str">
        <f ca="1">IFERROR(__xludf.DUMMYFUNCTION("GOOGLETRANSLATE(E3463, ""zh"", ""en"")"),"Qualitative text")</f>
        <v>Qualitative text</v>
      </c>
    </row>
    <row r="3464" spans="1:3" ht="13" x14ac:dyDescent="0.15">
      <c r="A3464" s="1" t="str">
        <f ca="1">IFERROR(__xludf.DUMMYFUNCTION("GOOGLETRANSLATE(A3464, ""zh"", ""en"")"),"In the second half of the year, the system was iteratively upgraded to add the EXCEL data import function to connect with the Shanghai and Xingang warehousing systems, and further improve the data model to expand the data visualization display and map lin"&amp;"kage function.")</f>
        <v>In the second half of the year, the system was iteratively upgraded to add the EXCEL data import function to connect with the Shanghai and Xingang warehousing systems, and further improve the data model to expand the data visualization display and map linkage function.</v>
      </c>
      <c r="B3464" s="1" t="str">
        <f ca="1">IFERROR(__xludf.DUMMYFUNCTION("GOOGLETRANSLATE(A3464, ""zh"", ""en"")"),"Technological innovation")</f>
        <v>Technological innovation</v>
      </c>
      <c r="C3464" s="1" t="str">
        <f ca="1">IFERROR(__xludf.DUMMYFUNCTION("GOOGLETRANSLATE(E3464, ""zh"", ""en"")"),"Qualitative text")</f>
        <v>Qualitative text</v>
      </c>
    </row>
    <row r="3465" spans="1:3" ht="13" x14ac:dyDescent="0.15">
      <c r="A3465" s="1" t="str">
        <f ca="1">IFERROR(__xludf.DUMMYFUNCTION("GOOGLETRANSLATE(A3465, ""zh"", ""en"")"),"We attach great importance to the mental health of our employees. We provide 24-hour psychological counseling by phone and offline one-on-one counseling. We publish 12 psychological TIPS comics every month and carry out EAP projects to convey love, care a"&amp;"nd warmth to our employees.")</f>
        <v>We attach great importance to the mental health of our employees. We provide 24-hour psychological counseling by phone and offline one-on-one counseling. We publish 12 psychological TIPS comics every month and carry out EAP projects to convey love, care and warmth to our employees.</v>
      </c>
      <c r="B3465" s="1" t="str">
        <f ca="1">IFERROR(__xludf.DUMMYFUNCTION("GOOGLETRANSLATE(A3465, ""zh"", ""en"")"),"staff")</f>
        <v>staff</v>
      </c>
      <c r="C3465" s="1" t="str">
        <f ca="1">IFERROR(__xludf.DUMMYFUNCTION("GOOGLETRANSLATE(E3465, ""zh"", ""en"")"),"Qualitative text")</f>
        <v>Qualitative text</v>
      </c>
    </row>
    <row r="3466" spans="1:3" ht="13" x14ac:dyDescent="0.15">
      <c r="A3466" s="1" t="str">
        <f ca="1">IFERROR(__xludf.DUMMYFUNCTION("GOOGLETRANSLATE(A3466, ""zh"", ""en"")"),"The Group strictly complies with the construction project's occupational disease prevention facilities and equipment, and has launched and completed the construction of a fitness center to facilitate the implementation of the ""Three Simultaneous Manageme"&amp;"nt"" regulations, and carries out toxic and hazardous work wind-proofing. Workers can strengthen their health and exercise after work.")</f>
        <v>The Group strictly complies with the construction project's occupational disease prevention facilities and equipment, and has launched and completed the construction of a fitness center to facilitate the implementation of the "Three Simultaneous Management" regulations, and carries out toxic and hazardous work wind-proofing. Workers can strengthen their health and exercise after work.</v>
      </c>
      <c r="B3466" s="1" t="str">
        <f ca="1">IFERROR(__xludf.DUMMYFUNCTION("GOOGLETRANSLATE(A3466, ""zh"", ""en"")"),"staff")</f>
        <v>staff</v>
      </c>
      <c r="C3466" s="1" t="str">
        <f ca="1">IFERROR(__xludf.DUMMYFUNCTION("GOOGLETRANSLATE(E3466, ""zh"", ""en"")"),"Qualitative text")</f>
        <v>Qualitative text</v>
      </c>
    </row>
    <row r="3467" spans="1:3" ht="13" x14ac:dyDescent="0.15">
      <c r="A3467" s="1" t="str">
        <f ca="1">IFERROR(__xludf.DUMMYFUNCTION("GOOGLETRANSLATE(A3467, ""zh"", ""en"")"),"Haier Smart Home's colorful opening event in 2022 aims to enhance the best employee experience and encourages employees to spontaneously organize creative training activities such as reading corners, interest tribes, creative communities, big names, and m"&amp;"aker salons.")</f>
        <v>Haier Smart Home's colorful opening event in 2022 aims to enhance the best employee experience and encourages employees to spontaneously organize creative training activities such as reading corners, interest tribes, creative communities, big names, and maker salons.</v>
      </c>
      <c r="B3467" s="1" t="str">
        <f ca="1">IFERROR(__xludf.DUMMYFUNCTION("GOOGLETRANSLATE(A3467, ""zh"", ""en"")"),"staff")</f>
        <v>staff</v>
      </c>
      <c r="C3467" s="1" t="str">
        <f ca="1">IFERROR(__xludf.DUMMYFUNCTION("GOOGLETRANSLATE(E3467, ""zh"", ""en"")"),"Qualitative text")</f>
        <v>Qualitative text</v>
      </c>
    </row>
    <row r="3468" spans="1:3" ht="13" x14ac:dyDescent="0.15">
      <c r="A3468" s="1" t="str">
        <f ca="1">IFERROR(__xludf.DUMMYFUNCTION("GOOGLETRANSLATE(A3468, ""zh"", ""en"")"),"In August 2022, thanks to the high recognition of the company's employees, GEA was once again awarded the 2022 Great Place to Work Certification in the United States.")</f>
        <v>In August 2022, thanks to the high recognition of the company's employees, GEA was once again awarded the 2022 Great Place to Work Certification in the United States.</v>
      </c>
      <c r="B3468" s="1" t="str">
        <f ca="1">IFERROR(__xludf.DUMMYFUNCTION("GOOGLETRANSLATE(A3468, ""zh"", ""en"")"),"staff")</f>
        <v>staff</v>
      </c>
      <c r="C3468" s="1" t="str">
        <f ca="1">IFERROR(__xludf.DUMMYFUNCTION("GOOGLETRANSLATE(E3468, ""zh"", ""en"")"),"Quantitative Text")</f>
        <v>Quantitative Text</v>
      </c>
    </row>
    <row r="3469" spans="1:3" ht="13" x14ac:dyDescent="0.15">
      <c r="A3469" s="1" t="str">
        <f ca="1">IFERROR(__xludf.DUMMYFUNCTION("GOOGLETRANSLATE(A3469, ""zh"", ""en"")"),"In 2022, Haier Smart Home received an AAA rating in Wind ESG Ratings A-share rankings, ranking first among 4,753 A-share listed companies.")</f>
        <v>In 2022, Haier Smart Home received an AAA rating in Wind ESG Ratings A-share rankings, ranking first among 4,753 A-share listed companies.</v>
      </c>
      <c r="B3469" s="1" t="str">
        <f ca="1">IFERROR(__xludf.DUMMYFUNCTION("GOOGLETRANSLATE(A3469, ""zh"", ""en"")"),"Sustainable certification")</f>
        <v>Sustainable certification</v>
      </c>
      <c r="C3469" s="1" t="str">
        <f ca="1">IFERROR(__xludf.DUMMYFUNCTION("GOOGLETRANSLATE(E3469, ""zh"", ""en"")"),"Quantitative Text")</f>
        <v>Quantitative Text</v>
      </c>
    </row>
    <row r="3470" spans="1:3" ht="13" x14ac:dyDescent="0.15">
      <c r="A3470" s="1" t="str">
        <f ca="1">IFERROR(__xludf.DUMMYFUNCTION("GOOGLETRANSLATE(A3470, ""zh"", ""en"")"),"2. Total accident rate (per million working hours) The total accident rate disclosed in the Environmental, Social and Governance (ESG) report refers to the ratio of the number of industrial production safety accidents to the total working hours of China N"&amp;"ational Petroleum Corporation in 2022.")</f>
        <v>2. Total accident rate (per million working hours) The total accident rate disclosed in the Environmental, Social and Governance (ESG) report refers to the ratio of the number of industrial production safety accidents to the total working hours of China National Petroleum Corporation in 2022.</v>
      </c>
      <c r="B3470" s="1" t="str">
        <f ca="1">IFERROR(__xludf.DUMMYFUNCTION("GOOGLETRANSLATE(A3470, ""zh"", ""en"")"),"Legal proceedings and external sanctions")</f>
        <v>Legal proceedings and external sanctions</v>
      </c>
      <c r="C3470" s="1" t="str">
        <f ca="1">IFERROR(__xludf.DUMMYFUNCTION("GOOGLETRANSLATE(E3470, ""zh"", ""en"")"),"Quantitative Text")</f>
        <v>Quantitative Text</v>
      </c>
    </row>
    <row r="3471" spans="1:3" ht="13" x14ac:dyDescent="0.15">
      <c r="A3471" s="1" t="str">
        <f ca="1">IFERROR(__xludf.DUMMYFUNCTION("GOOGLETRANSLATE(A3471, ""zh"", ""en"")"),"Investment Company Industrial Company Environmental Company 43 Information Security Ensure network information security during daily operations and major holidays. Temporarily shut down important systems during statutory holidays such as May Day, National"&amp;" Day, and Spring Festival to reduce network security risks.")</f>
        <v>Investment Company Industrial Company Environmental Company 43 Information Security Ensure network information security during daily operations and major holidays. Temporarily shut down important systems during statutory holidays such as May Day, National Day, and Spring Festival to reduce network security risks.</v>
      </c>
      <c r="B3471" s="1" t="str">
        <f ca="1">IFERROR(__xludf.DUMMYFUNCTION("GOOGLETRANSLATE(A3471, ""zh"", ""en"")"),"Data security")</f>
        <v>Data security</v>
      </c>
      <c r="C3471" s="1" t="str">
        <f ca="1">IFERROR(__xludf.DUMMYFUNCTION("GOOGLETRANSLATE(E3471, ""zh"", ""en"")"),"Qualitative text")</f>
        <v>Qualitative text</v>
      </c>
    </row>
    <row r="3472" spans="1:3" ht="13" x14ac:dyDescent="0.15">
      <c r="A3472" s="1" t="str">
        <f ca="1">IFERROR(__xludf.DUMMYFUNCTION("GOOGLETRANSLATE(A3472, ""zh"", ""en"")"),"The company pays close attention to the ESG performance of its suppliers and contractors. Through risk identification and management mechanisms, it has introduced a social and environmental risk prevention system to encourage suppliers and contractors to "&amp;"continuously strengthen their sustainable development management and practices.")</f>
        <v>The company pays close attention to the ESG performance of its suppliers and contractors. Through risk identification and management mechanisms, it has introduced a social and environmental risk prevention system to encourage suppliers and contractors to continuously strengthen their sustainable development management and practices.</v>
      </c>
      <c r="B3472" s="1" t="str">
        <f ca="1">IFERROR(__xludf.DUMMYFUNCTION("GOOGLETRANSLATE(A3472, ""zh"", ""en"")"),"supply chain management")</f>
        <v>supply chain management</v>
      </c>
      <c r="C3472" s="1" t="str">
        <f ca="1">IFERROR(__xludf.DUMMYFUNCTION("GOOGLETRANSLATE(E3472, ""zh"", ""en"")"),"Qualitative text")</f>
        <v>Qualitative text</v>
      </c>
    </row>
    <row r="3473" spans="1:3" ht="13" x14ac:dyDescent="0.15">
      <c r="A3473" s="1" t="str">
        <f ca="1">IFERROR(__xludf.DUMMYFUNCTION("GOOGLETRANSLATE(A3473, ""zh"", ""en"")"),"The Rumaila Project in Iraq has established security contractor management guidelines, incorporating social impact into its security contractor assessment process. Background checks and criminal record checks are conducted on security personnel at all lev"&amp;"els, and those who do not meet these requirements will not be hired.")</f>
        <v>The Rumaila Project in Iraq has established security contractor management guidelines, incorporating social impact into its security contractor assessment process. Background checks and criminal record checks are conducted on security personnel at all levels, and those who do not meet these requirements will not be hired.</v>
      </c>
      <c r="B3473" s="1" t="str">
        <f ca="1">IFERROR(__xludf.DUMMYFUNCTION("GOOGLETRANSLATE(A3473, ""zh"", ""en"")"),"staff")</f>
        <v>staff</v>
      </c>
      <c r="C3473" s="1" t="str">
        <f ca="1">IFERROR(__xludf.DUMMYFUNCTION("GOOGLETRANSLATE(E3473, ""zh"", ""en"")"),"Qualitative text")</f>
        <v>Qualitative text</v>
      </c>
    </row>
    <row r="3474" spans="1:3" ht="13" x14ac:dyDescent="0.15">
      <c r="A3474" s="1" t="str">
        <f ca="1">IFERROR(__xludf.DUMMYFUNCTION("GOOGLETRANSLATE(A3474, ""zh"", ""en"")"),"Case Study: Sinopec's case study was selected for inclusion in the Corporate Biodiversity Conservation Case Study Collection. Shenghu Energy proactively surveyed the ecosystem conditions in the region, arranged operational activities based on regional cha"&amp;"racteristics, and monitored changes in the ecosystem within the region.")</f>
        <v>Case Study: Sinopec's case study was selected for inclusion in the Corporate Biodiversity Conservation Case Study Collection. Shenghu Energy proactively surveyed the ecosystem conditions in the region, arranged operational activities based on regional characteristics, and monitored changes in the ecosystem within the region.</v>
      </c>
      <c r="B3474" s="1" t="str">
        <f ca="1">IFERROR(__xludf.DUMMYFUNCTION("GOOGLETRANSLATE(A3474, ""zh"", ""en"")"),"biodiversity")</f>
        <v>biodiversity</v>
      </c>
      <c r="C3474" s="1" t="str">
        <f ca="1">IFERROR(__xludf.DUMMYFUNCTION("GOOGLETRANSLATE(E3474, ""zh"", ""en"")"),"Qualitative text")</f>
        <v>Qualitative text</v>
      </c>
    </row>
    <row r="3475" spans="1:3" ht="13" x14ac:dyDescent="0.15">
      <c r="A3475" s="1" t="str">
        <f ca="1">IFERROR(__xludf.DUMMYFUNCTION("GOOGLETRANSLATE(A3475, ""zh"", ""en"")"),"On December 20, 2022, the State-owned Assets Supervision and Administration Commission of the State Council announced the 2022 Local State-owned Enterprise Social Responsibility Pioneer 100 Index. Five state-owned enterprises in Zhejiang Province were sel"&amp;"ected, ranking 25th, the highest ranking among the selected provincial state-owned enterprises.")</f>
        <v>On December 20, 2022, the State-owned Assets Supervision and Administration Commission of the State Council announced the 2022 Local State-owned Enterprise Social Responsibility Pioneer 100 Index. Five state-owned enterprises in Zhejiang Province were selected, ranking 25th, the highest ranking among the selected provincial state-owned enterprises.</v>
      </c>
      <c r="B3475" s="1" t="str">
        <f ca="1">IFERROR(__xludf.DUMMYFUNCTION("GOOGLETRANSLATE(A3475, ""zh"", ""en"")"),"Sustainable certification")</f>
        <v>Sustainable certification</v>
      </c>
      <c r="C3475" s="1" t="str">
        <f ca="1">IFERROR(__xludf.DUMMYFUNCTION("GOOGLETRANSLATE(E3475, ""zh"", ""en"")"),"Quantitative Text")</f>
        <v>Quantitative Text</v>
      </c>
    </row>
    <row r="3476" spans="1:3" ht="13" x14ac:dyDescent="0.15">
      <c r="A3476" s="1" t="str">
        <f ca="1">IFERROR(__xludf.DUMMYFUNCTION("GOOGLETRANSLATE(A3476, ""zh"", ""en"")"),"Conduct regular data security system compliance reviews; conduct annual corporate network security self-inspections and inspections; conduct quarterly internal IT general control audits; and invite external audit firms to conduct IT general control audits"&amp;" every six months.")</f>
        <v>Conduct regular data security system compliance reviews; conduct annual corporate network security self-inspections and inspections; conduct quarterly internal IT general control audits; and invite external audit firms to conduct IT general control audits every six months.</v>
      </c>
      <c r="B3476" s="1" t="str">
        <f ca="1">IFERROR(__xludf.DUMMYFUNCTION("GOOGLETRANSLATE(A3476, ""zh"", ""en"")"),"Data security")</f>
        <v>Data security</v>
      </c>
      <c r="C3476" s="1" t="str">
        <f ca="1">IFERROR(__xludf.DUMMYFUNCTION("GOOGLETRANSLATE(E3476, ""zh"", ""en"")"),"Qualitative text")</f>
        <v>Qualitative text</v>
      </c>
    </row>
    <row r="3477" spans="1:3" ht="13" x14ac:dyDescent="0.15">
      <c r="A3477" s="1" t="str">
        <f ca="1">IFERROR(__xludf.DUMMYFUNCTION("GOOGLETRANSLATE(A3477, ""zh"", ""en"")"),"In rural areas, the majority of doctors are elderly. (August 2022 Rural Doctors' Pocket Book) Many regions offer open classes in multiple villages. (A doctor is giving a lecture.) On the Fosun Health app, the average age of doctors is over 50.")</f>
        <v>In rural areas, the majority of doctors are elderly. (August 2022 Rural Doctors' Pocket Book) Many regions offer open classes in multiple villages. (A doctor is giving a lecture.) On the Fosun Health app, the average age of doctors is over 50.</v>
      </c>
      <c r="B3477" s="1" t="str">
        <f ca="1">IFERROR(__xludf.DUMMYFUNCTION("GOOGLETRANSLATE(A3477, ""zh"", ""en"")"),"Fighting the epidemic")</f>
        <v>Fighting the epidemic</v>
      </c>
      <c r="C3477" s="1" t="str">
        <f ca="1">IFERROR(__xludf.DUMMYFUNCTION("GOOGLETRANSLATE(E3477, ""zh"", ""en"")"),"Qualitative text")</f>
        <v>Qualitative text</v>
      </c>
    </row>
    <row r="3478" spans="1:3" ht="13" x14ac:dyDescent="0.15">
      <c r="A3478" s="1" t="str">
        <f ca="1">IFERROR(__xludf.DUMMYFUNCTION("GOOGLETRANSLATE(A3478, ""zh"", ""en"")"),"In upstream oil and gas exploration and development, efforts were made to increase reserves, stabilize oil production, increase gas production, and reduce costs. Exploration and development investment continued to grow, with domestic oil and gas equivalen"&amp;"t production setting a new record. The reserve replacement rate reached 165%, ensuring natural gas supply for the heating season, providing warmth to hundreds of millions of households.")</f>
        <v>In upstream oil and gas exploration and development, efforts were made to increase reserves, stabilize oil production, increase gas production, and reduce costs. Exploration and development investment continued to grow, with domestic oil and gas equivalent production setting a new record. The reserve replacement rate reached 165%, ensuring natural gas supply for the heating season, providing warmth to hundreds of millions of households.</v>
      </c>
      <c r="B3478" s="1" t="str">
        <f ca="1">IFERROR(__xludf.DUMMYFUNCTION("GOOGLETRANSLATE(A3478, ""zh"", ""en"")"),"Energy and resource consumption")</f>
        <v>Energy and resource consumption</v>
      </c>
      <c r="C3478" s="1" t="str">
        <f ca="1">IFERROR(__xludf.DUMMYFUNCTION("GOOGLETRANSLATE(E3478, ""zh"", ""en"")"),"Quantitative Text")</f>
        <v>Quantitative Text</v>
      </c>
    </row>
    <row r="3479" spans="1:3" ht="13" x14ac:dyDescent="0.15">
      <c r="A3479" s="1" t="str">
        <f ca="1">IFERROR(__xludf.DUMMYFUNCTION("GOOGLETRANSLATE(A3479, ""zh"", ""en"")"),"This year, Haier Smart Home actively participated in various quality project results, quality technology innovation results, patent standards and academic papers, and other competitions and exchange activities, and won a series of quality honors and recog"&amp;"nitions, which enhanced its external quality reputation and reputation.")</f>
        <v>This year, Haier Smart Home actively participated in various quality project results, quality technology innovation results, patent standards and academic papers, and other competitions and exchange activities, and won a series of quality honors and recognitions, which enhanced its external quality reputation and reputation.</v>
      </c>
      <c r="B3479" s="1" t="str">
        <f ca="1">IFERROR(__xludf.DUMMYFUNCTION("GOOGLETRANSLATE(A3479, ""zh"", ""en"")"),"Technological innovation")</f>
        <v>Technological innovation</v>
      </c>
      <c r="C3479" s="1" t="str">
        <f ca="1">IFERROR(__xludf.DUMMYFUNCTION("GOOGLETRANSLATE(E3479, ""zh"", ""en"")"),"Qualitative text")</f>
        <v>Qualitative text</v>
      </c>
    </row>
    <row r="3480" spans="1:3" ht="13" x14ac:dyDescent="0.15">
      <c r="A3480" s="1" t="str">
        <f ca="1">IFERROR(__xludf.DUMMYFUNCTION("GOOGLETRANSLATE(A3480, ""zh"", ""en"")"),"Ensure that the hospital's management and implementation results are all centered around comprehensive and objective evaluation, the pursuit of short-term benefits, and the focus on long-term sustainable and healthy development. Employees' comprehensive p"&amp;"erformance is improved, and their quality and ability are reflected in their social attributes and public welfare attributes.")</f>
        <v>Ensure that the hospital's management and implementation results are all centered around comprehensive and objective evaluation, the pursuit of short-term benefits, and the focus on long-term sustainable and healthy development. Employees' comprehensive performance is improved, and their quality and ability are reflected in their social attributes and public welfare attributes.</v>
      </c>
      <c r="B3480" s="1" t="str">
        <f ca="1">IFERROR(__xludf.DUMMYFUNCTION("GOOGLETRANSLATE(A3480, ""zh"", ""en"")"),"staff")</f>
        <v>staff</v>
      </c>
      <c r="C3480" s="1" t="str">
        <f ca="1">IFERROR(__xludf.DUMMYFUNCTION("GOOGLETRANSLATE(E3480, ""zh"", ""en"")"),"Qualitative text")</f>
        <v>Qualitative text</v>
      </c>
    </row>
    <row r="3481" spans="1:3" ht="13" x14ac:dyDescent="0.15">
      <c r="A3481" s="1" t="str">
        <f ca="1">IFERROR(__xludf.DUMMYFUNCTION("GOOGLETRANSLATE(A3481, ""zh"", ""en"")"),"We pay special attention to the difficulties female employees may face in the workplace and provide necessary support, including establishing a salary structure with equal pay for equal work, strictly implementing holidays such as marriage leave, maternit"&amp;"y leave, breastfeeding leave, and Women's Day, and paying corresponding compensation in accordance with the law.")</f>
        <v>We pay special attention to the difficulties female employees may face in the workplace and provide necessary support, including establishing a salary structure with equal pay for equal work, strictly implementing holidays such as marriage leave, maternity leave, breastfeeding leave, and Women's Day, and paying corresponding compensation in accordance with the law.</v>
      </c>
      <c r="B3481" s="1" t="str">
        <f ca="1">IFERROR(__xludf.DUMMYFUNCTION("GOOGLETRANSLATE(A3481, ""zh"", ""en"")"),"staff")</f>
        <v>staff</v>
      </c>
      <c r="C3481" s="1" t="str">
        <f ca="1">IFERROR(__xludf.DUMMYFUNCTION("GOOGLETRANSLATE(E3481, ""zh"", ""en"")"),"Qualitative text")</f>
        <v>Qualitative text</v>
      </c>
    </row>
    <row r="3482" spans="1:3" ht="13" x14ac:dyDescent="0.15">
      <c r="A3482" s="1" t="str">
        <f ca="1">IFERROR(__xludf.DUMMYFUNCTION("GOOGLETRANSLATE(A3482, ""zh"", ""en"")"),"It includes 6 classroom lectures on N management situations, combined with the students' pre-class research needs, and the preparation of new manager management cases. It is also accompanied by group discussions and interactive content. Excellent managers"&amp;" share their experiences to make the learning content more penetrating.")</f>
        <v>It includes 6 classroom lectures on N management situations, combined with the students' pre-class research needs, and the preparation of new manager management cases. It is also accompanied by group discussions and interactive content. Excellent managers share their experiences to make the learning content more penetrating.</v>
      </c>
      <c r="B3482" s="1" t="str">
        <f ca="1">IFERROR(__xludf.DUMMYFUNCTION("GOOGLETRANSLATE(A3482, ""zh"", ""en"")"),"staff")</f>
        <v>staff</v>
      </c>
      <c r="C3482" s="1" t="str">
        <f ca="1">IFERROR(__xludf.DUMMYFUNCTION("GOOGLETRANSLATE(E3482, ""zh"", ""en"")"),"Qualitative text")</f>
        <v>Qualitative text</v>
      </c>
    </row>
    <row r="3483" spans="1:3" ht="13" x14ac:dyDescent="0.15">
      <c r="A3483" s="1" t="str">
        <f ca="1">IFERROR(__xludf.DUMMYFUNCTION("GOOGLETRANSLATE(A3483, ""zh"", ""en"")"),"Released the Green Finance Development Strategic Plan and the 2022-2025 Action Plan for Carbon Peaking and Carbon Neutrality, vigorously enriched the bank's carbon peaking and carbon neutrality investment banking product portfolio, and effectively promote"&amp;"d social capital participation in dual-carbon investment and financing.")</f>
        <v>Released the Green Finance Development Strategic Plan and the 2022-2025 Action Plan for Carbon Peaking and Carbon Neutrality, vigorously enriched the bank's carbon peaking and carbon neutrality investment banking product portfolio, and effectively promoted social capital participation in dual-carbon investment and financing.</v>
      </c>
      <c r="B3483" s="1" t="str">
        <f ca="1">IFERROR(__xludf.DUMMYFUNCTION("GOOGLETRANSLATE(A3483, ""zh"", ""en"")"),"carbon emissions")</f>
        <v>carbon emissions</v>
      </c>
      <c r="C3483" s="1" t="str">
        <f ca="1">IFERROR(__xludf.DUMMYFUNCTION("GOOGLETRANSLATE(E3483, ""zh"", ""en"")"),"Qualitative text")</f>
        <v>Qualitative text</v>
      </c>
    </row>
    <row r="3484" spans="1:3" ht="13" x14ac:dyDescent="0.15">
      <c r="A3484" s="1" t="str">
        <f ca="1">IFERROR(__xludf.DUMMYFUNCTION("GOOGLETRANSLATE(A3484, ""zh"", ""en"")"),"The organization has carried out a variety of online and offline activities. The union has cared for employees in multiple dimensions, continuously improved their spiritual well-being, further enriched their spiritual and cultural life, improved their emp"&amp;"loyee index, and helped them better balance work and life.")</f>
        <v>The organization has carried out a variety of online and offline activities. The union has cared for employees in multiple dimensions, continuously improved their spiritual well-being, further enriched their spiritual and cultural life, improved their employee index, and helped them better balance work and life.</v>
      </c>
      <c r="B3484" s="1" t="str">
        <f ca="1">IFERROR(__xludf.DUMMYFUNCTION("GOOGLETRANSLATE(A3484, ""zh"", ""en"")"),"staff")</f>
        <v>staff</v>
      </c>
      <c r="C3484" s="1" t="str">
        <f ca="1">IFERROR(__xludf.DUMMYFUNCTION("GOOGLETRANSLATE(E3484, ""zh"", ""en"")"),"Qualitative text")</f>
        <v>Qualitative text</v>
      </c>
    </row>
    <row r="3485" spans="1:3" ht="13" x14ac:dyDescent="0.15">
      <c r="A3485" s="1" t="str">
        <f ca="1">IFERROR(__xludf.DUMMYFUNCTION("GOOGLETRANSLATE(A3485, ""zh"", ""en"")"),"The 2022 Xuhang Student Aid Program continues to donate 11 million yuan to 19 new programs in 19 schools across 8 provinces. The 2022 Xuhang Class of 2022 program will provide scholarships to 950 students with outstanding academic performance and financia"&amp;"l difficulties.")</f>
        <v>The 2022 Xuhang Student Aid Program continues to donate 11 million yuan to 19 new programs in 19 schools across 8 provinces. The 2022 Xuhang Class of 2022 program will provide scholarships to 950 students with outstanding academic performance and financial difficulties.</v>
      </c>
      <c r="B3485" s="1" t="str">
        <f ca="1">IFERROR(__xludf.DUMMYFUNCTION("GOOGLETRANSLATE(A3485, ""zh"", ""en"")"),"Public welfare and volunteer service")</f>
        <v>Public welfare and volunteer service</v>
      </c>
      <c r="C3485" s="1" t="str">
        <f ca="1">IFERROR(__xludf.DUMMYFUNCTION("GOOGLETRANSLATE(E3485, ""zh"", ""en"")"),"Quantitative Text")</f>
        <v>Quantitative Text</v>
      </c>
    </row>
    <row r="3486" spans="1:3" ht="13" x14ac:dyDescent="0.15">
      <c r="A3486" s="1" t="str">
        <f ca="1">IFERROR(__xludf.DUMMYFUNCTION("GOOGLETRANSLATE(A3486, ""zh"", ""en"")"),"In 2022, the company held three online performance briefings in the form of online text interaction or video, participated in one investor reception day for listed companies in Hubei Province, and organized five investor telephone exchanges.")</f>
        <v>In 2022, the company held three online performance briefings in the form of online text interaction or video, participated in one investor reception day for listed companies in Hubei Province, and organized five investor telephone exchanges.</v>
      </c>
      <c r="B3486" s="1" t="str">
        <f ca="1">IFERROR(__xludf.DUMMYFUNCTION("GOOGLETRANSLATE(A3486, ""zh"", ""en"")"),"Information Disclosure and Investor Communication")</f>
        <v>Information Disclosure and Investor Communication</v>
      </c>
      <c r="C3486" s="1" t="str">
        <f ca="1">IFERROR(__xludf.DUMMYFUNCTION("GOOGLETRANSLATE(E3486, ""zh"", ""en"")"),"Quantitative Text")</f>
        <v>Quantitative Text</v>
      </c>
    </row>
    <row r="3487" spans="1:3" ht="13" x14ac:dyDescent="0.15">
      <c r="A3487" s="1" t="str">
        <f ca="1">IFERROR(__xludf.DUMMYFUNCTION("GOOGLETRANSLATE(A3487, ""zh"", ""en"")"),"Strengthen overseas compliance risk management and control, promote legal compliance courses as mandatory courses for management training, professional field training, new employee training, and foreign-related personnel training, and focus on strengtheni"&amp;"ng compliance training for high-risk positions and key personnel.")</f>
        <v>Strengthen overseas compliance risk management and control, promote legal compliance courses as mandatory courses for management training, professional field training, new employee training, and foreign-related personnel training, and focus on strengthening compliance training for high-risk positions and key personnel.</v>
      </c>
      <c r="B3487" s="1" t="str">
        <f ca="1">IFERROR(__xludf.DUMMYFUNCTION("GOOGLETRANSLATE(A3487, ""zh"", ""en"")"),"Legal proceedings and external sanctions")</f>
        <v>Legal proceedings and external sanctions</v>
      </c>
      <c r="C3487" s="1" t="str">
        <f ca="1">IFERROR(__xludf.DUMMYFUNCTION("GOOGLETRANSLATE(E3487, ""zh"", ""en"")"),"Qualitative text")</f>
        <v>Qualitative text</v>
      </c>
    </row>
    <row r="3488" spans="1:3" ht="13" x14ac:dyDescent="0.15">
      <c r="A3488" s="1" t="str">
        <f ca="1">IFERROR(__xludf.DUMMYFUNCTION("GOOGLETRANSLATE(A3488, ""zh"", ""en"")"),"This product applies multi-domain energy-saving and low-carbon operation technology and the power interaction function of the State Grid. It can intelligently adjust the on/off time operation mode according to the user's area and recommend water use plans"&amp;" to improve the utilization rate of power energy during off-peak hours.")</f>
        <v>This product applies multi-domain energy-saving and low-carbon operation technology and the power interaction function of the State Grid. It can intelligently adjust the on/off time operation mode according to the user's area and recommend water use plans to improve the utilization rate of power energy during off-peak hours.</v>
      </c>
      <c r="B3488" s="1" t="str">
        <f ca="1">IFERROR(__xludf.DUMMYFUNCTION("GOOGLETRANSLATE(A3488, ""zh"", ""en"")"),"Energy and resource consumption")</f>
        <v>Energy and resource consumption</v>
      </c>
      <c r="C3488" s="1" t="str">
        <f ca="1">IFERROR(__xludf.DUMMYFUNCTION("GOOGLETRANSLATE(E3488, ""zh"", ""en"")"),"Qualitative text")</f>
        <v>Qualitative text</v>
      </c>
    </row>
    <row r="3489" spans="1:3" ht="13" x14ac:dyDescent="0.15">
      <c r="A3489" s="1" t="str">
        <f ca="1">IFERROR(__xludf.DUMMYFUNCTION("GOOGLETRANSLATE(A3489, ""zh"", ""en"")"),"We attach great importance to the safety and health management of construction operations and ensure continuous improvement of working conditions. We comply with the statutory working hours and holiday regulations in the place where we operate, pay attent"&amp;"ion to the mental health of our employees, and put the health and life safety of our employees first.")</f>
        <v>We attach great importance to the safety and health management of construction operations and ensure continuous improvement of working conditions. We comply with the statutory working hours and holiday regulations in the place where we operate, pay attention to the mental health of our employees, and put the health and life safety of our employees first.</v>
      </c>
      <c r="B3489" s="1" t="str">
        <f ca="1">IFERROR(__xludf.DUMMYFUNCTION("GOOGLETRANSLATE(A3489, ""zh"", ""en"")"),"staff")</f>
        <v>staff</v>
      </c>
      <c r="C3489" s="1" t="str">
        <f ca="1">IFERROR(__xludf.DUMMYFUNCTION("GOOGLETRANSLATE(E3489, ""zh"", ""en"")"),"Qualitative text")</f>
        <v>Qualitative text</v>
      </c>
    </row>
    <row r="3490" spans="1:3" ht="13" x14ac:dyDescent="0.15">
      <c r="A3490" s="1" t="str">
        <f ca="1">IFERROR(__xludf.DUMMYFUNCTION("GOOGLETRANSLATE(A3490, ""zh"", ""en"")"),"Improving Security Capabilities and Employee Rights and Development 772022 Overseas Project Social Security Management Key Case Studies CASE During the Spring Festival, PetroChina employee Aiskar encountered a drowning child while on vacation in Sanya, Ha"&amp;"inan.")</f>
        <v>Improving Security Capabilities and Employee Rights and Development 772022 Overseas Project Social Security Management Key Case Studies CASE During the Spring Festival, PetroChina employee Aiskar encountered a drowning child while on vacation in Sanya, Hainan.</v>
      </c>
      <c r="B3490" s="1" t="str">
        <f ca="1">IFERROR(__xludf.DUMMYFUNCTION("GOOGLETRANSLATE(A3490, ""zh"", ""en"")"),"staff")</f>
        <v>staff</v>
      </c>
      <c r="C3490" s="1" t="str">
        <f ca="1">IFERROR(__xludf.DUMMYFUNCTION("GOOGLETRANSLATE(E3490, ""zh"", ""en"")"),"Qualitative text")</f>
        <v>Qualitative text</v>
      </c>
    </row>
    <row r="3491" spans="1:3" ht="13" x14ac:dyDescent="0.15">
      <c r="A3491" s="1" t="str">
        <f ca="1">IFERROR(__xludf.DUMMYFUNCTION("GOOGLETRANSLATE(A3491, ""zh"", ""en"")"),"1161192022CorporateSocialResponsibilityReport133Note on Forward-Looking StatementsThis report contains forward-looking statements")</f>
        <v>1161192022CorporateSocialResponsibilityReport133Note on Forward-Looking StatementsThis report contains forward-looking statements</v>
      </c>
      <c r="B3491" s="1" t="str">
        <f ca="1">IFERROR(__xludf.DUMMYFUNCTION("GOOGLETRANSLATE(A3491, ""zh"", ""en"")"),"irrelevant text")</f>
        <v>irrelevant text</v>
      </c>
      <c r="C3491" s="1" t="str">
        <f ca="1">IFERROR(__xludf.DUMMYFUNCTION("GOOGLETRANSLATE(E3491, ""zh"", ""en"")"),"irrelevant text")</f>
        <v>irrelevant text</v>
      </c>
    </row>
    <row r="3492" spans="1:3" ht="13" x14ac:dyDescent="0.15">
      <c r="A3492" s="1" t="str">
        <f ca="1">IFERROR(__xludf.DUMMYFUNCTION("GOOGLETRANSLATE(A3492, ""zh"", ""en"")"),"The employee handbook provides employees with behavioral guidelines in terms of health, safety, and environmental protection, code of conduct, ethical standards, work etiquette, quality requirements, and confidentiality requirements. It requires employees"&amp;" to adhere to relevant behavioral rules such as honest employment, anti-discrimination, and information confidentiality.")</f>
        <v>The employee handbook provides employees with behavioral guidelines in terms of health, safety, and environmental protection, code of conduct, ethical standards, work etiquette, quality requirements, and confidentiality requirements. It requires employees to adhere to relevant behavioral rules such as honest employment, anti-discrimination, and information confidentiality.</v>
      </c>
      <c r="B3492" s="1" t="str">
        <f ca="1">IFERROR(__xludf.DUMMYFUNCTION("GOOGLETRANSLATE(A3492, ""zh"", ""en"")"),"staff")</f>
        <v>staff</v>
      </c>
      <c r="C3492" s="1" t="str">
        <f ca="1">IFERROR(__xludf.DUMMYFUNCTION("GOOGLETRANSLATE(E3492, ""zh"", ""en"")"),"Qualitative text")</f>
        <v>Qualitative text</v>
      </c>
    </row>
    <row r="3493" spans="1:3" ht="13" x14ac:dyDescent="0.15">
      <c r="A3493" s="1" t="str">
        <f ca="1">IFERROR(__xludf.DUMMYFUNCTION("GOOGLETRANSLATE(A3493, ""zh"", ""en"")"),"At the same time, in order to achieve fair competition, the company actively combats commercial destructive behaviors. During the reporting period, the company's operating institutions strictly abide by the relevant local laws and regulations on anti-corr"&amp;"uption, anti-bribery, anti-drug, anti-fraud, and anti-extortion, and eliminate illegal and irregular behaviors.")</f>
        <v>At the same time, in order to achieve fair competition, the company actively combats commercial destructive behaviors. During the reporting period, the company's operating institutions strictly abide by the relevant local laws and regulations on anti-corruption, anti-bribery, anti-drug, anti-fraud, and anti-extortion, and eliminate illegal and irregular behaviors.</v>
      </c>
      <c r="B3493" s="1" t="str">
        <f ca="1">IFERROR(__xludf.DUMMYFUNCTION("GOOGLETRANSLATE(A3493, ""zh"", ""en"")"),"Anti-corruption and anti-money laundering")</f>
        <v>Anti-corruption and anti-money laundering</v>
      </c>
      <c r="C3493" s="1" t="str">
        <f ca="1">IFERROR(__xludf.DUMMYFUNCTION("GOOGLETRANSLATE(E3493, ""zh"", ""en"")"),"Qualitative text")</f>
        <v>Qualitative text</v>
      </c>
    </row>
    <row r="3494" spans="1:3" ht="13" x14ac:dyDescent="0.15">
      <c r="A3494" s="1" t="str">
        <f ca="1">IFERROR(__xludf.DUMMYFUNCTION("GOOGLETRANSLATE(A3494, ""zh"", ""en"")"),"By controlling the high-energy-consuming equipment, implementing centralized control of air compressors, renovating waste heat recovery, introducing high-efficiency centrifugal chillers, replacing high-efficiency heating water pumps, and adopting voice-co"&amp;"ntrolled infrared induction control switches, etc., the water and energy consumption of equipment and facilities can be reduced.")</f>
        <v>By controlling the high-energy-consuming equipment, implementing centralized control of air compressors, renovating waste heat recovery, introducing high-efficiency centrifugal chillers, replacing high-efficiency heating water pumps, and adopting voice-controlled infrared induction control switches, etc., the water and energy consumption of equipment and facilities can be reduced.</v>
      </c>
      <c r="B3494" s="1" t="str">
        <f ca="1">IFERROR(__xludf.DUMMYFUNCTION("GOOGLETRANSLATE(A3494, ""zh"", ""en"")"),"Energy and resource consumption")</f>
        <v>Energy and resource consumption</v>
      </c>
      <c r="C3494" s="1" t="str">
        <f ca="1">IFERROR(__xludf.DUMMYFUNCTION("GOOGLETRANSLATE(E3494, ""zh"", ""en"")"),"Qualitative text")</f>
        <v>Qualitative text</v>
      </c>
    </row>
    <row r="3495" spans="1:3" ht="13" x14ac:dyDescent="0.15">
      <c r="A3495" s="1" t="str">
        <f ca="1">IFERROR(__xludf.DUMMYFUNCTION("GOOGLETRANSLATE(A3495, ""zh"", ""en"")"),"Review employee rights protection clauses, including signing formal labor contracts with employees, control working hours and employee rights, pay employees on time, pay overtime according to local regulations, and provide a safe and healthy working envir"&amp;"onment.")</f>
        <v>Review employee rights protection clauses, including signing formal labor contracts with employees, control working hours and employee rights, pay employees on time, pay overtime according to local regulations, and provide a safe and healthy working environment.</v>
      </c>
      <c r="B3495" s="1" t="str">
        <f ca="1">IFERROR(__xludf.DUMMYFUNCTION("GOOGLETRANSLATE(A3495, ""zh"", ""en"")"),"staff")</f>
        <v>staff</v>
      </c>
      <c r="C3495" s="1" t="str">
        <f ca="1">IFERROR(__xludf.DUMMYFUNCTION("GOOGLETRANSLATE(E3495, ""zh"", ""en"")"),"Qualitative text")</f>
        <v>Qualitative text</v>
      </c>
    </row>
    <row r="3496" spans="1:3" ht="13" x14ac:dyDescent="0.15">
      <c r="A3496" s="1" t="str">
        <f ca="1">IFERROR(__xludf.DUMMYFUNCTION("GOOGLETRANSLATE(A3496, ""zh"", ""en"")"),"By transforming the user life cycle management from work order-centered to user-centered, the risk of patent disputes can be reduced through the rapid on-site service of service engineers and the risk management of service engineering R&amp;D and product laun"&amp;"ch.")</f>
        <v>By transforming the user life cycle management from work order-centered to user-centered, the risk of patent disputes can be reduced through the rapid on-site service of service engineers and the risk management of service engineering R&amp;D and product launch.</v>
      </c>
      <c r="B3496" s="1" t="str">
        <f ca="1">IFERROR(__xludf.DUMMYFUNCTION("GOOGLETRANSLATE(A3496, ""zh"", ""en"")"),"Intellectual Property Protection")</f>
        <v>Intellectual Property Protection</v>
      </c>
      <c r="C3496" s="1" t="str">
        <f ca="1">IFERROR(__xludf.DUMMYFUNCTION("GOOGLETRANSLATE(E3496, ""zh"", ""en"")"),"Qualitative text")</f>
        <v>Qualitative text</v>
      </c>
    </row>
    <row r="3497" spans="1:3" ht="13" x14ac:dyDescent="0.15">
      <c r="A3497" s="1" t="str">
        <f ca="1">IFERROR(__xludf.DUMMYFUNCTION("GOOGLETRANSLATE(A3497, ""zh"", ""en"")"),"As of the end of 2022, the Group's cumulative average delivery rate has reached 76.2%, of which Weinan Jiuchengyue, Chongqing Yinjiangzhou, Chongqing Qianshanyuan, Hangzhou Jiuzhangfu, Guangzhou Yinyuefu, Suzhou Yueyin Wanchuan projects have a cumulative "&amp;"delivery rate of over 90%.")</f>
        <v>As of the end of 2022, the Group's cumulative average delivery rate has reached 76.2%, of which Weinan Jiuchengyue, Chongqing Yinjiangzhou, Chongqing Qianshanyuan, Hangzhou Jiuzhangfu, Guangzhou Yinyuefu, Suzhou Yueyin Wanchuan projects have a cumulative delivery rate of over 90%.</v>
      </c>
      <c r="B3497" s="1" t="str">
        <f ca="1">IFERROR(__xludf.DUMMYFUNCTION("GOOGLETRANSLATE(A3497, ""zh"", ""en"")"),"Product quality")</f>
        <v>Product quality</v>
      </c>
      <c r="C3497" s="1" t="str">
        <f ca="1">IFERROR(__xludf.DUMMYFUNCTION("GOOGLETRANSLATE(E3497, ""zh"", ""en"")"),"Quantitative Text")</f>
        <v>Quantitative Text</v>
      </c>
    </row>
    <row r="3498" spans="1:3" ht="13" x14ac:dyDescent="0.15">
      <c r="A3498" s="1" t="str">
        <f ca="1">IFERROR(__xludf.DUMMYFUNCTION("GOOGLETRANSLATE(A3498, ""zh"", ""en"")"),"At 10:00 am on October 16, 2022, the party members of the party organizations at all levels of Dima Co., Ltd. and the active members of the party watched the opening ceremony of the 20th National Congress of the Communist Party of China with great excitem"&amp;"ent and anticipation, and welcomed the successful convening of the grand event.")</f>
        <v>At 10:00 am on October 16, 2022, the party members of the party organizations at all levels of Dima Co., Ltd. and the active members of the party watched the opening ceremony of the 20th National Congress of the Communist Party of China with great excitement and anticipation, and welcomed the successful convening of the grand event.</v>
      </c>
      <c r="B3498" s="1" t="str">
        <f ca="1">IFERROR(__xludf.DUMMYFUNCTION("GOOGLETRANSLATE(A3498, ""zh"", ""en"")"),"Organizational structure and operations")</f>
        <v>Organizational structure and operations</v>
      </c>
      <c r="C3498" s="1" t="str">
        <f ca="1">IFERROR(__xludf.DUMMYFUNCTION("GOOGLETRANSLATE(E3498, ""zh"", ""en"")"),"Qualitative text")</f>
        <v>Qualitative text</v>
      </c>
    </row>
    <row r="3499" spans="1:3" ht="13" x14ac:dyDescent="0.15">
      <c r="A3499" s="1" t="str">
        <f ca="1">IFERROR(__xludf.DUMMYFUNCTION("GOOGLETRANSLATE(A3499, ""zh"", ""en"")"),"We continue to build and improve our global logistics network. We have established 210 domestic logistics routes using a combination of city and provincial lines. We have established 48 international logistics routes using Singapore, Jakarta, Dubai and ot"&amp;"her major logistics hubs.")</f>
        <v>We continue to build and improve our global logistics network. We have established 210 domestic logistics routes using a combination of city and provincial lines. We have established 48 international logistics routes using Singapore, Jakarta, Dubai and other major logistics hubs.</v>
      </c>
      <c r="B3499" s="1" t="str">
        <f ca="1">IFERROR(__xludf.DUMMYFUNCTION("GOOGLETRANSLATE(A3499, ""zh"", ""en"")"),"supply chain management")</f>
        <v>supply chain management</v>
      </c>
      <c r="C3499" s="1" t="str">
        <f ca="1">IFERROR(__xludf.DUMMYFUNCTION("GOOGLETRANSLATE(E3499, ""zh"", ""en"")"),"Quantitative Text")</f>
        <v>Quantitative Text</v>
      </c>
    </row>
    <row r="3500" spans="1:3" ht="13" x14ac:dyDescent="0.15">
      <c r="A3500" s="1" t="str">
        <f ca="1">IFERROR(__xludf.DUMMYFUNCTION("GOOGLETRANSLATE(A3500, ""zh"", ""en"")"),"Dongyuan Zhixin, with its integrated planning, regulation, and operations, excels in content management and space re-creation. Its 11 incubated IPs and brands can drive and promote content updates, inject vitality into platforms and regions, and drive the"&amp;" continuous influx of new content-based industries.")</f>
        <v>Dongyuan Zhixin, with its integrated planning, regulation, and operations, excels in content management and space re-creation. Its 11 incubated IPs and brands can drive and promote content updates, inject vitality into platforms and regions, and drive the continuous influx of new content-based industries.</v>
      </c>
      <c r="B3500" s="1" t="str">
        <f ca="1">IFERROR(__xludf.DUMMYFUNCTION("GOOGLETRANSLATE(A3500, ""zh"", ""en"")"),"Technological innovation")</f>
        <v>Technological innovation</v>
      </c>
      <c r="C3500" s="1" t="str">
        <f ca="1">IFERROR(__xludf.DUMMYFUNCTION("GOOGLETRANSLATE(E3500, ""zh"", ""en"")"),"Qualitative text")</f>
        <v>Qualitative text</v>
      </c>
    </row>
    <row r="3501" spans="1:3" ht="13" x14ac:dyDescent="0.15">
      <c r="A3501" s="1" t="str">
        <f ca="1">IFERROR(__xludf.DUMMYFUNCTION("GOOGLETRANSLATE(A3501, ""zh"", ""en"")"),"By 2022, the company will achieve a 100% health certificate rate for offshore and field workers, a 100% completion rate for occupational health examinations for employees exposed to occupational hazards, and a 100% coverage rate for routine health examina"&amp;"tions for land-based employees.")</f>
        <v>By 2022, the company will achieve a 100% health certificate rate for offshore and field workers, a 100% completion rate for occupational health examinations for employees exposed to occupational hazards, and a 100% coverage rate for routine health examinations for land-based employees.</v>
      </c>
      <c r="B3501" s="1" t="str">
        <f ca="1">IFERROR(__xludf.DUMMYFUNCTION("GOOGLETRANSLATE(A3501, ""zh"", ""en"")"),"staff")</f>
        <v>staff</v>
      </c>
      <c r="C3501" s="1" t="str">
        <f ca="1">IFERROR(__xludf.DUMMYFUNCTION("GOOGLETRANSLATE(E3501, ""zh"", ""en"")"),"Quantitative Text")</f>
        <v>Quantitative Text</v>
      </c>
    </row>
    <row r="3502" spans="1:3" ht="13" x14ac:dyDescent="0.15">
      <c r="A3502" s="1" t="str">
        <f ca="1">IFERROR(__xludf.DUMMYFUNCTION("GOOGLETRANSLATE(A3502, ""zh"", ""en"")"),"Help employees establish a preliminary sense of identity with COSL Uganda, quickly familiarize themselves with relevant business operations, cultivate necessary business skills and capabilities, reduce unsafe factors, and cultivate oilfield development ta"&amp;"lents for Uganda's first oilfield construction project.")</f>
        <v>Help employees establish a preliminary sense of identity with COSL Uganda, quickly familiarize themselves with relevant business operations, cultivate necessary business skills and capabilities, reduce unsafe factors, and cultivate oilfield development talents for Uganda's first oilfield construction project.</v>
      </c>
      <c r="B3502" s="1" t="str">
        <f ca="1">IFERROR(__xludf.DUMMYFUNCTION("GOOGLETRANSLATE(A3502, ""zh"", ""en"")"),"staff")</f>
        <v>staff</v>
      </c>
      <c r="C3502" s="1" t="str">
        <f ca="1">IFERROR(__xludf.DUMMYFUNCTION("GOOGLETRANSLATE(E3502, ""zh"", ""en"")"),"Qualitative text")</f>
        <v>Qualitative text</v>
      </c>
    </row>
    <row r="3503" spans="1:3" ht="13" x14ac:dyDescent="0.15">
      <c r="A3503" s="1" t="str">
        <f ca="1">IFERROR(__xludf.DUMMYFUNCTION("GOOGLETRANSLATE(A3503, ""zh"", ""en"")"),"Huaneng Company leads the development of standards such as the technical specifications for greenhouse gas emission data quality management for industrial enterprises, the requirements for the industrial carbon neutrality management system, and the implem"&amp;"entation guidelines for the industrial carbon neutrality management system to improve the institutional construction in the dual carbon field.")</f>
        <v>Huaneng Company leads the development of standards such as the technical specifications for greenhouse gas emission data quality management for industrial enterprises, the requirements for the industrial carbon neutrality management system, and the implementation guidelines for the industrial carbon neutrality management system to improve the institutional construction in the dual carbon field.</v>
      </c>
      <c r="B3503" s="1" t="str">
        <f ca="1">IFERROR(__xludf.DUMMYFUNCTION("GOOGLETRANSLATE(A3503, ""zh"", ""en"")"),"carbon emissions")</f>
        <v>carbon emissions</v>
      </c>
      <c r="C3503" s="1" t="str">
        <f ca="1">IFERROR(__xludf.DUMMYFUNCTION("GOOGLETRANSLATE(E3503, ""zh"", ""en"")"),"Qualitative text")</f>
        <v>Qualitative text</v>
      </c>
    </row>
    <row r="3504" spans="1:3" ht="13" x14ac:dyDescent="0.15">
      <c r="A3504" s="1" t="str">
        <f ca="1">IFERROR(__xludf.DUMMYFUNCTION("GOOGLETRANSLATE(A3504, ""zh"", ""en"")"),"The company systematically plans its goals and tasks based on the overall deployment of carbon peak and carbon neutrality by the Provincial Party Committee, Provincial Government and Provincial State-owned Assets Supervision and Administration Commission,"&amp;" and explores differentiated paths and models for achieving carbon peak and carbon neutrality goals according to its development strategy positioning and business development direction.")</f>
        <v>The company systematically plans its goals and tasks based on the overall deployment of carbon peak and carbon neutrality by the Provincial Party Committee, Provincial Government and Provincial State-owned Assets Supervision and Administration Commission, and explores differentiated paths and models for achieving carbon peak and carbon neutrality goals according to its development strategy positioning and business development direction.</v>
      </c>
      <c r="B3504" s="1" t="str">
        <f ca="1">IFERROR(__xludf.DUMMYFUNCTION("GOOGLETRANSLATE(A3504, ""zh"", ""en"")"),"carbon emissions")</f>
        <v>carbon emissions</v>
      </c>
      <c r="C3504" s="1" t="str">
        <f ca="1">IFERROR(__xludf.DUMMYFUNCTION("GOOGLETRANSLATE(E3504, ""zh"", ""en"")"),"Qualitative text")</f>
        <v>Qualitative text</v>
      </c>
    </row>
    <row r="3505" spans="1:3" ht="13" x14ac:dyDescent="0.15">
      <c r="A3505" s="1" t="str">
        <f ca="1">IFERROR(__xludf.DUMMYFUNCTION("GOOGLETRANSLATE(A3505, ""zh"", ""en"")"),"In 2022, Kangyuan was awarded the High-Tech Enterprise Certificate, which fully demonstrates that the group's performance in intellectual property, scientific and technological achievements, R&amp;D, organization and management, as well as healthy corporate g"&amp;"rowth, has been recognized and supported by official authorities.")</f>
        <v>In 2022, Kangyuan was awarded the High-Tech Enterprise Certificate, which fully demonstrates that the group's performance in intellectual property, scientific and technological achievements, R&amp;D, organization and management, as well as healthy corporate growth, has been recognized and supported by official authorities.</v>
      </c>
      <c r="B3505" s="1" t="str">
        <f ca="1">IFERROR(__xludf.DUMMYFUNCTION("GOOGLETRANSLATE(A3505, ""zh"", ""en"")"),"Intellectual Property Protection")</f>
        <v>Intellectual Property Protection</v>
      </c>
      <c r="C3505" s="1" t="str">
        <f ca="1">IFERROR(__xludf.DUMMYFUNCTION("GOOGLETRANSLATE(E3505, ""zh"", ""en"")"),"Qualitative text")</f>
        <v>Qualitative text</v>
      </c>
    </row>
    <row r="3506" spans="1:3" ht="13" x14ac:dyDescent="0.15">
      <c r="A3506" s="1" t="str">
        <f ca="1">IFERROR(__xludf.DUMMYFUNCTION("GOOGLETRANSLATE(A3506, ""zh"", ""en"")"),"Independently held three large-scale online forums with themes such as embracing new ESG regulatory trends in 2022 and moving towards a new stage of ESG empowerment, collaborating with experts from asset management institutions and corporate evaluation ag"&amp;"encies to focus on cutting-edge directions in ESG investment research.")</f>
        <v>Independently held three large-scale online forums with themes such as embracing new ESG regulatory trends in 2022 and moving towards a new stage of ESG empowerment, collaborating with experts from asset management institutions and corporate evaluation agencies to focus on cutting-edge directions in ESG investment research.</v>
      </c>
      <c r="B3506" s="1" t="str">
        <f ca="1">IFERROR(__xludf.DUMMYFUNCTION("GOOGLETRANSLATE(A3506, ""zh"", ""en"")"),"Technological innovation")</f>
        <v>Technological innovation</v>
      </c>
      <c r="C3506" s="1" t="str">
        <f ca="1">IFERROR(__xludf.DUMMYFUNCTION("GOOGLETRANSLATE(E3506, ""zh"", ""en"")"),"Qualitative text")</f>
        <v>Qualitative text</v>
      </c>
    </row>
    <row r="3507" spans="1:3" ht="13" x14ac:dyDescent="0.15">
      <c r="A3507" s="1" t="str">
        <f ca="1">IFERROR(__xludf.DUMMYFUNCTION("GOOGLETRANSLATE(A3507, ""zh"", ""en"")"),"R&amp;D personnel external training project case promotion planning The Group fully respects the personal career development plans of employees and establishes a two-way career development channel between professional and management to provide fair and equita"&amp;"ble career choices and development opportunities for all employees.")</f>
        <v>R&amp;D personnel external training project case promotion planning The Group fully respects the personal career development plans of employees and establishes a two-way career development channel between professional and management to provide fair and equitable career choices and development opportunities for all employees.</v>
      </c>
      <c r="B3507" s="1" t="str">
        <f ca="1">IFERROR(__xludf.DUMMYFUNCTION("GOOGLETRANSLATE(A3507, ""zh"", ""en"")"),"staff")</f>
        <v>staff</v>
      </c>
      <c r="C3507" s="1" t="str">
        <f ca="1">IFERROR(__xludf.DUMMYFUNCTION("GOOGLETRANSLATE(E3507, ""zh"", ""en"")"),"Qualitative text")</f>
        <v>Qualitative text</v>
      </c>
    </row>
    <row r="3508" spans="1:3" ht="13" x14ac:dyDescent="0.15">
      <c r="A3508" s="1" t="str">
        <f ca="1">IFERROR(__xludf.DUMMYFUNCTION("GOOGLETRANSLATE(A3508, ""zh"", ""en"")"),"Waste toner cartridges and toner are recycled and disposed of by the printing supplier. Waste fluorescent tubes are replaced by the property management and handed over to qualified recyclers for recycling and disposal. Waste lead-acid batteries are recycl"&amp;"ed and disposed of by qualified recyclers.")</f>
        <v>Waste toner cartridges and toner are recycled and disposed of by the printing supplier. Waste fluorescent tubes are replaced by the property management and handed over to qualified recyclers for recycling and disposal. Waste lead-acid batteries are recycled and disposed of by qualified recyclers.</v>
      </c>
      <c r="B3508" s="1" t="str">
        <f ca="1">IFERROR(__xludf.DUMMYFUNCTION("GOOGLETRANSLATE(A3508, ""zh"", ""en"")"),"Waste Management")</f>
        <v>Waste Management</v>
      </c>
      <c r="C3508" s="1" t="str">
        <f ca="1">IFERROR(__xludf.DUMMYFUNCTION("GOOGLETRANSLATE(E3508, ""zh"", ""en"")"),"Qualitative text")</f>
        <v>Qualitative text</v>
      </c>
    </row>
    <row r="3509" spans="1:3" ht="13" x14ac:dyDescent="0.15">
      <c r="A3509" s="1" t="str">
        <f ca="1">IFERROR(__xludf.DUMMYFUNCTION("GOOGLETRANSLATE(A3509, ""zh"", ""en"")"),"In 2022, independent directors will gain an in-depth understanding of the company's operating conditions through listening to reports, reviewing materials, conducting on-site research, communicating with the company's management, and actively applying the"&amp;"ir professional knowledge to promote scientific decision-making by the company's board of directors.")</f>
        <v>In 2022, independent directors will gain an in-depth understanding of the company's operating conditions through listening to reports, reviewing materials, conducting on-site research, communicating with the company's management, and actively applying their professional knowledge to promote scientific decision-making by the company's board of directors.</v>
      </c>
      <c r="B3509" s="1" t="str">
        <f ca="1">IFERROR(__xludf.DUMMYFUNCTION("GOOGLETRANSLATE(A3509, ""zh"", ""en"")"),"Organizational structure and operations")</f>
        <v>Organizational structure and operations</v>
      </c>
      <c r="C3509" s="1" t="str">
        <f ca="1">IFERROR(__xludf.DUMMYFUNCTION("GOOGLETRANSLATE(E3509, ""zh"", ""en"")"),"Qualitative text")</f>
        <v>Qualitative text</v>
      </c>
    </row>
    <row r="3510" spans="1:3" ht="13" x14ac:dyDescent="0.15">
      <c r="A3510" s="1" t="str">
        <f ca="1">IFERROR(__xludf.DUMMYFUNCTION("GOOGLETRANSLATE(A3510, ""zh"", ""en"")"),"Development and maintenance: Before developing a new system, security requirements should be confirmed. Appropriate control measures should be adopted in the design to manage SDG system functions. When adding or changing system functions, security functio"&amp;"ns must be fully tested to ensure compliance with design requirements.")</f>
        <v>Development and maintenance: Before developing a new system, security requirements should be confirmed. Appropriate control measures should be adopted in the design to manage SDG system functions. When adding or changing system functions, security functions must be fully tested to ensure compliance with design requirements.</v>
      </c>
      <c r="B3510" s="1" t="str">
        <f ca="1">IFERROR(__xludf.DUMMYFUNCTION("GOOGLETRANSLATE(A3510, ""zh"", ""en"")"),"Data security")</f>
        <v>Data security</v>
      </c>
      <c r="C3510" s="1" t="str">
        <f ca="1">IFERROR(__xludf.DUMMYFUNCTION("GOOGLETRANSLATE(E3510, ""zh"", ""en"")"),"Qualitative text")</f>
        <v>Qualitative text</v>
      </c>
    </row>
    <row r="3511" spans="1:3" ht="13" x14ac:dyDescent="0.15">
      <c r="A3511" s="1" t="str">
        <f ca="1">IFERROR(__xludf.DUMMYFUNCTION("GOOGLETRANSLATE(A3511, ""zh"", ""en"")"),"This year, the company's compliance department actively followed up on changes in laws and regulations related to relevant business departments, updated compliance management dynamics weekly and sent them to branches, covering multiple dimensions such as "&amp;"regulatory dynamics, regulatory tracking, and the latest regulatory cases.")</f>
        <v>This year, the company's compliance department actively followed up on changes in laws and regulations related to relevant business departments, updated compliance management dynamics weekly and sent them to branches, covering multiple dimensions such as regulatory dynamics, regulatory tracking, and the latest regulatory cases.</v>
      </c>
      <c r="B3511" s="1" t="str">
        <f ca="1">IFERROR(__xludf.DUMMYFUNCTION("GOOGLETRANSLATE(A3511, ""zh"", ""en"")"),"Legal proceedings and external sanctions")</f>
        <v>Legal proceedings and external sanctions</v>
      </c>
      <c r="C3511" s="1" t="str">
        <f ca="1">IFERROR(__xludf.DUMMYFUNCTION("GOOGLETRANSLATE(E3511, ""zh"", ""en"")"),"Qualitative text")</f>
        <v>Qualitative text</v>
      </c>
    </row>
    <row r="3512" spans="1:3" ht="13" x14ac:dyDescent="0.15">
      <c r="A3512" s="1" t="str">
        <f ca="1">IFERROR(__xludf.DUMMYFUNCTION("GOOGLETRANSLATE(A3512, ""zh"", ""en"")"),"At the same time, the policy emphasizes that the entire complaint process should be strictly confidential. Complaint investigators must keep the details of the complaint confidential and the people involved in the investigation will not be retaliated agai"&amp;"nst or harmed during or after the complaint.")</f>
        <v>At the same time, the policy emphasizes that the entire complaint process should be strictly confidential. Complaint investigators must keep the details of the complaint confidential and the people involved in the investigation will not be retaliated against or harmed during or after the complaint.</v>
      </c>
      <c r="B3512" s="1" t="str">
        <f ca="1">IFERROR(__xludf.DUMMYFUNCTION("GOOGLETRANSLATE(A3512, ""zh"", ""en"")"),"Reporting System")</f>
        <v>Reporting System</v>
      </c>
      <c r="C3512" s="1" t="str">
        <f ca="1">IFERROR(__xludf.DUMMYFUNCTION("GOOGLETRANSLATE(E3512, ""zh"", ""en"")"),"Qualitative text")</f>
        <v>Qualitative text</v>
      </c>
    </row>
    <row r="3513" spans="1:3" ht="13" x14ac:dyDescent="0.15">
      <c r="A3513" s="1" t="str">
        <f ca="1">IFERROR(__xludf.DUMMYFUNCTION("GOOGLETRANSLATE(A3513, ""zh"", ""en"")"),"The convergence and integration of various innovative elements has created more profits and value for the company. The company's comprehensive economic and technological index is showing good momentum in 2021. Its international market share is continuousl"&amp;"y expanding, and its brand awareness is further enhanced around the world.")</f>
        <v>The convergence and integration of various innovative elements has created more profits and value for the company. The company's comprehensive economic and technological index is showing good momentum in 2021. Its international market share is continuously expanding, and its brand awareness is further enhanced around the world.</v>
      </c>
      <c r="B3513" s="1" t="str">
        <f ca="1">IFERROR(__xludf.DUMMYFUNCTION("GOOGLETRANSLATE(A3513, ""zh"", ""en"")"),"Technological innovation")</f>
        <v>Technological innovation</v>
      </c>
      <c r="C3513" s="1" t="str">
        <f ca="1">IFERROR(__xludf.DUMMYFUNCTION("GOOGLETRANSLATE(E3513, ""zh"", ""en"")"),"Qualitative text")</f>
        <v>Qualitative text</v>
      </c>
    </row>
    <row r="3514" spans="1:3" ht="13" x14ac:dyDescent="0.15">
      <c r="A3514" s="1" t="str">
        <f ca="1">IFERROR(__xludf.DUMMYFUNCTION("GOOGLETRANSLATE(A3514, ""zh"", ""en"")"),"The company has been deeply involved in the nylon industry for 40 years and has established a marketing and service network covering the whole country and radiating the world. It provides high-quality service and continuously deepens the customer service "&amp;"project with customer satisfaction as its purpose, which makes the company have a high market recognition.")</f>
        <v>The company has been deeply involved in the nylon industry for 40 years and has established a marketing and service network covering the whole country and radiating the world. It provides high-quality service and continuously deepens the customer service project with customer satisfaction as its purpose, which makes the company have a high market recognition.</v>
      </c>
      <c r="B3514" s="1" t="str">
        <f ca="1">IFERROR(__xludf.DUMMYFUNCTION("GOOGLETRANSLATE(A3514, ""zh"", ""en"")"),"Customers and Consumers")</f>
        <v>Customers and Consumers</v>
      </c>
      <c r="C3514" s="1" t="str">
        <f ca="1">IFERROR(__xludf.DUMMYFUNCTION("GOOGLETRANSLATE(E3514, ""zh"", ""en"")"),"Qualitative text")</f>
        <v>Qualitative text</v>
      </c>
    </row>
    <row r="3515" spans="1:3" ht="13" x14ac:dyDescent="0.15">
      <c r="A3515" s="1" t="str">
        <f ca="1">IFERROR(__xludf.DUMMYFUNCTION("GOOGLETRANSLATE(A3515, ""zh"", ""en"")"),"2728 Protecting the green ecology and improving environmental management. Protecting the green ecology, Shenma shares continue to improve their environmental management system. They have established a safety and environmental protection department to be r"&amp;"esponsible for the company's safety and environmental protection management. They have full-time environmental protection personnel to manage environmental protection facilities.")</f>
        <v>2728 Protecting the green ecology and improving environmental management. Protecting the green ecology, Shenma shares continue to improve their environmental management system. They have established a safety and environmental protection department to be responsible for the company's safety and environmental protection management. They have full-time environmental protection personnel to manage environmental protection facilities.</v>
      </c>
      <c r="B3515" s="1" t="str">
        <f ca="1">IFERROR(__xludf.DUMMYFUNCTION("GOOGLETRANSLATE(A3515, ""zh"", ""en"")"),"Environmental Policy")</f>
        <v>Environmental Policy</v>
      </c>
      <c r="C3515" s="1" t="str">
        <f ca="1">IFERROR(__xludf.DUMMYFUNCTION("GOOGLETRANSLATE(E3515, ""zh"", ""en"")"),"Qualitative text")</f>
        <v>Qualitative text</v>
      </c>
    </row>
    <row r="3516" spans="1:3" ht="13" x14ac:dyDescent="0.15">
      <c r="A3516" s="1" t="str">
        <f ca="1">IFERROR(__xludf.DUMMYFUNCTION("GOOGLETRANSLATE(A3516, ""zh"", ""en"")"),"To ensure that all shareholders, especially small and medium-sized shareholders, can exercise their due right to know and participate in decision-making, we make full use of the convenience of information technology and use online voting and other methods"&amp;" to ensure the efficiency and convenience of shareholders' participation in decision-making.")</f>
        <v>To ensure that all shareholders, especially small and medium-sized shareholders, can exercise their due right to know and participate in decision-making, we make full use of the convenience of information technology and use online voting and other methods to ensure the efficiency and convenience of shareholders' participation in decision-making.</v>
      </c>
      <c r="B3516" s="1" t="str">
        <f ca="1">IFERROR(__xludf.DUMMYFUNCTION("GOOGLETRANSLATE(A3516, ""zh"", ""en"")"),"Shareholder and creditor rights")</f>
        <v>Shareholder and creditor rights</v>
      </c>
      <c r="C3516" s="1" t="str">
        <f ca="1">IFERROR(__xludf.DUMMYFUNCTION("GOOGLETRANSLATE(E3516, ""zh"", ""en"")"),"Qualitative text")</f>
        <v>Qualitative text</v>
      </c>
    </row>
    <row r="3517" spans="1:3" ht="13" x14ac:dyDescent="0.15">
      <c r="A3517" s="1" t="str">
        <f ca="1">IFERROR(__xludf.DUMMYFUNCTION("GOOGLETRANSLATE(A3517, ""zh"", ""en"")"),"The number of deaths caused by production safety accidents disclosed in the Sustainable Development Report refers to the number of regular employees who were ultimately confirmed dead in general Class A accidents that occurred at Sinopec.")</f>
        <v>The number of deaths caused by production safety accidents disclosed in the Sustainable Development Report refers to the number of regular employees who were ultimately confirmed dead in general Class A accidents that occurred at Sinopec.</v>
      </c>
      <c r="B3517" s="1" t="str">
        <f ca="1">IFERROR(__xludf.DUMMYFUNCTION("GOOGLETRANSLATE(A3517, ""zh"", ""en"")"),"staff")</f>
        <v>staff</v>
      </c>
      <c r="C3517" s="1" t="str">
        <f ca="1">IFERROR(__xludf.DUMMYFUNCTION("GOOGLETRANSLATE(E3517, ""zh"", ""en"")"),"Quantitative Text")</f>
        <v>Quantitative Text</v>
      </c>
    </row>
    <row r="3518" spans="1:3" ht="13" x14ac:dyDescent="0.15">
      <c r="A3518" s="1" t="str">
        <f ca="1">IFERROR(__xludf.DUMMYFUNCTION("GOOGLETRANSLATE(A3518, ""zh"", ""en"")"),"Bidding and Procurement System and Effectiveness 03 Factoring Company 47 Win-Win Cooperation Hot Select Life Platform integrates internal and external high-quality service providers to launch 716 Good Products Festival internal purchase meeting, community"&amp;" special price flash sale and other activities to attract private domain customers and promote activation")</f>
        <v>Bidding and Procurement System and Effectiveness 03 Factoring Company 47 Win-Win Cooperation Hot Select Life Platform integrates internal and external high-quality service providers to launch 716 Good Products Festival internal purchase meeting, community special price flash sale and other activities to attract private domain customers and promote activation</v>
      </c>
      <c r="B3518" s="1" t="str">
        <f ca="1">IFERROR(__xludf.DUMMYFUNCTION("GOOGLETRANSLATE(A3518, ""zh"", ""en"")"),"Customers and Consumers")</f>
        <v>Customers and Consumers</v>
      </c>
      <c r="C3518" s="1" t="str">
        <f ca="1">IFERROR(__xludf.DUMMYFUNCTION("GOOGLETRANSLATE(E3518, ""zh"", ""en"")"),"Qualitative text")</f>
        <v>Qualitative text</v>
      </c>
    </row>
    <row r="3519" spans="1:3" ht="13" x14ac:dyDescent="0.15">
      <c r="A3519" s="1" t="str">
        <f ca="1">IFERROR(__xludf.DUMMYFUNCTION("GOOGLETRANSLATE(A3519, ""zh"", ""en"")"),"The number of reported accidents disclosed in the Sustainability Report refers to the number of general A-level and above accidents that occurred in Sinopec. General A-level accidents refer to accidents in which people die.")</f>
        <v>The number of reported accidents disclosed in the Sustainability Report refers to the number of general A-level and above accidents that occurred in Sinopec. General A-level accidents refer to accidents in which people die.</v>
      </c>
      <c r="B3519" s="1" t="str">
        <f ca="1">IFERROR(__xludf.DUMMYFUNCTION("GOOGLETRANSLATE(A3519, ""zh"", ""en"")"),"Legal proceedings and external sanctions")</f>
        <v>Legal proceedings and external sanctions</v>
      </c>
      <c r="C3519" s="1" t="str">
        <f ca="1">IFERROR(__xludf.DUMMYFUNCTION("GOOGLETRANSLATE(E3519, ""zh"", ""en"")"),"Quantitative Text")</f>
        <v>Quantitative Text</v>
      </c>
    </row>
    <row r="3520" spans="1:3" ht="13" x14ac:dyDescent="0.15">
      <c r="A3520" s="1" t="str">
        <f ca="1">IFERROR(__xludf.DUMMYFUNCTION("GOOGLETRANSLATE(A3520, ""zh"", ""en"")"),"Check whether the report content provides information on diversity and equality in terms of major issues. We will truthfully reflect the company's reasonable description of its corporate social responsibility performance on relevant issues in the report a"&amp;"nd invite the participation of various stakeholders.")</f>
        <v>Check whether the report content provides information on diversity and equality in terms of major issues. We will truthfully reflect the company's reasonable description of its corporate social responsibility performance on relevant issues in the report and invite the participation of various stakeholders.</v>
      </c>
      <c r="B3520" s="1" t="str">
        <f ca="1">IFERROR(__xludf.DUMMYFUNCTION("GOOGLETRANSLATE(A3520, ""zh"", ""en"")"),"staff")</f>
        <v>staff</v>
      </c>
      <c r="C3520" s="1" t="str">
        <f ca="1">IFERROR(__xludf.DUMMYFUNCTION("GOOGLETRANSLATE(E3520, ""zh"", ""en"")"),"Qualitative text")</f>
        <v>Qualitative text</v>
      </c>
    </row>
    <row r="3521" spans="1:3" ht="13" x14ac:dyDescent="0.15">
      <c r="A3521" s="1" t="str">
        <f ca="1">IFERROR(__xludf.DUMMYFUNCTION("GOOGLETRANSLATE(A3521, ""zh"", ""en"")"),"Shanghai Electric has joined the Seagull Project, a joint initiative of the Shanghai Women's Federation, the Shanghai Municipal Education Commission, and other departments, which aims to help young women find jobs and careers. It has also been awarded the"&amp;" Seagull Project Female College Students Career Development and Employment Guidance Base.")</f>
        <v>Shanghai Electric has joined the Seagull Project, a joint initiative of the Shanghai Women's Federation, the Shanghai Municipal Education Commission, and other departments, which aims to help young women find jobs and careers. It has also been awarded the Seagull Project Female College Students Career Development and Employment Guidance Base.</v>
      </c>
      <c r="B3521" s="1" t="str">
        <f ca="1">IFERROR(__xludf.DUMMYFUNCTION("GOOGLETRANSLATE(A3521, ""zh"", ""en"")"),"Promoting employment")</f>
        <v>Promoting employment</v>
      </c>
      <c r="C3521" s="1" t="str">
        <f ca="1">IFERROR(__xludf.DUMMYFUNCTION("GOOGLETRANSLATE(E3521, ""zh"", ""en"")"),"Qualitative text")</f>
        <v>Qualitative text</v>
      </c>
    </row>
    <row r="3522" spans="1:3" ht="13" x14ac:dyDescent="0.15">
      <c r="A3522" s="1" t="str">
        <f ca="1">IFERROR(__xludf.DUMMYFUNCTION("GOOGLETRANSLATE(A3522, ""zh"", ""en"")"),"As a subsidiary of Essence Securities, SDIC Essence Futures, an asset management subsidiary, is deepening its training on carbon-right-linked derivatives and its experience in hedging services by leveraging the risk management capabilities of financial de"&amp;"rivatives to address climate change and energy conservation and emission reduction.")</f>
        <v>As a subsidiary of Essence Securities, SDIC Essence Futures, an asset management subsidiary, is deepening its training on carbon-right-linked derivatives and its experience in hedging services by leveraging the risk management capabilities of financial derivatives to address climate change and energy conservation and emission reduction.</v>
      </c>
      <c r="B3522" s="1" t="str">
        <f ca="1">IFERROR(__xludf.DUMMYFUNCTION("GOOGLETRANSLATE(A3522, ""zh"", ""en"")"),"Addressing climate change")</f>
        <v>Addressing climate change</v>
      </c>
      <c r="C3522" s="1" t="str">
        <f ca="1">IFERROR(__xludf.DUMMYFUNCTION("GOOGLETRANSLATE(E3522, ""zh"", ""en"")"),"Qualitative text")</f>
        <v>Qualitative text</v>
      </c>
    </row>
    <row r="3523" spans="1:3" ht="13" x14ac:dyDescent="0.15">
      <c r="A3523" s="1" t="str">
        <f ca="1">IFERROR(__xludf.DUMMYFUNCTION("GOOGLETRANSLATE(A3523, ""zh"", ""en"")"),"We waive all registration and certification fees for COVID-19 antigen test kits for customers in the Asia-Pacific region. We actively inquire with multiple transportation companies for the best quotes and provide customers with low-cost and cost-effective"&amp;" transportation services.")</f>
        <v>We waive all registration and certification fees for COVID-19 antigen test kits for customers in the Asia-Pacific region. We actively inquire with multiple transportation companies for the best quotes and provide customers with low-cost and cost-effective transportation services.</v>
      </c>
      <c r="B3523" s="1" t="str">
        <f ca="1">IFERROR(__xludf.DUMMYFUNCTION("GOOGLETRANSLATE(A3523, ""zh"", ""en"")"),"Fighting the epidemic")</f>
        <v>Fighting the epidemic</v>
      </c>
      <c r="C3523" s="1" t="str">
        <f ca="1">IFERROR(__xludf.DUMMYFUNCTION("GOOGLETRANSLATE(E3523, ""zh"", ""en"")"),"Qualitative text")</f>
        <v>Qualitative text</v>
      </c>
    </row>
    <row r="3524" spans="1:3" ht="13" x14ac:dyDescent="0.15">
      <c r="A3524" s="1" t="str">
        <f ca="1">IFERROR(__xludf.DUMMYFUNCTION("GOOGLETRANSLATE(A3524, ""zh"", ""en"")"),"To cultivate a team of management talents capable of leading the industry and winning battles, Shanghai Electric focused on the seven key business areas of the management improvement year and launched a training program for young and middle-aged managemen"&amp;"t personnel.")</f>
        <v>To cultivate a team of management talents capable of leading the industry and winning battles, Shanghai Electric focused on the seven key business areas of the management improvement year and launched a training program for young and middle-aged management personnel.</v>
      </c>
      <c r="B3524" s="1" t="str">
        <f ca="1">IFERROR(__xludf.DUMMYFUNCTION("GOOGLETRANSLATE(A3524, ""zh"", ""en"")"),"staff")</f>
        <v>staff</v>
      </c>
      <c r="C3524" s="1" t="str">
        <f ca="1">IFERROR(__xludf.DUMMYFUNCTION("GOOGLETRANSLATE(E3524, ""zh"", ""en"")"),"Qualitative text")</f>
        <v>Qualitative text</v>
      </c>
    </row>
    <row r="3525" spans="1:3" ht="13" x14ac:dyDescent="0.15">
      <c r="A3525" s="1" t="str">
        <f ca="1">IFERROR(__xludf.DUMMYFUNCTION("GOOGLETRANSLATE(A3525, ""zh"", ""en"")"),"To cope with sudden disasters, the Group has developed a network server system emergency plan and an information system disaster recovery plan to clarify the response mechanism, processing procedures and measures in the event of an emergency, further ensu"&amp;"ring information security.")</f>
        <v>To cope with sudden disasters, the Group has developed a network server system emergency plan and an information system disaster recovery plan to clarify the response mechanism, processing procedures and measures in the event of an emergency, further ensuring information security.</v>
      </c>
      <c r="B3525" s="1" t="str">
        <f ca="1">IFERROR(__xludf.DUMMYFUNCTION("GOOGLETRANSLATE(A3525, ""zh"", ""en"")"),"Data security")</f>
        <v>Data security</v>
      </c>
      <c r="C3525" s="1" t="str">
        <f ca="1">IFERROR(__xludf.DUMMYFUNCTION("GOOGLETRANSLATE(E3525, ""zh"", ""en"")"),"Qualitative text")</f>
        <v>Qualitative text</v>
      </c>
    </row>
    <row r="3526" spans="1:3" ht="13" x14ac:dyDescent="0.15">
      <c r="A3526" s="1" t="str">
        <f ca="1">IFERROR(__xludf.DUMMYFUNCTION("GOOGLETRANSLATE(A3526, ""zh"", ""en"")"),"Shanghai Electric's SRM platform includes a supplier lifecycle module, a bidding and sourcing module, an order coordination module, and an e-commerce module. It connects the upstream and downstream of the supply chain, enabling each department to manage t"&amp;"he supply chain in real time and dynamically, improving management efficiency.")</f>
        <v>Shanghai Electric's SRM platform includes a supplier lifecycle module, a bidding and sourcing module, an order coordination module, and an e-commerce module. It connects the upstream and downstream of the supply chain, enabling each department to manage the supply chain in real time and dynamically, improving management efficiency.</v>
      </c>
      <c r="B3526" s="1" t="str">
        <f ca="1">IFERROR(__xludf.DUMMYFUNCTION("GOOGLETRANSLATE(A3526, ""zh"", ""en"")"),"supply chain management")</f>
        <v>supply chain management</v>
      </c>
      <c r="C3526" s="1" t="str">
        <f ca="1">IFERROR(__xludf.DUMMYFUNCTION("GOOGLETRANSLATE(E3526, ""zh"", ""en"")"),"Qualitative text")</f>
        <v>Qualitative text</v>
      </c>
    </row>
    <row r="3527" spans="1:3" ht="13" x14ac:dyDescent="0.15">
      <c r="A3527" s="1" t="str">
        <f ca="1">IFERROR(__xludf.DUMMYFUNCTION("GOOGLETRANSLATE(A3527, ""zh"", ""en"")"),"In 2022, Shenzhen office buildings actively took a number of measures to timely identify and analyze office building energy consumption data and propose improvement plans through energy consumption big data comparison, time-based energy consumption manage"&amp;"ment, and personnel and zone inspections.")</f>
        <v>In 2022, Shenzhen office buildings actively took a number of measures to timely identify and analyze office building energy consumption data and propose improvement plans through energy consumption big data comparison, time-based energy consumption management, and personnel and zone inspections.</v>
      </c>
      <c r="B3527" s="1" t="str">
        <f ca="1">IFERROR(__xludf.DUMMYFUNCTION("GOOGLETRANSLATE(A3527, ""zh"", ""en"")"),"Energy and resource consumption")</f>
        <v>Energy and resource consumption</v>
      </c>
      <c r="C3527" s="1" t="str">
        <f ca="1">IFERROR(__xludf.DUMMYFUNCTION("GOOGLETRANSLATE(E3527, ""zh"", ""en"")"),"Qualitative text")</f>
        <v>Qualitative text</v>
      </c>
    </row>
    <row r="3528" spans="1:3" ht="13" x14ac:dyDescent="0.15">
      <c r="A3528" s="1" t="str">
        <f ca="1">IFERROR(__xludf.DUMMYFUNCTION("GOOGLETRANSLATE(A3528, ""zh"", ""en"")"),"The company has made the CITIC Securities Co., Ltd. Supplier Code of Conduct a permanent item on the supplier portal website and has added an automatic pop-up window setting on the supplier login page to require all suppliers to learn the code.")</f>
        <v>The company has made the CITIC Securities Co., Ltd. Supplier Code of Conduct a permanent item on the supplier portal website and has added an automatic pop-up window setting on the supplier login page to require all suppliers to learn the code.</v>
      </c>
      <c r="B3528" s="1" t="str">
        <f ca="1">IFERROR(__xludf.DUMMYFUNCTION("GOOGLETRANSLATE(A3528, ""zh"", ""en"")"),"supply chain management")</f>
        <v>supply chain management</v>
      </c>
      <c r="C3528" s="1" t="str">
        <f ca="1">IFERROR(__xludf.DUMMYFUNCTION("GOOGLETRANSLATE(E3528, ""zh"", ""en"")"),"Qualitative text")</f>
        <v>Qualitative text</v>
      </c>
    </row>
    <row r="3529" spans="1:3" ht="13" x14ac:dyDescent="0.15">
      <c r="A3529" s="1" t="str">
        <f ca="1">IFERROR(__xludf.DUMMYFUNCTION("GOOGLETRANSLATE(A3529, ""zh"", ""en"")"),"Each thermal power and sewage treatment enterprise carried out energy conservation publicity by posting promotional posters, hanging banners, playing energy conservation publicity videos in WeChat groups, etc. Wuchan Zhongda Environmental Energy and Wucha"&amp;"n Zhongda Environment carried out energy conservation and emission reduction publicity on their company public accounts.")</f>
        <v>Each thermal power and sewage treatment enterprise carried out energy conservation publicity by posting promotional posters, hanging banners, playing energy conservation publicity videos in WeChat groups, etc. Wuchan Zhongda Environmental Energy and Wuchan Zhongda Environment carried out energy conservation and emission reduction publicity on their company public accounts.</v>
      </c>
      <c r="B3529" s="1" t="str">
        <f ca="1">IFERROR(__xludf.DUMMYFUNCTION("GOOGLETRANSLATE(A3529, ""zh"", ""en"")"),"Energy and resource consumption")</f>
        <v>Energy and resource consumption</v>
      </c>
      <c r="C3529" s="1" t="str">
        <f ca="1">IFERROR(__xludf.DUMMYFUNCTION("GOOGLETRANSLATE(E3529, ""zh"", ""en"")"),"Qualitative text")</f>
        <v>Qualitative text</v>
      </c>
    </row>
    <row r="3530" spans="1:3" ht="13" x14ac:dyDescent="0.15">
      <c r="A3530" s="1" t="str">
        <f ca="1">IFERROR(__xludf.DUMMYFUNCTION("GOOGLETRANSLATE(A3530, ""zh"", ""en"")"),"02 System Solutions for Two Application Scenarios 1234 Ten Action Systems Shanghai Electric will aim to achieve carbon peak before 2030 and build four platforms along three paths for solutions for two scenarios.")</f>
        <v>02 System Solutions for Two Application Scenarios 1234 Ten Action Systems Shanghai Electric will aim to achieve carbon peak before 2030 and build four platforms along three paths for solutions for two scenarios.</v>
      </c>
      <c r="B3530" s="1" t="str">
        <f ca="1">IFERROR(__xludf.DUMMYFUNCTION("GOOGLETRANSLATE(A3530, ""zh"", ""en"")"),"carbon emissions")</f>
        <v>carbon emissions</v>
      </c>
      <c r="C3530" s="1" t="str">
        <f ca="1">IFERROR(__xludf.DUMMYFUNCTION("GOOGLETRANSLATE(E3530, ""zh"", ""en"")"),"Qualitative text")</f>
        <v>Qualitative text</v>
      </c>
    </row>
    <row r="3531" spans="1:3" ht="13" x14ac:dyDescent="0.15">
      <c r="A3531" s="1" t="str">
        <f ca="1">IFERROR(__xludf.DUMMYFUNCTION("GOOGLETRANSLATE(A3531, ""zh"", ""en"")"),"A targeted class for the Oil Seedling Program has been established, with a focus on petroleum engineering. Six counties in Xinjiang have been designated for targeted assistance, recruiting 100 high school graduates. The program will combine academic and v"&amp;"ocational education, prioritizing their future employment in the petroleum industry.")</f>
        <v>A targeted class for the Oil Seedling Program has been established, with a focus on petroleum engineering. Six counties in Xinjiang have been designated for targeted assistance, recruiting 100 high school graduates. The program will combine academic and vocational education, prioritizing their future employment in the petroleum industry.</v>
      </c>
      <c r="B3531" s="1" t="str">
        <f ca="1">IFERROR(__xludf.DUMMYFUNCTION("GOOGLETRANSLATE(A3531, ""zh"", ""en"")"),"Promoting employment")</f>
        <v>Promoting employment</v>
      </c>
      <c r="C3531" s="1" t="str">
        <f ca="1">IFERROR(__xludf.DUMMYFUNCTION("GOOGLETRANSLATE(E3531, ""zh"", ""en"")"),"Quantitative Text")</f>
        <v>Quantitative Text</v>
      </c>
    </row>
    <row r="3532" spans="1:3" ht="13" x14ac:dyDescent="0.15">
      <c r="A3532" s="1" t="str">
        <f ca="1">IFERROR(__xludf.DUMMYFUNCTION("GOOGLETRANSLATE(A3532, ""zh"", ""en"")"),"Organize overseas employees to sign a letter of commitment to abide by ethical norms and codes of conduct to strengthen their awareness of ethical compliance. Currently, all directly managed overseas institutions have established ethical compliance report"&amp;"ing email addresses and telephone numbers to facilitate reporting of ethical compliance issues.")</f>
        <v>Organize overseas employees to sign a letter of commitment to abide by ethical norms and codes of conduct to strengthen their awareness of ethical compliance. Currently, all directly managed overseas institutions have established ethical compliance reporting email addresses and telephone numbers to facilitate reporting of ethical compliance issues.</v>
      </c>
      <c r="B3532" s="1" t="str">
        <f ca="1">IFERROR(__xludf.DUMMYFUNCTION("GOOGLETRANSLATE(A3532, ""zh"", ""en"")"),"Reporting System")</f>
        <v>Reporting System</v>
      </c>
      <c r="C3532" s="1" t="str">
        <f ca="1">IFERROR(__xludf.DUMMYFUNCTION("GOOGLETRANSLATE(E3532, ""zh"", ""en"")"),"Qualitative text")</f>
        <v>Qualitative text</v>
      </c>
    </row>
    <row r="3533" spans="1:3" ht="13" x14ac:dyDescent="0.15">
      <c r="A3533" s="1" t="str">
        <f ca="1">IFERROR(__xludf.DUMMYFUNCTION("GOOGLETRANSLATE(A3533, ""zh"", ""en"")"),"Leveraging channel advantages to build an industrial consumption support model. The company continues to leverage its own advantages and utilizes 28,000 EasyGo convenience stores, the Petrochemical Employee Group Buying Network, and other online and offli"&amp;"ne platforms to create an industrial consumption support model with petrochemical characteristics.")</f>
        <v>Leveraging channel advantages to build an industrial consumption support model. The company continues to leverage its own advantages and utilizes 28,000 EasyGo convenience stores, the Petrochemical Employee Group Buying Network, and other online and offline platforms to create an industrial consumption support model with petrochemical characteristics.</v>
      </c>
      <c r="B3533" s="1" t="str">
        <f ca="1">IFERROR(__xludf.DUMMYFUNCTION("GOOGLETRANSLATE(A3533, ""zh"", ""en"")"),"Rural assistance")</f>
        <v>Rural assistance</v>
      </c>
      <c r="C3533" s="1" t="str">
        <f ca="1">IFERROR(__xludf.DUMMYFUNCTION("GOOGLETRANSLATE(E3533, ""zh"", ""en"")"),"Qualitative text")</f>
        <v>Qualitative text</v>
      </c>
    </row>
    <row r="3534" spans="1:3" ht="13" x14ac:dyDescent="0.15">
      <c r="A3534" s="1" t="str">
        <f ca="1">IFERROR(__xludf.DUMMYFUNCTION("GOOGLETRANSLATE(A3534, ""zh"", ""en"")"),"Application of elevator energy-saving feedback device. In 2022, Dongyuan Renzhi Group's West China Guantianxia project construction rainwater recycling device fully utilizes the device to recycle rainwater and reuse it to achieve environmental water trans"&amp;"formation of Guantianxia project.")</f>
        <v>Application of elevator energy-saving feedback device. In 2022, Dongyuan Renzhi Group's West China Guantianxia project construction rainwater recycling device fully utilizes the device to recycle rainwater and reuse it to achieve environmental water transformation of Guantianxia project.</v>
      </c>
      <c r="B3534" s="1" t="str">
        <f ca="1">IFERROR(__xludf.DUMMYFUNCTION("GOOGLETRANSLATE(A3534, ""zh"", ""en"")"),"Water resources")</f>
        <v>Water resources</v>
      </c>
      <c r="C3534" s="1" t="str">
        <f ca="1">IFERROR(__xludf.DUMMYFUNCTION("GOOGLETRANSLATE(E3534, ""zh"", ""en"")"),"Qualitative text")</f>
        <v>Qualitative text</v>
      </c>
    </row>
    <row r="3535" spans="1:3" ht="13" x14ac:dyDescent="0.15">
      <c r="A3535" s="1" t="str">
        <f ca="1">IFERROR(__xludf.DUMMYFUNCTION("GOOGLETRANSLATE(A3535, ""zh"", ""en"")"),"Incorporate ethical standards, behavioral expectations, international codes of conduct, and guidelines on the use of force into the core training curriculum for security personnel and conduct daily performance inspections of security contractors, covering"&amp;" the aforementioned training content and social impact.")</f>
        <v>Incorporate ethical standards, behavioral expectations, international codes of conduct, and guidelines on the use of force into the core training curriculum for security personnel and conduct daily performance inspections of security contractors, covering the aforementioned training content and social impact.</v>
      </c>
      <c r="B3535" s="1" t="str">
        <f ca="1">IFERROR(__xludf.DUMMYFUNCTION("GOOGLETRANSLATE(A3535, ""zh"", ""en"")"),"staff")</f>
        <v>staff</v>
      </c>
      <c r="C3535" s="1" t="str">
        <f ca="1">IFERROR(__xludf.DUMMYFUNCTION("GOOGLETRANSLATE(E3535, ""zh"", ""en"")"),"Qualitative text")</f>
        <v>Qualitative text</v>
      </c>
    </row>
    <row r="3536" spans="1:3" ht="13" x14ac:dyDescent="0.15">
      <c r="A3536" s="1" t="str">
        <f ca="1">IFERROR(__xludf.DUMMYFUNCTION("GOOGLETRANSLATE(A3536, ""zh"", ""en"")"),"In order to ensure the smooth operation of the command vehicle and prevent the support personnel from being unable to arrive due to the epidemic, after-sales engineer Lei Shicheng arrived in Beijing 10 days in advance as a support personnel for quarantine"&amp;" and debugged the vehicle immediately after it was delivered.")</f>
        <v>In order to ensure the smooth operation of the command vehicle and prevent the support personnel from being unable to arrive due to the epidemic, after-sales engineer Lei Shicheng arrived in Beijing 10 days in advance as a support personnel for quarantine and debugged the vehicle immediately after it was delivered.</v>
      </c>
      <c r="B3536" s="1" t="str">
        <f ca="1">IFERROR(__xludf.DUMMYFUNCTION("GOOGLETRANSLATE(A3536, ""zh"", ""en"")"),"Fighting the epidemic")</f>
        <v>Fighting the epidemic</v>
      </c>
      <c r="C3536" s="1" t="str">
        <f ca="1">IFERROR(__xludf.DUMMYFUNCTION("GOOGLETRANSLATE(E3536, ""zh"", ""en"")"),"Qualitative text")</f>
        <v>Qualitative text</v>
      </c>
    </row>
    <row r="3537" spans="1:3" ht="13" x14ac:dyDescent="0.15">
      <c r="A3537" s="1" t="str">
        <f ca="1">IFERROR(__xludf.DUMMYFUNCTION("GOOGLETRANSLATE(A3537, ""zh"", ""en"")"),"With its excellent product strength and meticulous service guarantee, Dima Industry has successfully completed one commission after another, whether it is domestic or international, whether it is basic work or major events, and has vividly fulfilled its c"&amp;"orporate responsibilities and obligations.")</f>
        <v>With its excellent product strength and meticulous service guarantee, Dima Industry has successfully completed one commission after another, whether it is domestic or international, whether it is basic work or major events, and has vividly fulfilled its corporate responsibilities and obligations.</v>
      </c>
      <c r="B3537" s="1" t="str">
        <f ca="1">IFERROR(__xludf.DUMMYFUNCTION("GOOGLETRANSLATE(A3537, ""zh"", ""en"")"),"Product quality")</f>
        <v>Product quality</v>
      </c>
      <c r="C3537" s="1" t="str">
        <f ca="1">IFERROR(__xludf.DUMMYFUNCTION("GOOGLETRANSLATE(E3537, ""zh"", ""en"")"),"Qualitative text")</f>
        <v>Qualitative text</v>
      </c>
    </row>
    <row r="3538" spans="1:3" ht="13" x14ac:dyDescent="0.15">
      <c r="A3538" s="1" t="str">
        <f ca="1">IFERROR(__xludf.DUMMYFUNCTION("GOOGLETRANSLATE(A3538, ""zh"", ""en"")"),"When the street was opened, leaders at the municipal and district levels visited the project and gave positive comments. Relevant leaders from mainstream commercial centers such as Raffles City, Longfor Commercial, Hong Kong Land, China Merchants Shekou a"&amp;"nd others visited the project and proposed cooperation.")</f>
        <v>When the street was opened, leaders at the municipal and district levels visited the project and gave positive comments. Relevant leaders from mainstream commercial centers such as Raffles City, Longfor Commercial, Hong Kong Land, China Merchants Shekou and others visited the project and proposed cooperation.</v>
      </c>
      <c r="B3538" s="1" t="str">
        <f ca="1">IFERROR(__xludf.DUMMYFUNCTION("GOOGLETRANSLATE(A3538, ""zh"", ""en"")"),"Promoting employment")</f>
        <v>Promoting employment</v>
      </c>
      <c r="C3538" s="1" t="str">
        <f ca="1">IFERROR(__xludf.DUMMYFUNCTION("GOOGLETRANSLATE(E3538, ""zh"", ""en"")"),"Qualitative text")</f>
        <v>Qualitative text</v>
      </c>
    </row>
    <row r="3539" spans="1:3" ht="13" x14ac:dyDescent="0.15">
      <c r="A3539" s="1" t="str">
        <f ca="1">IFERROR(__xludf.DUMMYFUNCTION("GOOGLETRANSLATE(A3539, ""zh"", ""en"")"),"Biodiversity Conservation Shanghai Electric Group Co., Ltd. 782022 Social Responsibility Report Addressing both the symptoms and root causes of pollution: Regulating pollution discharge, focusing on key governance tasks, fulfilling regulatory responsibili"&amp;"ties, and effectively improving pollution control efforts.")</f>
        <v>Biodiversity Conservation Shanghai Electric Group Co., Ltd. 782022 Social Responsibility Report Addressing both the symptoms and root causes of pollution: Regulating pollution discharge, focusing on key governance tasks, fulfilling regulatory responsibilities, and effectively improving pollution control efforts.</v>
      </c>
      <c r="B3539" s="1" t="str">
        <f ca="1">IFERROR(__xludf.DUMMYFUNCTION("GOOGLETRANSLATE(A3539, ""zh"", ""en"")"),"biodiversity")</f>
        <v>biodiversity</v>
      </c>
      <c r="C3539" s="1" t="str">
        <f ca="1">IFERROR(__xludf.DUMMYFUNCTION("GOOGLETRANSLATE(E3539, ""zh"", ""en"")"),"Qualitative text")</f>
        <v>Qualitative text</v>
      </c>
    </row>
    <row r="3540" spans="1:3" ht="13" x14ac:dyDescent="0.15">
      <c r="A3540" s="1" t="str">
        <f ca="1">IFERROR(__xludf.DUMMYFUNCTION("GOOGLETRANSLATE(A3540, ""zh"", ""en"")"),"In May 2022, Wuhan Renfu participated in the World Pulmonary Hypertension Day National Doctor-Patient Exchange Conference and the launch conference of the Respiratory Rare Disease Patient Support Center as a public welfare supporter to spread knowledge ab"&amp;"out pulmonary arterial hypertension and build a doctor-patient exchange platform.")</f>
        <v>In May 2022, Wuhan Renfu participated in the World Pulmonary Hypertension Day National Doctor-Patient Exchange Conference and the launch conference of the Respiratory Rare Disease Patient Support Center as a public welfare supporter to spread knowledge about pulmonary arterial hypertension and build a doctor-patient exchange platform.</v>
      </c>
      <c r="B3540" s="1" t="str">
        <f ca="1">IFERROR(__xludf.DUMMYFUNCTION("GOOGLETRANSLATE(A3540, ""zh"", ""en"")"),"Public welfare and volunteer service")</f>
        <v>Public welfare and volunteer service</v>
      </c>
      <c r="C3540" s="1" t="str">
        <f ca="1">IFERROR(__xludf.DUMMYFUNCTION("GOOGLETRANSLATE(E3540, ""zh"", ""en"")"),"Qualitative text")</f>
        <v>Qualitative text</v>
      </c>
    </row>
    <row r="3541" spans="1:3" ht="13" x14ac:dyDescent="0.15">
      <c r="A3541" s="1" t="str">
        <f ca="1">IFERROR(__xludf.DUMMYFUNCTION("GOOGLETRANSLATE(A3541, ""zh"", ""en"")"),"As a leading enterprise in the industry, Shanghai Electric seizes the opportunities of industry development and continuously enhances exchanges and cooperation with industry partners. It seeks win-win results in cooperation and competition and embraces th"&amp;"e prosperity of the industry with an inclusive attitude and a broad strategic vision.")</f>
        <v>As a leading enterprise in the industry, Shanghai Electric seizes the opportunities of industry development and continuously enhances exchanges and cooperation with industry partners. It seeks win-win results in cooperation and competition and embraces the prosperity of the industry with an inclusive attitude and a broad strategic vision.</v>
      </c>
      <c r="B3541" s="1" t="str">
        <f ca="1">IFERROR(__xludf.DUMMYFUNCTION("GOOGLETRANSLATE(A3541, ""zh"", ""en"")"),"Technological innovation")</f>
        <v>Technological innovation</v>
      </c>
      <c r="C3541" s="1" t="str">
        <f ca="1">IFERROR(__xludf.DUMMYFUNCTION("GOOGLETRANSLATE(E3541, ""zh"", ""en"")"),"Qualitative text")</f>
        <v>Qualitative text</v>
      </c>
    </row>
    <row r="3542" spans="1:3" ht="13" x14ac:dyDescent="0.15">
      <c r="A3542" s="1" t="str">
        <f ca="1">IFERROR(__xludf.DUMMYFUNCTION("GOOGLETRANSLATE(A3542, ""zh"", ""en"")"),"During the reporting period, the company carried out 17 industry-university-research cooperation projects with 11 universities and research institutes including Tsinghua University and Shandong University in the fields of 3D reconstruction artificial inte"&amp;"lligence and audio and video coding, which enhanced its R&amp;D capabilities and product technology level.")</f>
        <v>During the reporting period, the company carried out 17 industry-university-research cooperation projects with 11 universities and research institutes including Tsinghua University and Shandong University in the fields of 3D reconstruction artificial intelligence and audio and video coding, which enhanced its R&amp;D capabilities and product technology level.</v>
      </c>
      <c r="B3542" s="1" t="str">
        <f ca="1">IFERROR(__xludf.DUMMYFUNCTION("GOOGLETRANSLATE(A3542, ""zh"", ""en"")"),"Technological innovation")</f>
        <v>Technological innovation</v>
      </c>
      <c r="C3542" s="1" t="str">
        <f ca="1">IFERROR(__xludf.DUMMYFUNCTION("GOOGLETRANSLATE(E3542, ""zh"", ""en"")"),"Quantitative Text")</f>
        <v>Quantitative Text</v>
      </c>
    </row>
    <row r="3543" spans="1:3" ht="13" x14ac:dyDescent="0.15">
      <c r="A3543" s="1" t="str">
        <f ca="1">IFERROR(__xludf.DUMMYFUNCTION("GOOGLETRANSLATE(A3543, ""zh"", ""en"")"),"We proactively leverage technology to empower government services, signing agreements with 29 provincial governments to build a smart government service platform. We have processed 4 billion government transactions and are openly sharing our experience ac"&amp;"ross 14,000 branches, creating a government service center close to the people.")</f>
        <v>We proactively leverage technology to empower government services, signing agreements with 29 provincial governments to build a smart government service platform. We have processed 4 billion government transactions and are openly sharing our experience across 14,000 branches, creating a government service center close to the people.</v>
      </c>
      <c r="B3543" s="1" t="str">
        <f ca="1">IFERROR(__xludf.DUMMYFUNCTION("GOOGLETRANSLATE(A3543, ""zh"", ""en"")"),"Technological innovation")</f>
        <v>Technological innovation</v>
      </c>
      <c r="C3543" s="1" t="str">
        <f ca="1">IFERROR(__xludf.DUMMYFUNCTION("GOOGLETRANSLATE(E3543, ""zh"", ""en"")"),"Quantitative Text")</f>
        <v>Quantitative Text</v>
      </c>
    </row>
    <row r="3544" spans="1:3" ht="13" x14ac:dyDescent="0.15">
      <c r="A3544" s="1" t="str">
        <f ca="1">IFERROR(__xludf.DUMMYFUNCTION("GOOGLETRANSLATE(A3544, ""zh"", ""en"")"),"We continue to carry out education and training on integrity through case-based reforms. During the reporting period, we organized three special training sessions for our company's cadres and workers in key areas, including the procurement department, new"&amp;" employees, and base factories.")</f>
        <v>We continue to carry out education and training on integrity through case-based reforms. During the reporting period, we organized three special training sessions for our company's cadres and workers in key areas, including the procurement department, new employees, and base factories.</v>
      </c>
      <c r="B3544" s="1" t="str">
        <f ca="1">IFERROR(__xludf.DUMMYFUNCTION("GOOGLETRANSLATE(A3544, ""zh"", ""en"")"),"Anti-corruption and anti-money laundering")</f>
        <v>Anti-corruption and anti-money laundering</v>
      </c>
      <c r="C3544" s="1" t="str">
        <f ca="1">IFERROR(__xludf.DUMMYFUNCTION("GOOGLETRANSLATE(E3544, ""zh"", ""en"")"),"Quantitative Text")</f>
        <v>Quantitative Text</v>
      </c>
    </row>
    <row r="3545" spans="1:3" ht="13" x14ac:dyDescent="0.15">
      <c r="A3545" s="1" t="str">
        <f ca="1">IFERROR(__xludf.DUMMYFUNCTION("GOOGLETRANSLATE(A3545, ""zh"", ""en"")"),"The company actively responds to the national low-carbon environmental protection policy, strictly abides by national environmental protection laws and regulations, establishes a complete set of environmental protection management systems, and proactively"&amp;" conducts clean production audits to reduce the impact of the company's production and operation activities on the environment.")</f>
        <v>The company actively responds to the national low-carbon environmental protection policy, strictly abides by national environmental protection laws and regulations, establishes a complete set of environmental protection management systems, and proactively conducts clean production audits to reduce the impact of the company's production and operation activities on the environment.</v>
      </c>
      <c r="B3545" s="1" t="str">
        <f ca="1">IFERROR(__xludf.DUMMYFUNCTION("GOOGLETRANSLATE(A3545, ""zh"", ""en"")"),"Environmental Policy")</f>
        <v>Environmental Policy</v>
      </c>
      <c r="C3545" s="1" t="str">
        <f ca="1">IFERROR(__xludf.DUMMYFUNCTION("GOOGLETRANSLATE(E3545, ""zh"", ""en"")"),"Qualitative text")</f>
        <v>Qualitative text</v>
      </c>
    </row>
    <row r="3546" spans="1:3" ht="13" x14ac:dyDescent="0.15">
      <c r="A3546" s="1" t="str">
        <f ca="1">IFERROR(__xludf.DUMMYFUNCTION("GOOGLETRANSLATE(A3546, ""zh"", ""en"")"),"By introducing big data and artificial intelligence technologies, we led the development of a bank-wide consumer protection management system from an enterprise-level perspective, continuously optimized the functions of the complaint system, and innovativ"&amp;"ely created a large complaint screen and consumer protection dashboard, effectively promoting the development of consumer protection empowerment business.")</f>
        <v>By introducing big data and artificial intelligence technologies, we led the development of a bank-wide consumer protection management system from an enterprise-level perspective, continuously optimized the functions of the complaint system, and innovatively created a large complaint screen and consumer protection dashboard, effectively promoting the development of consumer protection empowerment business.</v>
      </c>
      <c r="B3546" s="1" t="str">
        <f ca="1">IFERROR(__xludf.DUMMYFUNCTION("GOOGLETRANSLATE(A3546, ""zh"", ""en"")"),"Customers and Consumers")</f>
        <v>Customers and Consumers</v>
      </c>
      <c r="C3546" s="1" t="str">
        <f ca="1">IFERROR(__xludf.DUMMYFUNCTION("GOOGLETRANSLATE(E3546, ""zh"", ""en"")"),"Qualitative text")</f>
        <v>Qualitative text</v>
      </c>
    </row>
    <row r="3547" spans="1:3" ht="13" x14ac:dyDescent="0.15">
      <c r="A3547" s="1" t="str">
        <f ca="1">IFERROR(__xludf.DUMMYFUNCTION("GOOGLETRANSLATE(A3547, ""zh"", ""en"")"),"Caring for Autistic Children Blue Ribbon Charity Event Shanghai Electric gives back to society through corporate responsibility, provides volunteer services to the community, and uses technological strength to improve transportation and housing infrastruc"&amp;"ture, providing residents with smarter and safer travel options.")</f>
        <v>Caring for Autistic Children Blue Ribbon Charity Event Shanghai Electric gives back to society through corporate responsibility, provides volunteer services to the community, and uses technological strength to improve transportation and housing infrastructure, providing residents with smarter and safer travel options.</v>
      </c>
      <c r="B3547" s="1" t="str">
        <f ca="1">IFERROR(__xludf.DUMMYFUNCTION("GOOGLETRANSLATE(A3547, ""zh"", ""en"")"),"Public welfare and volunteer service")</f>
        <v>Public welfare and volunteer service</v>
      </c>
      <c r="C3547" s="1" t="str">
        <f ca="1">IFERROR(__xludf.DUMMYFUNCTION("GOOGLETRANSLATE(E3547, ""zh"", ""en"")"),"Qualitative text")</f>
        <v>Qualitative text</v>
      </c>
    </row>
    <row r="3548" spans="1:3" ht="13" x14ac:dyDescent="0.15">
      <c r="A3548" s="1" t="str">
        <f ca="1">IFERROR(__xludf.DUMMYFUNCTION("GOOGLETRANSLATE(A3548, ""zh"", ""en"")"),"At the same time, the Group implemented special assessments and evaluations involving 158 enterprises in seven key areas and key units, including safety production standardization, occupational health and environmental protection, hazardous chemicals, haz"&amp;"ardous waste, and firefighting capabilities.")</f>
        <v>At the same time, the Group implemented special assessments and evaluations involving 158 enterprises in seven key areas and key units, including safety production standardization, occupational health and environmental protection, hazardous chemicals, hazardous waste, and firefighting capabilities.</v>
      </c>
      <c r="B3548" s="1" t="str">
        <f ca="1">IFERROR(__xludf.DUMMYFUNCTION("GOOGLETRANSLATE(A3548, ""zh"", ""en"")"),"Waste Management")</f>
        <v>Waste Management</v>
      </c>
      <c r="C3548" s="1" t="str">
        <f ca="1">IFERROR(__xludf.DUMMYFUNCTION("GOOGLETRANSLATE(E3548, ""zh"", ""en"")"),"Quantitative Text")</f>
        <v>Quantitative Text</v>
      </c>
    </row>
    <row r="3549" spans="1:3" ht="13" x14ac:dyDescent="0.15">
      <c r="A3549" s="1" t="str">
        <f ca="1">IFERROR(__xludf.DUMMYFUNCTION("GOOGLETRANSLATE(A3549, ""zh"", ""en"")"),"Shanghai Electric has continuously improved its safety and environmental management efficiency. On the basis of continuously promoting the new era SECLOVE safety and environmental management model, it has formulated and issued the 2022 work plan for the S"&amp;"hanghai Electric Three-Year Action Plan for Special Rectification of Work Safety.")</f>
        <v>Shanghai Electric has continuously improved its safety and environmental management efficiency. On the basis of continuously promoting the new era SECLOVE safety and environmental management model, it has formulated and issued the 2022 work plan for the Shanghai Electric Three-Year Action Plan for Special Rectification of Work Safety.</v>
      </c>
      <c r="B3549" s="1" t="str">
        <f ca="1">IFERROR(__xludf.DUMMYFUNCTION("GOOGLETRANSLATE(A3549, ""zh"", ""en"")"),"staff")</f>
        <v>staff</v>
      </c>
      <c r="C3549" s="1" t="str">
        <f ca="1">IFERROR(__xludf.DUMMYFUNCTION("GOOGLETRANSLATE(E3549, ""zh"", ""en"")"),"Qualitative text")</f>
        <v>Qualitative text</v>
      </c>
    </row>
    <row r="3550" spans="1:3" ht="13" x14ac:dyDescent="0.15">
      <c r="A3550" s="1" t="str">
        <f ca="1">IFERROR(__xludf.DUMMYFUNCTION("GOOGLETRANSLATE(A3550, ""zh"", ""en"")"),"SDIC Taikang Trust provides fund trusts, real estate trusts, securities trusts and other trust businesses to individual high-net-worth clients, institutional clients, etc., which constitute the four major business areas of wealth management, asset managem"&amp;"ent, industrial investment banking and service trust.")</f>
        <v>SDIC Taikang Trust provides fund trusts, real estate trusts, securities trusts and other trust businesses to individual high-net-worth clients, institutional clients, etc., which constitute the four major business areas of wealth management, asset management, industrial investment banking and service trust.</v>
      </c>
      <c r="B3550" s="1" t="str">
        <f ca="1">IFERROR(__xludf.DUMMYFUNCTION("GOOGLETRANSLATE(A3550, ""zh"", ""en"")"),"Customers and Consumers")</f>
        <v>Customers and Consumers</v>
      </c>
      <c r="C3550" s="1" t="str">
        <f ca="1">IFERROR(__xludf.DUMMYFUNCTION("GOOGLETRANSLATE(E3550, ""zh"", ""en"")"),"Qualitative text")</f>
        <v>Qualitative text</v>
      </c>
    </row>
    <row r="3551" spans="1:3" ht="13" x14ac:dyDescent="0.15">
      <c r="A3551" s="1" t="str">
        <f ca="1">IFERROR(__xludf.DUMMYFUNCTION("GOOGLETRANSLATE(A3551, ""zh"", ""en"")"),"In the specific aspects of supplier management, the Group optimized and updated the centralized procurement management system during the reporting period based on supply chain planning and actual business development, providing institutional basis and bus"&amp;"iness guidance for the promotion of centralized procurement.")</f>
        <v>In the specific aspects of supplier management, the Group optimized and updated the centralized procurement management system during the reporting period based on supply chain planning and actual business development, providing institutional basis and business guidance for the promotion of centralized procurement.</v>
      </c>
      <c r="B3551" s="1" t="str">
        <f ca="1">IFERROR(__xludf.DUMMYFUNCTION("GOOGLETRANSLATE(A3551, ""zh"", ""en"")"),"supply chain management")</f>
        <v>supply chain management</v>
      </c>
      <c r="C3551" s="1" t="str">
        <f ca="1">IFERROR(__xludf.DUMMYFUNCTION("GOOGLETRANSLATE(E3551, ""zh"", ""en"")"),"Qualitative text")</f>
        <v>Qualitative text</v>
      </c>
    </row>
    <row r="3552" spans="1:3" ht="13" x14ac:dyDescent="0.15">
      <c r="A3552" s="1" t="str">
        <f ca="1">IFERROR(__xludf.DUMMYFUNCTION("GOOGLETRANSLATE(A3552, ""zh"", ""en"")"),"While accelerating the construction and operation of Shanghai New Materials Research Institute and Shenzhen New Energy Research Institute, the company also established Japan Smart Research Institute in 2022 to further provide technical support for the dev"&amp;"elopment of new energy and new materials and new businesses.")</f>
        <v>While accelerating the construction and operation of Shanghai New Materials Research Institute and Shenzhen New Energy Research Institute, the company also established Japan Smart Research Institute in 2022 to further provide technical support for the development of new energy and new materials and new businesses.</v>
      </c>
      <c r="B3552" s="1" t="str">
        <f ca="1">IFERROR(__xludf.DUMMYFUNCTION("GOOGLETRANSLATE(A3552, ""zh"", ""en"")"),"Technological innovation")</f>
        <v>Technological innovation</v>
      </c>
      <c r="C3552" s="1" t="str">
        <f ca="1">IFERROR(__xludf.DUMMYFUNCTION("GOOGLETRANSLATE(E3552, ""zh"", ""en"")"),"Qualitative text")</f>
        <v>Qualitative text</v>
      </c>
    </row>
    <row r="3553" spans="1:3" ht="13" x14ac:dyDescent="0.15">
      <c r="A3553" s="1" t="str">
        <f ca="1">IFERROR(__xludf.DUMMYFUNCTION("GOOGLETRANSLATE(A3553, ""zh"", ""en"")"),"Board of Directors and Special Committees We implement a policy of diversity in board membership. The composition of board members fully considers the company's business model and work needs, taking into account the members' nationality, gender, age, cult"&amp;"ure, education background or professional experience.")</f>
        <v>Board of Directors and Special Committees We implement a policy of diversity in board membership. The composition of board members fully considers the company's business model and work needs, taking into account the members' nationality, gender, age, culture, education background or professional experience.</v>
      </c>
      <c r="B3553" s="1" t="str">
        <f ca="1">IFERROR(__xludf.DUMMYFUNCTION("GOOGLETRANSLATE(A3553, ""zh"", ""en"")"),"Organizational structure and operations")</f>
        <v>Organizational structure and operations</v>
      </c>
      <c r="C3553" s="1" t="str">
        <f ca="1">IFERROR(__xludf.DUMMYFUNCTION("GOOGLETRANSLATE(E3553, ""zh"", ""en"")"),"Qualitative text")</f>
        <v>Qualitative text</v>
      </c>
    </row>
    <row r="3554" spans="1:3" ht="13" x14ac:dyDescent="0.15">
      <c r="A3554" s="1" t="str">
        <f ca="1">IFERROR(__xludf.DUMMYFUNCTION("GOOGLETRANSLATE(A3554, ""zh"", ""en"")"),"The Group's Youth League Committee innovatively planned an electrical garden party, organized cross-industry group tours for newly hired university students to enhance their understanding of the group, and planned and launched short videos such as the onb"&amp;"oarding guide and the settlement guide for non-Shanghai students to provide a smooth entry experience.")</f>
        <v>The Group's Youth League Committee innovatively planned an electrical garden party, organized cross-industry group tours for newly hired university students to enhance their understanding of the group, and planned and launched short videos such as the onboarding guide and the settlement guide for non-Shanghai students to provide a smooth entry experience.</v>
      </c>
      <c r="B3554" s="1" t="str">
        <f ca="1">IFERROR(__xludf.DUMMYFUNCTION("GOOGLETRANSLATE(A3554, ""zh"", ""en"")"),"staff")</f>
        <v>staff</v>
      </c>
      <c r="C3554" s="1" t="str">
        <f ca="1">IFERROR(__xludf.DUMMYFUNCTION("GOOGLETRANSLATE(E3554, ""zh"", ""en"")"),"Qualitative text")</f>
        <v>Qualitative text</v>
      </c>
    </row>
    <row r="3555" spans="1:3" ht="13" x14ac:dyDescent="0.15">
      <c r="A3555" s="1" t="str">
        <f ca="1">IFERROR(__xludf.DUMMYFUNCTION("GOOGLETRANSLATE(A3555, ""zh"", ""en"")"),"The second selection and commendation activities for CCB's Top 30 Public Welfare Brands, Top 10 Public Welfare Figures and Top 10 Public Welfare Creativity were launched, which created a strong public welfare cultural atmosphere throughout the bank and st"&amp;"imulated the enthusiasm of the entire bank to participate in public welfare and contribute to society.")</f>
        <v>The second selection and commendation activities for CCB's Top 30 Public Welfare Brands, Top 10 Public Welfare Figures and Top 10 Public Welfare Creativity were launched, which created a strong public welfare cultural atmosphere throughout the bank and stimulated the enthusiasm of the entire bank to participate in public welfare and contribute to society.</v>
      </c>
      <c r="B3555" s="1" t="str">
        <f ca="1">IFERROR(__xludf.DUMMYFUNCTION("GOOGLETRANSLATE(A3555, ""zh"", ""en"")"),"Public welfare and volunteer service")</f>
        <v>Public welfare and volunteer service</v>
      </c>
      <c r="C3555" s="1" t="str">
        <f ca="1">IFERROR(__xludf.DUMMYFUNCTION("GOOGLETRANSLATE(E3555, ""zh"", ""en"")"),"Qualitative text")</f>
        <v>Qualitative text</v>
      </c>
    </row>
    <row r="3556" spans="1:3" ht="13" x14ac:dyDescent="0.15">
      <c r="A3556" s="1" t="str">
        <f ca="1">IFERROR(__xludf.DUMMYFUNCTION("GOOGLETRANSLATE(A3556, ""zh"", ""en"")"),"Actively strengthen employee compliance education for key credit businesses and areas prone to violations. Compile case collections for serious violations such as crimes and distribute them to all employees through the employee behavior management system "&amp;"to continuously strengthen case warning education.")</f>
        <v>Actively strengthen employee compliance education for key credit businesses and areas prone to violations. Compile case collections for serious violations such as crimes and distribute them to all employees through the employee behavior management system to continuously strengthen case warning education.</v>
      </c>
      <c r="B3556" s="1" t="str">
        <f ca="1">IFERROR(__xludf.DUMMYFUNCTION("GOOGLETRANSLATE(A3556, ""zh"", ""en"")"),"Legal proceedings and external sanctions")</f>
        <v>Legal proceedings and external sanctions</v>
      </c>
      <c r="C3556" s="1" t="str">
        <f ca="1">IFERROR(__xludf.DUMMYFUNCTION("GOOGLETRANSLATE(E3556, ""zh"", ""en"")"),"Qualitative text")</f>
        <v>Qualitative text</v>
      </c>
    </row>
    <row r="3557" spans="1:3" ht="13" x14ac:dyDescent="0.15">
      <c r="A3557" s="1" t="str">
        <f ca="1">IFERROR(__xludf.DUMMYFUNCTION("GOOGLETRANSLATE(A3557, ""zh"", ""en"")"),"For details on the employee code of conduct, please refer to the Anti-Corruption System. The company has established and continuously improved its anti-corruption policy and system. The relevant policies and systems fully cover the company's affiliated in"&amp;"stitutions, businesses and personnel, providing a solid guarantee for the company's long-term and stable development.")</f>
        <v>For details on the employee code of conduct, please refer to the Anti-Corruption System. The company has established and continuously improved its anti-corruption policy and system. The relevant policies and systems fully cover the company's affiliated institutions, businesses and personnel, providing a solid guarantee for the company's long-term and stable development.</v>
      </c>
      <c r="B3557" s="1" t="str">
        <f ca="1">IFERROR(__xludf.DUMMYFUNCTION("GOOGLETRANSLATE(A3557, ""zh"", ""en"")"),"Anti-corruption and anti-money laundering")</f>
        <v>Anti-corruption and anti-money laundering</v>
      </c>
      <c r="C3557" s="1" t="str">
        <f ca="1">IFERROR(__xludf.DUMMYFUNCTION("GOOGLETRANSLATE(E3557, ""zh"", ""en"")"),"Qualitative text")</f>
        <v>Qualitative text</v>
      </c>
    </row>
    <row r="3558" spans="1:3" ht="13" x14ac:dyDescent="0.15">
      <c r="A3558" s="1" t="str">
        <f ca="1">IFERROR(__xludf.DUMMYFUNCTION("GOOGLETRANSLATE(A3558, ""zh"", ""en"")"),"We will make every effort to promote risk management and mitigation. 442022 Social Responsibility Report: Build a solid and stable foundation for development, strengthen oversight to prevent risks, enhance risk awareness, and strengthen internal control a"&amp;"nd oversight to safeguard the Group's high-quality development.")</f>
        <v>We will make every effort to promote risk management and mitigation. 442022 Social Responsibility Report: Build a solid and stable foundation for development, strengthen oversight to prevent risks, enhance risk awareness, and strengthen internal control and oversight to safeguard the Group's high-quality development.</v>
      </c>
      <c r="B3558" s="1" t="str">
        <f ca="1">IFERROR(__xludf.DUMMYFUNCTION("GOOGLETRANSLATE(A3558, ""zh"", ""en"")"),"Legal proceedings and external sanctions")</f>
        <v>Legal proceedings and external sanctions</v>
      </c>
      <c r="C3558" s="1" t="str">
        <f ca="1">IFERROR(__xludf.DUMMYFUNCTION("GOOGLETRANSLATE(E3558, ""zh"", ""en"")"),"Qualitative text")</f>
        <v>Qualitative text</v>
      </c>
    </row>
    <row r="3559" spans="1:3" ht="13" x14ac:dyDescent="0.15">
      <c r="A3559" s="1" t="str">
        <f ca="1">IFERROR(__xludf.DUMMYFUNCTION("GOOGLETRANSLATE(A3559, ""zh"", ""en"")"),"The project achieves dual benefits of electricity production and fish farming through efficient and compound land utilization, and strives to create a modern green fishery demonstration zone and a scientific and educational base for fishery and solar-phot"&amp;"ovoltaic complementary ecological aquaculture that integrates ecology, intelligence and standardization.")</f>
        <v>The project achieves dual benefits of electricity production and fish farming through efficient and compound land utilization, and strives to create a modern green fishery demonstration zone and a scientific and educational base for fishery and solar-photovoltaic complementary ecological aquaculture that integrates ecology, intelligence and standardization.</v>
      </c>
      <c r="B3559" s="1" t="str">
        <f ca="1">IFERROR(__xludf.DUMMYFUNCTION("GOOGLETRANSLATE(A3559, ""zh"", ""en"")"),"Land use")</f>
        <v>Land use</v>
      </c>
      <c r="C3559" s="1" t="str">
        <f ca="1">IFERROR(__xludf.DUMMYFUNCTION("GOOGLETRANSLATE(E3559, ""zh"", ""en"")"),"Qualitative text")</f>
        <v>Qualitative text</v>
      </c>
    </row>
    <row r="3560" spans="1:3" ht="13" x14ac:dyDescent="0.15">
      <c r="A3560" s="1" t="str">
        <f ca="1">IFERROR(__xludf.DUMMYFUNCTION("GOOGLETRANSLATE(A3560, ""zh"", ""en"")"),"The company focuses on the development of innovative financial models and business solutions for the carbon market. It pioneered carbon emission reduction investment and trading, and through carbon value-added trading and other products and services, it h"&amp;"elps real enterprises reduce compliance costs and revitalize carbon assets, which has been widely recognized by the market.")</f>
        <v>The company focuses on the development of innovative financial models and business solutions for the carbon market. It pioneered carbon emission reduction investment and trading, and through carbon value-added trading and other products and services, it helps real enterprises reduce compliance costs and revitalize carbon assets, which has been widely recognized by the market.</v>
      </c>
      <c r="B3560" s="1" t="str">
        <f ca="1">IFERROR(__xludf.DUMMYFUNCTION("GOOGLETRANSLATE(A3560, ""zh"", ""en"")"),"carbon emissions")</f>
        <v>carbon emissions</v>
      </c>
      <c r="C3560" s="1" t="str">
        <f ca="1">IFERROR(__xludf.DUMMYFUNCTION("GOOGLETRANSLATE(E3560, ""zh"", ""en"")"),"Qualitative text")</f>
        <v>Qualitative text</v>
      </c>
    </row>
    <row r="3561" spans="1:3" ht="13" x14ac:dyDescent="0.15">
      <c r="A3561" s="1" t="str">
        <f ca="1">IFERROR(__xludf.DUMMYFUNCTION("GOOGLETRANSLATE(A3561, ""zh"", ""en"")"),"In order to help local people master these necessary skills and apply them in their daily lives and workplaces, we continue to expand the beneficiary group, provide high-quality computer knowledge teaching, and help students improve their practical applic"&amp;"ation capabilities through practical training.")</f>
        <v>In order to help local people master these necessary skills and apply them in their daily lives and workplaces, we continue to expand the beneficiary group, provide high-quality computer knowledge teaching, and help students improve their practical application capabilities through practical training.</v>
      </c>
      <c r="B3561" s="1" t="str">
        <f ca="1">IFERROR(__xludf.DUMMYFUNCTION("GOOGLETRANSLATE(A3561, ""zh"", ""en"")"),"Promoting employment")</f>
        <v>Promoting employment</v>
      </c>
      <c r="C3561" s="1" t="str">
        <f ca="1">IFERROR(__xludf.DUMMYFUNCTION("GOOGLETRANSLATE(E3561, ""zh"", ""en"")"),"Qualitative text")</f>
        <v>Qualitative text</v>
      </c>
    </row>
    <row r="3562" spans="1:3" ht="13" x14ac:dyDescent="0.15">
      <c r="A3562" s="1" t="str">
        <f ca="1">IFERROR(__xludf.DUMMYFUNCTION("GOOGLETRANSLATE(A3562, ""zh"", ""en"")"),"During the reporting period, we helped nearby rural areas develop pasture feed logistics cooperation, optimize agricultural resource allocation, and improve production efficiency. We purchased plowing tools for the Keya community and helped farmers build "&amp;"a mobile slaughterhouse to flexibly allocate agricultural resources.")</f>
        <v>During the reporting period, we helped nearby rural areas develop pasture feed logistics cooperation, optimize agricultural resource allocation, and improve production efficiency. We purchased plowing tools for the Keya community and helped farmers build a mobile slaughterhouse to flexibly allocate agricultural resources.</v>
      </c>
      <c r="B3562" s="1" t="str">
        <f ca="1">IFERROR(__xludf.DUMMYFUNCTION("GOOGLETRANSLATE(A3562, ""zh"", ""en"")"),"Rural assistance")</f>
        <v>Rural assistance</v>
      </c>
      <c r="C3562" s="1" t="str">
        <f ca="1">IFERROR(__xludf.DUMMYFUNCTION("GOOGLETRANSLATE(E3562, ""zh"", ""en"")"),"Qualitative text")</f>
        <v>Qualitative text</v>
      </c>
    </row>
    <row r="3563" spans="1:3" ht="13" x14ac:dyDescent="0.15">
      <c r="A3563" s="1" t="str">
        <f ca="1">IFERROR(__xludf.DUMMYFUNCTION("GOOGLETRANSLATE(A3563, ""zh"", ""en"")"),"Case Study: In June 2016, Smart Life teamed up with the Beijing Disabled Persons Welfare Foundation to launch a public welfare campaign for smart doorbells. They donated video doorbells to families in the community, providing all-round protection for peop"&amp;"le with disabilities, the elderly, pregnant women, and other groups in need of social attention.")</f>
        <v>Case Study: In June 2016, Smart Life teamed up with the Beijing Disabled Persons Welfare Foundation to launch a public welfare campaign for smart doorbells. They donated video doorbells to families in the community, providing all-round protection for people with disabilities, the elderly, pregnant women, and other groups in need of social attention.</v>
      </c>
      <c r="B3563" s="1" t="str">
        <f ca="1">IFERROR(__xludf.DUMMYFUNCTION("GOOGLETRANSLATE(A3563, ""zh"", ""en"")"),"Public welfare and volunteer service")</f>
        <v>Public welfare and volunteer service</v>
      </c>
      <c r="C3563" s="1" t="str">
        <f ca="1">IFERROR(__xludf.DUMMYFUNCTION("GOOGLETRANSLATE(E3563, ""zh"", ""en"")"),"Qualitative text")</f>
        <v>Qualitative text</v>
      </c>
    </row>
    <row r="3564" spans="1:3" ht="13" x14ac:dyDescent="0.15">
      <c r="A3564" s="1" t="str">
        <f ca="1">IFERROR(__xludf.DUMMYFUNCTION("GOOGLETRANSLATE(A3564, ""zh"", ""en"")"),"As of December 31, 2022, the entire system has abolished 68 regulations, revised 168 regulations, and established 182 regulations. Among them, 13 departments of the company headquarters have abolished 11 regulations, revised 48 regulations, and establishe"&amp;"d 42 regulations.")</f>
        <v>As of December 31, 2022, the entire system has abolished 68 regulations, revised 168 regulations, and established 182 regulations. Among them, 13 departments of the company headquarters have abolished 11 regulations, revised 48 regulations, and established 42 regulations.</v>
      </c>
      <c r="B3564" s="1" t="str">
        <f ca="1">IFERROR(__xludf.DUMMYFUNCTION("GOOGLETRANSLATE(A3564, ""zh"", ""en"")"),"Organizational structure and operations")</f>
        <v>Organizational structure and operations</v>
      </c>
      <c r="C3564" s="1" t="str">
        <f ca="1">IFERROR(__xludf.DUMMYFUNCTION("GOOGLETRANSLATE(E3564, ""zh"", ""en"")"),"Quantitative Text")</f>
        <v>Quantitative Text</v>
      </c>
    </row>
    <row r="3565" spans="1:3" ht="13" x14ac:dyDescent="0.15">
      <c r="A3565" s="1" t="str">
        <f ca="1">IFERROR(__xludf.DUMMYFUNCTION("GOOGLETRANSLATE(A3565, ""zh"", ""en"")"),"Improve talent development channels, select and recruit section leaders, and supervise and manage the company. The company has established a complete employee training system and created a rich and diverse training curriculum to help employees develop the"&amp;"ir careers and maximize their potential.")</f>
        <v>Improve talent development channels, select and recruit section leaders, and supervise and manage the company. The company has established a complete employee training system and created a rich and diverse training curriculum to help employees develop their careers and maximize their potential.</v>
      </c>
      <c r="B3565" s="1" t="str">
        <f ca="1">IFERROR(__xludf.DUMMYFUNCTION("GOOGLETRANSLATE(A3565, ""zh"", ""en"")"),"staff")</f>
        <v>staff</v>
      </c>
      <c r="C3565" s="1" t="str">
        <f ca="1">IFERROR(__xludf.DUMMYFUNCTION("GOOGLETRANSLATE(E3565, ""zh"", ""en"")"),"Qualitative text")</f>
        <v>Qualitative text</v>
      </c>
    </row>
    <row r="3566" spans="1:3" ht="13" x14ac:dyDescent="0.15">
      <c r="A3566" s="1" t="str">
        <f ca="1">IFERROR(__xludf.DUMMYFUNCTION("GOOGLETRANSLATE(A3566, ""zh"", ""en"")"),"Nylon Chemical Company invested RMB 1.5 million to establish a hyper-converged data center, industrial network gateway, terminal security protection and other systems, which basically formed a modern management model with interconnected data sharing manag"&amp;"ement processes for multiple business customers.")</f>
        <v>Nylon Chemical Company invested RMB 1.5 million to establish a hyper-converged data center, industrial network gateway, terminal security protection and other systems, which basically formed a modern management model with interconnected data sharing management processes for multiple business customers.</v>
      </c>
      <c r="B3566" s="1" t="str">
        <f ca="1">IFERROR(__xludf.DUMMYFUNCTION("GOOGLETRANSLATE(A3566, ""zh"", ""en"")"),"Data security")</f>
        <v>Data security</v>
      </c>
      <c r="C3566" s="1" t="str">
        <f ca="1">IFERROR(__xludf.DUMMYFUNCTION("GOOGLETRANSLATE(E3566, ""zh"", ""en"")"),"Quantitative Text")</f>
        <v>Quantitative Text</v>
      </c>
    </row>
    <row r="3567" spans="1:3" ht="13" x14ac:dyDescent="0.15">
      <c r="A3567" s="1" t="str">
        <f ca="1">IFERROR(__xludf.DUMMYFUNCTION("GOOGLETRANSLATE(A3567, ""zh"", ""en"")"),"Strengthen supply management and organize personnel to establish information system and network security incident response processes to ensure timely assessment and reporting management when information security incidents occur. Carry out information secu"&amp;"rity education to enhance employees' information protection awareness.")</f>
        <v>Strengthen supply management and organize personnel to establish information system and network security incident response processes to ensure timely assessment and reporting management when information security incidents occur. Carry out information security education to enhance employees' information protection awareness.</v>
      </c>
      <c r="B3567" s="1" t="str">
        <f ca="1">IFERROR(__xludf.DUMMYFUNCTION("GOOGLETRANSLATE(A3567, ""zh"", ""en"")"),"Data security")</f>
        <v>Data security</v>
      </c>
      <c r="C3567" s="1" t="str">
        <f ca="1">IFERROR(__xludf.DUMMYFUNCTION("GOOGLETRANSLATE(E3567, ""zh"", ""en"")"),"Qualitative text")</f>
        <v>Qualitative text</v>
      </c>
    </row>
    <row r="3568" spans="1:3" ht="13" x14ac:dyDescent="0.15">
      <c r="A3568" s="1" t="str">
        <f ca="1">IFERROR(__xludf.DUMMYFUNCTION("GOOGLETRANSLATE(A3568, ""zh"", ""en"")"),"Responsible Communication The company establishes a regular communication mechanism with stakeholders, regularly communicates with stakeholders, comprehensively collects the demands and suggestions of all parties, and incorporates the issues of concern to"&amp;" stakeholders into the company's strategic decision-making.")</f>
        <v>Responsible Communication The company establishes a regular communication mechanism with stakeholders, regularly communicates with stakeholders, comprehensively collects the demands and suggestions of all parties, and incorporates the issues of concern to stakeholders into the company's strategic decision-making.</v>
      </c>
      <c r="B3568" s="1" t="str">
        <f ca="1">IFERROR(__xludf.DUMMYFUNCTION("GOOGLETRANSLATE(A3568, ""zh"", ""en"")"),"Information Disclosure and Investor Communication")</f>
        <v>Information Disclosure and Investor Communication</v>
      </c>
      <c r="C3568" s="1" t="str">
        <f ca="1">IFERROR(__xludf.DUMMYFUNCTION("GOOGLETRANSLATE(E3568, ""zh"", ""en"")"),"Qualitative text")</f>
        <v>Qualitative text</v>
      </c>
    </row>
    <row r="3569" spans="1:3" ht="13" x14ac:dyDescent="0.15">
      <c r="A3569" s="1" t="str">
        <f ca="1">IFERROR(__xludf.DUMMYFUNCTION("GOOGLETRANSLATE(A3569, ""zh"", ""en"")"),"Among them, 20 equity investment projects were completed, an increase of 100 year-on-year, involving emerging industries such as new energy, new materials, semiconductors, medicine and health. In particular, in the semiconductor field, an industrial chain"&amp;" layout of software, materials, equipment and chips has been realized.")</f>
        <v>Among them, 20 equity investment projects were completed, an increase of 100 year-on-year, involving emerging industries such as new energy, new materials, semiconductors, medicine and health. In particular, in the semiconductor field, an industrial chain layout of software, materials, equipment and chips has been realized.</v>
      </c>
      <c r="B3569" s="1" t="str">
        <f ca="1">IFERROR(__xludf.DUMMYFUNCTION("GOOGLETRANSLATE(A3569, ""zh"", ""en"")"),"Technological innovation")</f>
        <v>Technological innovation</v>
      </c>
      <c r="C3569" s="1" t="str">
        <f ca="1">IFERROR(__xludf.DUMMYFUNCTION("GOOGLETRANSLATE(E3569, ""zh"", ""en"")"),"Quantitative Text")</f>
        <v>Quantitative Text</v>
      </c>
    </row>
    <row r="3570" spans="1:3" ht="13" x14ac:dyDescent="0.15">
      <c r="A3570" s="1" t="str">
        <f ca="1">IFERROR(__xludf.DUMMYFUNCTION("GOOGLETRANSLATE(A3570, ""zh"", ""en"")"),"The company's wholly-owned subsidiary, Tajikistan-China Mining Co., Ltd. (hereinafter referred to as Tajikistan-China Mining), is currently the largest Chinese-funded enterprise in Tajikistan and holds the most strategically valuable polymetallic mineral "&amp;"resources currently acquired by Chinese enterprises in Central Asia.")</f>
        <v>The company's wholly-owned subsidiary, Tajikistan-China Mining Co., Ltd. (hereinafter referred to as Tajikistan-China Mining), is currently the largest Chinese-funded enterprise in Tajikistan and holds the most strategically valuable polymetallic mineral resources currently acquired by Chinese enterprises in Central Asia.</v>
      </c>
      <c r="B3570" s="1" t="str">
        <f ca="1">IFERROR(__xludf.DUMMYFUNCTION("GOOGLETRANSLATE(A3570, ""zh"", ""en"")"),"Technological innovation")</f>
        <v>Technological innovation</v>
      </c>
      <c r="C3570" s="1" t="str">
        <f ca="1">IFERROR(__xludf.DUMMYFUNCTION("GOOGLETRANSLATE(E3570, ""zh"", ""en"")"),"Qualitative text")</f>
        <v>Qualitative text</v>
      </c>
    </row>
    <row r="3571" spans="1:3" ht="13" x14ac:dyDescent="0.15">
      <c r="A3571" s="1" t="str">
        <f ca="1">IFERROR(__xludf.DUMMYFUNCTION("GOOGLETRANSLATE(A3571, ""zh"", ""en"")"),"4.6.4 Promote a culture of integrity. Jiankangyuan is committed to creating a culture of fairness and integrity. We adhere to the principles of honesty, compliance with laws, and integrity in our operations. We closely integrate the development of a cultu"&amp;"re of integrity with risk prevention and control in our daily management to fulfill our corporate social responsibility.")</f>
        <v>4.6.4 Promote a culture of integrity. Jiankangyuan is committed to creating a culture of fairness and integrity. We adhere to the principles of honesty, compliance with laws, and integrity in our operations. We closely integrate the development of a culture of integrity with risk prevention and control in our daily management to fulfill our corporate social responsibility.</v>
      </c>
      <c r="B3571" s="1" t="str">
        <f ca="1">IFERROR(__xludf.DUMMYFUNCTION("GOOGLETRANSLATE(A3571, ""zh"", ""en"")"),"Anti-corruption and anti-money laundering")</f>
        <v>Anti-corruption and anti-money laundering</v>
      </c>
      <c r="C3571" s="1" t="str">
        <f ca="1">IFERROR(__xludf.DUMMYFUNCTION("GOOGLETRANSLATE(E3571, ""zh"", ""en"")"),"Qualitative text")</f>
        <v>Qualitative text</v>
      </c>
    </row>
    <row r="3572" spans="1:3" ht="13" x14ac:dyDescent="0.15">
      <c r="A3572" s="1" t="str">
        <f ca="1">IFERROR(__xludf.DUMMYFUNCTION("GOOGLETRANSLATE(A3572, ""zh"", ""en"")"),"The Environmental Company continues to promote the construction of green, low-carbon digital water plants. Its Dongyang Phase I project and Tonglu Phase III project have officially entered commercial operation. The company's operating scale has exceeded 5"&amp;"00,000 tons per day, generating good economic and social benefits.")</f>
        <v>The Environmental Company continues to promote the construction of green, low-carbon digital water plants. Its Dongyang Phase I project and Tonglu Phase III project have officially entered commercial operation. The company's operating scale has exceeded 500,000 tons per day, generating good economic and social benefits.</v>
      </c>
      <c r="B3572" s="1" t="str">
        <f ca="1">IFERROR(__xludf.DUMMYFUNCTION("GOOGLETRANSLATE(A3572, ""zh"", ""en"")"),"Water resources")</f>
        <v>Water resources</v>
      </c>
      <c r="C3572" s="1" t="str">
        <f ca="1">IFERROR(__xludf.DUMMYFUNCTION("GOOGLETRANSLATE(E3572, ""zh"", ""en"")"),"Quantitative Text")</f>
        <v>Quantitative Text</v>
      </c>
    </row>
    <row r="3573" spans="1:3" ht="13" x14ac:dyDescent="0.15">
      <c r="A3573" s="1" t="str">
        <f ca="1">IFERROR(__xludf.DUMMYFUNCTION("GOOGLETRANSLATE(A3573, ""zh"", ""en"")"),"About Tibet Qomolangma Corporate Governance Environment Industry Co-building Employee Community 17 Business Ethics Tibet Qomolangma attaches great importance to integrity and business ethics. The company conducts its business in compliance with all applic"&amp;"able laws, regulations and ethical standards.")</f>
        <v>About Tibet Qomolangma Corporate Governance Environment Industry Co-building Employee Community 17 Business Ethics Tibet Qomolangma attaches great importance to integrity and business ethics. The company conducts its business in compliance with all applicable laws, regulations and ethical standards.</v>
      </c>
      <c r="B3573" s="1" t="str">
        <f ca="1">IFERROR(__xludf.DUMMYFUNCTION("GOOGLETRANSLATE(A3573, ""zh"", ""en"")"),"Legal proceedings and external sanctions")</f>
        <v>Legal proceedings and external sanctions</v>
      </c>
      <c r="C3573" s="1" t="str">
        <f ca="1">IFERROR(__xludf.DUMMYFUNCTION("GOOGLETRANSLATE(E3573, ""zh"", ""en"")"),"Qualitative text")</f>
        <v>Qualitative text</v>
      </c>
    </row>
    <row r="3574" spans="1:3" ht="13" x14ac:dyDescent="0.15">
      <c r="A3574" s="1" t="str">
        <f ca="1">IFERROR(__xludf.DUMMYFUNCTION("GOOGLETRANSLATE(A3574, ""zh"", ""en"")"),"As the social economy enters a stage of high-quality development, we will further enhance our corporate environmental management capabilities and promote the exploration of green and low-carbon development models in the mining industry to ensure green and"&amp;" high-quality development of our companies and help the global economy achieve a low-carbon transition.")</f>
        <v>As the social economy enters a stage of high-quality development, we will further enhance our corporate environmental management capabilities and promote the exploration of green and low-carbon development models in the mining industry to ensure green and high-quality development of our companies and help the global economy achieve a low-carbon transition.</v>
      </c>
      <c r="B3574" s="1" t="str">
        <f ca="1">IFERROR(__xludf.DUMMYFUNCTION("GOOGLETRANSLATE(A3574, ""zh"", ""en"")"),"carbon emissions")</f>
        <v>carbon emissions</v>
      </c>
      <c r="C3574" s="1" t="str">
        <f ca="1">IFERROR(__xludf.DUMMYFUNCTION("GOOGLETRANSLATE(E3574, ""zh"", ""en"")"),"Qualitative text")</f>
        <v>Qualitative text</v>
      </c>
    </row>
    <row r="3575" spans="1:3" ht="13" x14ac:dyDescent="0.15">
      <c r="A3575" s="1" t="str">
        <f ca="1">IFERROR(__xludf.DUMMYFUNCTION("GOOGLETRANSLATE(A3575, ""zh"", ""en"")"),"A simulated transport preventive test case: the main component of bacterial endotoxins is lipopolysaccharides produced in the outer cell wall of Gram-negative bacteria. When they enter the human blood through injection or other means, they can cause a var"&amp;"iety of diseases.")</f>
        <v>A simulated transport preventive test case: the main component of bacterial endotoxins is lipopolysaccharides produced in the outer cell wall of Gram-negative bacteria. When they enter the human blood through injection or other means, they can cause a variety of diseases.</v>
      </c>
      <c r="B3575" s="1" t="str">
        <f ca="1">IFERROR(__xludf.DUMMYFUNCTION("GOOGLETRANSLATE(A3575, ""zh"", ""en"")"),"Product quality")</f>
        <v>Product quality</v>
      </c>
      <c r="C3575" s="1" t="str">
        <f ca="1">IFERROR(__xludf.DUMMYFUNCTION("GOOGLETRANSLATE(E3575, ""zh"", ""en"")"),"Qualitative text")</f>
        <v>Qualitative text</v>
      </c>
    </row>
    <row r="3576" spans="1:3" ht="13" x14ac:dyDescent="0.15">
      <c r="A3576" s="1" t="str">
        <f ca="1">IFERROR(__xludf.DUMMYFUNCTION("GOOGLETRANSLATE(A3576, ""zh"", ""en"")"),"Engaged in industrial investment, asset management, investment consulting, elderly care services, self-owned housing rental, construction and decoration engineering construction, enterprise asset restructuring, mergers and acquisitions consulting, enterpr"&amp;"ise management consulting, hotel management, accommodation property services, sales of nursing products, catering services")</f>
        <v>Engaged in industrial investment, asset management, investment consulting, elderly care services, self-owned housing rental, construction and decoration engineering construction, enterprise asset restructuring, mergers and acquisitions consulting, enterprise management consulting, hotel management, accommodation property services, sales of nursing products, catering services</v>
      </c>
      <c r="B3576" s="1" t="str">
        <f ca="1">IFERROR(__xludf.DUMMYFUNCTION("GOOGLETRANSLATE(A3576, ""zh"", ""en"")"),"irrelevant text")</f>
        <v>irrelevant text</v>
      </c>
      <c r="C3576" s="1" t="str">
        <f ca="1">IFERROR(__xludf.DUMMYFUNCTION("GOOGLETRANSLATE(E3576, ""zh"", ""en"")"),"irrelevant text")</f>
        <v>irrelevant text</v>
      </c>
    </row>
    <row r="3577" spans="1:3" ht="13" x14ac:dyDescent="0.15">
      <c r="A3577" s="1" t="str">
        <f ca="1">IFERROR(__xludf.DUMMYFUNCTION("GOOGLETRANSLATE(A3577, ""zh"", ""en"")"),"At the same time, we deeply analyze the business strategy and business model of Ouye Chain Gold, apply what we have learned, and accelerate base construction, expand supply chain business, integrate and develop resources, etc. to create a scrap steel busi"&amp;"ness that is unique to the logistics company.")</f>
        <v>At the same time, we deeply analyze the business strategy and business model of Ouye Chain Gold, apply what we have learned, and accelerate base construction, expand supply chain business, integrate and develop resources, etc. to create a scrap steel business that is unique to the logistics company.</v>
      </c>
      <c r="B3577" s="1" t="str">
        <f ca="1">IFERROR(__xludf.DUMMYFUNCTION("GOOGLETRANSLATE(A3577, ""zh"", ""en"")"),"Waste Management")</f>
        <v>Waste Management</v>
      </c>
      <c r="C3577" s="1" t="str">
        <f ca="1">IFERROR(__xludf.DUMMYFUNCTION("GOOGLETRANSLATE(E3577, ""zh"", ""en"")"),"Qualitative text")</f>
        <v>Qualitative text</v>
      </c>
    </row>
    <row r="3578" spans="1:3" ht="13" x14ac:dyDescent="0.15">
      <c r="A3578" s="1" t="str">
        <f ca="1">IFERROR(__xludf.DUMMYFUNCTION("GOOGLETRANSLATE(A3578, ""zh"", ""en"")"),"This emergency drill strengthened the coordination among the emergency response teams, improved the emergency evacuation and rescue capabilities of all employees in the event of a methanol leak, and made all employees fully aware of the dangers of a metha"&amp;"nol leak and fire.")</f>
        <v>This emergency drill strengthened the coordination among the emergency response teams, improved the emergency evacuation and rescue capabilities of all employees in the event of a methanol leak, and made all employees fully aware of the dangers of a methanol leak and fire.</v>
      </c>
      <c r="B3578" s="1" t="str">
        <f ca="1">IFERROR(__xludf.DUMMYFUNCTION("GOOGLETRANSLATE(A3578, ""zh"", ""en"")"),"Chemical Safety")</f>
        <v>Chemical Safety</v>
      </c>
      <c r="C3578" s="1" t="str">
        <f ca="1">IFERROR(__xludf.DUMMYFUNCTION("GOOGLETRANSLATE(E3578, ""zh"", ""en"")"),"Qualitative text")</f>
        <v>Qualitative text</v>
      </c>
    </row>
    <row r="3579" spans="1:3" ht="13" x14ac:dyDescent="0.15">
      <c r="A3579" s="1" t="str">
        <f ca="1">IFERROR(__xludf.DUMMYFUNCTION("GOOGLETRANSLATE(A3579, ""zh"", ""en"")"),"We invited international professionals from Goldman Sachs and Morgan Stanley, associate professors from Zhejiang University, and lawyers from Zeda Law Firm to conduct training and exchanges with our employees. We conducted 32 centralized training sessions"&amp;" throughout the year, with a total of 864 participants.")</f>
        <v>We invited international professionals from Goldman Sachs and Morgan Stanley, associate professors from Zhejiang University, and lawyers from Zeda Law Firm to conduct training and exchanges with our employees. We conducted 32 centralized training sessions throughout the year, with a total of 864 participants.</v>
      </c>
      <c r="B3579" s="1" t="str">
        <f ca="1">IFERROR(__xludf.DUMMYFUNCTION("GOOGLETRANSLATE(A3579, ""zh"", ""en"")"),"staff")</f>
        <v>staff</v>
      </c>
      <c r="C3579" s="1" t="str">
        <f ca="1">IFERROR(__xludf.DUMMYFUNCTION("GOOGLETRANSLATE(E3579, ""zh"", ""en"")"),"Quantitative Text")</f>
        <v>Quantitative Text</v>
      </c>
    </row>
    <row r="3580" spans="1:3" ht="13" x14ac:dyDescent="0.15">
      <c r="A3580" s="1" t="str">
        <f ca="1">IFERROR(__xludf.DUMMYFUNCTION("GOOGLETRANSLATE(A3580, ""zh"", ""en"")"),"Livzon Group thoroughly researches the terminal selling prices of its reagent products and uses distribution rights to constrain distributors, limiting their markups. Livzon Group sets more favorable product prices in underdeveloped and low-income countri"&amp;"es.")</f>
        <v>Livzon Group thoroughly researches the terminal selling prices of its reagent products and uses distribution rights to constrain distributors, limiting their markups. Livzon Group sets more favorable product prices in underdeveloped and low-income countries.</v>
      </c>
      <c r="B3580" s="1" t="str">
        <f ca="1">IFERROR(__xludf.DUMMYFUNCTION("GOOGLETRANSLATE(A3580, ""zh"", ""en"")"),"Anti-unfair competition")</f>
        <v>Anti-unfair competition</v>
      </c>
      <c r="C3580" s="1" t="str">
        <f ca="1">IFERROR(__xludf.DUMMYFUNCTION("GOOGLETRANSLATE(E3580, ""zh"", ""en"")"),"Qualitative text")</f>
        <v>Qualitative text</v>
      </c>
    </row>
    <row r="3581" spans="1:3" ht="13" x14ac:dyDescent="0.15">
      <c r="A3581" s="1" t="str">
        <f ca="1">IFERROR(__xludf.DUMMYFUNCTION("GOOGLETRANSLATE(A3581, ""zh"", ""en"")"),"In order to implement the State-owned Assets Supervision and Administration Commission of the State Council's requirements for central enterprises to provide targeted assistance to impoverished counties, China Storage has further increased its support for"&amp;" Xiaochang County, helping Xiaochang to consolidate and expand the results of poverty alleviation and effectively connect it with rural revitalization.")</f>
        <v>In order to implement the State-owned Assets Supervision and Administration Commission of the State Council's requirements for central enterprises to provide targeted assistance to impoverished counties, China Storage has further increased its support for Xiaochang County, helping Xiaochang to consolidate and expand the results of poverty alleviation and effectively connect it with rural revitalization.</v>
      </c>
      <c r="B3581" s="1" t="str">
        <f ca="1">IFERROR(__xludf.DUMMYFUNCTION("GOOGLETRANSLATE(A3581, ""zh"", ""en"")"),"Rural assistance")</f>
        <v>Rural assistance</v>
      </c>
      <c r="C3581" s="1" t="str">
        <f ca="1">IFERROR(__xludf.DUMMYFUNCTION("GOOGLETRANSLATE(E3581, ""zh"", ""en"")"),"Qualitative text")</f>
        <v>Qualitative text</v>
      </c>
    </row>
    <row r="3582" spans="1:3" ht="13" x14ac:dyDescent="0.15">
      <c r="A3582" s="1" t="str">
        <f ca="1">IFERROR(__xludf.DUMMYFUNCTION("GOOGLETRANSLATE(A3582, ""zh"", ""en"")"),"We strive to help employees solve their problems, bring care to them, and send warmth to their hearts. We hold tea parties for migrant workers, Spring Festival visits by senior executives to left-behind employees, and provide assistance to employees who a"&amp;"re experiencing serious illnesses and difficulties from time to time.")</f>
        <v>We strive to help employees solve their problems, bring care to them, and send warmth to their hearts. We hold tea parties for migrant workers, Spring Festival visits by senior executives to left-behind employees, and provide assistance to employees who are experiencing serious illnesses and difficulties from time to time.</v>
      </c>
      <c r="B3582" s="1" t="str">
        <f ca="1">IFERROR(__xludf.DUMMYFUNCTION("GOOGLETRANSLATE(A3582, ""zh"", ""en"")"),"staff")</f>
        <v>staff</v>
      </c>
      <c r="C3582" s="1" t="str">
        <f ca="1">IFERROR(__xludf.DUMMYFUNCTION("GOOGLETRANSLATE(E3582, ""zh"", ""en"")"),"Qualitative text")</f>
        <v>Qualitative text</v>
      </c>
    </row>
    <row r="3583" spans="1:3" ht="13" x14ac:dyDescent="0.15">
      <c r="A3583" s="1" t="str">
        <f ca="1">IFERROR(__xludf.DUMMYFUNCTION("GOOGLETRANSLATE(A3583, ""zh"", ""en"")"),"In 2022, overseas markets will face high inflation, an energy crisis in Europe, and declining consumer spending on home appliances. China, the company's largest market, will impact the supply chain, offline retail operations, logistics, distribution, and "&amp;"installation and delivery in the fourth quarter of 2022.")</f>
        <v>In 2022, overseas markets will face high inflation, an energy crisis in Europe, and declining consumer spending on home appliances. China, the company's largest market, will impact the supply chain, offline retail operations, logistics, distribution, and installation and delivery in the fourth quarter of 2022.</v>
      </c>
      <c r="B3583" s="1" t="str">
        <f ca="1">IFERROR(__xludf.DUMMYFUNCTION("GOOGLETRANSLATE(A3583, ""zh"", ""en"")"),"supply chain management")</f>
        <v>supply chain management</v>
      </c>
      <c r="C3583" s="1" t="str">
        <f ca="1">IFERROR(__xludf.DUMMYFUNCTION("GOOGLETRANSLATE(E3583, ""zh"", ""en"")"),"Qualitative text")</f>
        <v>Qualitative text</v>
      </c>
    </row>
    <row r="3584" spans="1:3" ht="13" x14ac:dyDescent="0.15">
      <c r="A3584" s="1" t="str">
        <f ca="1">IFERROR(__xludf.DUMMYFUNCTION("GOOGLETRANSLATE(A3584, ""zh"", ""en"")"),"Among them, the Fosun Health Welfare Protection Plan for Birth or Employees provides patients with medicines, benefits and health management services, saving 1,153 lymphoma patients 664 yuan in treatment costs.")</f>
        <v>Among them, the Fosun Health Welfare Protection Plan for Birth or Employees provides patients with medicines, benefits and health management services, saving 1,153 lymphoma patients 664 yuan in treatment costs.</v>
      </c>
      <c r="B3584" s="1" t="str">
        <f ca="1">IFERROR(__xludf.DUMMYFUNCTION("GOOGLETRANSLATE(A3584, ""zh"", ""en"")"),"staff")</f>
        <v>staff</v>
      </c>
      <c r="C3584" s="1" t="str">
        <f ca="1">IFERROR(__xludf.DUMMYFUNCTION("GOOGLETRANSLATE(E3584, ""zh"", ""en"")"),"Quantitative Text")</f>
        <v>Quantitative Text</v>
      </c>
    </row>
    <row r="3585" spans="1:3" ht="13" x14ac:dyDescent="0.15">
      <c r="A3585" s="1" t="str">
        <f ca="1">IFERROR(__xludf.DUMMYFUNCTION("GOOGLETRANSLATE(A3585, ""zh"", ""en"")"),"In 2022, the Group further improved its information system to conduct vulnerability scanning and repair, which greatly improved the construction of its security system and passed the ISO27001 review committee's ability to resist internal and external secu"&amp;"rity threats.")</f>
        <v>In 2022, the Group further improved its information system to conduct vulnerability scanning and repair, which greatly improved the construction of its security system and passed the ISO27001 review committee's ability to resist internal and external security threats.</v>
      </c>
      <c r="B3585" s="1" t="str">
        <f ca="1">IFERROR(__xludf.DUMMYFUNCTION("GOOGLETRANSLATE(A3585, ""zh"", ""en"")"),"Data security")</f>
        <v>Data security</v>
      </c>
      <c r="C3585" s="1" t="str">
        <f ca="1">IFERROR(__xludf.DUMMYFUNCTION("GOOGLETRANSLATE(E3585, ""zh"", ""en"")"),"Qualitative text")</f>
        <v>Qualitative text</v>
      </c>
    </row>
    <row r="3586" spans="1:3" ht="13" x14ac:dyDescent="0.15">
      <c r="A3586" s="1" t="str">
        <f ca="1">IFERROR(__xludf.DUMMYFUNCTION("GOOGLETRANSLATE(A3586, ""zh"", ""en"")"),"We conduct audits through regular on-site inspections, employee interviews, management interviews, and document reviews. We categorize risk ratings into levels III and III, and promptly report any issues we discover to urge suppliers to make corrections.")</f>
        <v>We conduct audits through regular on-site inspections, employee interviews, management interviews, and document reviews. We categorize risk ratings into levels III and III, and promptly report any issues we discover to urge suppliers to make corrections.</v>
      </c>
      <c r="B3586" s="1" t="str">
        <f ca="1">IFERROR(__xludf.DUMMYFUNCTION("GOOGLETRANSLATE(A3586, ""zh"", ""en"")"),"Audit work")</f>
        <v>Audit work</v>
      </c>
      <c r="C3586" s="1" t="str">
        <f ca="1">IFERROR(__xludf.DUMMYFUNCTION("GOOGLETRANSLATE(E3586, ""zh"", ""en"")"),"Qualitative text")</f>
        <v>Qualitative text</v>
      </c>
    </row>
    <row r="3587" spans="1:3" ht="13" x14ac:dyDescent="0.15">
      <c r="A3587" s="1" t="str">
        <f ca="1">IFERROR(__xludf.DUMMYFUNCTION("GOOGLETRANSLATE(A3587, ""zh"", ""en"")"),"To ensure fair and legal employment, the company has established relevant systems for employee recruitment, promotion and resignation, strictly audits the information of new employees, signs labor contracts that fully comply with legal provisions with the"&amp;" employees, and handles employee resignation procedures in accordance with the law.")</f>
        <v>To ensure fair and legal employment, the company has established relevant systems for employee recruitment, promotion and resignation, strictly audits the information of new employees, signs labor contracts that fully comply with legal provisions with the employees, and handles employee resignation procedures in accordance with the law.</v>
      </c>
      <c r="B3587" s="1" t="str">
        <f ca="1">IFERROR(__xludf.DUMMYFUNCTION("GOOGLETRANSLATE(A3587, ""zh"", ""en"")"),"staff")</f>
        <v>staff</v>
      </c>
      <c r="C3587" s="1" t="str">
        <f ca="1">IFERROR(__xludf.DUMMYFUNCTION("GOOGLETRANSLATE(E3587, ""zh"", ""en"")"),"Qualitative text")</f>
        <v>Qualitative text</v>
      </c>
    </row>
    <row r="3588" spans="1:3" ht="13" x14ac:dyDescent="0.15">
      <c r="A3588" s="1" t="str">
        <f ca="1">IFERROR(__xludf.DUMMYFUNCTION("GOOGLETRANSLATE(A3588, ""zh"", ""en"")"),"Fourth place in the 2021 Hurun China Private Enterprises Sustainable Development Top 100 List On January 10, 2022, the Hurun Research Institute released the 2021 Hurun China Private Enterprises Sustainable Development Top 100 List, and Haier Smart Home ra"&amp;"nked fourth.")</f>
        <v>Fourth place in the 2021 Hurun China Private Enterprises Sustainable Development Top 100 List On January 10, 2022, the Hurun Research Institute released the 2021 Hurun China Private Enterprises Sustainable Development Top 100 List, and Haier Smart Home ranked fourth.</v>
      </c>
      <c r="B3588" s="1" t="str">
        <f ca="1">IFERROR(__xludf.DUMMYFUNCTION("GOOGLETRANSLATE(A3588, ""zh"", ""en"")"),"Sustainable certification")</f>
        <v>Sustainable certification</v>
      </c>
      <c r="C3588" s="1" t="str">
        <f ca="1">IFERROR(__xludf.DUMMYFUNCTION("GOOGLETRANSLATE(E3588, ""zh"", ""en"")"),"Quantitative Text")</f>
        <v>Quantitative Text</v>
      </c>
    </row>
    <row r="3589" spans="1:3" ht="13" x14ac:dyDescent="0.15">
      <c r="A3589" s="1" t="str">
        <f ca="1">IFERROR(__xludf.DUMMYFUNCTION("GOOGLETRANSLATE(A3589, ""zh"", ""en"")"),"Top Employers Institute, an internationally recognized research organization for outstanding employers, announced the 2023 list of the best employers in the UK, and Haier Smart Home was on the list.")</f>
        <v>Top Employers Institute, an internationally recognized research organization for outstanding employers, announced the 2023 list of the best employers in the UK, and Haier Smart Home was on the list.</v>
      </c>
      <c r="B3589" s="1" t="str">
        <f ca="1">IFERROR(__xludf.DUMMYFUNCTION("GOOGLETRANSLATE(A3589, ""zh"", ""en"")"),"staff")</f>
        <v>staff</v>
      </c>
      <c r="C3589" s="1" t="str">
        <f ca="1">IFERROR(__xludf.DUMMYFUNCTION("GOOGLETRANSLATE(E3589, ""zh"", ""en"")"),"Quantitative Text")</f>
        <v>Quantitative Text</v>
      </c>
    </row>
    <row r="3590" spans="1:3" ht="13" x14ac:dyDescent="0.15">
      <c r="A3590" s="1" t="str">
        <f ca="1">IFERROR(__xludf.DUMMYFUNCTION("GOOGLETRANSLATE(A3590, ""zh"", ""en"")"),"2022 Social Responsibility Report We strictly control suppliers and require them to comply with the Group's Supplier Code of Conduct. We have also integrated a supplier portal to coordinate information from all suppliers and strengthen supplier management"&amp;" and supervision.")</f>
        <v>2022 Social Responsibility Report We strictly control suppliers and require them to comply with the Group's Supplier Code of Conduct. We have also integrated a supplier portal to coordinate information from all suppliers and strengthen supplier management and supervision.</v>
      </c>
      <c r="B3590" s="1" t="str">
        <f ca="1">IFERROR(__xludf.DUMMYFUNCTION("GOOGLETRANSLATE(A3590, ""zh"", ""en"")"),"supply chain management")</f>
        <v>supply chain management</v>
      </c>
      <c r="C3590" s="1" t="str">
        <f ca="1">IFERROR(__xludf.DUMMYFUNCTION("GOOGLETRANSLATE(E3590, ""zh"", ""en"")"),"Qualitative text")</f>
        <v>Qualitative text</v>
      </c>
    </row>
    <row r="3591" spans="1:3" ht="13" x14ac:dyDescent="0.15">
      <c r="A3591" s="1" t="str">
        <f ca="1">IFERROR(__xludf.DUMMYFUNCTION("GOOGLETRANSLATE(A3591, ""zh"", ""en"")"),"The company implements the requirements of the national government departments on environmental protection and energy conservation and emission reduction, strives to be a good clean production enterprise, and has been rated as one of the first environment"&amp;"ally friendly enterprises in Shaoxing City, a green enterprise in Zhejiang Province, and one of the five hundred energy-saving and environmentally friendly enterprises.")</f>
        <v>The company implements the requirements of the national government departments on environmental protection and energy conservation and emission reduction, strives to be a good clean production enterprise, and has been rated as one of the first environmentally friendly enterprises in Shaoxing City, a green enterprise in Zhejiang Province, and one of the five hundred energy-saving and environmentally friendly enterprises.</v>
      </c>
      <c r="B3591" s="1" t="str">
        <f ca="1">IFERROR(__xludf.DUMMYFUNCTION("GOOGLETRANSLATE(A3591, ""zh"", ""en"")"),"Environmental Policy")</f>
        <v>Environmental Policy</v>
      </c>
      <c r="C3591" s="1" t="str">
        <f ca="1">IFERROR(__xludf.DUMMYFUNCTION("GOOGLETRANSLATE(E3591, ""zh"", ""en"")"),"Quantitative Text")</f>
        <v>Quantitative Text</v>
      </c>
    </row>
    <row r="3592" spans="1:3" ht="13" x14ac:dyDescent="0.15">
      <c r="A3592" s="1" t="str">
        <f ca="1">IFERROR(__xludf.DUMMYFUNCTION("GOOGLETRANSLATE(A3592, ""zh"", ""en"")"),"6. Purchasing price reduction. The technical manager should make a material cost analysis based on the company's historical purchasing price based on the bulk material trend and propose a price reduction target for procurement. The technical manager shoul"&amp;"d work with procurement to reduce procurement costs by optimizing material design and replacing new materials.")</f>
        <v>6. Purchasing price reduction. The technical manager should make a material cost analysis based on the company's historical purchasing price based on the bulk material trend and propose a price reduction target for procurement. The technical manager should work with procurement to reduce procurement costs by optimizing material design and replacing new materials.</v>
      </c>
      <c r="B3592" s="1" t="str">
        <f ca="1">IFERROR(__xludf.DUMMYFUNCTION("GOOGLETRANSLATE(A3592, ""zh"", ""en"")"),"raw materials")</f>
        <v>raw materials</v>
      </c>
      <c r="C3592" s="1" t="str">
        <f ca="1">IFERROR(__xludf.DUMMYFUNCTION("GOOGLETRANSLATE(E3592, ""zh"", ""en"")"),"Qualitative text")</f>
        <v>Qualitative text</v>
      </c>
    </row>
    <row r="3593" spans="1:3" ht="13" x14ac:dyDescent="0.15">
      <c r="A3593" s="1" t="str">
        <f ca="1">IFERROR(__xludf.DUMMYFUNCTION("GOOGLETRANSLATE(A3593, ""zh"", ""en"")"),"CITIC Securities' 2022 Rural Assistance Program and Key Achievements: For three consecutive years, CITIC Securities has provided educational assistance in Jishishan County, Gansu Province, with a total investment of approximately RMB 19 million, improving"&amp;" students' learning and living environments and enhancing teaching quality.")</f>
        <v>CITIC Securities' 2022 Rural Assistance Program and Key Achievements: For three consecutive years, CITIC Securities has provided educational assistance in Jishishan County, Gansu Province, with a total investment of approximately RMB 19 million, improving students' learning and living environments and enhancing teaching quality.</v>
      </c>
      <c r="B3593" s="1" t="str">
        <f ca="1">IFERROR(__xludf.DUMMYFUNCTION("GOOGLETRANSLATE(A3593, ""zh"", ""en"")"),"Rural assistance")</f>
        <v>Rural assistance</v>
      </c>
      <c r="C3593" s="1" t="str">
        <f ca="1">IFERROR(__xludf.DUMMYFUNCTION("GOOGLETRANSLATE(E3593, ""zh"", ""en"")"),"Quantitative Text")</f>
        <v>Quantitative Text</v>
      </c>
    </row>
    <row r="3594" spans="1:3" ht="13" x14ac:dyDescent="0.15">
      <c r="A3594" s="1" t="str">
        <f ca="1">IFERROR(__xludf.DUMMYFUNCTION("GOOGLETRANSLATE(A3594, ""zh"", ""en"")"),"So far, Dima Industry has implemented new energy in multiple application scenarios. Its products also include pure electric passenger boarding ladder, pure electric luggage conveyor, pure electric tractor, pure electric aircraft water tanker, pure electri"&amp;"c aircraft sewage tanker, etc.")</f>
        <v>So far, Dima Industry has implemented new energy in multiple application scenarios. Its products also include pure electric passenger boarding ladder, pure electric luggage conveyor, pure electric tractor, pure electric aircraft water tanker, pure electric aircraft sewage tanker, etc.</v>
      </c>
      <c r="B3594" s="1" t="str">
        <f ca="1">IFERROR(__xludf.DUMMYFUNCTION("GOOGLETRANSLATE(A3594, ""zh"", ""en"")"),"Energy and resource consumption")</f>
        <v>Energy and resource consumption</v>
      </c>
      <c r="C3594" s="1" t="str">
        <f ca="1">IFERROR(__xludf.DUMMYFUNCTION("GOOGLETRANSLATE(E3594, ""zh"", ""en"")"),"Qualitative text")</f>
        <v>Qualitative text</v>
      </c>
    </row>
    <row r="3595" spans="1:3" ht="13" x14ac:dyDescent="0.15">
      <c r="A3595" s="1" t="str">
        <f ca="1">IFERROR(__xludf.DUMMYFUNCTION("GOOGLETRANSLATE(A3595, ""zh"", ""en"")"),"Case Study: Undertaken the Provincial Emergency Rescue Comprehensive Drill and Double Prevention System Observation Activity. Nylon Chemical Company successfully completed the 2021 Hazardous Chemicals Emergency Rescue Comprehensive Drill and Double Preven"&amp;"tion System Observation Activity in Henan Province.")</f>
        <v>Case Study: Undertaken the Provincial Emergency Rescue Comprehensive Drill and Double Prevention System Observation Activity. Nylon Chemical Company successfully completed the 2021 Hazardous Chemicals Emergency Rescue Comprehensive Drill and Double Prevention System Observation Activity in Henan Province.</v>
      </c>
      <c r="B3595" s="1" t="str">
        <f ca="1">IFERROR(__xludf.DUMMYFUNCTION("GOOGLETRANSLATE(A3595, ""zh"", ""en"")"),"Chemical Safety")</f>
        <v>Chemical Safety</v>
      </c>
      <c r="C3595" s="1" t="str">
        <f ca="1">IFERROR(__xludf.DUMMYFUNCTION("GOOGLETRANSLATE(E3595, ""zh"", ""en"")"),"Qualitative text")</f>
        <v>Qualitative text</v>
      </c>
    </row>
    <row r="3596" spans="1:3" ht="13" x14ac:dyDescent="0.15">
      <c r="A3596" s="1" t="str">
        <f ca="1">IFERROR(__xludf.DUMMYFUNCTION("GOOGLETRANSLATE(A3596, ""zh"", ""en"")"),"6. Data Security and Privacy Protection The company adheres to the enterprise information security management policy of comprehensive coverage, prevention first, graded protection, joint participation and continuous improvement, continuously optimizes dat"&amp;"a security management and prioritizes customer privacy protection.")</f>
        <v>6. Data Security and Privacy Protection The company adheres to the enterprise information security management policy of comprehensive coverage, prevention first, graded protection, joint participation and continuous improvement, continuously optimizes data security management and prioritizes customer privacy protection.</v>
      </c>
      <c r="B3596" s="1" t="str">
        <f ca="1">IFERROR(__xludf.DUMMYFUNCTION("GOOGLETRANSLATE(A3596, ""zh"", ""en"")"),"Data security")</f>
        <v>Data security</v>
      </c>
      <c r="C3596" s="1" t="str">
        <f ca="1">IFERROR(__xludf.DUMMYFUNCTION("GOOGLETRANSLATE(E3596, ""zh"", ""en"")"),"Qualitative text")</f>
        <v>Qualitative text</v>
      </c>
    </row>
    <row r="3597" spans="1:3" ht="13" x14ac:dyDescent="0.15">
      <c r="A3597" s="1" t="str">
        <f ca="1">IFERROR(__xludf.DUMMYFUNCTION("GOOGLETRANSLATE(A3597, ""zh"", ""en"")"),"The company's information system will not be leaked, altered or damaged due to accidental or malicious intrusion. Ensure that the information system can operate continuously, reliably and normally. Provide users with timely, continuous and high-quality in"&amp;"formation technology services and continuously improve them.")</f>
        <v>The company's information system will not be leaked, altered or damaged due to accidental or malicious intrusion. Ensure that the information system can operate continuously, reliably and normally. Provide users with timely, continuous and high-quality information technology services and continuously improve them.</v>
      </c>
      <c r="B3597" s="1" t="str">
        <f ca="1">IFERROR(__xludf.DUMMYFUNCTION("GOOGLETRANSLATE(A3597, ""zh"", ""en"")"),"Data security")</f>
        <v>Data security</v>
      </c>
      <c r="C3597" s="1" t="str">
        <f ca="1">IFERROR(__xludf.DUMMYFUNCTION("GOOGLETRANSLATE(E3597, ""zh"", ""en"")"),"Qualitative text")</f>
        <v>Qualitative text</v>
      </c>
    </row>
    <row r="3598" spans="1:3" ht="13" x14ac:dyDescent="0.15">
      <c r="A3598" s="1" t="str">
        <f ca="1">IFERROR(__xludf.DUMMYFUNCTION("GOOGLETRANSLATE(A3598, ""zh"", ""en"")"),"The company has established a complete and effective internal audit and internal control mechanism in accordance with the principles of independence, objectivity, fairness and effectiveness in accordance with the law, and has focused on nearly 300 risk po"&amp;"ints in the mechanism to achieve substantial internal control results.")</f>
        <v>The company has established a complete and effective internal audit and internal control mechanism in accordance with the principles of independence, objectivity, fairness and effectiveness in accordance with the law, and has focused on nearly 300 risk points in the mechanism to achieve substantial internal control results.</v>
      </c>
      <c r="B3598" s="1" t="str">
        <f ca="1">IFERROR(__xludf.DUMMYFUNCTION("GOOGLETRANSLATE(A3598, ""zh"", ""en"")"),"Audit work")</f>
        <v>Audit work</v>
      </c>
      <c r="C3598" s="1" t="str">
        <f ca="1">IFERROR(__xludf.DUMMYFUNCTION("GOOGLETRANSLATE(E3598, ""zh"", ""en"")"),"Quantitative Text")</f>
        <v>Quantitative Text</v>
      </c>
    </row>
    <row r="3599" spans="1:3" ht="13" x14ac:dyDescent="0.15">
      <c r="A3599" s="1" t="str">
        <f ca="1">IFERROR(__xludf.DUMMYFUNCTION("GOOGLETRANSLATE(A3599, ""zh"", ""en"")"),"Shanghai Electric celebrates the 101st anniversary of the founding of the Communist Party of China and the establishment of the Party Building Research Center. Shanghai Electric continuously strengthens the systematic construction of party building work a"&amp;"nd actively promotes the institutionalization of work to ensure that the work is in accordance with rules and regulations, and promotes the implementation of the comprehensive and strict party governance work system.")</f>
        <v>Shanghai Electric celebrates the 101st anniversary of the founding of the Communist Party of China and the establishment of the Party Building Research Center. Shanghai Electric continuously strengthens the systematic construction of party building work and actively promotes the institutionalization of work to ensure that the work is in accordance with rules and regulations, and promotes the implementation of the comprehensive and strict party governance work system.</v>
      </c>
      <c r="B3599" s="1" t="str">
        <f ca="1">IFERROR(__xludf.DUMMYFUNCTION("GOOGLETRANSLATE(A3599, ""zh"", ""en"")"),"Organizational structure and operations")</f>
        <v>Organizational structure and operations</v>
      </c>
      <c r="C3599" s="1" t="str">
        <f ca="1">IFERROR(__xludf.DUMMYFUNCTION("GOOGLETRANSLATE(E3599, ""zh"", ""en"")"),"Qualitative text")</f>
        <v>Qualitative text</v>
      </c>
    </row>
    <row r="3600" spans="1:3" ht="13" x14ac:dyDescent="0.15">
      <c r="A3600" s="1" t="str">
        <f ca="1">IFERROR(__xludf.DUMMYFUNCTION("GOOGLETRANSLATE(A3600, ""zh"", ""en"")"),"The company attaches great importance to the qualification and training of quality management personnel. During the reporting period, it carried out a 9-month training program for quality cadres and backbone personnel. Through various means such as course"&amp;" training projects and actual combat, a professional quality management team was built.")</f>
        <v>The company attaches great importance to the qualification and training of quality management personnel. During the reporting period, it carried out a 9-month training program for quality cadres and backbone personnel. Through various means such as course training projects and actual combat, a professional quality management team was built.</v>
      </c>
      <c r="B3600" s="1" t="str">
        <f ca="1">IFERROR(__xludf.DUMMYFUNCTION("GOOGLETRANSLATE(A3600, ""zh"", ""en"")"),"Product quality")</f>
        <v>Product quality</v>
      </c>
      <c r="C3600" s="1" t="str">
        <f ca="1">IFERROR(__xludf.DUMMYFUNCTION("GOOGLETRANSLATE(E3600, ""zh"", ""en"")"),"Qualitative text")</f>
        <v>Qualitative text</v>
      </c>
    </row>
    <row r="3601" spans="1:3" ht="13" x14ac:dyDescent="0.15">
      <c r="A3601" s="1" t="str">
        <f ca="1">IFERROR(__xludf.DUMMYFUNCTION("GOOGLETRANSLATE(A3601, ""zh"", ""en"")"),"Both parties agreed to leverage their respective core strengths and resources to further deepen school-enterprise cooperation, strengthen the integration of production and education, and strive to achieve greater breakthroughs in areas such as energy equi"&amp;"pment, engineering equipment, and the industrial Internet.")</f>
        <v>Both parties agreed to leverage their respective core strengths and resources to further deepen school-enterprise cooperation, strengthen the integration of production and education, and strive to achieve greater breakthroughs in areas such as energy equipment, engineering equipment, and the industrial Internet.</v>
      </c>
      <c r="B3601" s="1" t="str">
        <f ca="1">IFERROR(__xludf.DUMMYFUNCTION("GOOGLETRANSLATE(A3601, ""zh"", ""en"")"),"Technological innovation")</f>
        <v>Technological innovation</v>
      </c>
      <c r="C3601" s="1" t="str">
        <f ca="1">IFERROR(__xludf.DUMMYFUNCTION("GOOGLETRANSLATE(E3601, ""zh"", ""en"")"),"Qualitative text")</f>
        <v>Qualitative text</v>
      </c>
    </row>
    <row r="3602" spans="1:3" ht="13" x14ac:dyDescent="0.15">
      <c r="A3602" s="1" t="str">
        <f ca="1">IFERROR(__xludf.DUMMYFUNCTION("GOOGLETRANSLATE(A3602, ""zh"", ""en"")"),"A meeting on strengthening the supervision system for top leaders and leadership teams and the construction of a clean and honest Party style and anti-corruption work in the Central Reserve was held. A total of 270 people, including mid-level and above le"&amp;"aders of the headquarters and members of the system's disciplinary inspection staff, attended the meeting.")</f>
        <v>A meeting on strengthening the supervision system for top leaders and leadership teams and the construction of a clean and honest Party style and anti-corruption work in the Central Reserve was held. A total of 270 people, including mid-level and above leaders of the headquarters and members of the system's disciplinary inspection staff, attended the meeting.</v>
      </c>
      <c r="B3602" s="1" t="str">
        <f ca="1">IFERROR(__xludf.DUMMYFUNCTION("GOOGLETRANSLATE(A3602, ""zh"", ""en"")"),"Anti-corruption and anti-money laundering")</f>
        <v>Anti-corruption and anti-money laundering</v>
      </c>
      <c r="C3602" s="1" t="str">
        <f ca="1">IFERROR(__xludf.DUMMYFUNCTION("GOOGLETRANSLATE(E3602, ""zh"", ""en"")"),"Quantitative Text")</f>
        <v>Quantitative Text</v>
      </c>
    </row>
    <row r="3603" spans="1:3" ht="13" x14ac:dyDescent="0.15">
      <c r="A3603" s="1" t="str">
        <f ca="1">IFERROR(__xludf.DUMMYFUNCTION("GOOGLETRANSLATE(A3603, ""zh"", ""en"")"),"In 2011, the company established the only national-level laboratory in China led by a private enterprise, the National Engineering Laboratory for Big Data Collaborative Security Technology. In 2012, it was renamed the BDS National Engineering Center and i"&amp;"ncluded in the National Engineering Research Center series.")</f>
        <v>In 2011, the company established the only national-level laboratory in China led by a private enterprise, the National Engineering Laboratory for Big Data Collaborative Security Technology. In 2012, it was renamed the BDS National Engineering Center and included in the National Engineering Research Center series.</v>
      </c>
      <c r="B3603" s="1" t="str">
        <f ca="1">IFERROR(__xludf.DUMMYFUNCTION("GOOGLETRANSLATE(A3603, ""zh"", ""en"")"),"Technological innovation")</f>
        <v>Technological innovation</v>
      </c>
      <c r="C3603" s="1" t="str">
        <f ca="1">IFERROR(__xludf.DUMMYFUNCTION("GOOGLETRANSLATE(E3603, ""zh"", ""en"")"),"Qualitative text")</f>
        <v>Qualitative text</v>
      </c>
    </row>
    <row r="3604" spans="1:3" ht="13" x14ac:dyDescent="0.15">
      <c r="A3604" s="1" t="str">
        <f ca="1">IFERROR(__xludf.DUMMYFUNCTION("GOOGLETRANSLATE(A3604, ""zh"", ""en"")"),"Strictly abide by legal provisions, implement labor contract management for all employees, continuously optimize and improve relevant labor and employment rules and regulations, and sign labor contracts in compliance with the law to protect employees' leg"&amp;"al labor rights and interests, and eliminate child labor and forced labor.")</f>
        <v>Strictly abide by legal provisions, implement labor contract management for all employees, continuously optimize and improve relevant labor and employment rules and regulations, and sign labor contracts in compliance with the law to protect employees' legal labor rights and interests, and eliminate child labor and forced labor.</v>
      </c>
      <c r="B3604" s="1" t="str">
        <f ca="1">IFERROR(__xludf.DUMMYFUNCTION("GOOGLETRANSLATE(A3604, ""zh"", ""en"")"),"staff")</f>
        <v>staff</v>
      </c>
      <c r="C3604" s="1" t="str">
        <f ca="1">IFERROR(__xludf.DUMMYFUNCTION("GOOGLETRANSLATE(E3604, ""zh"", ""en"")"),"Qualitative text")</f>
        <v>Qualitative text</v>
      </c>
    </row>
    <row r="3605" spans="1:3" ht="13" x14ac:dyDescent="0.15">
      <c r="A3605" s="1" t="str">
        <f ca="1">IFERROR(__xludf.DUMMYFUNCTION("GOOGLETRANSLATE(A3605, ""zh"", ""en"")"),"Trade unions at all levels organize various popular cultural and sports activities based on employees' interests and actual needs, including table tennis, badminton, dance, football, basketball, flower arrangement, calligraphy and painting, yoga, walking,"&amp;" etc., to build a platform for employees to showcase their talents.")</f>
        <v>Trade unions at all levels organize various popular cultural and sports activities based on employees' interests and actual needs, including table tennis, badminton, dance, football, basketball, flower arrangement, calligraphy and painting, yoga, walking, etc., to build a platform for employees to showcase their talents.</v>
      </c>
      <c r="B3605" s="1" t="str">
        <f ca="1">IFERROR(__xludf.DUMMYFUNCTION("GOOGLETRANSLATE(A3605, ""zh"", ""en"")"),"staff")</f>
        <v>staff</v>
      </c>
      <c r="C3605" s="1" t="str">
        <f ca="1">IFERROR(__xludf.DUMMYFUNCTION("GOOGLETRANSLATE(E3605, ""zh"", ""en"")"),"Qualitative text")</f>
        <v>Qualitative text</v>
      </c>
    </row>
    <row r="3606" spans="1:3" ht="13" x14ac:dyDescent="0.15">
      <c r="A3606" s="1" t="str">
        <f ca="1">IFERROR(__xludf.DUMMYFUNCTION("GOOGLETRANSLATE(A3606, ""zh"", ""en"")"),"Foreign employees The number of foreign employees disclosed in the CCB Social Responsibility Report refers to local employees of foreign nationality who have signed labor contracts with CCB’s overseas institutions as of the end of the reporting period.")</f>
        <v>Foreign employees The number of foreign employees disclosed in the CCB Social Responsibility Report refers to local employees of foreign nationality who have signed labor contracts with CCB’s overseas institutions as of the end of the reporting period.</v>
      </c>
      <c r="B3606" s="1" t="str">
        <f ca="1">IFERROR(__xludf.DUMMYFUNCTION("GOOGLETRANSLATE(A3606, ""zh"", ""en"")"),"staff")</f>
        <v>staff</v>
      </c>
      <c r="C3606" s="1" t="str">
        <f ca="1">IFERROR(__xludf.DUMMYFUNCTION("GOOGLETRANSLATE(E3606, ""zh"", ""en"")"),"Qualitative text")</f>
        <v>Qualitative text</v>
      </c>
    </row>
    <row r="3607" spans="1:3" ht="13" x14ac:dyDescent="0.15">
      <c r="A3607" s="1" t="str">
        <f ca="1">IFERROR(__xludf.DUMMYFUNCTION("GOOGLETRANSLATE(A3607, ""zh"", ""en"")"),"Propose to hire or replace external audit institutions to supervise the company's internal audit system and its implementation; be responsible for communication between internal and external audit institutions; review the company's financial information a"&amp;"nd its disclosure policy; review the company's internal control system, etc.")</f>
        <v>Propose to hire or replace external audit institutions to supervise the company's internal audit system and its implementation; be responsible for communication between internal and external audit institutions; review the company's financial information and its disclosure policy; review the company's internal control system, etc.</v>
      </c>
      <c r="B3607" s="1" t="str">
        <f ca="1">IFERROR(__xludf.DUMMYFUNCTION("GOOGLETRANSLATE(A3607, ""zh"", ""en"")"),"Audit work")</f>
        <v>Audit work</v>
      </c>
      <c r="C3607" s="1" t="str">
        <f ca="1">IFERROR(__xludf.DUMMYFUNCTION("GOOGLETRANSLATE(E3607, ""zh"", ""en"")"),"Qualitative text")</f>
        <v>Qualitative text</v>
      </c>
    </row>
    <row r="3608" spans="1:3" ht="13" x14ac:dyDescent="0.15">
      <c r="A3608" s="1" t="str">
        <f ca="1">IFERROR(__xludf.DUMMYFUNCTION("GOOGLETRANSLATE(A3608, ""zh"", ""en"")"),"Sinopec is deepening international cooperation on high-end materials, biodegradable plastics, and CCUS technology. Sinopec is actively integrating into the global innovation network and implementing its ""going global"" strategy, striving to enhance its t"&amp;"echnological innovation capabilities within an open and collaborative innovation ecosystem.")</f>
        <v>Sinopec is deepening international cooperation on high-end materials, biodegradable plastics, and CCUS technology. Sinopec is actively integrating into the global innovation network and implementing its "going global" strategy, striving to enhance its technological innovation capabilities within an open and collaborative innovation ecosystem.</v>
      </c>
      <c r="B3608" s="1" t="str">
        <f ca="1">IFERROR(__xludf.DUMMYFUNCTION("GOOGLETRANSLATE(A3608, ""zh"", ""en"")"),"Technological innovation")</f>
        <v>Technological innovation</v>
      </c>
      <c r="C3608" s="1" t="str">
        <f ca="1">IFERROR(__xludf.DUMMYFUNCTION("GOOGLETRANSLATE(E3608, ""zh"", ""en"")"),"Qualitative text")</f>
        <v>Qualitative text</v>
      </c>
    </row>
    <row r="3609" spans="1:3" ht="13" x14ac:dyDescent="0.15">
      <c r="A3609" s="1" t="str">
        <f ca="1">IFERROR(__xludf.DUMMYFUNCTION("GOOGLETRANSLATE(A3609, ""zh"", ""en"")"),"In Nanjing, Jianxin Investment's subsidiary invested RMB 470 million in equity to raise over 700 affordable rental housing units, solving the housing problems of new citizens while reducing the company's financial expenses and helping it improve its opera"&amp;"tional capabilities.")</f>
        <v>In Nanjing, Jianxin Investment's subsidiary invested RMB 470 million in equity to raise over 700 affordable rental housing units, solving the housing problems of new citizens while reducing the company's financial expenses and helping it improve its operational capabilities.</v>
      </c>
      <c r="B3609" s="1" t="str">
        <f ca="1">IFERROR(__xludf.DUMMYFUNCTION("GOOGLETRANSLATE(A3609, ""zh"", ""en"")"),"Public welfare and volunteer service")</f>
        <v>Public welfare and volunteer service</v>
      </c>
      <c r="C3609" s="1" t="str">
        <f ca="1">IFERROR(__xludf.DUMMYFUNCTION("GOOGLETRANSLATE(E3609, ""zh"", ""en"")"),"Quantitative Text")</f>
        <v>Quantitative Text</v>
      </c>
    </row>
    <row r="3610" spans="1:3" ht="13" x14ac:dyDescent="0.15">
      <c r="A3610" s="1" t="str">
        <f ca="1">IFERROR(__xludf.DUMMYFUNCTION("GOOGLETRANSLATE(A3610, ""zh"", ""en"")"),"IV. Information Disclosure In 2022, the Company will strictly comply with the provisions of the Articles of Association, the Shanghai Stock Exchange Listing Rules, other relevant laws and regulations, and the insider information registration system and ot"&amp;"her regulations and systems to fulfill its information disclosure obligations.")</f>
        <v>IV. Information Disclosure In 2022, the Company will strictly comply with the provisions of the Articles of Association, the Shanghai Stock Exchange Listing Rules, other relevant laws and regulations, and the insider information registration system and other regulations and systems to fulfill its information disclosure obligations.</v>
      </c>
      <c r="B3610" s="1" t="str">
        <f ca="1">IFERROR(__xludf.DUMMYFUNCTION("GOOGLETRANSLATE(A3610, ""zh"", ""en"")"),"Information Disclosure and Investor Communication")</f>
        <v>Information Disclosure and Investor Communication</v>
      </c>
      <c r="C3610" s="1" t="str">
        <f ca="1">IFERROR(__xludf.DUMMYFUNCTION("GOOGLETRANSLATE(E3610, ""zh"", ""en"")"),"Qualitative text")</f>
        <v>Qualitative text</v>
      </c>
    </row>
    <row r="3611" spans="1:3" ht="13" x14ac:dyDescent="0.15">
      <c r="A3611" s="1" t="str">
        <f ca="1">IFERROR(__xludf.DUMMYFUNCTION("GOOGLETRANSLATE(A3611, ""zh"", ""en"")"),"The company attaches great importance to intellectual property management, strictly compiles intellectual property management manuals and procedure documents, actively carries out internal audits and certifications, and provides all-round intellectual pro"&amp;"perty protection for the company's research products, continuously improving the quantity and quality.")</f>
        <v>The company attaches great importance to intellectual property management, strictly compiles intellectual property management manuals and procedure documents, actively carries out internal audits and certifications, and provides all-round intellectual property protection for the company's research products, continuously improving the quantity and quality.</v>
      </c>
      <c r="B3611" s="1" t="str">
        <f ca="1">IFERROR(__xludf.DUMMYFUNCTION("GOOGLETRANSLATE(A3611, ""zh"", ""en"")"),"Intellectual Property Protection")</f>
        <v>Intellectual Property Protection</v>
      </c>
      <c r="C3611" s="1" t="str">
        <f ca="1">IFERROR(__xludf.DUMMYFUNCTION("GOOGLETRANSLATE(E3611, ""zh"", ""en"")"),"Qualitative text")</f>
        <v>Qualitative text</v>
      </c>
    </row>
    <row r="3612" spans="1:3" ht="13" x14ac:dyDescent="0.15">
      <c r="A3612" s="1" t="str">
        <f ca="1">IFERROR(__xludf.DUMMYFUNCTION("GOOGLETRANSLATE(A3612, ""zh"", ""en"")"),"84 Generally, according to the gender and disease status of employees, such as Yao slope performance indicators 83.1 Senior management development level B3 Related to improving the knowledge and skills of employees in performing their job responsibilities"&amp;" 75 Development and training policies")</f>
        <v>84 Generally, according to the gender and disease status of employees, such as Yao slope performance indicators 83.1 Senior management development level B3 Related to improving the knowledge and skills of employees in performing their job responsibilities 75 Development and training policies</v>
      </c>
      <c r="B3612" s="1" t="str">
        <f ca="1">IFERROR(__xludf.DUMMYFUNCTION("GOOGLETRANSLATE(A3612, ""zh"", ""en"")"),"staff")</f>
        <v>staff</v>
      </c>
      <c r="C3612" s="1" t="str">
        <f ca="1">IFERROR(__xludf.DUMMYFUNCTION("GOOGLETRANSLATE(E3612, ""zh"", ""en"")"),"Qualitative text")</f>
        <v>Qualitative text</v>
      </c>
    </row>
    <row r="3613" spans="1:3" ht="13" x14ac:dyDescent="0.15">
      <c r="A3613" s="1" t="str">
        <f ca="1">IFERROR(__xludf.DUMMYFUNCTION("GOOGLETRANSLATE(A3613, ""zh"", ""en"")"),"Total greenhouse gas emissions are calculated in tons and reported as applicable under A1.2100 Key Performance Indicator. Hazardous waste generated is calculated in tons and reported as applicable under A1.3. Density is calculated as 110 per facility per "&amp;"unit of production.")</f>
        <v>Total greenhouse gas emissions are calculated in tons and reported as applicable under A1.2100 Key Performance Indicator. Hazardous waste generated is calculated in tons and reported as applicable under A1.3. Density is calculated as 110 per facility per unit of production.</v>
      </c>
      <c r="B3613" s="1" t="str">
        <f ca="1">IFERROR(__xludf.DUMMYFUNCTION("GOOGLETRANSLATE(A3613, ""zh"", ""en"")"),"Waste Management")</f>
        <v>Waste Management</v>
      </c>
      <c r="C3613" s="1" t="str">
        <f ca="1">IFERROR(__xludf.DUMMYFUNCTION("GOOGLETRANSLATE(E3613, ""zh"", ""en"")"),"Quantitative Text")</f>
        <v>Quantitative Text</v>
      </c>
    </row>
    <row r="3614" spans="1:3" ht="13" x14ac:dyDescent="0.15">
      <c r="A3614" s="1" t="str">
        <f ca="1">IFERROR(__xludf.DUMMYFUNCTION("GOOGLETRANSLATE(A3614, ""zh"", ""en"")"),"Enriching information disclosure content The company maintains smooth communication and interaction with investors through various means such as investor hotlines, emails, performance briefings, shareholders' meetings, investor surveys, etc., and promptly"&amp;" handles and receives investors' calls, letters and visits.")</f>
        <v>Enriching information disclosure content The company maintains smooth communication and interaction with investors through various means such as investor hotlines, emails, performance briefings, shareholders' meetings, investor surveys, etc., and promptly handles and receives investors' calls, letters and visits.</v>
      </c>
      <c r="B3614" s="1" t="str">
        <f ca="1">IFERROR(__xludf.DUMMYFUNCTION("GOOGLETRANSLATE(A3614, ""zh"", ""en"")"),"Information Disclosure and Investor Communication")</f>
        <v>Information Disclosure and Investor Communication</v>
      </c>
      <c r="C3614" s="1" t="str">
        <f ca="1">IFERROR(__xludf.DUMMYFUNCTION("GOOGLETRANSLATE(E3614, ""zh"", ""en"")"),"Qualitative text")</f>
        <v>Qualitative text</v>
      </c>
    </row>
    <row r="3615" spans="1:3" ht="13" x14ac:dyDescent="0.15">
      <c r="A3615" s="1" t="str">
        <f ca="1">IFERROR(__xludf.DUMMYFUNCTION("GOOGLETRANSLATE(A3615, ""zh"", ""en"")"),"Humanwell Pharmaceutical adheres to the concept of building a company based on quality, always putting product quality and safety at the top of production and operation, strengthening the quality and safety awareness of each production unit of the company"&amp;", improving the quality management system, and carrying out quality education, training and assessment.")</f>
        <v>Humanwell Pharmaceutical adheres to the concept of building a company based on quality, always putting product quality and safety at the top of production and operation, strengthening the quality and safety awareness of each production unit of the company, improving the quality management system, and carrying out quality education, training and assessment.</v>
      </c>
      <c r="B3615" s="1" t="str">
        <f ca="1">IFERROR(__xludf.DUMMYFUNCTION("GOOGLETRANSLATE(A3615, ""zh"", ""en"")"),"Product quality")</f>
        <v>Product quality</v>
      </c>
      <c r="C3615" s="1" t="str">
        <f ca="1">IFERROR(__xludf.DUMMYFUNCTION("GOOGLETRANSLATE(E3615, ""zh"", ""en"")"),"Qualitative text")</f>
        <v>Qualitative text</v>
      </c>
    </row>
    <row r="3616" spans="1:3" ht="13" x14ac:dyDescent="0.15">
      <c r="A3616" s="1" t="str">
        <f ca="1">IFERROR(__xludf.DUMMYFUNCTION("GOOGLETRANSLATE(A3616, ""zh"", ""en"")"),"In 2022, Wuhan Puke Quality Department participated in the translation of the International Pharmaceutical Inspection Organization's Good Manufacturing Practice Guidelines and its appendix, which promoted the alignment of my country's drug quality managem"&amp;"ent with international standards and accelerated the internationalization of my country's pharmaceutical industry.")</f>
        <v>In 2022, Wuhan Puke Quality Department participated in the translation of the International Pharmaceutical Inspection Organization's Good Manufacturing Practice Guidelines and its appendix, which promoted the alignment of my country's drug quality management with international standards and accelerated the internationalization of my country's pharmaceutical industry.</v>
      </c>
      <c r="B3616" s="1" t="str">
        <f ca="1">IFERROR(__xludf.DUMMYFUNCTION("GOOGLETRANSLATE(A3616, ""zh"", ""en"")"),"Product quality")</f>
        <v>Product quality</v>
      </c>
      <c r="C3616" s="1" t="str">
        <f ca="1">IFERROR(__xludf.DUMMYFUNCTION("GOOGLETRANSLATE(E3616, ""zh"", ""en"")"),"Qualitative text")</f>
        <v>Qualitative text</v>
      </c>
    </row>
    <row r="3617" spans="1:3" ht="13" x14ac:dyDescent="0.15">
      <c r="A3617" s="1" t="str">
        <f ca="1">IFERROR(__xludf.DUMMYFUNCTION("GOOGLETRANSLATE(A3617, ""zh"", ""en"")"),"In 2022, the company organized 4 offline training sessions on anti-corruption and anti-fraud, 5 online training sessions, and published 12 issues of compliance e-newsletters. The average anti-corruption training time per person exceeded 12 hours, and the "&amp;"coverage rate of anti-corruption and anti-fraud training for employees was 100%.")</f>
        <v>In 2022, the company organized 4 offline training sessions on anti-corruption and anti-fraud, 5 online training sessions, and published 12 issues of compliance e-newsletters. The average anti-corruption training time per person exceeded 12 hours, and the coverage rate of anti-corruption and anti-fraud training for employees was 100%.</v>
      </c>
      <c r="B3617" s="1" t="str">
        <f ca="1">IFERROR(__xludf.DUMMYFUNCTION("GOOGLETRANSLATE(A3617, ""zh"", ""en"")"),"Anti-corruption and anti-money laundering")</f>
        <v>Anti-corruption and anti-money laundering</v>
      </c>
      <c r="C3617" s="1" t="str">
        <f ca="1">IFERROR(__xludf.DUMMYFUNCTION("GOOGLETRANSLATE(E3617, ""zh"", ""en"")"),"Quantitative Text")</f>
        <v>Quantitative Text</v>
      </c>
    </row>
    <row r="3618" spans="1:3" ht="13" x14ac:dyDescent="0.15">
      <c r="A3618" s="1" t="str">
        <f ca="1">IFERROR(__xludf.DUMMYFUNCTION("GOOGLETRANSLATE(A3618, ""zh"", ""en"")"),"Internal employees actively participate in internal recommendation activities and actively recommend relevant systems and processes such as corporate bonuses. Improve internal employees' family spirit and identify with the company's strategic cultural val"&amp;"ues. The recommendation mechanism helps build a first-class talent team.")</f>
        <v>Internal employees actively participate in internal recommendation activities and actively recommend relevant systems and processes such as corporate bonuses. Improve internal employees' family spirit and identify with the company's strategic cultural values. The recommendation mechanism helps build a first-class talent team.</v>
      </c>
      <c r="B3618" s="1" t="str">
        <f ca="1">IFERROR(__xludf.DUMMYFUNCTION("GOOGLETRANSLATE(A3618, ""zh"", ""en"")"),"staff")</f>
        <v>staff</v>
      </c>
      <c r="C3618" s="1" t="str">
        <f ca="1">IFERROR(__xludf.DUMMYFUNCTION("GOOGLETRANSLATE(E3618, ""zh"", ""en"")"),"Qualitative text")</f>
        <v>Qualitative text</v>
      </c>
    </row>
    <row r="3619" spans="1:3" ht="13" x14ac:dyDescent="0.15">
      <c r="A3619" s="1" t="str">
        <f ca="1">IFERROR(__xludf.DUMMYFUNCTION("GOOGLETRANSLATE(A3619, ""zh"", ""en"")"),"In addition to the comprehensive immersion training program, we expanded the scope of management training and new employee training in 2022. We also organized a Fosun One training camp for graduates who need leadership development at the management level "&amp;"of each member company.")</f>
        <v>In addition to the comprehensive immersion training program, we expanded the scope of management training and new employee training in 2022. We also organized a Fosun One training camp for graduates who need leadership development at the management level of each member company.</v>
      </c>
      <c r="B3619" s="1" t="str">
        <f ca="1">IFERROR(__xludf.DUMMYFUNCTION("GOOGLETRANSLATE(A3619, ""zh"", ""en"")"),"staff")</f>
        <v>staff</v>
      </c>
      <c r="C3619" s="1" t="str">
        <f ca="1">IFERROR(__xludf.DUMMYFUNCTION("GOOGLETRANSLATE(E3619, ""zh"", ""en"")"),"Qualitative text")</f>
        <v>Qualitative text</v>
      </c>
    </row>
    <row r="3620" spans="1:3" ht="13" x14ac:dyDescent="0.15">
      <c r="A3620" s="1" t="str">
        <f ca="1">IFERROR(__xludf.DUMMYFUNCTION("GOOGLETRANSLATE(A3620, ""zh"", ""en"")"),"The Group and its member companies have further accelerated the elimination of obsolete equipment and production processes in their efforts to achieve carbon peak, strictly implemented environmental protection and pollution control responsibilities, and e"&amp;"arnestly fulfilled their corporate environmental responsibilities, which has been fully recognized by all levels and departments.")</f>
        <v>The Group and its member companies have further accelerated the elimination of obsolete equipment and production processes in their efforts to achieve carbon peak, strictly implemented environmental protection and pollution control responsibilities, and earnestly fulfilled their corporate environmental responsibilities, which has been fully recognized by all levels and departments.</v>
      </c>
      <c r="B3620" s="1" t="str">
        <f ca="1">IFERROR(__xludf.DUMMYFUNCTION("GOOGLETRANSLATE(A3620, ""zh"", ""en"")"),"carbon emissions")</f>
        <v>carbon emissions</v>
      </c>
      <c r="C3620" s="1" t="str">
        <f ca="1">IFERROR(__xludf.DUMMYFUNCTION("GOOGLETRANSLATE(E3620, ""zh"", ""en"")"),"Qualitative text")</f>
        <v>Qualitative text</v>
      </c>
    </row>
    <row r="3621" spans="1:3" ht="13" x14ac:dyDescent="0.15">
      <c r="A3621" s="1" t="str">
        <f ca="1">IFERROR(__xludf.DUMMYFUNCTION("GOOGLETRANSLATE(A3621, ""zh"", ""en"")"),"In 2022, Livzon Group, a subsidiary of Kangyuan Holdings, provided a 6-month EMBA and MBA program for middle and senior management staff to enhance their knowledge of corporate management and enhance their efficient management and operation team.")</f>
        <v>In 2022, Livzon Group, a subsidiary of Kangyuan Holdings, provided a 6-month EMBA and MBA program for middle and senior management staff to enhance their knowledge of corporate management and enhance their efficient management and operation team.</v>
      </c>
      <c r="B3621" s="1" t="str">
        <f ca="1">IFERROR(__xludf.DUMMYFUNCTION("GOOGLETRANSLATE(A3621, ""zh"", ""en"")"),"staff")</f>
        <v>staff</v>
      </c>
      <c r="C3621" s="1" t="str">
        <f ca="1">IFERROR(__xludf.DUMMYFUNCTION("GOOGLETRANSLATE(E3621, ""zh"", ""en"")"),"Qualitative text")</f>
        <v>Qualitative text</v>
      </c>
    </row>
    <row r="3622" spans="1:3" ht="13" x14ac:dyDescent="0.15">
      <c r="A3622" s="1" t="str">
        <f ca="1">IFERROR(__xludf.DUMMYFUNCTION("GOOGLETRANSLATE(A3622, ""zh"", ""en"")"),"In addition to its clear clinical efficacy, the blood concentration of tobramycin after nebulized inhalation is at an absolutely safe level, without causing ototoxicity and nephrotoxicity and without increasing the risk of drug resistance. Its successful "&amp;"launch has brought better medication options to Chinese patients with bronchiectasis.")</f>
        <v>In addition to its clear clinical efficacy, the blood concentration of tobramycin after nebulized inhalation is at an absolutely safe level, without causing ototoxicity and nephrotoxicity and without increasing the risk of drug resistance. Its successful launch has brought better medication options to Chinese patients with bronchiectasis.</v>
      </c>
      <c r="B3622" s="1" t="str">
        <f ca="1">IFERROR(__xludf.DUMMYFUNCTION("GOOGLETRANSLATE(A3622, ""zh"", ""en"")"),"Product quality")</f>
        <v>Product quality</v>
      </c>
      <c r="C3622" s="1" t="str">
        <f ca="1">IFERROR(__xludf.DUMMYFUNCTION("GOOGLETRANSLATE(E3622, ""zh"", ""en"")"),"Qualitative text")</f>
        <v>Qualitative text</v>
      </c>
    </row>
    <row r="3623" spans="1:3" ht="13" x14ac:dyDescent="0.15">
      <c r="A3623" s="1" t="str">
        <f ca="1">IFERROR(__xludf.DUMMYFUNCTION("GOOGLETRANSLATE(A3623, ""zh"", ""en"")"),"In 2022, we will continue to do the following work: First, while steadily advancing capacity expansion and upstream and downstream integration, we will promote high-end, differentiated, and large-scale development, build high-tech, high-quality, and high-"&amp;"value-added products, and do a good job in safety and environmental protection.")</f>
        <v>In 2022, we will continue to do the following work: First, while steadily advancing capacity expansion and upstream and downstream integration, we will promote high-end, differentiated, and large-scale development, build high-tech, high-quality, and high-value-added products, and do a good job in safety and environmental protection.</v>
      </c>
      <c r="B3623" s="1" t="str">
        <f ca="1">IFERROR(__xludf.DUMMYFUNCTION("GOOGLETRANSLATE(A3623, ""zh"", ""en"")"),"Environmental Policy")</f>
        <v>Environmental Policy</v>
      </c>
      <c r="C3623" s="1" t="str">
        <f ca="1">IFERROR(__xludf.DUMMYFUNCTION("GOOGLETRANSLATE(E3623, ""zh"", ""en"")"),"Qualitative text")</f>
        <v>Qualitative text</v>
      </c>
    </row>
    <row r="3624" spans="1:3" ht="13" x14ac:dyDescent="0.15">
      <c r="A3624" s="1" t="str">
        <f ca="1">IFERROR(__xludf.DUMMYFUNCTION("GOOGLETRANSLATE(A3624, ""zh"", ""en"")"),"In 2022, the company underwrote 129 green bonds, including asset-backed securities, with a financing scale of 273.7 billion yuan and an underwriting scale of 65.1 billion yuan. At the same time, the company participated in multiple green equity investment"&amp;" and financing projects to promote green and low-carbon development.")</f>
        <v>In 2022, the company underwrote 129 green bonds, including asset-backed securities, with a financing scale of 273.7 billion yuan and an underwriting scale of 65.1 billion yuan. At the same time, the company participated in multiple green equity investment and financing projects to promote green and low-carbon development.</v>
      </c>
      <c r="B3624" s="1" t="str">
        <f ca="1">IFERROR(__xludf.DUMMYFUNCTION("GOOGLETRANSLATE(A3624, ""zh"", ""en"")"),"Green Finance")</f>
        <v>Green Finance</v>
      </c>
      <c r="C3624" s="1" t="str">
        <f ca="1">IFERROR(__xludf.DUMMYFUNCTION("GOOGLETRANSLATE(E3624, ""zh"", ""en"")"),"Quantitative Text")</f>
        <v>Quantitative Text</v>
      </c>
    </row>
    <row r="3625" spans="1:3" ht="13" x14ac:dyDescent="0.15">
      <c r="A3625" s="1" t="str">
        <f ca="1">IFERROR(__xludf.DUMMYFUNCTION("GOOGLETRANSLATE(A3625, ""zh"", ""en"")"),"This column has currently published articles and activities related to carbon reduction, such as ""Practicing Dual Carbon Benefits and Walking Together"", aiming to encourage and lead more people to embark on this unprecedented dual carbon journey and wor"&amp;"k with more people to achieve a better future.")</f>
        <v>This column has currently published articles and activities related to carbon reduction, such as "Practicing Dual Carbon Benefits and Walking Together", aiming to encourage and lead more people to embark on this unprecedented dual carbon journey and work with more people to achieve a better future.</v>
      </c>
      <c r="B3625" s="1" t="str">
        <f ca="1">IFERROR(__xludf.DUMMYFUNCTION("GOOGLETRANSLATE(A3625, ""zh"", ""en"")"),"carbon emissions")</f>
        <v>carbon emissions</v>
      </c>
      <c r="C3625" s="1" t="str">
        <f ca="1">IFERROR(__xludf.DUMMYFUNCTION("GOOGLETRANSLATE(E3625, ""zh"", ""en"")"),"Qualitative text")</f>
        <v>Qualitative text</v>
      </c>
    </row>
    <row r="3626" spans="1:3" ht="13" x14ac:dyDescent="0.15">
      <c r="A3626" s="1" t="str">
        <f ca="1">IFERROR(__xludf.DUMMYFUNCTION("GOOGLETRANSLATE(A3626, ""zh"", ""en"")"),"Based on the satisfaction survey results, the Human Resources Department will communicate with relevant persons in charge to identify with the company and provide suggestions, sort out the feasibility of optimizing human resources management, and continuo"&amp;"usly improve and create an efficient, collaborative, positive and healthy working atmosphere.")</f>
        <v>Based on the satisfaction survey results, the Human Resources Department will communicate with relevant persons in charge to identify with the company and provide suggestions, sort out the feasibility of optimizing human resources management, and continuously improve and create an efficient, collaborative, positive and healthy working atmosphere.</v>
      </c>
      <c r="B3626" s="1" t="str">
        <f ca="1">IFERROR(__xludf.DUMMYFUNCTION("GOOGLETRANSLATE(A3626, ""zh"", ""en"")"),"staff")</f>
        <v>staff</v>
      </c>
      <c r="C3626" s="1" t="str">
        <f ca="1">IFERROR(__xludf.DUMMYFUNCTION("GOOGLETRANSLATE(E3626, ""zh"", ""en"")"),"Qualitative text")</f>
        <v>Qualitative text</v>
      </c>
    </row>
    <row r="3627" spans="1:3" ht="13" x14ac:dyDescent="0.15">
      <c r="A3627" s="1" t="str">
        <f ca="1">IFERROR(__xludf.DUMMYFUNCTION("GOOGLETRANSLATE(A3627, ""zh"", ""en"")"),"The company strictly abides by the requirements of the Labor Law, Fire Protection Law, Production Safety Law and other laws and regulations, continuously establishes and improves the labor safety and health system, earnestly implements national labor safe"&amp;"ty and health regulations and standards, and provides labor safety and health education for workers.")</f>
        <v>The company strictly abides by the requirements of the Labor Law, Fire Protection Law, Production Safety Law and other laws and regulations, continuously establishes and improves the labor safety and health system, earnestly implements national labor safety and health regulations and standards, and provides labor safety and health education for workers.</v>
      </c>
      <c r="B3627" s="1" t="str">
        <f ca="1">IFERROR(__xludf.DUMMYFUNCTION("GOOGLETRANSLATE(A3627, ""zh"", ""en"")"),"staff")</f>
        <v>staff</v>
      </c>
      <c r="C3627" s="1" t="str">
        <f ca="1">IFERROR(__xludf.DUMMYFUNCTION("GOOGLETRANSLATE(E3627, ""zh"", ""en"")"),"Qualitative text")</f>
        <v>Qualitative text</v>
      </c>
    </row>
    <row r="3628" spans="1:3" ht="13" x14ac:dyDescent="0.15">
      <c r="A3628" s="1" t="str">
        <f ca="1">IFERROR(__xludf.DUMMYFUNCTION("GOOGLETRANSLATE(A3628, ""zh"", ""en"")"),"Quantification: This report follows the ESG reporting guidelines, references applicable quantitative standards and practices, uses quantitative methods to measure and disclose applicable key performance indicators, and sets environmental goals that includ"&amp;"e actual figures and directional statements.")</f>
        <v>Quantification: This report follows the ESG reporting guidelines, references applicable quantitative standards and practices, uses quantitative methods to measure and disclose applicable key performance indicators, and sets environmental goals that include actual figures and directional statements.</v>
      </c>
      <c r="B3628" s="1" t="str">
        <f ca="1">IFERROR(__xludf.DUMMYFUNCTION("GOOGLETRANSLATE(A3628, ""zh"", ""en"")"),"irrelevant text")</f>
        <v>irrelevant text</v>
      </c>
      <c r="C3628" s="1" t="str">
        <f ca="1">IFERROR(__xludf.DUMMYFUNCTION("GOOGLETRANSLATE(E3628, ""zh"", ""en"")"),"irrelevant text")</f>
        <v>irrelevant text</v>
      </c>
    </row>
    <row r="3629" spans="1:3" ht="13" x14ac:dyDescent="0.15">
      <c r="A3629" s="1" t="str">
        <f ca="1">IFERROR(__xludf.DUMMYFUNCTION("GOOGLETRANSLATE(A3629, ""zh"", ""en"")"),"We insist on focusing on technology and talent, building a R&amp;D system with clear boundaries and distinct levels, constructing an open, collaborative, agile and efficient R&amp;D ecosystem for Shanghai Electric, and opening up new talent recruitment mechanisms"&amp;" to provide solid talent support for the healthy development of the industry.")</f>
        <v>We insist on focusing on technology and talent, building a R&amp;D system with clear boundaries and distinct levels, constructing an open, collaborative, agile and efficient R&amp;D ecosystem for Shanghai Electric, and opening up new talent recruitment mechanisms to provide solid talent support for the healthy development of the industry.</v>
      </c>
      <c r="B3629" s="1" t="str">
        <f ca="1">IFERROR(__xludf.DUMMYFUNCTION("GOOGLETRANSLATE(A3629, ""zh"", ""en"")"),"Technological innovation")</f>
        <v>Technological innovation</v>
      </c>
      <c r="C3629" s="1" t="str">
        <f ca="1">IFERROR(__xludf.DUMMYFUNCTION("GOOGLETRANSLATE(E3629, ""zh"", ""en"")"),"Qualitative text")</f>
        <v>Qualitative text</v>
      </c>
    </row>
    <row r="3630" spans="1:3" ht="13" x14ac:dyDescent="0.15">
      <c r="A3630" s="1" t="str">
        <f ca="1">IFERROR(__xludf.DUMMYFUNCTION("GOOGLETRANSLATE(A3630, ""zh"", ""en"")"),"The company conscientiously implements democratic management and regularly holds employee representative conferences. When revising systems that affect the vital interests of employees, it fully communicates with the trade union or employee representative"&amp;"s and negotiates on an equal footing, strictly following democratic procedures such as soliciting employee opinions.")</f>
        <v>The company conscientiously implements democratic management and regularly holds employee representative conferences. When revising systems that affect the vital interests of employees, it fully communicates with the trade union or employee representatives and negotiates on an equal footing, strictly following democratic procedures such as soliciting employee opinions.</v>
      </c>
      <c r="B3630" s="1" t="str">
        <f ca="1">IFERROR(__xludf.DUMMYFUNCTION("GOOGLETRANSLATE(A3630, ""zh"", ""en"")"),"staff")</f>
        <v>staff</v>
      </c>
      <c r="C3630" s="1" t="str">
        <f ca="1">IFERROR(__xludf.DUMMYFUNCTION("GOOGLETRANSLATE(E3630, ""zh"", ""en"")"),"Qualitative text")</f>
        <v>Qualitative text</v>
      </c>
    </row>
    <row r="3631" spans="1:3" ht="13" x14ac:dyDescent="0.15">
      <c r="A3631" s="1" t="str">
        <f ca="1">IFERROR(__xludf.DUMMYFUNCTION("GOOGLETRANSLATE(A3631, ""zh"", ""en"")"),"The company's board of supervisors has actively explored and practiced the application of the results of the full supervision of the organizational structure, system, working mechanism and other aspects in accordance with the corporate governance guidelin"&amp;"es for listed companies and the requirements of state-owned assets supervision, and has achieved remarkable results.")</f>
        <v>The company's board of supervisors has actively explored and practiced the application of the results of the full supervision of the organizational structure, system, working mechanism and other aspects in accordance with the corporate governance guidelines for listed companies and the requirements of state-owned assets supervision, and has achieved remarkable results.</v>
      </c>
      <c r="B3631" s="1" t="str">
        <f ca="1">IFERROR(__xludf.DUMMYFUNCTION("GOOGLETRANSLATE(A3631, ""zh"", ""en"")"),"Organizational structure and operations")</f>
        <v>Organizational structure and operations</v>
      </c>
      <c r="C3631" s="1" t="str">
        <f ca="1">IFERROR(__xludf.DUMMYFUNCTION("GOOGLETRANSLATE(E3631, ""zh"", ""en"")"),"Qualitative text")</f>
        <v>Qualitative text</v>
      </c>
    </row>
    <row r="3632" spans="1:3" ht="13" x14ac:dyDescent="0.15">
      <c r="A3632" s="1" t="str">
        <f ca="1">IFERROR(__xludf.DUMMYFUNCTION("GOOGLETRANSLATE(A3632, ""zh"", ""en"")"),"In addition, we have formulated a company emergency plan for environmental emergencies to report, handle and hold people accountable for environmental emergencies. We have also established a long-term governance mechanism for environmental management by c"&amp;"ombining regular prevention and control with emergency response.")</f>
        <v>In addition, we have formulated a company emergency plan for environmental emergencies to report, handle and hold people accountable for environmental emergencies. We have also established a long-term governance mechanism for environmental management by combining regular prevention and control with emergency response.</v>
      </c>
      <c r="B3632" s="1" t="str">
        <f ca="1">IFERROR(__xludf.DUMMYFUNCTION("GOOGLETRANSLATE(A3632, ""zh"", ""en"")"),"Environmental Policy")</f>
        <v>Environmental Policy</v>
      </c>
      <c r="C3632" s="1" t="str">
        <f ca="1">IFERROR(__xludf.DUMMYFUNCTION("GOOGLETRANSLATE(E3632, ""zh"", ""en"")"),"Qualitative text")</f>
        <v>Qualitative text</v>
      </c>
    </row>
    <row r="3633" spans="1:3" ht="13" x14ac:dyDescent="0.15">
      <c r="A3633" s="1" t="str">
        <f ca="1">IFERROR(__xludf.DUMMYFUNCTION("GOOGLETRANSLATE(A3633, ""zh"", ""en"")"),"Employee Rights and Interests Employee Recruitment Full-time Employees Regional Distribution 1492 Overseas China 379 Tibet Mount Everest Fully consider employee demands in company operations Open up channels for employee opinion exchange and feedback Esta"&amp;"blish a horizontal and vertical dual-channel communication mechanism")</f>
        <v>Employee Rights and Interests Employee Recruitment Full-time Employees Regional Distribution 1492 Overseas China 379 Tibet Mount Everest Fully consider employee demands in company operations Open up channels for employee opinion exchange and feedback Establish a horizontal and vertical dual-channel communication mechanism</v>
      </c>
      <c r="B3633" s="1" t="str">
        <f ca="1">IFERROR(__xludf.DUMMYFUNCTION("GOOGLETRANSLATE(A3633, ""zh"", ""en"")"),"staff")</f>
        <v>staff</v>
      </c>
      <c r="C3633" s="1" t="str">
        <f ca="1">IFERROR(__xludf.DUMMYFUNCTION("GOOGLETRANSLATE(E3633, ""zh"", ""en"")"),"Quantitative Text")</f>
        <v>Quantitative Text</v>
      </c>
    </row>
    <row r="3634" spans="1:3" ht="13" x14ac:dyDescent="0.15">
      <c r="A3634" s="1" t="str">
        <f ca="1">IFERROR(__xludf.DUMMYFUNCTION("GOOGLETRANSLATE(A3634, ""zh"", ""en"")"),"The company has been carrying out social welfare projects and volunteer activities across the country for many years, gradually exploring and forming a number of assistance models with petrochemical characteristics, committed to alleviating people's livel"&amp;"ihood concerns, seeking benefits for people's livelihood, and making petrochemical contributions to social development and progress.")</f>
        <v>The company has been carrying out social welfare projects and volunteer activities across the country for many years, gradually exploring and forming a number of assistance models with petrochemical characteristics, committed to alleviating people's livelihood concerns, seeking benefits for people's livelihood, and making petrochemical contributions to social development and progress.</v>
      </c>
      <c r="B3634" s="1" t="str">
        <f ca="1">IFERROR(__xludf.DUMMYFUNCTION("GOOGLETRANSLATE(A3634, ""zh"", ""en"")"),"Public welfare and volunteer service")</f>
        <v>Public welfare and volunteer service</v>
      </c>
      <c r="C3634" s="1" t="str">
        <f ca="1">IFERROR(__xludf.DUMMYFUNCTION("GOOGLETRANSLATE(E3634, ""zh"", ""en"")"),"Qualitative text")</f>
        <v>Qualitative text</v>
      </c>
    </row>
    <row r="3635" spans="1:3" ht="13" x14ac:dyDescent="0.15">
      <c r="A3635" s="1" t="str">
        <f ca="1">IFERROR(__xludf.DUMMYFUNCTION("GOOGLETRANSLATE(A3635, ""zh"", ""en"")"),"In terms of inhalation preparations, Kangyuan has launched 7 varieties and 11 specifications of products, and more than 30 respiratory products are under development, successfully achieving coverage of all categories of inhaled treatment drugs for asthma "&amp;"and COPD with existing and under-development products.")</f>
        <v>In terms of inhalation preparations, Kangyuan has launched 7 varieties and 11 specifications of products, and more than 30 respiratory products are under development, successfully achieving coverage of all categories of inhaled treatment drugs for asthma and COPD with existing and under-development products.</v>
      </c>
      <c r="B3635" s="1" t="str">
        <f ca="1">IFERROR(__xludf.DUMMYFUNCTION("GOOGLETRANSLATE(A3635, ""zh"", ""en"")"),"Product quality")</f>
        <v>Product quality</v>
      </c>
      <c r="C3635" s="1" t="str">
        <f ca="1">IFERROR(__xludf.DUMMYFUNCTION("GOOGLETRANSLATE(E3635, ""zh"", ""en"")"),"Quantitative Text")</f>
        <v>Quantitative Text</v>
      </c>
    </row>
    <row r="3636" spans="1:3" ht="13" x14ac:dyDescent="0.15">
      <c r="A3636" s="1" t="str">
        <f ca="1">IFERROR(__xludf.DUMMYFUNCTION("GOOGLETRANSLATE(A3636, ""zh"", ""en"")"),"The company actively integrates into the national carbon peak and carbon neutrality strategic goals, guides funds to flow into low-carbon industries, and deeply cultivates green investment, green trust, green guarantee, green leasing and other fields, sup"&amp;"porting the development of the green economy through diversified financial products and services.")</f>
        <v>The company actively integrates into the national carbon peak and carbon neutrality strategic goals, guides funds to flow into low-carbon industries, and deeply cultivates green investment, green trust, green guarantee, green leasing and other fields, supporting the development of the green economy through diversified financial products and services.</v>
      </c>
      <c r="B3636" s="1" t="str">
        <f ca="1">IFERROR(__xludf.DUMMYFUNCTION("GOOGLETRANSLATE(A3636, ""zh"", ""en"")"),"carbon emissions")</f>
        <v>carbon emissions</v>
      </c>
      <c r="C3636" s="1" t="str">
        <f ca="1">IFERROR(__xludf.DUMMYFUNCTION("GOOGLETRANSLATE(E3636, ""zh"", ""en"")"),"Qualitative text")</f>
        <v>Qualitative text</v>
      </c>
    </row>
    <row r="3637" spans="1:3" ht="13" x14ac:dyDescent="0.15">
      <c r="A3637" s="1" t="str">
        <f ca="1">IFERROR(__xludf.DUMMYFUNCTION("GOOGLETRANSLATE(A3637, ""zh"", ""en"")"),"Kangyuan focuses on respiratory diseases and has established a new media platform, Matrix Respiratory Experts, to provide the public with popular science education on chronic respiratory diseases and an authoritative disease management platform through ne"&amp;"w media channels such as WeChat public accounts, Douyin, and Weibo.")</f>
        <v>Kangyuan focuses on respiratory diseases and has established a new media platform, Matrix Respiratory Experts, to provide the public with popular science education on chronic respiratory diseases and an authoritative disease management platform through new media channels such as WeChat public accounts, Douyin, and Weibo.</v>
      </c>
      <c r="B3637" s="1" t="str">
        <f ca="1">IFERROR(__xludf.DUMMYFUNCTION("GOOGLETRANSLATE(A3637, ""zh"", ""en"")"),"Fighting the epidemic")</f>
        <v>Fighting the epidemic</v>
      </c>
      <c r="C3637" s="1" t="str">
        <f ca="1">IFERROR(__xludf.DUMMYFUNCTION("GOOGLETRANSLATE(E3637, ""zh"", ""en"")"),"Qualitative text")</f>
        <v>Qualitative text</v>
      </c>
    </row>
    <row r="3638" spans="1:3" ht="13" x14ac:dyDescent="0.15">
      <c r="A3638" s="1" t="str">
        <f ca="1">IFERROR(__xludf.DUMMYFUNCTION("GOOGLETRANSLATE(A3638, ""zh"", ""en"")"),"As of the end of the reporting period, a total of 109 suppliers of the Group and its subsidiaries have passed the ISO14001 environmental management system certification and a total of 83 suppliers have passed the ISO45001 occupational health and safety ma"&amp;"nagement system certification.")</f>
        <v>As of the end of the reporting period, a total of 109 suppliers of the Group and its subsidiaries have passed the ISO14001 environmental management system certification and a total of 83 suppliers have passed the ISO45001 occupational health and safety management system certification.</v>
      </c>
      <c r="B3638" s="1" t="str">
        <f ca="1">IFERROR(__xludf.DUMMYFUNCTION("GOOGLETRANSLATE(A3638, ""zh"", ""en"")"),"supply chain management")</f>
        <v>supply chain management</v>
      </c>
      <c r="C3638" s="1" t="str">
        <f ca="1">IFERROR(__xludf.DUMMYFUNCTION("GOOGLETRANSLATE(E3638, ""zh"", ""en"")"),"Quantitative Text")</f>
        <v>Quantitative Text</v>
      </c>
    </row>
    <row r="3639" spans="1:3" ht="13" x14ac:dyDescent="0.15">
      <c r="A3639" s="1" t="str">
        <f ca="1">IFERROR(__xludf.DUMMYFUNCTION("GOOGLETRANSLATE(A3639, ""zh"", ""en"")"),"Research advanced CCUS technologies, with the focus on improving the clean utilization of fossil energy and upgrading the industrial chain to zero carbon, and prioritize the strategic planning and construction of CCUS regional industrial centers in Songli"&amp;"ao, Junggar, Ordos, Tarim, Hainan, and other regions.")</f>
        <v>Research advanced CCUS technologies, with the focus on improving the clean utilization of fossil energy and upgrading the industrial chain to zero carbon, and prioritize the strategic planning and construction of CCUS regional industrial centers in Songliao, Junggar, Ordos, Tarim, Hainan, and other regions.</v>
      </c>
      <c r="B3639" s="1" t="str">
        <f ca="1">IFERROR(__xludf.DUMMYFUNCTION("GOOGLETRANSLATE(A3639, ""zh"", ""en"")"),"carbon emissions")</f>
        <v>carbon emissions</v>
      </c>
      <c r="C3639" s="1" t="str">
        <f ca="1">IFERROR(__xludf.DUMMYFUNCTION("GOOGLETRANSLATE(E3639, ""zh"", ""en"")"),"Qualitative text")</f>
        <v>Qualitative text</v>
      </c>
    </row>
    <row r="3640" spans="1:3" ht="13" x14ac:dyDescent="0.15">
      <c r="A3640" s="1" t="str">
        <f ca="1">IFERROR(__xludf.DUMMYFUNCTION("GOOGLETRANSLATE(A3640, ""zh"", ""en"")"),"The company strictly implements external regulatory requirements, meets internal management improvement requirements, and continuously optimizes and improves regulations and systems in various fields such as finance, capital, engineering construction, mat"&amp;"erial supply, bidding management, safety, environmental protection, quality, and health, to promote a more complete system.")</f>
        <v>The company strictly implements external regulatory requirements, meets internal management improvement requirements, and continuously optimizes and improves regulations and systems in various fields such as finance, capital, engineering construction, material supply, bidding management, safety, environmental protection, quality, and health, to promote a more complete system.</v>
      </c>
      <c r="B3640" s="1" t="str">
        <f ca="1">IFERROR(__xludf.DUMMYFUNCTION("GOOGLETRANSLATE(A3640, ""zh"", ""en"")"),"irrelevant text")</f>
        <v>irrelevant text</v>
      </c>
      <c r="C3640" s="1" t="str">
        <f ca="1">IFERROR(__xludf.DUMMYFUNCTION("GOOGLETRANSLATE(E3640, ""zh"", ""en"")"),"irrelevant text")</f>
        <v>irrelevant text</v>
      </c>
    </row>
    <row r="3641" spans="1:3" ht="13" x14ac:dyDescent="0.15">
      <c r="A3641" s="1" t="str">
        <f ca="1">IFERROR(__xludf.DUMMYFUNCTION("GOOGLETRANSLATE(A3641, ""zh"", ""en"")"),"COSL's full-lifecycle mechanical water control technology helps offshore oilfields stabilize oil production and increase production. In 2022, COSL's acidizing services in the HCML project in Indonesia helped increase the average open flow rate of a single"&amp;" well by more than double the design value.")</f>
        <v>COSL's full-lifecycle mechanical water control technology helps offshore oilfields stabilize oil production and increase production. In 2022, COSL's acidizing services in the HCML project in Indonesia helped increase the average open flow rate of a single well by more than double the design value.</v>
      </c>
      <c r="B3641" s="1" t="str">
        <f ca="1">IFERROR(__xludf.DUMMYFUNCTION("GOOGLETRANSLATE(A3641, ""zh"", ""en"")"),"Water resources")</f>
        <v>Water resources</v>
      </c>
      <c r="C3641" s="1" t="str">
        <f ca="1">IFERROR(__xludf.DUMMYFUNCTION("GOOGLETRANSLATE(E3641, ""zh"", ""en"")"),"Quantitative Text")</f>
        <v>Quantitative Text</v>
      </c>
    </row>
    <row r="3642" spans="1:3" ht="13" x14ac:dyDescent="0.15">
      <c r="A3642" s="1" t="str">
        <f ca="1">IFERROR(__xludf.DUMMYFUNCTION("GOOGLETRANSLATE(A3642, ""zh"", ""en"")"),"The company carried out a total of 118 QC group activities throughout the year. In the group company's 2022 quality management group activity outstanding results selection, a total of 18 groups including the Snake Manufacturing QC Group won the title of O"&amp;"utstanding QC Group Activity")</f>
        <v>The company carried out a total of 118 QC group activities throughout the year. In the group company's 2022 quality management group activity outstanding results selection, a total of 18 groups including the Snake Manufacturing QC Group won the title of Outstanding QC Group Activity</v>
      </c>
      <c r="B3642" s="1" t="str">
        <f ca="1">IFERROR(__xludf.DUMMYFUNCTION("GOOGLETRANSLATE(A3642, ""zh"", ""en"")"),"Product quality")</f>
        <v>Product quality</v>
      </c>
      <c r="C3642" s="1" t="str">
        <f ca="1">IFERROR(__xludf.DUMMYFUNCTION("GOOGLETRANSLATE(E3642, ""zh"", ""en"")"),"Quantitative Text")</f>
        <v>Quantitative Text</v>
      </c>
    </row>
    <row r="3643" spans="1:3" ht="13" x14ac:dyDescent="0.15">
      <c r="A3643" s="1" t="str">
        <f ca="1">IFERROR(__xludf.DUMMYFUNCTION("GOOGLETRANSLATE(A3643, ""zh"", ""en"")"),"Malignant Hyperthermia (MH) is a rare genetic disease that can cause perioperative death due to conventional anesthetics. It has a very low incidence rate but a very high mortality rate.")</f>
        <v>Malignant Hyperthermia (MH) is a rare genetic disease that can cause perioperative death due to conventional anesthetics. It has a very low incidence rate but a very high mortality rate.</v>
      </c>
      <c r="B3643" s="1" t="str">
        <f ca="1">IFERROR(__xludf.DUMMYFUNCTION("GOOGLETRANSLATE(A3643, ""zh"", ""en"")"),"irrelevant text")</f>
        <v>irrelevant text</v>
      </c>
      <c r="C3643" s="1" t="str">
        <f ca="1">IFERROR(__xludf.DUMMYFUNCTION("GOOGLETRANSLATE(E3643, ""zh"", ""en"")"),"irrelevant text")</f>
        <v>irrelevant text</v>
      </c>
    </row>
    <row r="3644" spans="1:3" ht="13" x14ac:dyDescent="0.15">
      <c r="A3644" s="1" t="str">
        <f ca="1">IFERROR(__xludf.DUMMYFUNCTION("GOOGLETRANSLATE(A3644, ""zh"", ""en"")"),"In 2022, the audit and supervision department will audit all subsidiaries in accordance with the audit plan, carry out special audits on three subsidiaries, and participate in the internal audit work of the holding subsidiaries. The audit scope basically "&amp;"covers the entire business process module of the enterprise.")</f>
        <v>In 2022, the audit and supervision department will audit all subsidiaries in accordance with the audit plan, carry out special audits on three subsidiaries, and participate in the internal audit work of the holding subsidiaries. The audit scope basically covers the entire business process module of the enterprise.</v>
      </c>
      <c r="B3644" s="1" t="str">
        <f ca="1">IFERROR(__xludf.DUMMYFUNCTION("GOOGLETRANSLATE(A3644, ""zh"", ""en"")"),"Audit work")</f>
        <v>Audit work</v>
      </c>
      <c r="C3644" s="1" t="str">
        <f ca="1">IFERROR(__xludf.DUMMYFUNCTION("GOOGLETRANSLATE(E3644, ""zh"", ""en"")"),"Qualitative text")</f>
        <v>Qualitative text</v>
      </c>
    </row>
    <row r="3645" spans="1:3" ht="13" x14ac:dyDescent="0.15">
      <c r="A3645" s="1" t="str">
        <f ca="1">IFERROR(__xludf.DUMMYFUNCTION("GOOGLETRANSLATE(A3645, ""zh"", ""en"")"),"The company's Oman Area 5 project joint operation company has increased its efforts in local employment and on-site operation training to provide more employment opportunities for the local people. The localization rate of employees has increased from 29%"&amp;" in 2002 to 97% in 2022.")</f>
        <v>The company's Oman Area 5 project joint operation company has increased its efforts in local employment and on-site operation training to provide more employment opportunities for the local people. The localization rate of employees has increased from 29% in 2002 to 97% in 2022.</v>
      </c>
      <c r="B3645" s="1" t="str">
        <f ca="1">IFERROR(__xludf.DUMMYFUNCTION("GOOGLETRANSLATE(A3645, ""zh"", ""en"")"),"Promoting employment")</f>
        <v>Promoting employment</v>
      </c>
      <c r="C3645" s="1" t="str">
        <f ca="1">IFERROR(__xludf.DUMMYFUNCTION("GOOGLETRANSLATE(E3645, ""zh"", ""en"")"),"Quantitative Text")</f>
        <v>Quantitative Text</v>
      </c>
    </row>
    <row r="3646" spans="1:3" ht="13" x14ac:dyDescent="0.15">
      <c r="A3646" s="1" t="str">
        <f ca="1">IFERROR(__xludf.DUMMYFUNCTION("GOOGLETRANSLATE(A3646, ""zh"", ""en"")"),"Complete the three-year campaign for special rectification of work safety, advance environmental pollution prevention and control, and continue to fight the battle to protect blue skies, clear waters, and clean land. Strengthen the protection of the ecolo"&amp;"gical environment and biodiversity, promote harmonious coexistence between man and nature, and contribute to the construction of a beautiful China.")</f>
        <v>Complete the three-year campaign for special rectification of work safety, advance environmental pollution prevention and control, and continue to fight the battle to protect blue skies, clear waters, and clean land. Strengthen the protection of the ecological environment and biodiversity, promote harmonious coexistence between man and nature, and contribute to the construction of a beautiful China.</v>
      </c>
      <c r="B3646" s="1" t="str">
        <f ca="1">IFERROR(__xludf.DUMMYFUNCTION("GOOGLETRANSLATE(A3646, ""zh"", ""en"")"),"biodiversity")</f>
        <v>biodiversity</v>
      </c>
      <c r="C3646" s="1" t="str">
        <f ca="1">IFERROR(__xludf.DUMMYFUNCTION("GOOGLETRANSLATE(E3646, ""zh"", ""en"")"),"Qualitative text")</f>
        <v>Qualitative text</v>
      </c>
    </row>
    <row r="3647" spans="1:3" ht="13" x14ac:dyDescent="0.15">
      <c r="A3647" s="1" t="str">
        <f ca="1">IFERROR(__xludf.DUMMYFUNCTION("GOOGLETRANSLATE(A3647, ""zh"", ""en"")"),"A total of 50 people participated in this shareholding plan, including 5 directors (excluding independent directors, supervisors and senior management) and 45 other employees. A 36-month medium- and long-term lock-up was implemented to effectively achieve"&amp;" long-term incentives and constraints for the incentive targets.")</f>
        <v>A total of 50 people participated in this shareholding plan, including 5 directors (excluding independent directors, supervisors and senior management) and 45 other employees. A 36-month medium- and long-term lock-up was implemented to effectively achieve long-term incentives and constraints for the incentive targets.</v>
      </c>
      <c r="B3647" s="1" t="str">
        <f ca="1">IFERROR(__xludf.DUMMYFUNCTION("GOOGLETRANSLATE(A3647, ""zh"", ""en"")"),"Shareholder and creditor rights")</f>
        <v>Shareholder and creditor rights</v>
      </c>
      <c r="C3647" s="1" t="str">
        <f ca="1">IFERROR(__xludf.DUMMYFUNCTION("GOOGLETRANSLATE(E3647, ""zh"", ""en"")"),"Quantitative Text")</f>
        <v>Quantitative Text</v>
      </c>
    </row>
    <row r="3648" spans="1:3" ht="13" x14ac:dyDescent="0.15">
      <c r="A3648" s="1" t="str">
        <f ca="1">IFERROR(__xludf.DUMMYFUNCTION("GOOGLETRANSLATE(A3648, ""zh"", ""en"")"),"The company held more than 150 ESG-related seminars, special meetings, research and communication sessions throughout the year. Stakeholders were particularly concerned about the company's board governance, compliance, operations, performance, climate cha"&amp;"nge, carbon emissions management, energy transition and safety.")</f>
        <v>The company held more than 150 ESG-related seminars, special meetings, research and communication sessions throughout the year. Stakeholders were particularly concerned about the company's board governance, compliance, operations, performance, climate change, carbon emissions management, energy transition and safety.</v>
      </c>
      <c r="B3648" s="1" t="str">
        <f ca="1">IFERROR(__xludf.DUMMYFUNCTION("GOOGLETRANSLATE(A3648, ""zh"", ""en"")"),"Organizational structure and operations")</f>
        <v>Organizational structure and operations</v>
      </c>
      <c r="C3648" s="1" t="str">
        <f ca="1">IFERROR(__xludf.DUMMYFUNCTION("GOOGLETRANSLATE(E3648, ""zh"", ""en"")"),"Quantitative Text")</f>
        <v>Quantitative Text</v>
      </c>
    </row>
    <row r="3649" spans="1:3" ht="13" x14ac:dyDescent="0.15">
      <c r="A3649" s="1" t="str">
        <f ca="1">IFERROR(__xludf.DUMMYFUNCTION("GOOGLETRANSLATE(A3649, ""zh"", ""en"")"),"We used foam materials, column partitions, paper flanges and other materials to conduct reinforcement experiments and comparisons. After comprehensively considering multiple factors such as customer opinions, material costs, and environmental compliance, "&amp;"we chose to use the returned scrapped vertical fluted partitions for reprocessing and secondary use.")</f>
        <v>We used foam materials, column partitions, paper flanges and other materials to conduct reinforcement experiments and comparisons. After comprehensively considering multiple factors such as customer opinions, material costs, and environmental compliance, we chose to use the returned scrapped vertical fluted partitions for reprocessing and secondary use.</v>
      </c>
      <c r="B3649" s="1" t="str">
        <f ca="1">IFERROR(__xludf.DUMMYFUNCTION("GOOGLETRANSLATE(A3649, ""zh"", ""en"")"),"Waste Management")</f>
        <v>Waste Management</v>
      </c>
      <c r="C3649" s="1" t="str">
        <f ca="1">IFERROR(__xludf.DUMMYFUNCTION("GOOGLETRANSLATE(E3649, ""zh"", ""en"")"),"Qualitative text")</f>
        <v>Qualitative text</v>
      </c>
    </row>
    <row r="3650" spans="1:3" ht="13" x14ac:dyDescent="0.15">
      <c r="A3650" s="1" t="str">
        <f ca="1">IFERROR(__xludf.DUMMYFUNCTION("GOOGLETRANSLATE(A3650, ""zh"", ""en"")"),"In 2021, the company strengthened its system construction and adhered to the talent-driven enterprise strategy to standardize personnel selection and management. 33 special talents were selected through the Xinhuo program training system, and 11 outstandi"&amp;"ng professional and technical personnel were trained to take up management positions.")</f>
        <v>In 2021, the company strengthened its system construction and adhered to the talent-driven enterprise strategy to standardize personnel selection and management. 33 special talents were selected through the Xinhuo program training system, and 11 outstanding professional and technical personnel were trained to take up management positions.</v>
      </c>
      <c r="B3650" s="1" t="str">
        <f ca="1">IFERROR(__xludf.DUMMYFUNCTION("GOOGLETRANSLATE(A3650, ""zh"", ""en"")"),"staff")</f>
        <v>staff</v>
      </c>
      <c r="C3650" s="1" t="str">
        <f ca="1">IFERROR(__xludf.DUMMYFUNCTION("GOOGLETRANSLATE(E3650, ""zh"", ""en"")"),"Quantitative Text")</f>
        <v>Quantitative Text</v>
      </c>
    </row>
    <row r="3651" spans="1:3" ht="13" x14ac:dyDescent="0.15">
      <c r="A3651" s="1" t="str">
        <f ca="1">IFERROR(__xludf.DUMMYFUNCTION("GOOGLETRANSLATE(A3651, ""zh"", ""en"")"),"Jinshi Investment, a subsidiary, will make nearly 10 billion yuan in overseas investments in 2022, covering a variety of fields including new materials, new energy, new generation information technology, healthcare, etc., helping many companies supported "&amp;"by the investment to solve bottlenecks in key links of the industrial chain.")</f>
        <v>Jinshi Investment, a subsidiary, will make nearly 10 billion yuan in overseas investments in 2022, covering a variety of fields including new materials, new energy, new generation information technology, healthcare, etc., helping many companies supported by the investment to solve bottlenecks in key links of the industrial chain.</v>
      </c>
      <c r="B3651" s="1" t="str">
        <f ca="1">IFERROR(__xludf.DUMMYFUNCTION("GOOGLETRANSLATE(A3651, ""zh"", ""en"")"),"Technological innovation")</f>
        <v>Technological innovation</v>
      </c>
      <c r="C3651" s="1" t="str">
        <f ca="1">IFERROR(__xludf.DUMMYFUNCTION("GOOGLETRANSLATE(E3651, ""zh"", ""en"")"),"Quantitative Text")</f>
        <v>Quantitative Text</v>
      </c>
    </row>
    <row r="3652" spans="1:3" ht="13" x14ac:dyDescent="0.15">
      <c r="A3652" s="1" t="str">
        <f ca="1">IFERROR(__xludf.DUMMYFUNCTION("GOOGLETRANSLATE(A3652, ""zh"", ""en"")"),"Appendix I Key Performance Indicators Table B2 Health and Safety General Disclosure Information on 1. Policies and 2. Compliance with relevant laws and regulations that have a significant impact on the issuer in relation to providing a safe working enviro"&amp;"nment and protecting employees from occupational hazards")</f>
        <v>Appendix I Key Performance Indicators Table B2 Health and Safety General Disclosure Information on 1. Policies and 2. Compliance with relevant laws and regulations that have a significant impact on the issuer in relation to providing a safe working environment and protecting employees from occupational hazards</v>
      </c>
      <c r="B3652" s="1" t="str">
        <f ca="1">IFERROR(__xludf.DUMMYFUNCTION("GOOGLETRANSLATE(A3652, ""zh"", ""en"")"),"staff")</f>
        <v>staff</v>
      </c>
      <c r="C3652" s="1" t="str">
        <f ca="1">IFERROR(__xludf.DUMMYFUNCTION("GOOGLETRANSLATE(E3652, ""zh"", ""en"")"),"Qualitative text")</f>
        <v>Qualitative text</v>
      </c>
    </row>
    <row r="3653" spans="1:3" ht="13" x14ac:dyDescent="0.15">
      <c r="A3653" s="1" t="str">
        <f ca="1">IFERROR(__xludf.DUMMYFUNCTION("GOOGLETRANSLATE(A3653, ""zh"", ""en"")"),"Actively embrace the trend of green development, embrace the wave of technological revolution, embrace the new development ecology, comprehensively promote transformation and upgrading, accelerate the reconstruction of industrial foundations, reshape the "&amp;"industrial landscape, and strive to forge a path of high-end, intelligent, and green development for Shanghai Electric.")</f>
        <v>Actively embrace the trend of green development, embrace the wave of technological revolution, embrace the new development ecology, comprehensively promote transformation and upgrading, accelerate the reconstruction of industrial foundations, reshape the industrial landscape, and strive to forge a path of high-end, intelligent, and green development for Shanghai Electric.</v>
      </c>
      <c r="B3653" s="1" t="str">
        <f ca="1">IFERROR(__xludf.DUMMYFUNCTION("GOOGLETRANSLATE(A3653, ""zh"", ""en"")"),"Technological innovation")</f>
        <v>Technological innovation</v>
      </c>
      <c r="C3653" s="1" t="str">
        <f ca="1">IFERROR(__xludf.DUMMYFUNCTION("GOOGLETRANSLATE(E3653, ""zh"", ""en"")"),"Qualitative text")</f>
        <v>Qualitative text</v>
      </c>
    </row>
    <row r="3654" spans="1:3" ht="13" x14ac:dyDescent="0.15">
      <c r="A3654" s="1" t="str">
        <f ca="1">IFERROR(__xludf.DUMMYFUNCTION("GOOGLETRANSLATE(A3654, ""zh"", ""en"")"),"Relying on Haier Smart Home's digital logistics platform, we have launched a full-process product status traceability system and leveraged IoT and other technologies to achieve visual assessment and control of transportation and warehousing status, logist"&amp;"ics losses, and strengthen logistics quality control.")</f>
        <v>Relying on Haier Smart Home's digital logistics platform, we have launched a full-process product status traceability system and leveraged IoT and other technologies to achieve visual assessment and control of transportation and warehousing status, logistics losses, and strengthen logistics quality control.</v>
      </c>
      <c r="B3654" s="1" t="str">
        <f ca="1">IFERROR(__xludf.DUMMYFUNCTION("GOOGLETRANSLATE(A3654, ""zh"", ""en"")"),"Product quality")</f>
        <v>Product quality</v>
      </c>
      <c r="C3654" s="1" t="str">
        <f ca="1">IFERROR(__xludf.DUMMYFUNCTION("GOOGLETRANSLATE(E3654, ""zh"", ""en"")"),"Qualitative text")</f>
        <v>Qualitative text</v>
      </c>
    </row>
    <row r="3655" spans="1:3" ht="13" x14ac:dyDescent="0.15">
      <c r="A3655" s="1" t="str">
        <f ca="1">IFERROR(__xludf.DUMMYFUNCTION("GOOGLETRANSLATE(A3655, ""zh"", ""en"")"),"As of December 31, 2022, the labor union has implemented and completed all 13 items included in the 2022 Shanghai Electric Employee Service Project and provided special condolences and assistance to employees in need, as well as raised funds to help them.")</f>
        <v>As of December 31, 2022, the labor union has implemented and completed all 13 items included in the 2022 Shanghai Electric Employee Service Project and provided special condolences and assistance to employees in need, as well as raised funds to help them.</v>
      </c>
      <c r="B3655" s="1" t="str">
        <f ca="1">IFERROR(__xludf.DUMMYFUNCTION("GOOGLETRANSLATE(A3655, ""zh"", ""en"")"),"staff")</f>
        <v>staff</v>
      </c>
      <c r="C3655" s="1" t="str">
        <f ca="1">IFERROR(__xludf.DUMMYFUNCTION("GOOGLETRANSLATE(E3655, ""zh"", ""en"")"),"Quantitative Text")</f>
        <v>Quantitative Text</v>
      </c>
    </row>
    <row r="3656" spans="1:3" ht="13" x14ac:dyDescent="0.15">
      <c r="A3656" s="1" t="str">
        <f ca="1">IFERROR(__xludf.DUMMYFUNCTION("GOOGLETRANSLATE(A3656, ""zh"", ""en"")"),"The forum was hosted by the local National Environmental Protection Forum and the Social Responsibility Committee and co-organized by the Karachi Administration of Commerce and Industry. It aimed to call on local companies to raise their awareness of gree"&amp;"n development and play a leading role in strengthening the process of greening the earth.")</f>
        <v>The forum was hosted by the local National Environmental Protection Forum and the Social Responsibility Committee and co-organized by the Karachi Administration of Commerce and Industry. It aimed to call on local companies to raise their awareness of green development and play a leading role in strengthening the process of greening the earth.</v>
      </c>
      <c r="B3656" s="1" t="str">
        <f ca="1">IFERROR(__xludf.DUMMYFUNCTION("GOOGLETRANSLATE(A3656, ""zh"", ""en"")"),"Environmental Policy")</f>
        <v>Environmental Policy</v>
      </c>
      <c r="C3656" s="1" t="str">
        <f ca="1">IFERROR(__xludf.DUMMYFUNCTION("GOOGLETRANSLATE(E3656, ""zh"", ""en"")"),"Qualitative text")</f>
        <v>Qualitative text</v>
      </c>
    </row>
    <row r="3657" spans="1:3" ht="13" x14ac:dyDescent="0.15">
      <c r="A3657" s="1" t="str">
        <f ca="1">IFERROR(__xludf.DUMMYFUNCTION("GOOGLETRANSLATE(A3657, ""zh"", ""en"")"),"In 2022, Haier Smart Home's overall user satisfaction reached 99.83. With worry-free after-sales service on the digital platform, Haier Smart Home has established a service provider workbench system centered around the user's full-process service experien"&amp;"ce to ensure timely responses to user needs.")</f>
        <v>In 2022, Haier Smart Home's overall user satisfaction reached 99.83. With worry-free after-sales service on the digital platform, Haier Smart Home has established a service provider workbench system centered around the user's full-process service experience to ensure timely responses to user needs.</v>
      </c>
      <c r="B3657" s="1" t="str">
        <f ca="1">IFERROR(__xludf.DUMMYFUNCTION("GOOGLETRANSLATE(A3657, ""zh"", ""en"")"),"Customers and Consumers")</f>
        <v>Customers and Consumers</v>
      </c>
      <c r="C3657" s="1" t="str">
        <f ca="1">IFERROR(__xludf.DUMMYFUNCTION("GOOGLETRANSLATE(E3657, ""zh"", ""en"")"),"Quantitative Text")</f>
        <v>Quantitative Text</v>
      </c>
    </row>
    <row r="3658" spans="1:3" ht="13" x14ac:dyDescent="0.15">
      <c r="A3658" s="1" t="str">
        <f ca="1">IFERROR(__xludf.DUMMYFUNCTION("GOOGLETRANSLATE(A3658, ""zh"", ""en"")"),"Focusing on product excellence and process innovation to continuously improve customer satisfaction, Shanghai Electric's Quality Month theme event was held from September 20 to 22, 2022. A three-day Shanghai Electric Quality Management Training Course was"&amp;" held at the Shanghai Electric Training Base.")</f>
        <v>Focusing on product excellence and process innovation to continuously improve customer satisfaction, Shanghai Electric's Quality Month theme event was held from September 20 to 22, 2022. A three-day Shanghai Electric Quality Management Training Course was held at the Shanghai Electric Training Base.</v>
      </c>
      <c r="B3658" s="1" t="str">
        <f ca="1">IFERROR(__xludf.DUMMYFUNCTION("GOOGLETRANSLATE(A3658, ""zh"", ""en"")"),"Customers and Consumers")</f>
        <v>Customers and Consumers</v>
      </c>
      <c r="C3658" s="1" t="str">
        <f ca="1">IFERROR(__xludf.DUMMYFUNCTION("GOOGLETRANSLATE(E3658, ""zh"", ""en"")"),"Qualitative text")</f>
        <v>Qualitative text</v>
      </c>
    </row>
    <row r="3659" spans="1:3" ht="13" x14ac:dyDescent="0.15">
      <c r="A3659" s="1" t="str">
        <f ca="1">IFERROR(__xludf.DUMMYFUNCTION("GOOGLETRANSLATE(A3659, ""zh"", ""en"")"),"In the future, we will continue to adhere to the principle of mutual benefit, win-win and common development with stakeholders, further deepen social responsibility management, expand the scope of social responsibility and enrich social responsibility. 20"&amp;"21 is a special year.")</f>
        <v>In the future, we will continue to adhere to the principle of mutual benefit, win-win and common development with stakeholders, further deepen social responsibility management, expand the scope of social responsibility and enrich social responsibility. 2021 is a special year.</v>
      </c>
      <c r="B3659" s="1" t="str">
        <f ca="1">IFERROR(__xludf.DUMMYFUNCTION("GOOGLETRANSLATE(A3659, ""zh"", ""en"")"),"irrelevant text")</f>
        <v>irrelevant text</v>
      </c>
      <c r="C3659" s="1" t="str">
        <f ca="1">IFERROR(__xludf.DUMMYFUNCTION("GOOGLETRANSLATE(E3659, ""zh"", ""en"")"),"irrelevant text")</f>
        <v>irrelevant text</v>
      </c>
    </row>
    <row r="3660" spans="1:3" ht="13" x14ac:dyDescent="0.15">
      <c r="A3660" s="1" t="str">
        <f ca="1">IFERROR(__xludf.DUMMYFUNCTION("GOOGLETRANSLATE(A3660, ""zh"", ""en"")"),"China Construction Bank Corporation 2022 Social Responsibility Report 38 China Construction Bank Corporation 2022 Social Responsibility Report 39 Improving the full-process control of consumer protection review First, continuously strengthening consumer p"&amp;"rotection review")</f>
        <v>China Construction Bank Corporation 2022 Social Responsibility Report 38 China Construction Bank Corporation 2022 Social Responsibility Report 39 Improving the full-process control of consumer protection review First, continuously strengthening consumer protection review</v>
      </c>
      <c r="B3660" s="1" t="str">
        <f ca="1">IFERROR(__xludf.DUMMYFUNCTION("GOOGLETRANSLATE(A3660, ""zh"", ""en"")"),"Customers and Consumers")</f>
        <v>Customers and Consumers</v>
      </c>
      <c r="C3660" s="1" t="str">
        <f ca="1">IFERROR(__xludf.DUMMYFUNCTION("GOOGLETRANSLATE(E3660, ""zh"", ""en"")"),"Qualitative text")</f>
        <v>Qualitative text</v>
      </c>
    </row>
    <row r="3661" spans="1:3" ht="13" x14ac:dyDescent="0.15">
      <c r="A3661" s="1" t="str">
        <f ca="1">IFERROR(__xludf.DUMMYFUNCTION("GOOGLETRANSLATE(A3661, ""zh"", ""en"")"),"The guidelines include six key tasks: fostering a culture of integrity, cultivating a culture of consumer protection, strengthening publicity and guidance, and brand building. They also include strengthening leadership responsibility, organizational divis"&amp;"ion of labor, incentives and constraints, resource guarantee, team building, and implementation.")</f>
        <v>The guidelines include six key tasks: fostering a culture of integrity, cultivating a culture of consumer protection, strengthening publicity and guidance, and brand building. They also include strengthening leadership responsibility, organizational division of labor, incentives and constraints, resource guarantee, team building, and implementation.</v>
      </c>
      <c r="B3661" s="1" t="str">
        <f ca="1">IFERROR(__xludf.DUMMYFUNCTION("GOOGLETRANSLATE(A3661, ""zh"", ""en"")"),"Anti-corruption and anti-money laundering")</f>
        <v>Anti-corruption and anti-money laundering</v>
      </c>
      <c r="C3661" s="1" t="str">
        <f ca="1">IFERROR(__xludf.DUMMYFUNCTION("GOOGLETRANSLATE(E3661, ""zh"", ""en"")"),"Qualitative text")</f>
        <v>Qualitative text</v>
      </c>
    </row>
    <row r="3662" spans="1:3" ht="13" x14ac:dyDescent="0.15">
      <c r="A3662" s="1" t="str">
        <f ca="1">IFERROR(__xludf.DUMMYFUNCTION("GOOGLETRANSLATE(A3662, ""zh"", ""en"")"),"Participated in the 2022 Best Practice Case Collection of Listed Company Supervisory Boards organized by the China Association of Listed Companies and was successfully selected into the top 30 of the Best Practice List of Listed Company Supervisory Boards"&amp;", becoming the only listed company in our province to be selected.")</f>
        <v>Participated in the 2022 Best Practice Case Collection of Listed Company Supervisory Boards organized by the China Association of Listed Companies and was successfully selected into the top 30 of the Best Practice List of Listed Company Supervisory Boards, becoming the only listed company in our province to be selected.</v>
      </c>
      <c r="B3662" s="1" t="str">
        <f ca="1">IFERROR(__xludf.DUMMYFUNCTION("GOOGLETRANSLATE(A3662, ""zh"", ""en"")"),"Organizational structure and operations")</f>
        <v>Organizational structure and operations</v>
      </c>
      <c r="C3662" s="1" t="str">
        <f ca="1">IFERROR(__xludf.DUMMYFUNCTION("GOOGLETRANSLATE(E3662, ""zh"", ""en"")"),"Quantitative Text")</f>
        <v>Quantitative Text</v>
      </c>
    </row>
    <row r="3663" spans="1:3" ht="13" x14ac:dyDescent="0.15">
      <c r="A3663" s="1" t="str">
        <f ca="1">IFERROR(__xludf.DUMMYFUNCTION("GOOGLETRANSLATE(A3663, ""zh"", ""en"")"),"Environmental risk management (E) refers to the company's efforts to reduce the negative impact of production and operations on the environment and actively participate in the construction of ecological civilization, including environmental management sys"&amp;"tems, environmental investment, environmental management, resource utilization, emissions, ecological safety, and safe production.")</f>
        <v>Environmental risk management (E) refers to the company's efforts to reduce the negative impact of production and operations on the environment and actively participate in the construction of ecological civilization, including environmental management systems, environmental investment, environmental management, resource utilization, emissions, ecological safety, and safe production.</v>
      </c>
      <c r="B3663" s="1" t="str">
        <f ca="1">IFERROR(__xludf.DUMMYFUNCTION("GOOGLETRANSLATE(A3663, ""zh"", ""en"")"),"Environmental Policy")</f>
        <v>Environmental Policy</v>
      </c>
      <c r="C3663" s="1" t="str">
        <f ca="1">IFERROR(__xludf.DUMMYFUNCTION("GOOGLETRANSLATE(E3663, ""zh"", ""en"")"),"Qualitative text")</f>
        <v>Qualitative text</v>
      </c>
    </row>
    <row r="3664" spans="1:3" ht="13" x14ac:dyDescent="0.15">
      <c r="A3664" s="1" t="str">
        <f ca="1">IFERROR(__xludf.DUMMYFUNCTION("GOOGLETRANSLATE(A3664, ""zh"", ""en"")"),"For employees who violate the employee code of conduct, the company will give corresponding treatment or punishment in accordance with the Sinopec Employee Disciplinary and Illegal Behavior Regulations and other rules and regulations. If suspected of ille"&amp;"gal or criminal activities, the company will transfer them to judicial authorities for legal accountability.")</f>
        <v>For employees who violate the employee code of conduct, the company will give corresponding treatment or punishment in accordance with the Sinopec Employee Disciplinary and Illegal Behavior Regulations and other rules and regulations. If suspected of illegal or criminal activities, the company will transfer them to judicial authorities for legal accountability.</v>
      </c>
      <c r="B3664" s="1" t="str">
        <f ca="1">IFERROR(__xludf.DUMMYFUNCTION("GOOGLETRANSLATE(A3664, ""zh"", ""en"")"),"staff")</f>
        <v>staff</v>
      </c>
      <c r="C3664" s="1" t="str">
        <f ca="1">IFERROR(__xludf.DUMMYFUNCTION("GOOGLETRANSLATE(E3664, ""zh"", ""en"")"),"Qualitative text")</f>
        <v>Qualitative text</v>
      </c>
    </row>
    <row r="3665" spans="1:3" ht="13" x14ac:dyDescent="0.15">
      <c r="A3665" s="1" t="str">
        <f ca="1">IFERROR(__xludf.DUMMYFUNCTION("GOOGLETRANSLATE(A3665, ""zh"", ""en"")"),"Figure: The theme event of the ""Retirement in China Tour"" illuminates the pilot program of specific retirement savings products in ten cities. Under regulatory guidance, China Construction Bank will pilot specific retirement savings products in five cit"&amp;"ies, including Hefei, Guangzhou, Chengdu, Xi'an, and Qingdao, at the end of November 2022.")</f>
        <v>Figure: The theme event of the "Retirement in China Tour" illuminates the pilot program of specific retirement savings products in ten cities. Under regulatory guidance, China Construction Bank will pilot specific retirement savings products in five cities, including Hefei, Guangzhou, Chengdu, Xi'an, and Qingdao, at the end of November 2022.</v>
      </c>
      <c r="B3665" s="1" t="str">
        <f ca="1">IFERROR(__xludf.DUMMYFUNCTION("GOOGLETRANSLATE(A3665, ""zh"", ""en"")"),"Public welfare and volunteer service")</f>
        <v>Public welfare and volunteer service</v>
      </c>
      <c r="C3665" s="1" t="str">
        <f ca="1">IFERROR(__xludf.DUMMYFUNCTION("GOOGLETRANSLATE(E3665, ""zh"", ""en"")"),"Qualitative text")</f>
        <v>Qualitative text</v>
      </c>
    </row>
    <row r="3666" spans="1:3" ht="13" x14ac:dyDescent="0.15">
      <c r="A3666" s="1" t="str">
        <f ca="1">IFERROR(__xludf.DUMMYFUNCTION("GOOGLETRANSLATE(A3666, ""zh"", ""en"")"),"The company maintains high standards of business ethics and always maintains a zero-tolerance attitude towards corruption and violations of business ethics. It resolutely puts an end to all violations of business ethics and continuously improves its integ"&amp;"rity and compliance management level and its integrity risk prevention and control level.")</f>
        <v>The company maintains high standards of business ethics and always maintains a zero-tolerance attitude towards corruption and violations of business ethics. It resolutely puts an end to all violations of business ethics and continuously improves its integrity and compliance management level and its integrity risk prevention and control level.</v>
      </c>
      <c r="B3666" s="1" t="str">
        <f ca="1">IFERROR(__xludf.DUMMYFUNCTION("GOOGLETRANSLATE(A3666, ""zh"", ""en"")"),"Anti-corruption and anti-money laundering")</f>
        <v>Anti-corruption and anti-money laundering</v>
      </c>
      <c r="C3666" s="1" t="str">
        <f ca="1">IFERROR(__xludf.DUMMYFUNCTION("GOOGLETRANSLATE(E3666, ""zh"", ""en"")"),"Qualitative text")</f>
        <v>Qualitative text</v>
      </c>
    </row>
    <row r="3667" spans="1:3" ht="13" x14ac:dyDescent="0.15">
      <c r="A3667" s="1" t="str">
        <f ca="1">IFERROR(__xludf.DUMMYFUNCTION("GOOGLETRANSLATE(A3667, ""zh"", ""en"")"),"We strive to become a leader in water and environmental protection services in the Yangtze River Delta region, actively practice the green development concept that green waters and green mountains are invaluable assets, maintain and increase the value of "&amp;"state-owned assets, and inject new momentum into water and environmental protection to move regional economic development to a higher level.")</f>
        <v>We strive to become a leader in water and environmental protection services in the Yangtze River Delta region, actively practice the green development concept that green waters and green mountains are invaluable assets, maintain and increase the value of state-owned assets, and inject new momentum into water and environmental protection to move regional economic development to a higher level.</v>
      </c>
      <c r="B3667" s="1" t="str">
        <f ca="1">IFERROR(__xludf.DUMMYFUNCTION("GOOGLETRANSLATE(A3667, ""zh"", ""en"")"),"Water resources")</f>
        <v>Water resources</v>
      </c>
      <c r="C3667" s="1" t="str">
        <f ca="1">IFERROR(__xludf.DUMMYFUNCTION("GOOGLETRANSLATE(E3667, ""zh"", ""en"")"),"Qualitative text")</f>
        <v>Qualitative text</v>
      </c>
    </row>
    <row r="3668" spans="1:3" ht="13" x14ac:dyDescent="0.15">
      <c r="A3668" s="1" t="str">
        <f ca="1">IFERROR(__xludf.DUMMYFUNCTION("GOOGLETRANSLATE(A3668, ""zh"", ""en"")"),"We performed our assurance engagement in accordance with the International Standard on Assurance Engagements (ISAE 3000, Assurance Engagements Other Than Audits or Reviews of Financial Information), as amended, issued by the International Auditing and Ass"&amp;"urance Standards Board.")</f>
        <v>We performed our assurance engagement in accordance with the International Standard on Assurance Engagements (ISAE 3000, Assurance Engagements Other Than Audits or Reviews of Financial Information), as amended, issued by the International Auditing and Assurance Standards Board.</v>
      </c>
      <c r="B3668" s="1" t="str">
        <f ca="1">IFERROR(__xludf.DUMMYFUNCTION("GOOGLETRANSLATE(A3668, ""zh"", ""en"")"),"Audit work")</f>
        <v>Audit work</v>
      </c>
      <c r="C3668" s="1" t="str">
        <f ca="1">IFERROR(__xludf.DUMMYFUNCTION("GOOGLETRANSLATE(E3668, ""zh"", ""en"")"),"Qualitative text")</f>
        <v>Qualitative text</v>
      </c>
    </row>
    <row r="3669" spans="1:3" ht="13" x14ac:dyDescent="0.15">
      <c r="A3669" s="1" t="str">
        <f ca="1">IFERROR(__xludf.DUMMYFUNCTION("GOOGLETRANSLATE(A3669, ""zh"", ""en"")"),"In 2022, the company purchased over RMB 320,500 worth of Longquan agricultural products and actively participated in the Light Up Micro Wishes and Jointly Prosper together campaign, fulfilling the micro wishes of 13 primary school students in mountainous "&amp;"areas and visiting and comforting seven needy families in Zhuzhou Village, Longquan's partner village.")</f>
        <v>In 2022, the company purchased over RMB 320,500 worth of Longquan agricultural products and actively participated in the Light Up Micro Wishes and Jointly Prosper together campaign, fulfilling the micro wishes of 13 primary school students in mountainous areas and visiting and comforting seven needy families in Zhuzhou Village, Longquan's partner village.</v>
      </c>
      <c r="B3669" s="1" t="str">
        <f ca="1">IFERROR(__xludf.DUMMYFUNCTION("GOOGLETRANSLATE(A3669, ""zh"", ""en"")"),"Public welfare and volunteer service")</f>
        <v>Public welfare and volunteer service</v>
      </c>
      <c r="C3669" s="1" t="str">
        <f ca="1">IFERROR(__xludf.DUMMYFUNCTION("GOOGLETRANSLATE(E3669, ""zh"", ""en"")"),"Quantitative Text")</f>
        <v>Quantitative Text</v>
      </c>
    </row>
    <row r="3670" spans="1:3" ht="13" x14ac:dyDescent="0.15">
      <c r="A3670" s="1" t="str">
        <f ca="1">IFERROR(__xludf.DUMMYFUNCTION("GOOGLETRANSLATE(A3670, ""zh"", ""en"")"),"After receiving the report, the company immediately conducts source tracing and analysis. If the odor is caused by production, it will promptly urge the relevant units to make corrections. If the problem is caused by external factors, it will also promptl"&amp;"y feedback to the reporter to jointly supervise and improve the regional air environment quality.")</f>
        <v>After receiving the report, the company immediately conducts source tracing and analysis. If the odor is caused by production, it will promptly urge the relevant units to make corrections. If the problem is caused by external factors, it will also promptly feedback to the reporter to jointly supervise and improve the regional air environment quality.</v>
      </c>
      <c r="B3670" s="1" t="str">
        <f ca="1">IFERROR(__xludf.DUMMYFUNCTION("GOOGLETRANSLATE(A3670, ""zh"", ""en"")"),"Reporting System")</f>
        <v>Reporting System</v>
      </c>
      <c r="C3670" s="1" t="str">
        <f ca="1">IFERROR(__xludf.DUMMYFUNCTION("GOOGLETRANSLATE(E3670, ""zh"", ""en"")"),"Qualitative text")</f>
        <v>Qualitative text</v>
      </c>
    </row>
    <row r="3671" spans="1:3" ht="13" x14ac:dyDescent="0.15">
      <c r="A3671" s="1" t="str">
        <f ca="1">IFERROR(__xludf.DUMMYFUNCTION("GOOGLETRANSLATE(A3671, ""zh"", ""en"")"),"At the same time, we will continue to improve green procurement standards and systems, compile and publish the key points of Sinopec's 2022 green procurement work based on the existing green procurement management methods, actively cultivate the developme"&amp;"nt of three new industries, and comprehensively promote the transformation of green and low-carbon procurement.")</f>
        <v>At the same time, we will continue to improve green procurement standards and systems, compile and publish the key points of Sinopec's 2022 green procurement work based on the existing green procurement management methods, actively cultivate the development of three new industries, and comprehensively promote the transformation of green and low-carbon procurement.</v>
      </c>
      <c r="B3671" s="1" t="str">
        <f ca="1">IFERROR(__xludf.DUMMYFUNCTION("GOOGLETRANSLATE(A3671, ""zh"", ""en"")"),"raw materials")</f>
        <v>raw materials</v>
      </c>
      <c r="C3671" s="1" t="str">
        <f ca="1">IFERROR(__xludf.DUMMYFUNCTION("GOOGLETRANSLATE(E3671, ""zh"", ""en"")"),"Qualitative text")</f>
        <v>Qualitative text</v>
      </c>
    </row>
    <row r="3672" spans="1:3" ht="13" x14ac:dyDescent="0.15">
      <c r="A3672" s="1" t="str">
        <f ca="1">IFERROR(__xludf.DUMMYFUNCTION("GOOGLETRANSLATE(A3672, ""zh"", ""en"")"),"Strengthen the cultivation of technical and skilled personnel, carry out strategic scientist integration and innovation, develop high-quality oil and gas development, promote green and low-carbon refining, and enhance the forging and improvement of major "&amp;"craftsmen, and strengthen safety training and basic skills training for grassroots front-line employees.")</f>
        <v>Strengthen the cultivation of technical and skilled personnel, carry out strategic scientist integration and innovation, develop high-quality oil and gas development, promote green and low-carbon refining, and enhance the forging and improvement of major craftsmen, and strengthen safety training and basic skills training for grassroots front-line employees.</v>
      </c>
      <c r="B3672" s="1" t="str">
        <f ca="1">IFERROR(__xludf.DUMMYFUNCTION("GOOGLETRANSLATE(A3672, ""zh"", ""en"")"),"staff")</f>
        <v>staff</v>
      </c>
      <c r="C3672" s="1" t="str">
        <f ca="1">IFERROR(__xludf.DUMMYFUNCTION("GOOGLETRANSLATE(E3672, ""zh"", ""en"")"),"Qualitative text")</f>
        <v>Qualitative text</v>
      </c>
    </row>
    <row r="3673" spans="1:3" ht="13" x14ac:dyDescent="0.15">
      <c r="A3673" s="1" t="str">
        <f ca="1">IFERROR(__xludf.DUMMYFUNCTION("GOOGLETRANSLATE(A3673, ""zh"", ""en"")"),"Deepen the cooperative training model. The company is committed to building a new model of joint talent training between schools and enterprises. On the one hand, it continues to promote cooperation with domestic universities, and on the other hand, it co"&amp;"ntinues to deepen joint training projects with world-renowned universities and actively promotes a new apprenticeship system.")</f>
        <v>Deepen the cooperative training model. The company is committed to building a new model of joint talent training between schools and enterprises. On the one hand, it continues to promote cooperation with domestic universities, and on the other hand, it continues to deepen joint training projects with world-renowned universities and actively promotes a new apprenticeship system.</v>
      </c>
      <c r="B3673" s="1" t="str">
        <f ca="1">IFERROR(__xludf.DUMMYFUNCTION("GOOGLETRANSLATE(A3673, ""zh"", ""en"")"),"Promoting employment")</f>
        <v>Promoting employment</v>
      </c>
      <c r="C3673" s="1" t="str">
        <f ca="1">IFERROR(__xludf.DUMMYFUNCTION("GOOGLETRANSLATE(E3673, ""zh"", ""en"")"),"Qualitative text")</f>
        <v>Qualitative text</v>
      </c>
    </row>
    <row r="3674" spans="1:3" ht="13" x14ac:dyDescent="0.15">
      <c r="A3674" s="1" t="str">
        <f ca="1">IFERROR(__xludf.DUMMYFUNCTION("GOOGLETRANSLATE(A3674, ""zh"", ""en"")"),"The company actively carried out employee quality improvement activities and formulated and issued the management measures for the qualification improvement subsidies for industrial workers. A total of 89 people received qualification improvement subsidie"&amp;"s throughout the year and invested RMB 168,500, effectively promoting the qualification improvement of the industrial workers.")</f>
        <v>The company actively carried out employee quality improvement activities and formulated and issued the management measures for the qualification improvement subsidies for industrial workers. A total of 89 people received qualification improvement subsidies throughout the year and invested RMB 168,500, effectively promoting the qualification improvement of the industrial workers.</v>
      </c>
      <c r="B3674" s="1" t="str">
        <f ca="1">IFERROR(__xludf.DUMMYFUNCTION("GOOGLETRANSLATE(A3674, ""zh"", ""en"")"),"staff")</f>
        <v>staff</v>
      </c>
      <c r="C3674" s="1" t="str">
        <f ca="1">IFERROR(__xludf.DUMMYFUNCTION("GOOGLETRANSLATE(E3674, ""zh"", ""en"")"),"Quantitative Text")</f>
        <v>Quantitative Text</v>
      </c>
    </row>
    <row r="3675" spans="1:3" ht="13" x14ac:dyDescent="0.15">
      <c r="A3675" s="1" t="str">
        <f ca="1">IFERROR(__xludf.DUMMYFUNCTION("GOOGLETRANSLATE(A3675, ""zh"", ""en"")"),"Implementing the national pension insurance and basic medical insurance policies and regulations, we have established a multi-level pension and medical security system. Through corporate annuities and supplementary medical care, we help employees solve th"&amp;"e problem of pension benefits and the burden of large medical expenses.")</f>
        <v>Implementing the national pension insurance and basic medical insurance policies and regulations, we have established a multi-level pension and medical security system. Through corporate annuities and supplementary medical care, we help employees solve the problem of pension benefits and the burden of large medical expenses.</v>
      </c>
      <c r="B3675" s="1" t="str">
        <f ca="1">IFERROR(__xludf.DUMMYFUNCTION("GOOGLETRANSLATE(A3675, ""zh"", ""en"")"),"staff")</f>
        <v>staff</v>
      </c>
      <c r="C3675" s="1" t="str">
        <f ca="1">IFERROR(__xludf.DUMMYFUNCTION("GOOGLETRANSLATE(E3675, ""zh"", ""en"")"),"Qualitative text")</f>
        <v>Qualitative text</v>
      </c>
    </row>
    <row r="3676" spans="1:3" ht="13" x14ac:dyDescent="0.15">
      <c r="A3676" s="1" t="str">
        <f ca="1">IFERROR(__xludf.DUMMYFUNCTION("GOOGLETRANSLATE(A3676, ""zh"", ""en"")"),"In order to enhance the anti-corruption awareness of all employees, the anti-corruption management system has carried out anti-corruption publicity in Fosun Pharma headquarters and member companies through the forms of anti-corruption publicity posters, a"&amp;"nti-corruption publicity trifolds, etc.")</f>
        <v>In order to enhance the anti-corruption awareness of all employees, the anti-corruption management system has carried out anti-corruption publicity in Fosun Pharma headquarters and member companies through the forms of anti-corruption publicity posters, anti-corruption publicity trifolds, etc.</v>
      </c>
      <c r="B3676" s="1" t="str">
        <f ca="1">IFERROR(__xludf.DUMMYFUNCTION("GOOGLETRANSLATE(A3676, ""zh"", ""en"")"),"Anti-corruption and anti-money laundering")</f>
        <v>Anti-corruption and anti-money laundering</v>
      </c>
      <c r="C3676" s="1" t="str">
        <f ca="1">IFERROR(__xludf.DUMMYFUNCTION("GOOGLETRANSLATE(E3676, ""zh"", ""en"")"),"Qualitative text")</f>
        <v>Qualitative text</v>
      </c>
    </row>
    <row r="3677" spans="1:3" ht="13" x14ac:dyDescent="0.15">
      <c r="A3677" s="1" t="str">
        <f ca="1">IFERROR(__xludf.DUMMYFUNCTION("GOOGLETRANSLATE(A3677, ""zh"", ""en"")"),"Wanghu Village, Hetan Town, Dongxiang County, Gansu Province, is participating in the Warm Winter Program. Fosun Pharma and Shanghai Fosun Charity Foundation jointly donated azithromycin, an oral COVID-19 medication, worth 100 million yuan to ensure acces"&amp;"s to medication for the elderly in rural areas.")</f>
        <v>Wanghu Village, Hetan Town, Dongxiang County, Gansu Province, is participating in the Warm Winter Program. Fosun Pharma and Shanghai Fosun Charity Foundation jointly donated azithromycin, an oral COVID-19 medication, worth 100 million yuan to ensure access to medication for the elderly in rural areas.</v>
      </c>
      <c r="B3677" s="1" t="str">
        <f ca="1">IFERROR(__xludf.DUMMYFUNCTION("GOOGLETRANSLATE(A3677, ""zh"", ""en"")"),"Fighting the epidemic")</f>
        <v>Fighting the epidemic</v>
      </c>
      <c r="C3677" s="1" t="str">
        <f ca="1">IFERROR(__xludf.DUMMYFUNCTION("GOOGLETRANSLATE(E3677, ""zh"", ""en"")"),"Quantitative Text")</f>
        <v>Quantitative Text</v>
      </c>
    </row>
    <row r="3678" spans="1:3" ht="13" x14ac:dyDescent="0.15">
      <c r="A3678" s="1" t="str">
        <f ca="1">IFERROR(__xludf.DUMMYFUNCTION("GOOGLETRANSLATE(A3678, ""zh"", ""en"")"),"At the same time, the company organized three on-site antitrust compliance training sessions. The trainees covered internal control and legal personnel in operating regions such as the Americas, the Middle East, and Africa. An antitrust animation course w"&amp;"as produced and uploaded to the domestic training system for employees to learn online.")</f>
        <v>At the same time, the company organized three on-site antitrust compliance training sessions. The trainees covered internal control and legal personnel in operating regions such as the Americas, the Middle East, and Africa. An antitrust animation course was produced and uploaded to the domestic training system for employees to learn online.</v>
      </c>
      <c r="B3678" s="1" t="str">
        <f ca="1">IFERROR(__xludf.DUMMYFUNCTION("GOOGLETRANSLATE(A3678, ""zh"", ""en"")"),"Anti-unfair competition")</f>
        <v>Anti-unfair competition</v>
      </c>
      <c r="C3678" s="1" t="str">
        <f ca="1">IFERROR(__xludf.DUMMYFUNCTION("GOOGLETRANSLATE(E3678, ""zh"", ""en"")"),"Quantitative Text")</f>
        <v>Quantitative Text</v>
      </c>
    </row>
    <row r="3679" spans="1:3" ht="13" x14ac:dyDescent="0.15">
      <c r="A3679" s="1" t="str">
        <f ca="1">IFERROR(__xludf.DUMMYFUNCTION("GOOGLETRANSLATE(A3679, ""zh"", ""en"")"),"Figure 84 Innovation for Gcod Health Continuous Innovation Enjoying Health Case Employee Behavior Safety Observation Activity Fosun Pharma Group's participation in all employees has been further improved")</f>
        <v>Figure 84 Innovation for Gcod Health Continuous Innovation Enjoying Health Case Employee Behavior Safety Observation Activity Fosun Pharma Group's participation in all employees has been further improved</v>
      </c>
      <c r="B3679" s="1" t="str">
        <f ca="1">IFERROR(__xludf.DUMMYFUNCTION("GOOGLETRANSLATE(A3679, ""zh"", ""en"")"),"staff")</f>
        <v>staff</v>
      </c>
      <c r="C3679" s="1" t="str">
        <f ca="1">IFERROR(__xludf.DUMMYFUNCTION("GOOGLETRANSLATE(E3679, ""zh"", ""en"")"),"Qualitative text")</f>
        <v>Qualitative text</v>
      </c>
    </row>
    <row r="3680" spans="1:3" ht="13" x14ac:dyDescent="0.15">
      <c r="A3680" s="1" t="str">
        <f ca="1">IFERROR(__xludf.DUMMYFUNCTION("GOOGLETRANSLATE(A3680, ""zh"", ""en"")"),"The real estate sector adheres to the mechanism of performance interviews, which are conducted every six months to ensure that every employee can clearly understand the organization's expectations for their work and feedback on their results. At the same "&amp;"time, employees can also use performance interviews to express their demands and expectations for growth and development.")</f>
        <v>The real estate sector adheres to the mechanism of performance interviews, which are conducted every six months to ensure that every employee can clearly understand the organization's expectations for their work and feedback on their results. At the same time, employees can also use performance interviews to express their demands and expectations for growth and development.</v>
      </c>
      <c r="B3680" s="1" t="str">
        <f ca="1">IFERROR(__xludf.DUMMYFUNCTION("GOOGLETRANSLATE(A3680, ""zh"", ""en"")"),"staff")</f>
        <v>staff</v>
      </c>
      <c r="C3680" s="1" t="str">
        <f ca="1">IFERROR(__xludf.DUMMYFUNCTION("GOOGLETRANSLATE(E3680, ""zh"", ""en"")"),"Qualitative text")</f>
        <v>Qualitative text</v>
      </c>
    </row>
    <row r="3681" spans="1:3" ht="13" x14ac:dyDescent="0.15">
      <c r="A3681" s="1" t="str">
        <f ca="1">IFERROR(__xludf.DUMMYFUNCTION("GOOGLETRANSLATE(A3681, ""zh"", ""en"")"),"Dima shares insists on being one with employees, creating a comfortable and secure office environment for employees, providing competitive salary levels in the industry with a variety of employee benefits, focusing on improving employee skills, and allowi"&amp;"ng employees to gain a sense of happiness, belonging, and accomplishment.")</f>
        <v>Dima shares insists on being one with employees, creating a comfortable and secure office environment for employees, providing competitive salary levels in the industry with a variety of employee benefits, focusing on improving employee skills, and allowing employees to gain a sense of happiness, belonging, and accomplishment.</v>
      </c>
      <c r="B3681" s="1" t="str">
        <f ca="1">IFERROR(__xludf.DUMMYFUNCTION("GOOGLETRANSLATE(A3681, ""zh"", ""en"")"),"staff")</f>
        <v>staff</v>
      </c>
      <c r="C3681" s="1" t="str">
        <f ca="1">IFERROR(__xludf.DUMMYFUNCTION("GOOGLETRANSLATE(E3681, ""zh"", ""en"")"),"Qualitative text")</f>
        <v>Qualitative text</v>
      </c>
    </row>
    <row r="3682" spans="1:3" ht="13" x14ac:dyDescent="0.15">
      <c r="A3682" s="1" t="str">
        <f ca="1">IFERROR(__xludf.DUMMYFUNCTION("GOOGLETRANSLATE(A3682, ""zh"", ""en"")"),"We conduct materiality assessments in accordance with ESG reporting guidelines. Our work procedures include: (i) identifying relevant ESG issues; (ii) assessing the materiality of the issues; and (iii) reviewing and confirming the assessment process and r"&amp;"esults by the Board of Directors.")</f>
        <v>We conduct materiality assessments in accordance with ESG reporting guidelines. Our work procedures include: (i) identifying relevant ESG issues; (ii) assessing the materiality of the issues; and (iii) reviewing and confirming the assessment process and results by the Board of Directors.</v>
      </c>
      <c r="B3682" s="1" t="str">
        <f ca="1">IFERROR(__xludf.DUMMYFUNCTION("GOOGLETRANSLATE(A3682, ""zh"", ""en"")"),"irrelevant text")</f>
        <v>irrelevant text</v>
      </c>
      <c r="C3682" s="1" t="str">
        <f ca="1">IFERROR(__xludf.DUMMYFUNCTION("GOOGLETRANSLATE(E3682, ""zh"", ""en"")"),"irrelevant text")</f>
        <v>irrelevant text</v>
      </c>
    </row>
    <row r="3683" spans="1:3" ht="13" x14ac:dyDescent="0.15">
      <c r="A3683" s="1" t="str">
        <f ca="1">IFERROR(__xludf.DUMMYFUNCTION("GOOGLETRANSLATE(A3683, ""zh"", ""en"")"),"Fosun Pharma Group's medical device manufacturing member companies. The Group's headquarters reported adverse reaction information tables for this month. Each pharmaceutical and device member company attaches great importance to adverse deaths and group a"&amp;"dverse events. The number and situation of adverse reactions and adverse events.")</f>
        <v>Fosun Pharma Group's medical device manufacturing member companies. The Group's headquarters reported adverse reaction information tables for this month. Each pharmaceutical and device member company attaches great importance to adverse deaths and group adverse events. The number and situation of adverse reactions and adverse events.</v>
      </c>
      <c r="B3683" s="1" t="str">
        <f ca="1">IFERROR(__xludf.DUMMYFUNCTION("GOOGLETRANSLATE(A3683, ""zh"", ""en"")"),"Product quality")</f>
        <v>Product quality</v>
      </c>
      <c r="C3683" s="1" t="str">
        <f ca="1">IFERROR(__xludf.DUMMYFUNCTION("GOOGLETRANSLATE(E3683, ""zh"", ""en"")"),"Qualitative text")</f>
        <v>Qualitative text</v>
      </c>
    </row>
    <row r="3684" spans="1:3" ht="13" x14ac:dyDescent="0.15">
      <c r="A3684" s="1" t="str">
        <f ca="1">IFERROR(__xludf.DUMMYFUNCTION("GOOGLETRANSLATE(A3684, ""zh"", ""en"")"),"To support the Rural Warm Winter Program in Huitong Village, Donghui Town, Lancang County, Yunnan Province, Fosun Pharma and Shanghai Fosun Charity Foundation jointly donated azithromycin, an oral COVID-19 medication worth 100 million yuan, to ensure acce"&amp;"ss to medication for the elderly in rural areas.")</f>
        <v>To support the Rural Warm Winter Program in Huitong Village, Donghui Town, Lancang County, Yunnan Province, Fosun Pharma and Shanghai Fosun Charity Foundation jointly donated azithromycin, an oral COVID-19 medication worth 100 million yuan, to ensure access to medication for the elderly in rural areas.</v>
      </c>
      <c r="B3684" s="1" t="str">
        <f ca="1">IFERROR(__xludf.DUMMYFUNCTION("GOOGLETRANSLATE(A3684, ""zh"", ""en"")"),"Fighting the epidemic")</f>
        <v>Fighting the epidemic</v>
      </c>
      <c r="C3684" s="1" t="str">
        <f ca="1">IFERROR(__xludf.DUMMYFUNCTION("GOOGLETRANSLATE(E3684, ""zh"", ""en"")"),"Quantitative Text")</f>
        <v>Quantitative Text</v>
      </c>
    </row>
    <row r="3685" spans="1:3" ht="13" x14ac:dyDescent="0.15">
      <c r="A3685" s="1" t="str">
        <f ca="1">IFERROR(__xludf.DUMMYFUNCTION("GOOGLETRANSLATE(A3685, ""zh"", ""en"")"),"We base recruitment, recruitment, compensation, benefits, career development, rewards and penalties on objective facts and do not discriminate or treat employees differently based on gender, age, physical characteristics, etc. We are committed to creating"&amp;" a fair and diverse work environment.")</f>
        <v>We base recruitment, recruitment, compensation, benefits, career development, rewards and penalties on objective facts and do not discriminate or treat employees differently based on gender, age, physical characteristics, etc. We are committed to creating a fair and diverse work environment.</v>
      </c>
      <c r="B3685" s="1" t="str">
        <f ca="1">IFERROR(__xludf.DUMMYFUNCTION("GOOGLETRANSLATE(A3685, ""zh"", ""en"")"),"staff")</f>
        <v>staff</v>
      </c>
      <c r="C3685" s="1" t="str">
        <f ca="1">IFERROR(__xludf.DUMMYFUNCTION("GOOGLETRANSLATE(E3685, ""zh"", ""en"")"),"Qualitative text")</f>
        <v>Qualitative text</v>
      </c>
    </row>
    <row r="3686" spans="1:3" ht="13" x14ac:dyDescent="0.15">
      <c r="A3686" s="1" t="str">
        <f ca="1">IFERROR(__xludf.DUMMYFUNCTION("GOOGLETRANSLATE(A3686, ""zh"", ""en"")"),"Candy established a new equality and diversity policy in the UK and Ireland in 2022, is working towards inclusive employer certification, and provides diversity and inclusion training and other relevant further education courses to managers.")</f>
        <v>Candy established a new equality and diversity policy in the UK and Ireland in 2022, is working towards inclusive employer certification, and provides diversity and inclusion training and other relevant further education courses to managers.</v>
      </c>
      <c r="B3686" s="1" t="str">
        <f ca="1">IFERROR(__xludf.DUMMYFUNCTION("GOOGLETRANSLATE(A3686, ""zh"", ""en"")"),"staff")</f>
        <v>staff</v>
      </c>
      <c r="C3686" s="1" t="str">
        <f ca="1">IFERROR(__xludf.DUMMYFUNCTION("GOOGLETRANSLATE(E3686, ""zh"", ""en"")"),"Qualitative text")</f>
        <v>Qualitative text</v>
      </c>
    </row>
    <row r="3687" spans="1:3" ht="13" x14ac:dyDescent="0.15">
      <c r="A3687" s="1" t="str">
        <f ca="1">IFERROR(__xludf.DUMMYFUNCTION("GOOGLETRANSLATE(A3687, ""zh"", ""en"")"),"At the same time, the company issued occupational disease hazard notices to employees in occupational disease hazard positions and conducted full-process occupational disease physical examinations before, during and after their employment. In 2022, a tota"&amp;"l of 14,000 occupational disease hazard position operators were examined.")</f>
        <v>At the same time, the company issued occupational disease hazard notices to employees in occupational disease hazard positions and conducted full-process occupational disease physical examinations before, during and after their employment. In 2022, a total of 14,000 occupational disease hazard position operators were examined.</v>
      </c>
      <c r="B3687" s="1" t="str">
        <f ca="1">IFERROR(__xludf.DUMMYFUNCTION("GOOGLETRANSLATE(A3687, ""zh"", ""en"")"),"staff")</f>
        <v>staff</v>
      </c>
      <c r="C3687" s="1" t="str">
        <f ca="1">IFERROR(__xludf.DUMMYFUNCTION("GOOGLETRANSLATE(E3687, ""zh"", ""en"")"),"Quantitative Text")</f>
        <v>Quantitative Text</v>
      </c>
    </row>
    <row r="3688" spans="1:3" ht="13" x14ac:dyDescent="0.15">
      <c r="A3688" s="1" t="str">
        <f ca="1">IFERROR(__xludf.DUMMYFUNCTION("GOOGLETRANSLATE(A3688, ""zh"", ""en"")"),"We have requirements for our suppliers' employee employment, safety, and health management. We regard violations of labor rights, such as the use of child labor and forced labor, as a red line and maintain a zero-tolerance attitude towards violations. Onc"&amp;"e discovered, cooperation will be terminated immediately.")</f>
        <v>We have requirements for our suppliers' employee employment, safety, and health management. We regard violations of labor rights, such as the use of child labor and forced labor, as a red line and maintain a zero-tolerance attitude towards violations. Once discovered, cooperation will be terminated immediately.</v>
      </c>
      <c r="B3688" s="1" t="str">
        <f ca="1">IFERROR(__xludf.DUMMYFUNCTION("GOOGLETRANSLATE(A3688, ""zh"", ""en"")"),"staff")</f>
        <v>staff</v>
      </c>
      <c r="C3688" s="1" t="str">
        <f ca="1">IFERROR(__xludf.DUMMYFUNCTION("GOOGLETRANSLATE(E3688, ""zh"", ""en"")"),"Qualitative text")</f>
        <v>Qualitative text</v>
      </c>
    </row>
    <row r="3689" spans="1:3" ht="13" x14ac:dyDescent="0.15">
      <c r="A3689" s="1" t="str">
        <f ca="1">IFERROR(__xludf.DUMMYFUNCTION("GOOGLETRANSLATE(A3689, ""zh"", ""en"")"),"In 2022, we have inspected 64 key energy conservation and emission reduction projects in the park. The photovoltaic power generation waste heat recovery company implemented the air compressor waste heat reuse project to recover waste heat for boiler prehe"&amp;"ating of domestic hot water and heating to avoid waste heat.")</f>
        <v>In 2022, we have inspected 64 key energy conservation and emission reduction projects in the park. The photovoltaic power generation waste heat recovery company implemented the air compressor waste heat reuse project to recover waste heat for boiler preheating of domestic hot water and heating to avoid waste heat.</v>
      </c>
      <c r="B3689" s="1" t="str">
        <f ca="1">IFERROR(__xludf.DUMMYFUNCTION("GOOGLETRANSLATE(A3689, ""zh"", ""en"")"),"Energy and resource consumption")</f>
        <v>Energy and resource consumption</v>
      </c>
      <c r="C3689" s="1" t="str">
        <f ca="1">IFERROR(__xludf.DUMMYFUNCTION("GOOGLETRANSLATE(E3689, ""zh"", ""en"")"),"Quantitative Text")</f>
        <v>Quantitative Text</v>
      </c>
    </row>
    <row r="3690" spans="1:3" ht="13" x14ac:dyDescent="0.15">
      <c r="A3690" s="1" t="str">
        <f ca="1">IFERROR(__xludf.DUMMYFUNCTION("GOOGLETRANSLATE(A3690, ""zh"", ""en"")"),"In 2022, the company carried out 18 rescue operations, dispatched 21 ships, participated in the rescue of 15 ships in distress, and rescued 182 people in distress. It received 8 letters of thanks from the maritime department and received 2 commendations f"&amp;"rom the maritime department and local government.")</f>
        <v>In 2022, the company carried out 18 rescue operations, dispatched 21 ships, participated in the rescue of 15 ships in distress, and rescued 182 people in distress. It received 8 letters of thanks from the maritime department and received 2 commendations from the maritime department and local government.</v>
      </c>
      <c r="B3690" s="1" t="str">
        <f ca="1">IFERROR(__xludf.DUMMYFUNCTION("GOOGLETRANSLATE(A3690, ""zh"", ""en"")"),"Public welfare and volunteer service")</f>
        <v>Public welfare and volunteer service</v>
      </c>
      <c r="C3690" s="1" t="str">
        <f ca="1">IFERROR(__xludf.DUMMYFUNCTION("GOOGLETRANSLATE(E3690, ""zh"", ""en"")"),"Quantitative Text")</f>
        <v>Quantitative Text</v>
      </c>
    </row>
    <row r="3691" spans="1:3" ht="13" x14ac:dyDescent="0.15">
      <c r="A3691" s="1" t="str">
        <f ca="1">IFERROR(__xludf.DUMMYFUNCTION("GOOGLETRANSLATE(A3691, ""zh"", ""en"")"),"Considering the low rental cost and low fuel consumption of the three-purpose workboat, the company reduced energy consumption and carbon emissions by laying cables on the three-purpose workboat and using the surplus power of the ship's power grid to powe"&amp;"r the trencher.")</f>
        <v>Considering the low rental cost and low fuel consumption of the three-purpose workboat, the company reduced energy consumption and carbon emissions by laying cables on the three-purpose workboat and using the surplus power of the ship's power grid to power the trencher.</v>
      </c>
      <c r="B3691" s="1" t="str">
        <f ca="1">IFERROR(__xludf.DUMMYFUNCTION("GOOGLETRANSLATE(A3691, ""zh"", ""en"")"),"carbon emissions")</f>
        <v>carbon emissions</v>
      </c>
      <c r="C3691" s="1" t="str">
        <f ca="1">IFERROR(__xludf.DUMMYFUNCTION("GOOGLETRANSLATE(E3691, ""zh"", ""en"")"),"Qualitative text")</f>
        <v>Qualitative text</v>
      </c>
    </row>
    <row r="3692" spans="1:3" ht="13" x14ac:dyDescent="0.15">
      <c r="A3692" s="1" t="str">
        <f ca="1">IFERROR(__xludf.DUMMYFUNCTION("GOOGLETRANSLATE(A3692, ""zh"", ""en"")"),"The Youth League Committee of Shanghai Electric Group Co., Ltd. 127 Group has mobilized youth organizations at all levels to actively participate in volunteer work and established the ""Little Charge"" Youth Volunteer Team this year.")</f>
        <v>The Youth League Committee of Shanghai Electric Group Co., Ltd. 127 Group has mobilized youth organizations at all levels to actively participate in volunteer work and established the "Little Charge" Youth Volunteer Team this year.</v>
      </c>
      <c r="B3692" s="1" t="str">
        <f ca="1">IFERROR(__xludf.DUMMYFUNCTION("GOOGLETRANSLATE(A3692, ""zh"", ""en"")"),"Public welfare and volunteer service")</f>
        <v>Public welfare and volunteer service</v>
      </c>
      <c r="C3692" s="1" t="str">
        <f ca="1">IFERROR(__xludf.DUMMYFUNCTION("GOOGLETRANSLATE(E3692, ""zh"", ""en"")"),"Qualitative text")</f>
        <v>Qualitative text</v>
      </c>
    </row>
    <row r="3693" spans="1:3" ht="13" x14ac:dyDescent="0.15">
      <c r="A3693" s="1" t="str">
        <f ca="1">IFERROR(__xludf.DUMMYFUNCTION("GOOGLETRANSLATE(A3693, ""zh"", ""en"")"),"The company incorporates key ESG indicators into the annual performance appraisal of the leadership teams of its affiliated units and departments as binding indicators, mainly covering aspects such as safe production, anti-corruption, energy conservation,"&amp;" environmental protection and climate change response, quality management, and legal and compliant operations.")</f>
        <v>The company incorporates key ESG indicators into the annual performance appraisal of the leadership teams of its affiliated units and departments as binding indicators, mainly covering aspects such as safe production, anti-corruption, energy conservation, environmental protection and climate change response, quality management, and legal and compliant operations.</v>
      </c>
      <c r="B3693" s="1" t="str">
        <f ca="1">IFERROR(__xludf.DUMMYFUNCTION("GOOGLETRANSLATE(A3693, ""zh"", ""en"")"),"Organizational structure and operations")</f>
        <v>Organizational structure and operations</v>
      </c>
      <c r="C3693" s="1" t="str">
        <f ca="1">IFERROR(__xludf.DUMMYFUNCTION("GOOGLETRANSLATE(E3693, ""zh"", ""en"")"),"Qualitative text")</f>
        <v>Qualitative text</v>
      </c>
    </row>
    <row r="3694" spans="1:3" ht="13" x14ac:dyDescent="0.15">
      <c r="A3694" s="1" t="str">
        <f ca="1">IFERROR(__xludf.DUMMYFUNCTION("GOOGLETRANSLATE(A3694, ""zh"", ""en"")"),"The labor unions at all levels of the company organize regular warm-hearted activities, strengthen the preferential treatment system and provide condolences to employees. At the same time, they pay great attention to the mental health of employees, widely"&amp;" carry out EAP services, and enrich online and offline sports and entertainment activities to promote happy work and healthy life for employees.")</f>
        <v>The labor unions at all levels of the company organize regular warm-hearted activities, strengthen the preferential treatment system and provide condolences to employees. At the same time, they pay great attention to the mental health of employees, widely carry out EAP services, and enrich online and offline sports and entertainment activities to promote happy work and healthy life for employees.</v>
      </c>
      <c r="B3694" s="1" t="str">
        <f ca="1">IFERROR(__xludf.DUMMYFUNCTION("GOOGLETRANSLATE(A3694, ""zh"", ""en"")"),"staff")</f>
        <v>staff</v>
      </c>
      <c r="C3694" s="1" t="str">
        <f ca="1">IFERROR(__xludf.DUMMYFUNCTION("GOOGLETRANSLATE(E3694, ""zh"", ""en"")"),"Qualitative text")</f>
        <v>Qualitative text</v>
      </c>
    </row>
    <row r="3695" spans="1:3" ht="13" x14ac:dyDescent="0.15">
      <c r="A3695" s="1" t="str">
        <f ca="1">IFERROR(__xludf.DUMMYFUNCTION("GOOGLETRANSLATE(A3695, ""zh"", ""en"")"),"Employee Training The company continues to strengthen the top-level design of employee training, optimizes and promotes the training of key talents such as management personnel at all levels, technical and skilled personnel, and international talents, and"&amp;" is committed to building a high-quality and high-level employee education and training system.")</f>
        <v>Employee Training The company continues to strengthen the top-level design of employee training, optimizes and promotes the training of key talents such as management personnel at all levels, technical and skilled personnel, and international talents, and is committed to building a high-quality and high-level employee education and training system.</v>
      </c>
      <c r="B3695" s="1" t="str">
        <f ca="1">IFERROR(__xludf.DUMMYFUNCTION("GOOGLETRANSLATE(A3695, ""zh"", ""en"")"),"staff")</f>
        <v>staff</v>
      </c>
      <c r="C3695" s="1" t="str">
        <f ca="1">IFERROR(__xludf.DUMMYFUNCTION("GOOGLETRANSLATE(E3695, ""zh"", ""en"")"),"Qualitative text")</f>
        <v>Qualitative text</v>
      </c>
    </row>
    <row r="3696" spans="1:3" ht="13" x14ac:dyDescent="0.15">
      <c r="A3696" s="1" t="str">
        <f ca="1">IFERROR(__xludf.DUMMYFUNCTION("GOOGLETRANSLATE(A3696, ""zh"", ""en"")"),"The company continues to promote the quantitative scoring and assessment of contractors and practitioners, and conducts a full-process assessment of contractors' safety, quality, progress, and comprehensive management behaviors in the form of event record"&amp;"s to promote contractors to comprehensively review and improve their own behaviors.")</f>
        <v>The company continues to promote the quantitative scoring and assessment of contractors and practitioners, and conducts a full-process assessment of contractors' safety, quality, progress, and comprehensive management behaviors in the form of event records to promote contractors to comprehensively review and improve their own behaviors.</v>
      </c>
      <c r="B3696" s="1" t="str">
        <f ca="1">IFERROR(__xludf.DUMMYFUNCTION("GOOGLETRANSLATE(A3696, ""zh"", ""en"")"),"staff")</f>
        <v>staff</v>
      </c>
      <c r="C3696" s="1" t="str">
        <f ca="1">IFERROR(__xludf.DUMMYFUNCTION("GOOGLETRANSLATE(E3696, ""zh"", ""en"")"),"Qualitative text")</f>
        <v>Qualitative text</v>
      </c>
    </row>
    <row r="3697" spans="1:3" ht="13" x14ac:dyDescent="0.15">
      <c r="A3697" s="1" t="str">
        <f ca="1">IFERROR(__xludf.DUMMYFUNCTION("GOOGLETRANSLATE(A3697, ""zh"", ""en"")"),"In 2022, the number of visits to the official online platform increased by 4 million, and the cumulative number of users added to WeChat Enterprise reached 600,000. The construction of an integrated business and financial system basically covers all membe"&amp;"r units, further improving the efficiency and quality of the company's centralized management.")</f>
        <v>In 2022, the number of visits to the official online platform increased by 4 million, and the cumulative number of users added to WeChat Enterprise reached 600,000. The construction of an integrated business and financial system basically covers all member units, further improving the efficiency and quality of the company's centralized management.</v>
      </c>
      <c r="B3697" s="1" t="str">
        <f ca="1">IFERROR(__xludf.DUMMYFUNCTION("GOOGLETRANSLATE(A3697, ""zh"", ""en"")"),"Customers and Consumers")</f>
        <v>Customers and Consumers</v>
      </c>
      <c r="C3697" s="1" t="str">
        <f ca="1">IFERROR(__xludf.DUMMYFUNCTION("GOOGLETRANSLATE(E3697, ""zh"", ""en"")"),"Quantitative Text")</f>
        <v>Quantitative Text</v>
      </c>
    </row>
    <row r="3698" spans="1:3" ht="13" x14ac:dyDescent="0.15">
      <c r="A3698" s="1" t="str">
        <f ca="1">IFERROR(__xludf.DUMMYFUNCTION("GOOGLETRANSLATE(A3698, ""zh"", ""en"")"),"In July 2022, under the guidance of the All-China Women's Federation, Sinopec and the China Children and Teenagers' Fund jointly launched the Chunlei Gas Station public welfare project. Currently, the first Chunlei Gas Station in China, a girl-friendly sp"&amp;"ace, has been built at Dongxiang County Petrochemical Middle School.")</f>
        <v>In July 2022, under the guidance of the All-China Women's Federation, Sinopec and the China Children and Teenagers' Fund jointly launched the Chunlei Gas Station public welfare project. Currently, the first Chunlei Gas Station in China, a girl-friendly space, has been built at Dongxiang County Petrochemical Middle School.</v>
      </c>
      <c r="B3698" s="1" t="str">
        <f ca="1">IFERROR(__xludf.DUMMYFUNCTION("GOOGLETRANSLATE(A3698, ""zh"", ""en"")"),"Public welfare and volunteer service")</f>
        <v>Public welfare and volunteer service</v>
      </c>
      <c r="C3698" s="1" t="str">
        <f ca="1">IFERROR(__xludf.DUMMYFUNCTION("GOOGLETRANSLATE(E3698, ""zh"", ""en"")"),"Qualitative text")</f>
        <v>Qualitative text</v>
      </c>
    </row>
    <row r="3699" spans="1:3" ht="13" x14ac:dyDescent="0.15">
      <c r="A3699" s="1" t="str">
        <f ca="1">IFERROR(__xludf.DUMMYFUNCTION("GOOGLETRANSLATE(A3699, ""zh"", ""en"")"),"Equity investment in general projects; investment activities with own funds; enterprise management; enterprise management consulting; information consulting services; excluding licensed information consulting services; except for projects that require app"&amp;"roval according to law; independently conducting business activities in accordance with the law with a business license.")</f>
        <v>Equity investment in general projects; investment activities with own funds; enterprise management; enterprise management consulting; information consulting services; excluding licensed information consulting services; except for projects that require approval according to law; independently conducting business activities in accordance with the law with a business license.</v>
      </c>
      <c r="B3699" s="1" t="str">
        <f ca="1">IFERROR(__xludf.DUMMYFUNCTION("GOOGLETRANSLATE(A3699, ""zh"", ""en"")"),"irrelevant text")</f>
        <v>irrelevant text</v>
      </c>
      <c r="C3699" s="1" t="str">
        <f ca="1">IFERROR(__xludf.DUMMYFUNCTION("GOOGLETRANSLATE(E3699, ""zh"", ""en"")"),"irrelevant text")</f>
        <v>irrelevant text</v>
      </c>
    </row>
    <row r="3700" spans="1:3" ht="13" x14ac:dyDescent="0.15">
      <c r="A3700" s="1" t="str">
        <f ca="1">IFERROR(__xludf.DUMMYFUNCTION("GOOGLETRANSLATE(A3700, ""zh"", ""en"")"),"Projects that require approval according to law can only be carried out after approval from relevant departments. Licensed projects. Projects that require approval according to law for the import and export of goods can only be carried out after approval "&amp;"from relevant departments. The specific business projects are subject to the approval results.")</f>
        <v>Projects that require approval according to law can only be carried out after approval from relevant departments. Licensed projects. Projects that require approval according to law for the import and export of goods can only be carried out after approval from relevant departments. The specific business projects are subject to the approval results.</v>
      </c>
      <c r="B3700" s="1" t="str">
        <f ca="1">IFERROR(__xludf.DUMMYFUNCTION("GOOGLETRANSLATE(A3700, ""zh"", ""en"")"),"Legal proceedings and external sanctions")</f>
        <v>Legal proceedings and external sanctions</v>
      </c>
      <c r="C3700" s="1" t="str">
        <f ca="1">IFERROR(__xludf.DUMMYFUNCTION("GOOGLETRANSLATE(E3700, ""zh"", ""en"")"),"Qualitative text")</f>
        <v>Qualitative text</v>
      </c>
    </row>
    <row r="3701" spans="1:3" ht="13" x14ac:dyDescent="0.15">
      <c r="A3701" s="1" t="str">
        <f ca="1">IFERROR(__xludf.DUMMYFUNCTION("GOOGLETRANSLATE(A3701, ""zh"", ""en"")"),"In accordance with the requirements of the superiors, the group further improved its work system, established and improved the environmental protection and energy conservation and emission reduction work system and various work systems, formulated and int"&amp;"roduced high energy consumption and energy conservation management system, energy measurement and statistics management system and other systems.")</f>
        <v>In accordance with the requirements of the superiors, the group further improved its work system, established and improved the environmental protection and energy conservation and emission reduction work system and various work systems, formulated and introduced high energy consumption and energy conservation management system, energy measurement and statistics management system and other systems.</v>
      </c>
      <c r="B3701" s="1" t="str">
        <f ca="1">IFERROR(__xludf.DUMMYFUNCTION("GOOGLETRANSLATE(A3701, ""zh"", ""en"")"),"Energy and resource consumption")</f>
        <v>Energy and resource consumption</v>
      </c>
      <c r="C3701" s="1" t="str">
        <f ca="1">IFERROR(__xludf.DUMMYFUNCTION("GOOGLETRANSLATE(E3701, ""zh"", ""en"")"),"Qualitative text")</f>
        <v>Qualitative text</v>
      </c>
    </row>
    <row r="3702" spans="1:3" ht="13" x14ac:dyDescent="0.15">
      <c r="A3702" s="1" t="str">
        <f ca="1">IFERROR(__xludf.DUMMYFUNCTION("GOOGLETRANSLATE(A3702, ""zh"", ""en"")"),"3839434854575960 Key Performance Indicator A2.1 Total direct and/or indirect energy consumption by type (e.g., electricity or oil) in thousands of kWh and density (e.g., per unit of production per facility)")</f>
        <v>3839434854575960 Key Performance Indicator A2.1 Total direct and/or indirect energy consumption by type (e.g., electricity or oil) in thousands of kWh and density (e.g., per unit of production per facility)</v>
      </c>
      <c r="B3702" s="1" t="str">
        <f ca="1">IFERROR(__xludf.DUMMYFUNCTION("GOOGLETRANSLATE(A3702, ""zh"", ""en"")"),"Energy and resource consumption")</f>
        <v>Energy and resource consumption</v>
      </c>
      <c r="C3702" s="1" t="str">
        <f ca="1">IFERROR(__xludf.DUMMYFUNCTION("GOOGLETRANSLATE(E3702, ""zh"", ""en"")"),"Quantitative Text")</f>
        <v>Quantitative Text</v>
      </c>
    </row>
    <row r="3703" spans="1:3" ht="13" x14ac:dyDescent="0.15">
      <c r="A3703" s="1" t="str">
        <f ca="1">IFERROR(__xludf.DUMMYFUNCTION("GOOGLETRANSLATE(A3703, ""zh"", ""en"")"),"The company's biodiversity practices were selected into the Corporate Biodiversity Conservation Case Collection, which was released at the China Corner side event of the second phase of the 15th Conference of the Parties to the Convention on Biological Di"&amp;"versity (COP15) in Montreal, Canada.")</f>
        <v>The company's biodiversity practices were selected into the Corporate Biodiversity Conservation Case Collection, which was released at the China Corner side event of the second phase of the 15th Conference of the Parties to the Convention on Biological Diversity (COP15) in Montreal, Canada.</v>
      </c>
      <c r="B3703" s="1" t="str">
        <f ca="1">IFERROR(__xludf.DUMMYFUNCTION("GOOGLETRANSLATE(A3703, ""zh"", ""en"")"),"biodiversity")</f>
        <v>biodiversity</v>
      </c>
      <c r="C3703" s="1" t="str">
        <f ca="1">IFERROR(__xludf.DUMMYFUNCTION("GOOGLETRANSLATE(E3703, ""zh"", ""en"")"),"Qualitative text")</f>
        <v>Qualitative text</v>
      </c>
    </row>
    <row r="3704" spans="1:3" ht="13" x14ac:dyDescent="0.15">
      <c r="A3704" s="1" t="str">
        <f ca="1">IFERROR(__xludf.DUMMYFUNCTION("GOOGLETRANSLATE(A3704, ""zh"", ""en"")"),"Our Shanghai United Rolling Bearing Co., Ltd. will deploy relevant functions here to build the base into a demonstration base and R&amp;D and manufacturing base for rail transit bearings and robot reducer bearings in East China, helping the new city's industr"&amp;"ial transformation and upgrading.")</f>
        <v>Our Shanghai United Rolling Bearing Co., Ltd. will deploy relevant functions here to build the base into a demonstration base and R&amp;D and manufacturing base for rail transit bearings and robot reducer bearings in East China, helping the new city's industrial transformation and upgrading.</v>
      </c>
      <c r="B3704" s="1" t="str">
        <f ca="1">IFERROR(__xludf.DUMMYFUNCTION("GOOGLETRANSLATE(A3704, ""zh"", ""en"")"),"Technological innovation")</f>
        <v>Technological innovation</v>
      </c>
      <c r="C3704" s="1" t="str">
        <f ca="1">IFERROR(__xludf.DUMMYFUNCTION("GOOGLETRANSLATE(E3704, ""zh"", ""en"")"),"Qualitative text")</f>
        <v>Qualitative text</v>
      </c>
    </row>
    <row r="3705" spans="1:3" ht="13" x14ac:dyDescent="0.15">
      <c r="A3705" s="1" t="str">
        <f ca="1">IFERROR(__xludf.DUMMYFUNCTION("GOOGLETRANSLATE(A3705, ""zh"", ""en"")"),"In December 2022, COMAC will officially deliver the world's first domestically produced C919 aircraft, designated B919A, to China Eastern Airlines, marking a new milestone in the development of domestically produced large aircraft.")</f>
        <v>In December 2022, COMAC will officially deliver the world's first domestically produced C919 aircraft, designated B919A, to China Eastern Airlines, marking a new milestone in the development of domestically produced large aircraft.</v>
      </c>
      <c r="B3705" s="1" t="str">
        <f ca="1">IFERROR(__xludf.DUMMYFUNCTION("GOOGLETRANSLATE(A3705, ""zh"", ""en"")"),"Technological innovation")</f>
        <v>Technological innovation</v>
      </c>
      <c r="C3705" s="1" t="str">
        <f ca="1">IFERROR(__xludf.DUMMYFUNCTION("GOOGLETRANSLATE(E3705, ""zh"", ""en"")"),"Qualitative text")</f>
        <v>Qualitative text</v>
      </c>
    </row>
    <row r="3706" spans="1:3" ht="13" x14ac:dyDescent="0.15">
      <c r="A3706" s="1" t="str">
        <f ca="1">IFERROR(__xludf.DUMMYFUNCTION("GOOGLETRANSLATE(A3706, ""zh"", ""en"")"),"Based on the principle of reference and reuse, we sorted out the focus of major industries in the value chain in 2022, relying on three scenarios of smart factory product operation and maintenance, energy and industrial Internet to promote the constructio"&amp;"n and implementation of demonstration digital and intelligent projects at all levels.")</f>
        <v>Based on the principle of reference and reuse, we sorted out the focus of major industries in the value chain in 2022, relying on three scenarios of smart factory product operation and maintenance, energy and industrial Internet to promote the construction and implementation of demonstration digital and intelligent projects at all levels.</v>
      </c>
      <c r="B3706" s="1" t="str">
        <f ca="1">IFERROR(__xludf.DUMMYFUNCTION("GOOGLETRANSLATE(A3706, ""zh"", ""en"")"),"Technological innovation")</f>
        <v>Technological innovation</v>
      </c>
      <c r="C3706" s="1" t="str">
        <f ca="1">IFERROR(__xludf.DUMMYFUNCTION("GOOGLETRANSLATE(E3706, ""zh"", ""en"")"),"Qualitative text")</f>
        <v>Qualitative text</v>
      </c>
    </row>
    <row r="3707" spans="1:3" ht="13" x14ac:dyDescent="0.15">
      <c r="A3707" s="1" t="str">
        <f ca="1">IFERROR(__xludf.DUMMYFUNCTION("GOOGLETRANSLATE(A3707, ""zh"", ""en"")"),"The event also released the Shanghai Electric 2022 Intellectual Property Service Solution White Paper, which aims to create a favorable atmosphere for internal intellectual property communication within Shanghai Electric and provide the necessary basis fo"&amp;"r the construction of Shanghai Electric's intellectual property ecosystem.")</f>
        <v>The event also released the Shanghai Electric 2022 Intellectual Property Service Solution White Paper, which aims to create a favorable atmosphere for internal intellectual property communication within Shanghai Electric and provide the necessary basis for the construction of Shanghai Electric's intellectual property ecosystem.</v>
      </c>
      <c r="B3707" s="1" t="str">
        <f ca="1">IFERROR(__xludf.DUMMYFUNCTION("GOOGLETRANSLATE(A3707, ""zh"", ""en"")"),"Intellectual Property Protection")</f>
        <v>Intellectual Property Protection</v>
      </c>
      <c r="C3707" s="1" t="str">
        <f ca="1">IFERROR(__xludf.DUMMYFUNCTION("GOOGLETRANSLATE(E3707, ""zh"", ""en"")"),"Qualitative text")</f>
        <v>Qualitative text</v>
      </c>
    </row>
    <row r="3708" spans="1:3" ht="13" x14ac:dyDescent="0.15">
      <c r="A3708" s="1" t="str">
        <f ca="1">IFERROR(__xludf.DUMMYFUNCTION("GOOGLETRANSLATE(A3708, ""zh"", ""en"")"),"The rooftop photovoltaic project of Linyi Zhongchu Supply Chain Co., Ltd., a holding subsidiary of the company, is wholly owned by Ningxia Jiaze New Energy Co., Ltd. The total investment is RMB 26 million, the construction scale is 5.9MW and the designed "&amp;"service life is 25 years.")</f>
        <v>The rooftop photovoltaic project of Linyi Zhongchu Supply Chain Co., Ltd., a holding subsidiary of the company, is wholly owned by Ningxia Jiaze New Energy Co., Ltd. The total investment is RMB 26 million, the construction scale is 5.9MW and the designed service life is 25 years.</v>
      </c>
      <c r="B3708" s="1" t="str">
        <f ca="1">IFERROR(__xludf.DUMMYFUNCTION("GOOGLETRANSLATE(A3708, ""zh"", ""en"")"),"Energy and resource consumption")</f>
        <v>Energy and resource consumption</v>
      </c>
      <c r="C3708" s="1" t="str">
        <f ca="1">IFERROR(__xludf.DUMMYFUNCTION("GOOGLETRANSLATE(E3708, ""zh"", ""en"")"),"Quantitative Text")</f>
        <v>Quantitative Text</v>
      </c>
    </row>
    <row r="3709" spans="1:3" ht="13" x14ac:dyDescent="0.15">
      <c r="A3709" s="1" t="str">
        <f ca="1">IFERROR(__xludf.DUMMYFUNCTION("GOOGLETRANSLATE(A3709, ""zh"", ""en"")"),"For example, adaptive backlight energy consumption control, high light efficiency optical system design, power supply digital control and digital-analog management methods are updated and revised to plan, implement, inspect and improve management models t"&amp;"o achieve the goal of saving energy and reducing carbon emissions.")</f>
        <v>For example, adaptive backlight energy consumption control, high light efficiency optical system design, power supply digital control and digital-analog management methods are updated and revised to plan, implement, inspect and improve management models to achieve the goal of saving energy and reducing carbon emissions.</v>
      </c>
      <c r="B3709" s="1" t="str">
        <f ca="1">IFERROR(__xludf.DUMMYFUNCTION("GOOGLETRANSLATE(A3709, ""zh"", ""en"")"),"carbon emissions")</f>
        <v>carbon emissions</v>
      </c>
      <c r="C3709" s="1" t="str">
        <f ca="1">IFERROR(__xludf.DUMMYFUNCTION("GOOGLETRANSLATE(E3709, ""zh"", ""en"")"),"Qualitative text")</f>
        <v>Qualitative text</v>
      </c>
    </row>
    <row r="3710" spans="1:3" ht="13" x14ac:dyDescent="0.15">
      <c r="A3710" s="1" t="str">
        <f ca="1">IFERROR(__xludf.DUMMYFUNCTION("GOOGLETRANSLATE(A3710, ""zh"", ""en"")"),"During the reporting period, the company's environmental management system operated well and passed ISO14001 system certification. No administrative penalties were imposed due to environmental issues and no adverse environmental incidents occurred. The co"&amp;"mpany's environmental performance was effectively and continuously guaranteed.")</f>
        <v>During the reporting period, the company's environmental management system operated well and passed ISO14001 system certification. No administrative penalties were imposed due to environmental issues and no adverse environmental incidents occurred. The company's environmental performance was effectively and continuously guaranteed.</v>
      </c>
      <c r="B3710" s="1" t="str">
        <f ca="1">IFERROR(__xludf.DUMMYFUNCTION("GOOGLETRANSLATE(A3710, ""zh"", ""en"")"),"Environmental penalties")</f>
        <v>Environmental penalties</v>
      </c>
      <c r="C3710" s="1" t="str">
        <f ca="1">IFERROR(__xludf.DUMMYFUNCTION("GOOGLETRANSLATE(E3710, ""zh"", ""en"")"),"Quantitative Text")</f>
        <v>Quantitative Text</v>
      </c>
    </row>
    <row r="3711" spans="1:3" ht="13" x14ac:dyDescent="0.15">
      <c r="A3711" s="1" t="str">
        <f ca="1">IFERROR(__xludf.DUMMYFUNCTION("GOOGLETRANSLATE(A3711, ""zh"", ""en"")"),"The company has nine major projects under construction in 2022, mainly logistics, warehousing and multimodal transport projects covering Hebei, Shanxi, Henan, Liaoning and other provinces and cities. It will further accelerate the renovation of logistics "&amp;"infrastructure to provide customers with better and more convenient places to serve.")</f>
        <v>The company has nine major projects under construction in 2022, mainly logistics, warehousing and multimodal transport projects covering Hebei, Shanxi, Henan, Liaoning and other provinces and cities. It will further accelerate the renovation of logistics infrastructure to provide customers with better and more convenient places to serve.</v>
      </c>
      <c r="B3711" s="1" t="str">
        <f ca="1">IFERROR(__xludf.DUMMYFUNCTION("GOOGLETRANSLATE(A3711, ""zh"", ""en"")"),"Customers and Consumers")</f>
        <v>Customers and Consumers</v>
      </c>
      <c r="C3711" s="1" t="str">
        <f ca="1">IFERROR(__xludf.DUMMYFUNCTION("GOOGLETRANSLATE(E3711, ""zh"", ""en"")"),"Qualitative text")</f>
        <v>Qualitative text</v>
      </c>
    </row>
    <row r="3712" spans="1:3" ht="13" x14ac:dyDescent="0.15">
      <c r="A3712" s="1" t="str">
        <f ca="1">IFERROR(__xludf.DUMMYFUNCTION("GOOGLETRANSLATE(A3712, ""zh"", ""en"")"),"The measurement standards, methods, assumptions, calculation tools, and conversion factor sources of the key performance indicators in this report are described in the corresponding locations, if applicable. Environmental targets are disclosed in the repo"&amp;"rt's chapter on addressing climate change.")</f>
        <v>The measurement standards, methods, assumptions, calculation tools, and conversion factor sources of the key performance indicators in this report are described in the corresponding locations, if applicable. Environmental targets are disclosed in the report's chapter on addressing climate change.</v>
      </c>
      <c r="B3712" s="1" t="str">
        <f ca="1">IFERROR(__xludf.DUMMYFUNCTION("GOOGLETRANSLATE(A3712, ""zh"", ""en"")"),"Addressing climate change")</f>
        <v>Addressing climate change</v>
      </c>
      <c r="C3712" s="1" t="str">
        <f ca="1">IFERROR(__xludf.DUMMYFUNCTION("GOOGLETRANSLATE(E3712, ""zh"", ""en"")"),"Qualitative text")</f>
        <v>Qualitative text</v>
      </c>
    </row>
    <row r="3713" spans="1:3" ht="13" x14ac:dyDescent="0.15">
      <c r="A3713" s="1" t="str">
        <f ca="1">IFERROR(__xludf.DUMMYFUNCTION("GOOGLETRANSLATE(A3713, ""zh"", ""en"")"),"In addition, we have carried out wastewater recycling transformation on the water purification host of the Beijing headquarters building. The wastewater is uniformly recycled into the underground grey water tank and reused. At the same time, the wastewate"&amp;"r from the direct drinking machine is recycled and reused as grey water to improve the efficiency of water resource utilization.")</f>
        <v>In addition, we have carried out wastewater recycling transformation on the water purification host of the Beijing headquarters building. The wastewater is uniformly recycled into the underground grey water tank and reused. At the same time, the wastewater from the direct drinking machine is recycled and reused as grey water to improve the efficiency of water resource utilization.</v>
      </c>
      <c r="B3713" s="1" t="str">
        <f ca="1">IFERROR(__xludf.DUMMYFUNCTION("GOOGLETRANSLATE(A3713, ""zh"", ""en"")"),"Water resources")</f>
        <v>Water resources</v>
      </c>
      <c r="C3713" s="1" t="str">
        <f ca="1">IFERROR(__xludf.DUMMYFUNCTION("GOOGLETRANSLATE(E3713, ""zh"", ""en"")"),"Qualitative text")</f>
        <v>Qualitative text</v>
      </c>
    </row>
    <row r="3714" spans="1:3" ht="13" x14ac:dyDescent="0.15">
      <c r="A3714" s="1" t="str">
        <f ca="1">IFERROR(__xludf.DUMMYFUNCTION("GOOGLETRANSLATE(A3714, ""zh"", ""en"")"),"Professional monitoring and inspection of labor protection supplies are carried out in accordance with the relevant provisions. Physical examinations are conducted on employees. Employee canteen management is carried out to prevent food poisoning and appr"&amp;"opriate care is provided. Directors, supervisors and senior management personnel are compensated in accordance with the performance evaluation standards and procedures established by the company.")</f>
        <v>Professional monitoring and inspection of labor protection supplies are carried out in accordance with the relevant provisions. Physical examinations are conducted on employees. Employee canteen management is carried out to prevent food poisoning and appropriate care is provided. Directors, supervisors and senior management personnel are compensated in accordance with the performance evaluation standards and procedures established by the company.</v>
      </c>
      <c r="B3714" s="1" t="str">
        <f ca="1">IFERROR(__xludf.DUMMYFUNCTION("GOOGLETRANSLATE(A3714, ""zh"", ""en"")"),"staff")</f>
        <v>staff</v>
      </c>
      <c r="C3714" s="1" t="str">
        <f ca="1">IFERROR(__xludf.DUMMYFUNCTION("GOOGLETRANSLATE(E3714, ""zh"", ""en"")"),"Qualitative text")</f>
        <v>Qualitative text</v>
      </c>
    </row>
    <row r="3715" spans="1:3" ht="13" x14ac:dyDescent="0.15">
      <c r="A3715" s="1" t="str">
        <f ca="1">IFERROR(__xludf.DUMMYFUNCTION("GOOGLETRANSLATE(A3715, ""zh"", ""en"")"),"31322022Social Responsibility Report Building a Solid and Stable Foundation for Development Shanghai Electric always upholds the principles of integrity and honesty in its business operations and adopts a zero-tolerance attitude towards any violations of "&amp;"business ethics and corruption.")</f>
        <v>31322022Social Responsibility Report Building a Solid and Stable Foundation for Development Shanghai Electric always upholds the principles of integrity and honesty in its business operations and adopts a zero-tolerance attitude towards any violations of business ethics and corruption.</v>
      </c>
      <c r="B3715" s="1" t="str">
        <f ca="1">IFERROR(__xludf.DUMMYFUNCTION("GOOGLETRANSLATE(A3715, ""zh"", ""en"")"),"Anti-corruption and anti-money laundering")</f>
        <v>Anti-corruption and anti-money laundering</v>
      </c>
      <c r="C3715" s="1" t="str">
        <f ca="1">IFERROR(__xludf.DUMMYFUNCTION("GOOGLETRANSLATE(E3715, ""zh"", ""en"")"),"Qualitative text")</f>
        <v>Qualitative text</v>
      </c>
    </row>
    <row r="3716" spans="1:3" ht="13" x14ac:dyDescent="0.15">
      <c r="A3716" s="1" t="str">
        <f ca="1">IFERROR(__xludf.DUMMYFUNCTION("GOOGLETRANSLATE(A3716, ""zh"", ""en"")"),"The 400MW AB Zone 7 wind farm project in Guazhou County, Beidaqiao, is located in Guazhou County, Jiuquan City. It is one of the 5 million kilowatt projects in the second phase of the Jiuquan 10 million kilowatt wind power base. The project company is con"&amp;"trolled by SDIC Power Holding Co., Ltd.")</f>
        <v>The 400MW AB Zone 7 wind farm project in Guazhou County, Beidaqiao, is located in Guazhou County, Jiuquan City. It is one of the 5 million kilowatt projects in the second phase of the Jiuquan 10 million kilowatt wind power base. The project company is controlled by SDIC Power Holding Co., Ltd.</v>
      </c>
      <c r="B3716" s="1" t="str">
        <f ca="1">IFERROR(__xludf.DUMMYFUNCTION("GOOGLETRANSLATE(A3716, ""zh"", ""en"")"),"Clean Technology")</f>
        <v>Clean Technology</v>
      </c>
      <c r="C3716" s="1" t="str">
        <f ca="1">IFERROR(__xludf.DUMMYFUNCTION("GOOGLETRANSLATE(E3716, ""zh"", ""en"")"),"Quantitative Text")</f>
        <v>Quantitative Text</v>
      </c>
    </row>
    <row r="3717" spans="1:3" ht="13" x14ac:dyDescent="0.15">
      <c r="A3717" s="1" t="str">
        <f ca="1">IFERROR(__xludf.DUMMYFUNCTION("GOOGLETRANSLATE(A3717, ""zh"", ""en"")"),"Since its establishment, Anxin Investment has invested in a total of 25 equity investment projects, including 24 high-tech enterprises and 16 specialized and innovative enterprises. It has participated in the strategic placement investment projects of the"&amp;" Science and Technology Innovation Board, and all of them are technology-innovative real economy enterprises.")</f>
        <v>Since its establishment, Anxin Investment has invested in a total of 25 equity investment projects, including 24 high-tech enterprises and 16 specialized and innovative enterprises. It has participated in the strategic placement investment projects of the Science and Technology Innovation Board, and all of them are technology-innovative real economy enterprises.</v>
      </c>
      <c r="B3717" s="1" t="str">
        <f ca="1">IFERROR(__xludf.DUMMYFUNCTION("GOOGLETRANSLATE(A3717, ""zh"", ""en"")"),"Technological innovation")</f>
        <v>Technological innovation</v>
      </c>
      <c r="C3717" s="1" t="str">
        <f ca="1">IFERROR(__xludf.DUMMYFUNCTION("GOOGLETRANSLATE(E3717, ""zh"", ""en"")"),"Quantitative Text")</f>
        <v>Quantitative Text</v>
      </c>
    </row>
    <row r="3718" spans="1:3" ht="13" x14ac:dyDescent="0.15">
      <c r="A3718" s="1" t="str">
        <f ca="1">IFERROR(__xludf.DUMMYFUNCTION("GOOGLETRANSLATE(A3718, ""zh"", ""en"")"),"As society pays more and more attention to climate change, green and low-carbon development, companies that fail to meet stakeholder expectations may face negative impacts on their reputation, which in turn affects their earnings and development, and also"&amp;" affects institutional ratings and public credibility.")</f>
        <v>As society pays more and more attention to climate change, green and low-carbon development, companies that fail to meet stakeholder expectations may face negative impacts on their reputation, which in turn affects their earnings and development, and also affects institutional ratings and public credibility.</v>
      </c>
      <c r="B3718" s="1" t="str">
        <f ca="1">IFERROR(__xludf.DUMMYFUNCTION("GOOGLETRANSLATE(A3718, ""zh"", ""en"")"),"Addressing climate change")</f>
        <v>Addressing climate change</v>
      </c>
      <c r="C3718" s="1" t="str">
        <f ca="1">IFERROR(__xludf.DUMMYFUNCTION("GOOGLETRANSLATE(E3718, ""zh"", ""en"")"),"Qualitative text")</f>
        <v>Qualitative text</v>
      </c>
    </row>
    <row r="3719" spans="1:3" ht="13" x14ac:dyDescent="0.15">
      <c r="A3719" s="1" t="str">
        <f ca="1">IFERROR(__xludf.DUMMYFUNCTION("GOOGLETRANSLATE(A3719, ""zh"", ""en"")"),"Five social and environmental responsibilities One Party-building activities are carried out in an orderly manner. The CPC Zhejiang Sunshine Lighting Appliance Group Co., Ltd. Committee was established in October 1976, the Party branch was established in "&amp;"May 1988, and it was upgraded to the Party Committee in 1993.")</f>
        <v>Five social and environmental responsibilities One Party-building activities are carried out in an orderly manner. The CPC Zhejiang Sunshine Lighting Appliance Group Co., Ltd. Committee was established in October 1976, the Party branch was established in May 1988, and it was upgraded to the Party Committee in 1993.</v>
      </c>
      <c r="B3719" s="1" t="str">
        <f ca="1">IFERROR(__xludf.DUMMYFUNCTION("GOOGLETRANSLATE(A3719, ""zh"", ""en"")"),"Organizational structure and operations")</f>
        <v>Organizational structure and operations</v>
      </c>
      <c r="C3719" s="1" t="str">
        <f ca="1">IFERROR(__xludf.DUMMYFUNCTION("GOOGLETRANSLATE(E3719, ""zh"", ""en"")"),"Qualitative text")</f>
        <v>Qualitative text</v>
      </c>
    </row>
    <row r="3720" spans="1:3" ht="13" x14ac:dyDescent="0.15">
      <c r="A3720" s="1" t="str">
        <f ca="1">IFERROR(__xludf.DUMMYFUNCTION("GOOGLETRANSLATE(A3720, ""zh"", ""en"")"),"The Chairman's Free Travel program builds a close communication platform between employees and the Chairman, encouraging employees to actively raise their own demands and interact with the Chairman on the company's development direction and future career "&amp;"planning, thereby enhancing employees' sense of belonging and mission.")</f>
        <v>The Chairman's Free Travel program builds a close communication platform between employees and the Chairman, encouraging employees to actively raise their own demands and interact with the Chairman on the company's development direction and future career planning, thereby enhancing employees' sense of belonging and mission.</v>
      </c>
      <c r="B3720" s="1" t="str">
        <f ca="1">IFERROR(__xludf.DUMMYFUNCTION("GOOGLETRANSLATE(A3720, ""zh"", ""en"")"),"staff")</f>
        <v>staff</v>
      </c>
      <c r="C3720" s="1" t="str">
        <f ca="1">IFERROR(__xludf.DUMMYFUNCTION("GOOGLETRANSLATE(E3720, ""zh"", ""en"")"),"Qualitative text")</f>
        <v>Qualitative text</v>
      </c>
    </row>
    <row r="3721" spans="1:3" ht="13" x14ac:dyDescent="0.15">
      <c r="A3721" s="1" t="str">
        <f ca="1">IFERROR(__xludf.DUMMYFUNCTION("GOOGLETRANSLATE(A3721, ""zh"", ""en"")"),"Based on the service orientation of property safety and the continuous high customer satisfaction, Dongyuan Renzhi will make corresponding investments in customer service every year, focusing on five major categories, including property renewal, on-site h"&amp;"ardware, customer relationship maintenance, contact services, and community activities.")</f>
        <v>Based on the service orientation of property safety and the continuous high customer satisfaction, Dongyuan Renzhi will make corresponding investments in customer service every year, focusing on five major categories, including property renewal, on-site hardware, customer relationship maintenance, contact services, and community activities.</v>
      </c>
      <c r="B3721" s="1" t="str">
        <f ca="1">IFERROR(__xludf.DUMMYFUNCTION("GOOGLETRANSLATE(A3721, ""zh"", ""en"")"),"Customers and Consumers")</f>
        <v>Customers and Consumers</v>
      </c>
      <c r="C3721" s="1" t="str">
        <f ca="1">IFERROR(__xludf.DUMMYFUNCTION("GOOGLETRANSLATE(E3721, ""zh"", ""en"")"),"Qualitative text")</f>
        <v>Qualitative text</v>
      </c>
    </row>
    <row r="3722" spans="1:3" ht="13" x14ac:dyDescent="0.15">
      <c r="A3722" s="1" t="str">
        <f ca="1">IFERROR(__xludf.DUMMYFUNCTION("GOOGLETRANSLATE(A3722, ""zh"", ""en"")"),"In 2022, Fosun Pharma Group's pharmaceutical business R&amp;D expenses were RMB 18.22 billion, of which R&amp;D expenses were RMB 4.302 billion and R&amp;D expenses were RMB 3.552 billion, accounting for an increase of RMB 465 million and 12.12% of the sales revenue "&amp;"of other pharmaceutical business.")</f>
        <v>In 2022, Fosun Pharma Group's pharmaceutical business R&amp;D expenses were RMB 18.22 billion, of which R&amp;D expenses were RMB 4.302 billion and R&amp;D expenses were RMB 3.552 billion, accounting for an increase of RMB 465 million and 12.12% of the sales revenue of other pharmaceutical business.</v>
      </c>
      <c r="B3722" s="1" t="str">
        <f ca="1">IFERROR(__xludf.DUMMYFUNCTION("GOOGLETRANSLATE(A3722, ""zh"", ""en"")"),"Technological innovation")</f>
        <v>Technological innovation</v>
      </c>
      <c r="C3722" s="1" t="str">
        <f ca="1">IFERROR(__xludf.DUMMYFUNCTION("GOOGLETRANSLATE(E3722, ""zh"", ""en"")"),"Quantitative Text")</f>
        <v>Quantitative Text</v>
      </c>
    </row>
    <row r="3723" spans="1:3" ht="13" x14ac:dyDescent="0.15">
      <c r="A3723" s="1" t="str">
        <f ca="1">IFERROR(__xludf.DUMMYFUNCTION("GOOGLETRANSLATE(A3723, ""zh"", ""en"")"),"At the same time, we have formulated the company's basic internal control system and developed a strategic management system to improve the company's internal control system, standardize the relevant business processes at all management levels of the comp"&amp;"any, control corporate risks, and ensure the safe and efficient operation of corporate resources.")</f>
        <v>At the same time, we have formulated the company's basic internal control system and developed a strategic management system to improve the company's internal control system, standardize the relevant business processes at all management levels of the company, control corporate risks, and ensure the safe and efficient operation of corporate resources.</v>
      </c>
      <c r="B3723" s="1" t="str">
        <f ca="1">IFERROR(__xludf.DUMMYFUNCTION("GOOGLETRANSLATE(A3723, ""zh"", ""en"")"),"Organizational structure and operations")</f>
        <v>Organizational structure and operations</v>
      </c>
      <c r="C3723" s="1" t="str">
        <f ca="1">IFERROR(__xludf.DUMMYFUNCTION("GOOGLETRANSLATE(E3723, ""zh"", ""en"")"),"Qualitative text")</f>
        <v>Qualitative text</v>
      </c>
    </row>
    <row r="3724" spans="1:3" ht="13" x14ac:dyDescent="0.15">
      <c r="A3724" s="1" t="str">
        <f ca="1">IFERROR(__xludf.DUMMYFUNCTION("GOOGLETRANSLATE(A3724, ""zh"", ""en"")"),"In 2022, Renfu Pharmaceuticals independently developed a Class 1 innovative Chinese medicine, Desmodium leucoderma Total Flavonoids Capsules, which was approved for marketing by the National Medical Products Administration. This became the world's first n"&amp;"ew Chinese medicine for the prevention and treatment of urinary stones, providing a new treatment option for patients.")</f>
        <v>In 2022, Renfu Pharmaceuticals independently developed a Class 1 innovative Chinese medicine, Desmodium leucoderma Total Flavonoids Capsules, which was approved for marketing by the National Medical Products Administration. This became the world's first new Chinese medicine for the prevention and treatment of urinary stones, providing a new treatment option for patients.</v>
      </c>
      <c r="B3724" s="1" t="str">
        <f ca="1">IFERROR(__xludf.DUMMYFUNCTION("GOOGLETRANSLATE(A3724, ""zh"", ""en"")"),"Product quality")</f>
        <v>Product quality</v>
      </c>
      <c r="C3724" s="1" t="str">
        <f ca="1">IFERROR(__xludf.DUMMYFUNCTION("GOOGLETRANSLATE(E3724, ""zh"", ""en"")"),"Qualitative text")</f>
        <v>Qualitative text</v>
      </c>
    </row>
    <row r="3725" spans="1:3" ht="13" x14ac:dyDescent="0.15">
      <c r="A3725" s="1" t="str">
        <f ca="1">IFERROR(__xludf.DUMMYFUNCTION("GOOGLETRANSLATE(A3725, ""zh"", ""en"")"),"The Nomination Committee's primary responsibilities include reviewing the composition of the Board of Directors and formulating a policy on diversity among Directors and senior management members.")</f>
        <v>The Nomination Committee's primary responsibilities include reviewing the composition of the Board of Directors and formulating a policy on diversity among Directors and senior management members.</v>
      </c>
      <c r="B3725" s="1" t="str">
        <f ca="1">IFERROR(__xludf.DUMMYFUNCTION("GOOGLETRANSLATE(A3725, ""zh"", ""en"")"),"Organizational structure and operations")</f>
        <v>Organizational structure and operations</v>
      </c>
      <c r="C3725" s="1" t="str">
        <f ca="1">IFERROR(__xludf.DUMMYFUNCTION("GOOGLETRANSLATE(E3725, ""zh"", ""en"")"),"Qualitative text")</f>
        <v>Qualitative text</v>
      </c>
    </row>
    <row r="3726" spans="1:3" ht="13" x14ac:dyDescent="0.15">
      <c r="A3726" s="1" t="str">
        <f ca="1">IFERROR(__xludf.DUMMYFUNCTION("GOOGLETRANSLATE(A3726, ""zh"", ""en"")"),"Medicines, warm clothes and other necessary supplies ensure that the party members and employees stationed in the factory are well fed and well dressed. The party members of Liyou Pharmaceutical took the lead and took the initiative to apply for stationin"&amp;"g in the factory to ensure production. They gave up their small families for a comfortable living environment. Everyone demonstrated the responsibility and commitment of the Communist Party members in different positions")</f>
        <v>Medicines, warm clothes and other necessary supplies ensure that the party members and employees stationed in the factory are well fed and well dressed. The party members of Liyou Pharmaceutical took the lead and took the initiative to apply for stationing in the factory to ensure production. They gave up their small families for a comfortable living environment. Everyone demonstrated the responsibility and commitment of the Communist Party members in different positions</v>
      </c>
      <c r="B3726" s="1" t="str">
        <f ca="1">IFERROR(__xludf.DUMMYFUNCTION("GOOGLETRANSLATE(A3726, ""zh"", ""en"")"),"staff")</f>
        <v>staff</v>
      </c>
      <c r="C3726" s="1" t="str">
        <f ca="1">IFERROR(__xludf.DUMMYFUNCTION("GOOGLETRANSLATE(E3726, ""zh"", ""en"")"),"Qualitative text")</f>
        <v>Qualitative text</v>
      </c>
    </row>
    <row r="3727" spans="1:3" ht="13" x14ac:dyDescent="0.15">
      <c r="A3727" s="1" t="str">
        <f ca="1">IFERROR(__xludf.DUMMYFUNCTION("GOOGLETRANSLATE(A3727, ""zh"", ""en"")"),"We will also continue to pay attention to the living conditions of local poor people and farmers in our operating areas and provide assistance to the best of our ability, actively responding to the United Nations SDGs' goals of promoting economic developm"&amp;"ent and caring for people's well-being to improve the living standards of local people.")</f>
        <v>We will also continue to pay attention to the living conditions of local poor people and farmers in our operating areas and provide assistance to the best of our ability, actively responding to the United Nations SDGs' goals of promoting economic development and caring for people's well-being to improve the living standards of local people.</v>
      </c>
      <c r="B3727" s="1" t="str">
        <f ca="1">IFERROR(__xludf.DUMMYFUNCTION("GOOGLETRANSLATE(A3727, ""zh"", ""en"")"),"Rural assistance")</f>
        <v>Rural assistance</v>
      </c>
      <c r="C3727" s="1" t="str">
        <f ca="1">IFERROR(__xludf.DUMMYFUNCTION("GOOGLETRANSLATE(E3727, ""zh"", ""en"")"),"Qualitative text")</f>
        <v>Qualitative text</v>
      </c>
    </row>
    <row r="3728" spans="1:3" ht="13" x14ac:dyDescent="0.15">
      <c r="A3728" s="1" t="str">
        <f ca="1">IFERROR(__xludf.DUMMYFUNCTION("GOOGLETRANSLATE(A3728, ""zh"", ""en"")"),"We provide employees exposed to occupational health hazards with appropriate labor protection and first aid supplies, set up warning signs in places where occupational hazards may occur, and maintain and upgrade occupational disease prevention facilities.")</f>
        <v>We provide employees exposed to occupational health hazards with appropriate labor protection and first aid supplies, set up warning signs in places where occupational hazards may occur, and maintain and upgrade occupational disease prevention facilities.</v>
      </c>
      <c r="B3728" s="1" t="str">
        <f ca="1">IFERROR(__xludf.DUMMYFUNCTION("GOOGLETRANSLATE(A3728, ""zh"", ""en"")"),"staff")</f>
        <v>staff</v>
      </c>
      <c r="C3728" s="1" t="str">
        <f ca="1">IFERROR(__xludf.DUMMYFUNCTION("GOOGLETRANSLATE(E3728, ""zh"", ""en"")"),"Qualitative text")</f>
        <v>Qualitative text</v>
      </c>
    </row>
    <row r="3729" spans="1:3" ht="13" x14ac:dyDescent="0.15">
      <c r="A3729" s="1" t="str">
        <f ca="1">IFERROR(__xludf.DUMMYFUNCTION("GOOGLETRANSLATE(A3729, ""zh"", ""en"")"),"We accelerate new product development through independent research and development, external strategic alliances, and other means. Leveraging comprehensive research, development, and industrialization capabilities for protein-based drugs and new vaccines,"&amp;" we continuously enrich our pipeline of products under development and enhance our commercialization capabilities.")</f>
        <v>We accelerate new product development through independent research and development, external strategic alliances, and other means. Leveraging comprehensive research, development, and industrialization capabilities for protein-based drugs and new vaccines, we continuously enrich our pipeline of products under development and enhance our commercialization capabilities.</v>
      </c>
      <c r="B3729" s="1" t="str">
        <f ca="1">IFERROR(__xludf.DUMMYFUNCTION("GOOGLETRANSLATE(A3729, ""zh"", ""en"")"),"Technological innovation")</f>
        <v>Technological innovation</v>
      </c>
      <c r="C3729" s="1" t="str">
        <f ca="1">IFERROR(__xludf.DUMMYFUNCTION("GOOGLETRANSLATE(E3729, ""zh"", ""en"")"),"Qualitative text")</f>
        <v>Qualitative text</v>
      </c>
    </row>
    <row r="3730" spans="1:3" ht="13" x14ac:dyDescent="0.15">
      <c r="A3730" s="1" t="str">
        <f ca="1">IFERROR(__xludf.DUMMYFUNCTION("GOOGLETRANSLATE(A3730, ""zh"", ""en"")"),"As of the end of the reporting period, Livzon Group, a subsidiary of Kangyuan Group, has completed the preliminary BE study for octreotide acetate microspheres for injection. The company hopes to provide a generic product with guaranteed quality and effic"&amp;"acy as soon as possible to alleviate the current medication issues faced by patients with acromegaly.")</f>
        <v>As of the end of the reporting period, Livzon Group, a subsidiary of Kangyuan Group, has completed the preliminary BE study for octreotide acetate microspheres for injection. The company hopes to provide a generic product with guaranteed quality and efficacy as soon as possible to alleviate the current medication issues faced by patients with acromegaly.</v>
      </c>
      <c r="B3730" s="1" t="str">
        <f ca="1">IFERROR(__xludf.DUMMYFUNCTION("GOOGLETRANSLATE(A3730, ""zh"", ""en"")"),"Product quality")</f>
        <v>Product quality</v>
      </c>
      <c r="C3730" s="1" t="str">
        <f ca="1">IFERROR(__xludf.DUMMYFUNCTION("GOOGLETRANSLATE(E3730, ""zh"", ""en"")"),"Qualitative text")</f>
        <v>Qualitative text</v>
      </c>
    </row>
    <row r="3731" spans="1:3" ht="13" x14ac:dyDescent="0.15">
      <c r="A3731" s="1" t="str">
        <f ca="1">IFERROR(__xludf.DUMMYFUNCTION("GOOGLETRANSLATE(A3731, ""zh"", ""en"")"),"We attach great importance to the rational use of antibiotics in clinical practice, strictly abide by the management methods for the clinical application of antimicrobial drugs, and strengthen the management of anti-infective drugs such as meropenem for i"&amp;"njection, voriconazole for injection, and cefodizime sodium for injection under the Group.")</f>
        <v>We attach great importance to the rational use of antibiotics in clinical practice, strictly abide by the management methods for the clinical application of antimicrobial drugs, and strengthen the management of anti-infective drugs such as meropenem for injection, voriconazole for injection, and cefodizime sodium for injection under the Group.</v>
      </c>
      <c r="B3731" s="1" t="str">
        <f ca="1">IFERROR(__xludf.DUMMYFUNCTION("GOOGLETRANSLATE(A3731, ""zh"", ""en"")"),"Chemical Safety")</f>
        <v>Chemical Safety</v>
      </c>
      <c r="C3731" s="1" t="str">
        <f ca="1">IFERROR(__xludf.DUMMYFUNCTION("GOOGLETRANSLATE(E3731, ""zh"", ""en"")"),"Qualitative text")</f>
        <v>Qualitative text</v>
      </c>
    </row>
    <row r="3732" spans="1:3" ht="13" x14ac:dyDescent="0.15">
      <c r="A3732" s="1" t="str">
        <f ca="1">IFERROR(__xludf.DUMMYFUNCTION("GOOGLETRANSLATE(A3732, ""zh"", ""en"")"),"In the new version of the National Basic Medical Insurance, Work Injury Insurance and Maternity Insurance Drug Catalogue released by the National Healthcare Security Administration in 2022, a total of 202 products of the Group were included in the Medical"&amp;" Insurance Drug Catalogue, including 95 Class A products and 107 Class B products.")</f>
        <v>In the new version of the National Basic Medical Insurance, Work Injury Insurance and Maternity Insurance Drug Catalogue released by the National Healthcare Security Administration in 2022, a total of 202 products of the Group were included in the Medical Insurance Drug Catalogue, including 95 Class A products and 107 Class B products.</v>
      </c>
      <c r="B3732" s="1" t="str">
        <f ca="1">IFERROR(__xludf.DUMMYFUNCTION("GOOGLETRANSLATE(A3732, ""zh"", ""en"")"),"Product quality")</f>
        <v>Product quality</v>
      </c>
      <c r="C3732" s="1" t="str">
        <f ca="1">IFERROR(__xludf.DUMMYFUNCTION("GOOGLETRANSLATE(E3732, ""zh"", ""en"")"),"Quantitative Text")</f>
        <v>Quantitative Text</v>
      </c>
    </row>
    <row r="3733" spans="1:3" ht="13" x14ac:dyDescent="0.15">
      <c r="A3733" s="1" t="str">
        <f ca="1">IFERROR(__xludf.DUMMYFUNCTION("GOOGLETRANSLATE(A3733, ""zh"", ""en"")"),"The Daqing Oilfield North I2 Natural Gas Processing Plant Project meets the emission reduction project requirements under China's voluntary emission reduction (CCER) mechanism. The methodology required for this project is CM029V01 Recovery and Utilization"&amp;" of Associated Gas from Flared or Drained Oilfields.")</f>
        <v>The Daqing Oilfield North I2 Natural Gas Processing Plant Project meets the emission reduction project requirements under China's voluntary emission reduction (CCER) mechanism. The methodology required for this project is CM029V01 Recovery and Utilization of Associated Gas from Flared or Drained Oilfields.</v>
      </c>
      <c r="B3733" s="1" t="str">
        <f ca="1">IFERROR(__xludf.DUMMYFUNCTION("GOOGLETRANSLATE(A3733, ""zh"", ""en"")"),"carbon emissions")</f>
        <v>carbon emissions</v>
      </c>
      <c r="C3733" s="1" t="str">
        <f ca="1">IFERROR(__xludf.DUMMYFUNCTION("GOOGLETRANSLATE(E3733, ""zh"", ""en"")"),"Qualitative text")</f>
        <v>Qualitative text</v>
      </c>
    </row>
    <row r="3734" spans="1:3" ht="13" x14ac:dyDescent="0.15">
      <c r="A3734" s="1" t="str">
        <f ca="1">IFERROR(__xludf.DUMMYFUNCTION("GOOGLETRANSLATE(A3734, ""zh"", ""en"")"),"In accordance with the requirement of shared responsibility between the Party and the government, dual responsibility for one post, accountability for dereliction of duty, a sound safety production responsibility system for all employees has been establis"&amp;"hed, clarifying that the principal person in charge is the primary person responsible for safety production work, and making safety production an important part of the assessment of leading cadres at all levels.")</f>
        <v>In accordance with the requirement of shared responsibility between the Party and the government, dual responsibility for one post, accountability for dereliction of duty, a sound safety production responsibility system for all employees has been established, clarifying that the principal person in charge is the primary person responsible for safety production work, and making safety production an important part of the assessment of leading cadres at all levels.</v>
      </c>
      <c r="B3734" s="1" t="str">
        <f ca="1">IFERROR(__xludf.DUMMYFUNCTION("GOOGLETRANSLATE(A3734, ""zh"", ""en"")"),"staff")</f>
        <v>staff</v>
      </c>
      <c r="C3734" s="1" t="str">
        <f ca="1">IFERROR(__xludf.DUMMYFUNCTION("GOOGLETRANSLATE(E3734, ""zh"", ""en"")"),"Qualitative text")</f>
        <v>Qualitative text</v>
      </c>
    </row>
    <row r="3735" spans="1:3" ht="13" x14ac:dyDescent="0.15">
      <c r="A3735" s="1" t="str">
        <f ca="1">IFERROR(__xludf.DUMMYFUNCTION("GOOGLETRANSLATE(A3735, ""zh"", ""en"")"),"Standardized procurement companies develop qualified supplier catalogs, clearly define various requirements for suppliers, closely monitor changes in supplier material quality through regular audits and dynamic management, and continuously improve the qua"&amp;"lity of suppliers' products and services.")</f>
        <v>Standardized procurement companies develop qualified supplier catalogs, clearly define various requirements for suppliers, closely monitor changes in supplier material quality through regular audits and dynamic management, and continuously improve the quality of suppliers' products and services.</v>
      </c>
      <c r="B3735" s="1" t="str">
        <f ca="1">IFERROR(__xludf.DUMMYFUNCTION("GOOGLETRANSLATE(A3735, ""zh"", ""en"")"),"supply chain management")</f>
        <v>supply chain management</v>
      </c>
      <c r="C3735" s="1" t="str">
        <f ca="1">IFERROR(__xludf.DUMMYFUNCTION("GOOGLETRANSLATE(E3735, ""zh"", ""en"")"),"Qualitative text")</f>
        <v>Qualitative text</v>
      </c>
    </row>
    <row r="3736" spans="1:3" ht="13" x14ac:dyDescent="0.15">
      <c r="A3736" s="1" t="str">
        <f ca="1">IFERROR(__xludf.DUMMYFUNCTION("GOOGLETRANSLATE(A3736, ""zh"", ""en"")"),"We strive to integrate high-quality training resources to help employees establish a lifelong learning concept, continuously update their knowledge reserves, improve their professional skills, and cultivate new financial talents with innovative spirit, da"&amp;"ta thinking and international vision. We empower high-quality development with high-quality training.")</f>
        <v>We strive to integrate high-quality training resources to help employees establish a lifelong learning concept, continuously update their knowledge reserves, improve their professional skills, and cultivate new financial talents with innovative spirit, data thinking and international vision. We empower high-quality development with high-quality training.</v>
      </c>
      <c r="B3736" s="1" t="str">
        <f ca="1">IFERROR(__xludf.DUMMYFUNCTION("GOOGLETRANSLATE(A3736, ""zh"", ""en"")"),"staff")</f>
        <v>staff</v>
      </c>
      <c r="C3736" s="1" t="str">
        <f ca="1">IFERROR(__xludf.DUMMYFUNCTION("GOOGLETRANSLATE(E3736, ""zh"", ""en"")"),"Qualitative text")</f>
        <v>Qualitative text</v>
      </c>
    </row>
    <row r="3737" spans="1:3" ht="13" x14ac:dyDescent="0.15">
      <c r="A3737" s="1" t="str">
        <f ca="1">IFERROR(__xludf.DUMMYFUNCTION("GOOGLETRANSLATE(A3737, ""zh"", ""en"")"),"Case CASE In 2022, the company launched a series of online activities called ""Gathering in the Cloud for Health"" to promote the physical and mental health of overseas project employees. The event lasted for one month and was held in various forms such a"&amp;"s online lectures, prize solicitation, and online experience exchange.")</f>
        <v>Case CASE In 2022, the company launched a series of online activities called "Gathering in the Cloud for Health" to promote the physical and mental health of overseas project employees. The event lasted for one month and was held in various forms such as online lectures, prize solicitation, and online experience exchange.</v>
      </c>
      <c r="B3737" s="1" t="str">
        <f ca="1">IFERROR(__xludf.DUMMYFUNCTION("GOOGLETRANSLATE(A3737, ""zh"", ""en"")"),"staff")</f>
        <v>staff</v>
      </c>
      <c r="C3737" s="1" t="str">
        <f ca="1">IFERROR(__xludf.DUMMYFUNCTION("GOOGLETRANSLATE(E3737, ""zh"", ""en"")"),"Qualitative text")</f>
        <v>Qualitative text</v>
      </c>
    </row>
    <row r="3738" spans="1:3" ht="13" x14ac:dyDescent="0.15">
      <c r="A3738" s="1" t="str">
        <f ca="1">IFERROR(__xludf.DUMMYFUNCTION("GOOGLETRANSLATE(A3738, ""zh"", ""en"")"),"In addition, we have also published management systems such as the Safety and Environmental Management Manual (EHS Management System General Requirements) and Environmental Factor Identification and Assessment Requirements, striving to comprehensively imp"&amp;"rove the group's environmental management level and implement the company's environmental responsibility in a down-to-earth manner.")</f>
        <v>In addition, we have also published management systems such as the Safety and Environmental Management Manual (EHS Management System General Requirements) and Environmental Factor Identification and Assessment Requirements, striving to comprehensively improve the group's environmental management level and implement the company's environmental responsibility in a down-to-earth manner.</v>
      </c>
      <c r="B3738" s="1" t="str">
        <f ca="1">IFERROR(__xludf.DUMMYFUNCTION("GOOGLETRANSLATE(A3738, ""zh"", ""en"")"),"Environmental Policy")</f>
        <v>Environmental Policy</v>
      </c>
      <c r="C3738" s="1" t="str">
        <f ca="1">IFERROR(__xludf.DUMMYFUNCTION("GOOGLETRANSLATE(E3738, ""zh"", ""en"")"),"Qualitative text")</f>
        <v>Qualitative text</v>
      </c>
    </row>
    <row r="3739" spans="1:3" ht="13" x14ac:dyDescent="0.15">
      <c r="A3739" s="1" t="str">
        <f ca="1">IFERROR(__xludf.DUMMYFUNCTION("GOOGLETRANSLATE(A3739, ""zh"", ""en"")"),"The commercial lighting business continues to expand wholesaler channels in major European markets, while further developing and enriching the commercial lighting product line suitable for European market customers. It also intensifies its efforts in expa"&amp;"nding from its traditional advantageous light source business to the professional lighting business.")</f>
        <v>The commercial lighting business continues to expand wholesaler channels in major European markets, while further developing and enriching the commercial lighting product line suitable for European market customers. It also intensifies its efforts in expanding from its traditional advantageous light source business to the professional lighting business.</v>
      </c>
      <c r="B3739" s="1" t="str">
        <f ca="1">IFERROR(__xludf.DUMMYFUNCTION("GOOGLETRANSLATE(A3739, ""zh"", ""en"")"),"Product quality")</f>
        <v>Product quality</v>
      </c>
      <c r="C3739" s="1" t="str">
        <f ca="1">IFERROR(__xludf.DUMMYFUNCTION("GOOGLETRANSLATE(E3739, ""zh"", ""en"")"),"Qualitative text")</f>
        <v>Qualitative text</v>
      </c>
    </row>
    <row r="3740" spans="1:3" ht="13" x14ac:dyDescent="0.15">
      <c r="A3740" s="1" t="str">
        <f ca="1">IFERROR(__xludf.DUMMYFUNCTION("GOOGLETRANSLATE(A3740, ""zh"", ""en"")"),"The company is committed to providing customers with high-value products and high-quality services. It has established customer objection handling procedures and standards to ensure that customers' production needs are met. Shenma shares strive to create "&amp;"high-quality products and strive to become the industry leader in service quality.")</f>
        <v>The company is committed to providing customers with high-value products and high-quality services. It has established customer objection handling procedures and standards to ensure that customers' production needs are met. Shenma shares strive to create high-quality products and strive to become the industry leader in service quality.</v>
      </c>
      <c r="B3740" s="1" t="str">
        <f ca="1">IFERROR(__xludf.DUMMYFUNCTION("GOOGLETRANSLATE(A3740, ""zh"", ""en"")"),"Customers and Consumers")</f>
        <v>Customers and Consumers</v>
      </c>
      <c r="C3740" s="1" t="str">
        <f ca="1">IFERROR(__xludf.DUMMYFUNCTION("GOOGLETRANSLATE(E3740, ""zh"", ""en"")"),"Qualitative text")</f>
        <v>Qualitative text</v>
      </c>
    </row>
    <row r="3741" spans="1:3" ht="13" x14ac:dyDescent="0.15">
      <c r="A3741" s="1" t="str">
        <f ca="1">IFERROR(__xludf.DUMMYFUNCTION("GOOGLETRANSLATE(A3741, ""zh"", ""en"")"),"The company carried out the construction of intelligent model workshops. The raw silk factory No. 2 was awarded the title of Henan Province Company for strictly abiding by the laws and regulations including the Consumer Protection Law of the People's Repu"&amp;"blic of China and the Advertising Law of the People's Republic of China to create a professional intelligent workshop.")</f>
        <v>The company carried out the construction of intelligent model workshops. The raw silk factory No. 2 was awarded the title of Henan Province Company for strictly abiding by the laws and regulations including the Consumer Protection Law of the People's Republic of China and the Advertising Law of the People's Republic of China to create a professional intelligent workshop.</v>
      </c>
      <c r="B3741" s="1" t="str">
        <f ca="1">IFERROR(__xludf.DUMMYFUNCTION("GOOGLETRANSLATE(A3741, ""zh"", ""en"")"),"Product quality")</f>
        <v>Product quality</v>
      </c>
      <c r="C3741" s="1" t="str">
        <f ca="1">IFERROR(__xludf.DUMMYFUNCTION("GOOGLETRANSLATE(E3741, ""zh"", ""en"")"),"Qualitative text")</f>
        <v>Qualitative text</v>
      </c>
    </row>
    <row r="3742" spans="1:3" ht="13" x14ac:dyDescent="0.15">
      <c r="A3742" s="1" t="str">
        <f ca="1">IFERROR(__xludf.DUMMYFUNCTION("GOOGLETRANSLATE(A3742, ""zh"", ""en"")"),"II. About the Company I. Company Overview Zhejiang Sunshine Lighting Appliance Group Co., Ltd. (hereinafter referred to as the Company) was established in July 1997 and listed on the Shanghai Stock Exchange in July 2000. Stock code: 600261")</f>
        <v>II. About the Company I. Company Overview Zhejiang Sunshine Lighting Appliance Group Co., Ltd. (hereinafter referred to as the Company) was established in July 1997 and listed on the Shanghai Stock Exchange in July 2000. Stock code: 600261</v>
      </c>
      <c r="B3742" s="1" t="str">
        <f ca="1">IFERROR(__xludf.DUMMYFUNCTION("GOOGLETRANSLATE(A3742, ""zh"", ""en"")"),"irrelevant text")</f>
        <v>irrelevant text</v>
      </c>
      <c r="C3742" s="1" t="str">
        <f ca="1">IFERROR(__xludf.DUMMYFUNCTION("GOOGLETRANSLATE(E3742, ""zh"", ""en"")"),"irrelevant text")</f>
        <v>irrelevant text</v>
      </c>
    </row>
    <row r="3743" spans="1:3" ht="13" x14ac:dyDescent="0.15">
      <c r="A3743" s="1" t="str">
        <f ca="1">IFERROR(__xludf.DUMMYFUNCTION("GOOGLETRANSLATE(A3743, ""zh"", ""en"")"),"In 2018, it won the Science and Technology Progress Award of China Light Industry Federation and won bids for rail transit projects such as Hangzhou Metro, Shenzhen Metro, Kunming Metro, Chengdu Metro, and was shortlisted for real estate projects such as "&amp;"Longfor Zhongliang New Town Holdings and Huawei's indoor LED lighting.")</f>
        <v>In 2018, it won the Science and Technology Progress Award of China Light Industry Federation and won bids for rail transit projects such as Hangzhou Metro, Shenzhen Metro, Kunming Metro, Chengdu Metro, and was shortlisted for real estate projects such as Longfor Zhongliang New Town Holdings and Huawei's indoor LED lighting.</v>
      </c>
      <c r="B3743" s="1" t="str">
        <f ca="1">IFERROR(__xludf.DUMMYFUNCTION("GOOGLETRANSLATE(A3743, ""zh"", ""en"")"),"Technological innovation")</f>
        <v>Technological innovation</v>
      </c>
      <c r="C3743" s="1" t="str">
        <f ca="1">IFERROR(__xludf.DUMMYFUNCTION("GOOGLETRANSLATE(E3743, ""zh"", ""en"")"),"Qualitative text")</f>
        <v>Qualitative text</v>
      </c>
    </row>
    <row r="3744" spans="1:3" ht="13" x14ac:dyDescent="0.15">
      <c r="A3744" s="1" t="str">
        <f ca="1">IFERROR(__xludf.DUMMYFUNCTION("GOOGLETRANSLATE(A3744, ""zh"", ""en"")"),"Build our own capabilities by constructing a learning product system, production and delivery system, and teaching operation management framework based on the teaching system, creating a full-chain support and guarantee system for education and training d"&amp;"emand generation, resource response, and product supply to improve the level of professional education.")</f>
        <v>Build our own capabilities by constructing a learning product system, production and delivery system, and teaching operation management framework based on the teaching system, creating a full-chain support and guarantee system for education and training demand generation, resource response, and product supply to improve the level of professional education.</v>
      </c>
      <c r="B3744" s="1" t="str">
        <f ca="1">IFERROR(__xludf.DUMMYFUNCTION("GOOGLETRANSLATE(A3744, ""zh"", ""en"")"),"staff")</f>
        <v>staff</v>
      </c>
      <c r="C3744" s="1" t="str">
        <f ca="1">IFERROR(__xludf.DUMMYFUNCTION("GOOGLETRANSLATE(E3744, ""zh"", ""en"")"),"Qualitative text")</f>
        <v>Qualitative text</v>
      </c>
    </row>
    <row r="3745" spans="1:3" ht="13" x14ac:dyDescent="0.15">
      <c r="A3745" s="1" t="str">
        <f ca="1">IFERROR(__xludf.DUMMYFUNCTION("GOOGLETRANSLATE(A3745, ""zh"", ""en"")"),"The Group Discipline Inspection Commission and relevant comrades from the Human Resources Department, Raw Materials Purchasing Department, Equipment Management Department attended the meeting to provide guidance. 65 people from the Discipline Inspection C"&amp;"ommission of Shenma Curtain Fabric Department, Infrastructure Department and other units attended the anti-corruption meeting and carried out warning education on the company's performance monitoring work in recent years.")</f>
        <v>The Group Discipline Inspection Commission and relevant comrades from the Human Resources Department, Raw Materials Purchasing Department, Equipment Management Department attended the meeting to provide guidance. 65 people from the Discipline Inspection Commission of Shenma Curtain Fabric Department, Infrastructure Department and other units attended the anti-corruption meeting and carried out warning education on the company's performance monitoring work in recent years.</v>
      </c>
      <c r="B3745" s="1" t="str">
        <f ca="1">IFERROR(__xludf.DUMMYFUNCTION("GOOGLETRANSLATE(A3745, ""zh"", ""en"")"),"Anti-corruption and anti-money laundering")</f>
        <v>Anti-corruption and anti-money laundering</v>
      </c>
      <c r="C3745" s="1" t="str">
        <f ca="1">IFERROR(__xludf.DUMMYFUNCTION("GOOGLETRANSLATE(E3745, ""zh"", ""en"")"),"Quantitative Text")</f>
        <v>Quantitative Text</v>
      </c>
    </row>
    <row r="3746" spans="1:3" ht="13" x14ac:dyDescent="0.15">
      <c r="A3746" s="1" t="str">
        <f ca="1">IFERROR(__xludf.DUMMYFUNCTION("GOOGLETRANSLATE(A3746, ""zh"", ""en"")"),"For newly acquired member companies, we will protect the reasonable demands and legal rights of the complainants, focus on retaining local talents, formulate talent retention plans, keep the relevant information and complaint contents of the complainants "&amp;"confidential, and promote implementation in accordance with the law.")</f>
        <v>For newly acquired member companies, we will protect the reasonable demands and legal rights of the complainants, focus on retaining local talents, formulate talent retention plans, keep the relevant information and complaint contents of the complainants confidential, and promote implementation in accordance with the law.</v>
      </c>
      <c r="B3746" s="1" t="str">
        <f ca="1">IFERROR(__xludf.DUMMYFUNCTION("GOOGLETRANSLATE(A3746, ""zh"", ""en"")"),"Reporting System")</f>
        <v>Reporting System</v>
      </c>
      <c r="C3746" s="1" t="str">
        <f ca="1">IFERROR(__xludf.DUMMYFUNCTION("GOOGLETRANSLATE(E3746, ""zh"", ""en"")"),"Qualitative text")</f>
        <v>Qualitative text</v>
      </c>
    </row>
    <row r="3747" spans="1:3" ht="13" x14ac:dyDescent="0.15">
      <c r="A3747" s="1" t="str">
        <f ca="1">IFERROR(__xludf.DUMMYFUNCTION("GOOGLETRANSLATE(A3747, ""zh"", ""en"")"),"The digitalization level in various fields has been improved. We have undertaken more than 10 national pilot demonstration projects, including the Industrial Internet Safety Production Project, which has completed 7 pilot digital twin smart ethylene plant"&amp;" projects. The project was selected as one of the top ten artificial intelligence application scenarios by the Ministry of Science and Technology.")</f>
        <v>The digitalization level in various fields has been improved. We have undertaken more than 10 national pilot demonstration projects, including the Industrial Internet Safety Production Project, which has completed 7 pilot digital twin smart ethylene plant projects. The project was selected as one of the top ten artificial intelligence application scenarios by the Ministry of Science and Technology.</v>
      </c>
      <c r="B3747" s="1" t="str">
        <f ca="1">IFERROR(__xludf.DUMMYFUNCTION("GOOGLETRANSLATE(A3747, ""zh"", ""en"")"),"Technological innovation")</f>
        <v>Technological innovation</v>
      </c>
      <c r="C3747" s="1" t="str">
        <f ca="1">IFERROR(__xludf.DUMMYFUNCTION("GOOGLETRANSLATE(E3747, ""zh"", ""en"")"),"Quantitative Text")</f>
        <v>Quantitative Text</v>
      </c>
    </row>
    <row r="3748" spans="1:3" ht="13" x14ac:dyDescent="0.15">
      <c r="A3748" s="1" t="str">
        <f ca="1">IFERROR(__xludf.DUMMYFUNCTION("GOOGLETRANSLATE(A3748, ""zh"", ""en"")"),"Shanghai Electric will make comprehensive efforts in hydrogen energy technology research and development, system integration, etc., accurately and quickly enter the market, gradually build core competitiveness of the entire hydrogen energy industry chain,"&amp;" and provide global customers with high-end green hydrogen equipment and hydrogen energy comprehensive utilization system solutions.")</f>
        <v>Shanghai Electric will make comprehensive efforts in hydrogen energy technology research and development, system integration, etc., accurately and quickly enter the market, gradually build core competitiveness of the entire hydrogen energy industry chain, and provide global customers with high-end green hydrogen equipment and hydrogen energy comprehensive utilization system solutions.</v>
      </c>
      <c r="B3748" s="1" t="str">
        <f ca="1">IFERROR(__xludf.DUMMYFUNCTION("GOOGLETRANSLATE(A3748, ""zh"", ""en"")"),"Technological innovation")</f>
        <v>Technological innovation</v>
      </c>
      <c r="C3748" s="1" t="str">
        <f ca="1">IFERROR(__xludf.DUMMYFUNCTION("GOOGLETRANSLATE(E3748, ""zh"", ""en"")"),"Qualitative text")</f>
        <v>Qualitative text</v>
      </c>
    </row>
    <row r="3749" spans="1:3" ht="13" x14ac:dyDescent="0.15">
      <c r="A3749" s="1" t="str">
        <f ca="1">IFERROR(__xludf.DUMMYFUNCTION("GOOGLETRANSLATE(A3749, ""zh"", ""en"")"),"The company uses interconnected home appliances and cooperative resources, including the Haier Smart Home APP, Sanyi Bird APP and Haier Smart Home Experience Cloud Platform, in combination with offline experience centers and specialty stores to provide us"&amp;"ers with smart home solutions for different life scenarios.")</f>
        <v>The company uses interconnected home appliances and cooperative resources, including the Haier Smart Home APP, Sanyi Bird APP and Haier Smart Home Experience Cloud Platform, in combination with offline experience centers and specialty stores to provide users with smart home solutions for different life scenarios.</v>
      </c>
      <c r="B3749" s="1" t="str">
        <f ca="1">IFERROR(__xludf.DUMMYFUNCTION("GOOGLETRANSLATE(A3749, ""zh"", ""en"")"),"Technological innovation")</f>
        <v>Technological innovation</v>
      </c>
      <c r="C3749" s="1" t="str">
        <f ca="1">IFERROR(__xludf.DUMMYFUNCTION("GOOGLETRANSLATE(E3749, ""zh"", ""en"")"),"Qualitative text")</f>
        <v>Qualitative text</v>
      </c>
    </row>
    <row r="3750" spans="1:3" ht="13" x14ac:dyDescent="0.15">
      <c r="A3750" s="1" t="str">
        <f ca="1">IFERROR(__xludf.DUMMYFUNCTION("GOOGLETRANSLATE(A3750, ""zh"", ""en"")"),"Income certificate products can effectively drive more social capital to participate in green development, while serving the wealth management needs of corporate and individual clients, practicing ESG investment concepts, and providing a convenient channe"&amp;"l for domestic investors to participate in China's green bond market.")</f>
        <v>Income certificate products can effectively drive more social capital to participate in green development, while serving the wealth management needs of corporate and individual clients, practicing ESG investment concepts, and providing a convenient channel for domestic investors to participate in China's green bond market.</v>
      </c>
      <c r="B3750" s="1" t="str">
        <f ca="1">IFERROR(__xludf.DUMMYFUNCTION("GOOGLETRANSLATE(A3750, ""zh"", ""en"")"),"Green Finance")</f>
        <v>Green Finance</v>
      </c>
      <c r="C3750" s="1" t="str">
        <f ca="1">IFERROR(__xludf.DUMMYFUNCTION("GOOGLETRANSLATE(E3750, ""zh"", ""en"")"),"Qualitative text")</f>
        <v>Qualitative text</v>
      </c>
    </row>
    <row r="3751" spans="1:3" ht="13" x14ac:dyDescent="0.15">
      <c r="A3751" s="1" t="str">
        <f ca="1">IFERROR(__xludf.DUMMYFUNCTION("GOOGLETRANSLATE(A3751, ""zh"", ""en"")"),"The training disseminated the company's material supply management philosophy, suppliers, and key points of the bidding and tendering management system. At the same time, higher requirements were put forward in anti-corruption, environmental protection, s"&amp;"afety management, green procurement, etc., urging suppliers to independently fulfill their obligations of honest business operations.")</f>
        <v>The training disseminated the company's material supply management philosophy, suppliers, and key points of the bidding and tendering management system. At the same time, higher requirements were put forward in anti-corruption, environmental protection, safety management, green procurement, etc., urging suppliers to independently fulfill their obligations of honest business operations.</v>
      </c>
      <c r="B3751" s="1" t="str">
        <f ca="1">IFERROR(__xludf.DUMMYFUNCTION("GOOGLETRANSLATE(A3751, ""zh"", ""en"")"),"supply chain management")</f>
        <v>supply chain management</v>
      </c>
      <c r="C3751" s="1" t="str">
        <f ca="1">IFERROR(__xludf.DUMMYFUNCTION("GOOGLETRANSLATE(E3751, ""zh"", ""en"")"),"Qualitative text")</f>
        <v>Qualitative text</v>
      </c>
    </row>
    <row r="3752" spans="1:3" ht="13" x14ac:dyDescent="0.15">
      <c r="A3752" s="1" t="str">
        <f ca="1">IFERROR(__xludf.DUMMYFUNCTION("GOOGLETRANSLATE(A3752, ""zh"", ""en"")"),"In 2022, the company will increase its efforts in the research and development of green packaging, promote the research of high-performance materials and the reduction of packaging bag thickness, and focus on strengthening the recycling of packaging. It w"&amp;"ill actively carry out beneficial exploration and practice in saving resources and reducing plastic pollution.")</f>
        <v>In 2022, the company will increase its efforts in the research and development of green packaging, promote the research of high-performance materials and the reduction of packaging bag thickness, and focus on strengthening the recycling of packaging. It will actively carry out beneficial exploration and practice in saving resources and reducing plastic pollution.</v>
      </c>
      <c r="B3752" s="1" t="str">
        <f ca="1">IFERROR(__xludf.DUMMYFUNCTION("GOOGLETRANSLATE(A3752, ""zh"", ""en"")"),"raw materials")</f>
        <v>raw materials</v>
      </c>
      <c r="C3752" s="1" t="str">
        <f ca="1">IFERROR(__xludf.DUMMYFUNCTION("GOOGLETRANSLATE(E3752, ""zh"", ""en"")"),"Qualitative text")</f>
        <v>Qualitative text</v>
      </c>
    </row>
    <row r="3753" spans="1:3" ht="13" x14ac:dyDescent="0.15">
      <c r="A3753" s="1" t="str">
        <f ca="1">IFERROR(__xludf.DUMMYFUNCTION("GOOGLETRANSLATE(A3753, ""zh"", ""en"")"),"The company focuses on maintaining communication with stakeholders such as governments, communities, and residents in its operating locations. It has established an environmental complaint mechanism, installed environmental information notice boards and 2"&amp;"4-hour complaint hotlines at key well sites, and actively accepts supervision from the government and society at large.")</f>
        <v>The company focuses on maintaining communication with stakeholders such as governments, communities, and residents in its operating locations. It has established an environmental complaint mechanism, installed environmental information notice boards and 24-hour complaint hotlines at key well sites, and actively accepts supervision from the government and society at large.</v>
      </c>
      <c r="B3753" s="1" t="str">
        <f ca="1">IFERROR(__xludf.DUMMYFUNCTION("GOOGLETRANSLATE(A3753, ""zh"", ""en"")"),"Reporting System")</f>
        <v>Reporting System</v>
      </c>
      <c r="C3753" s="1" t="str">
        <f ca="1">IFERROR(__xludf.DUMMYFUNCTION("GOOGLETRANSLATE(E3753, ""zh"", ""en"")"),"Qualitative text")</f>
        <v>Qualitative text</v>
      </c>
    </row>
    <row r="3754" spans="1:3" ht="13" x14ac:dyDescent="0.15">
      <c r="A3754" s="1" t="str">
        <f ca="1">IFERROR(__xludf.DUMMYFUNCTION("GOOGLETRANSLATE(A3754, ""zh"", ""en"")"),"On January 13, 2023, the Tianjin Washing Machine Interconnected Factory was successfully selected as a WEF Global Sustainable Lighthouse Factory, marking a breakthrough for Chinese companies in the list of global sustainable development lighthouse factori"&amp;"es.")</f>
        <v>On January 13, 2023, the Tianjin Washing Machine Interconnected Factory was successfully selected as a WEF Global Sustainable Lighthouse Factory, marking a breakthrough for Chinese companies in the list of global sustainable development lighthouse factories.</v>
      </c>
      <c r="B3754" s="1" t="str">
        <f ca="1">IFERROR(__xludf.DUMMYFUNCTION("GOOGLETRANSLATE(A3754, ""zh"", ""en"")"),"Sustainable certification")</f>
        <v>Sustainable certification</v>
      </c>
      <c r="C3754" s="1" t="str">
        <f ca="1">IFERROR(__xludf.DUMMYFUNCTION("GOOGLETRANSLATE(E3754, ""zh"", ""en"")"),"Quantitative Text")</f>
        <v>Quantitative Text</v>
      </c>
    </row>
    <row r="3755" spans="1:3" ht="13" x14ac:dyDescent="0.15">
      <c r="A3755" s="1" t="str">
        <f ca="1">IFERROR(__xludf.DUMMYFUNCTION("GOOGLETRANSLATE(A3755, ""zh"", ""en"")"),"Since 2018, Shenghu Energy has discovered 57 species of herbs, 22 species of amphibians, and 104 species of birds in the forest areas near its oilfield operations, including 33 endangered species, contributing to the conservation of local species diversit"&amp;"y.")</f>
        <v>Since 2018, Shenghu Energy has discovered 57 species of herbs, 22 species of amphibians, and 104 species of birds in the forest areas near its oilfield operations, including 33 endangered species, contributing to the conservation of local species diversity.</v>
      </c>
      <c r="B3755" s="1" t="str">
        <f ca="1">IFERROR(__xludf.DUMMYFUNCTION("GOOGLETRANSLATE(A3755, ""zh"", ""en"")"),"biodiversity")</f>
        <v>biodiversity</v>
      </c>
      <c r="C3755" s="1" t="str">
        <f ca="1">IFERROR(__xludf.DUMMYFUNCTION("GOOGLETRANSLATE(E3755, ""zh"", ""en"")"),"Quantitative Text")</f>
        <v>Quantitative Text</v>
      </c>
    </row>
    <row r="3756" spans="1:3" ht="13" x14ac:dyDescent="0.15">
      <c r="A3756" s="1" t="str">
        <f ca="1">IFERROR(__xludf.DUMMYFUNCTION("GOOGLETRANSLATE(A3756, ""zh"", ""en"")"),"Promote professional skills improvement. In accordance with Sinopec's Regulations on the Administration of Professional Title Evaluation and Professional Skill Level Certification, the company continues to promote the reform of professional title evaluati"&amp;"on and professional skill level certification and actively carries out talent evaluation work.")</f>
        <v>Promote professional skills improvement. In accordance with Sinopec's Regulations on the Administration of Professional Title Evaluation and Professional Skill Level Certification, the company continues to promote the reform of professional title evaluation and professional skill level certification and actively carries out talent evaluation work.</v>
      </c>
      <c r="B3756" s="1" t="str">
        <f ca="1">IFERROR(__xludf.DUMMYFUNCTION("GOOGLETRANSLATE(A3756, ""zh"", ""en"")"),"staff")</f>
        <v>staff</v>
      </c>
      <c r="C3756" s="1" t="str">
        <f ca="1">IFERROR(__xludf.DUMMYFUNCTION("GOOGLETRANSLATE(E3756, ""zh"", ""en"")"),"Qualitative text")</f>
        <v>Qualitative text</v>
      </c>
    </row>
    <row r="3757" spans="1:3" ht="13" x14ac:dyDescent="0.15">
      <c r="A3757" s="1" t="str">
        <f ca="1">IFERROR(__xludf.DUMMYFUNCTION("GOOGLETRANSLATE(A3757, ""zh"", ""en"")"),"Fully integrate the experience of experts from professional institutions outside the bank and multiple departments and branches within the bank. Based on my country's basic national conditions and the trend of the dual carbon policy, combined with China's"&amp;" ESG-related characteristic data, build an evaluation index system that takes into account both international standards and Chinese characteristics.")</f>
        <v>Fully integrate the experience of experts from professional institutions outside the bank and multiple departments and branches within the bank. Based on my country's basic national conditions and the trend of the dual carbon policy, combined with China's ESG-related characteristic data, build an evaluation index system that takes into account both international standards and Chinese characteristics.</v>
      </c>
      <c r="B3757" s="1" t="str">
        <f ca="1">IFERROR(__xludf.DUMMYFUNCTION("GOOGLETRANSLATE(A3757, ""zh"", ""en"")"),"irrelevant text")</f>
        <v>irrelevant text</v>
      </c>
      <c r="C3757" s="1" t="str">
        <f ca="1">IFERROR(__xludf.DUMMYFUNCTION("GOOGLETRANSLATE(E3757, ""zh"", ""en"")"),"irrelevant text")</f>
        <v>irrelevant text</v>
      </c>
    </row>
    <row r="3758" spans="1:3" ht="13" x14ac:dyDescent="0.15">
      <c r="A3758" s="1" t="str">
        <f ca="1">IFERROR(__xludf.DUMMYFUNCTION("GOOGLETRANSLATE(A3758, ""zh"", ""en"")"),"At the same time, in our daily management work, we regularly conduct comprehensive reviews and certifications on supplier qualifications, safety and environmental performance, safety production standardization, safety and environmental violations, acciden"&amp;"ts, and other matters related to safety production regulations in the past three years.")</f>
        <v>At the same time, in our daily management work, we regularly conduct comprehensive reviews and certifications on supplier qualifications, safety and environmental performance, safety production standardization, safety and environmental violations, accidents, and other matters related to safety production regulations in the past three years.</v>
      </c>
      <c r="B3758" s="1" t="str">
        <f ca="1">IFERROR(__xludf.DUMMYFUNCTION("GOOGLETRANSLATE(A3758, ""zh"", ""en"")"),"supply chain management")</f>
        <v>supply chain management</v>
      </c>
      <c r="C3758" s="1" t="str">
        <f ca="1">IFERROR(__xludf.DUMMYFUNCTION("GOOGLETRANSLATE(E3758, ""zh"", ""en"")"),"Qualitative text")</f>
        <v>Qualitative text</v>
      </c>
    </row>
    <row r="3759" spans="1:3" ht="13" x14ac:dyDescent="0.15">
      <c r="A3759" s="1" t="str">
        <f ca="1">IFERROR(__xludf.DUMMYFUNCTION("GOOGLETRANSLATE(A3759, ""zh"", ""en"")"),"In November 2022, the Group organized experts to conduct on-site inspections of environmental protection and energy conservation and emission reduction at thermal power and sewage treatment plants and other enterprises, and urged each enterprise to establ"&amp;"ish and improve the construction of environmental protection and energy conservation and emission reduction systems and the implementation of various environmental protection and energy conservation and emission reduction tasks.")</f>
        <v>In November 2022, the Group organized experts to conduct on-site inspections of environmental protection and energy conservation and emission reduction at thermal power and sewage treatment plants and other enterprises, and urged each enterprise to establish and improve the construction of environmental protection and energy conservation and emission reduction systems and the implementation of various environmental protection and energy conservation and emission reduction tasks.</v>
      </c>
      <c r="B3759" s="1" t="str">
        <f ca="1">IFERROR(__xludf.DUMMYFUNCTION("GOOGLETRANSLATE(A3759, ""zh"", ""en"")"),"Environmental Policy")</f>
        <v>Environmental Policy</v>
      </c>
      <c r="C3759" s="1" t="str">
        <f ca="1">IFERROR(__xludf.DUMMYFUNCTION("GOOGLETRANSLATE(E3759, ""zh"", ""en"")"),"Qualitative text")</f>
        <v>Qualitative text</v>
      </c>
    </row>
    <row r="3760" spans="1:3" ht="13" x14ac:dyDescent="0.15">
      <c r="A3760" s="1" t="str">
        <f ca="1">IFERROR(__xludf.DUMMYFUNCTION("GOOGLETRANSLATE(A3760, ""zh"", ""en"")"),"The Group has achieved remarkable results in ecological and environmental protection by strengthening organizational leadership, establishing work mechanisms, strengthening task decomposition, carrying out extensive publicity, increasing investment in ene"&amp;"rgy-saving technology improvements, and eliminating high-energy-consuming process equipment.")</f>
        <v>The Group has achieved remarkable results in ecological and environmental protection by strengthening organizational leadership, establishing work mechanisms, strengthening task decomposition, carrying out extensive publicity, increasing investment in energy-saving technology improvements, and eliminating high-energy-consuming process equipment.</v>
      </c>
      <c r="B3760" s="1" t="str">
        <f ca="1">IFERROR(__xludf.DUMMYFUNCTION("GOOGLETRANSLATE(A3760, ""zh"", ""en"")"),"Energy and resource consumption")</f>
        <v>Energy and resource consumption</v>
      </c>
      <c r="C3760" s="1" t="str">
        <f ca="1">IFERROR(__xludf.DUMMYFUNCTION("GOOGLETRANSLATE(E3760, ""zh"", ""en"")"),"Qualitative text")</f>
        <v>Qualitative text</v>
      </c>
    </row>
    <row r="3761" spans="1:3" ht="13" x14ac:dyDescent="0.15">
      <c r="A3761" s="1" t="str">
        <f ca="1">IFERROR(__xludf.DUMMYFUNCTION("GOOGLETRANSLATE(A3761, ""zh"", ""en"")"),"Organize a series of safety production activities Logistics Company Outai Company Industrial Company Environmental Company Environmental Energy Company 05 Group carries out various safety production inspections and supervisions Group establishes a safety "&amp;"inspector team to carry out safety guidance and inspections 61 Improve the organization setup")</f>
        <v>Organize a series of safety production activities Logistics Company Outai Company Industrial Company Environmental Company Environmental Energy Company 05 Group carries out various safety production inspections and supervisions Group establishes a safety inspector team to carry out safety guidance and inspections 61 Improve the organization setup</v>
      </c>
      <c r="B3761" s="1" t="str">
        <f ca="1">IFERROR(__xludf.DUMMYFUNCTION("GOOGLETRANSLATE(A3761, ""zh"", ""en"")"),"staff")</f>
        <v>staff</v>
      </c>
      <c r="C3761" s="1" t="str">
        <f ca="1">IFERROR(__xludf.DUMMYFUNCTION("GOOGLETRANSLATE(E3761, ""zh"", ""en"")"),"Qualitative text")</f>
        <v>Qualitative text</v>
      </c>
    </row>
    <row r="3762" spans="1:3" ht="13" x14ac:dyDescent="0.15">
      <c r="A3762" s="1" t="str">
        <f ca="1">IFERROR(__xludf.DUMMYFUNCTION("GOOGLETRANSLATE(A3762, ""zh"", ""en"")"),"The branch, in collaboration with the Provincial Department of Industry and Information Technology, launched a comprehensive financial service program for specialized, sophisticated, and innovative enterprises. It innovated intelligent manufacturing loan "&amp;"products for these enterprises, optimized services and processes, and created a distinctive service program for enterprises focused on intelligent manufacturing upgrades and stable supply chain networks.")</f>
        <v>The branch, in collaboration with the Provincial Department of Industry and Information Technology, launched a comprehensive financial service program for specialized, sophisticated, and innovative enterprises. It innovated intelligent manufacturing loan products for these enterprises, optimized services and processes, and created a distinctive service program for enterprises focused on intelligent manufacturing upgrades and stable supply chain networks.</v>
      </c>
      <c r="B3762" s="1" t="str">
        <f ca="1">IFERROR(__xludf.DUMMYFUNCTION("GOOGLETRANSLATE(A3762, ""zh"", ""en"")"),"supply chain management")</f>
        <v>supply chain management</v>
      </c>
      <c r="C3762" s="1" t="str">
        <f ca="1">IFERROR(__xludf.DUMMYFUNCTION("GOOGLETRANSLATE(E3762, ""zh"", ""en"")"),"Qualitative text")</f>
        <v>Qualitative text</v>
      </c>
    </row>
    <row r="3763" spans="1:3" ht="13" x14ac:dyDescent="0.15">
      <c r="A3763" s="1" t="str">
        <f ca="1">IFERROR(__xludf.DUMMYFUNCTION("GOOGLETRANSLATE(A3763, ""zh"", ""en"")"),"In terms of rural consumption support, Yunong Youpin uses e-commerce as a gateway to penetrate the rural market, discover and activate financial needs, guide financial resources to enterprises, organize farmers for precise drip irrigation, promote the two"&amp;"-way flow of urban and rural factors, and help farmers increase their income and become rich.")</f>
        <v>In terms of rural consumption support, Yunong Youpin uses e-commerce as a gateway to penetrate the rural market, discover and activate financial needs, guide financial resources to enterprises, organize farmers for precise drip irrigation, promote the two-way flow of urban and rural factors, and help farmers increase their income and become rich.</v>
      </c>
      <c r="B3763" s="1" t="str">
        <f ca="1">IFERROR(__xludf.DUMMYFUNCTION("GOOGLETRANSLATE(A3763, ""zh"", ""en"")"),"Rural assistance")</f>
        <v>Rural assistance</v>
      </c>
      <c r="C3763" s="1" t="str">
        <f ca="1">IFERROR(__xludf.DUMMYFUNCTION("GOOGLETRANSLATE(E3763, ""zh"", ""en"")"),"Qualitative text")</f>
        <v>Qualitative text</v>
      </c>
    </row>
    <row r="3764" spans="1:3" ht="13" x14ac:dyDescent="0.15">
      <c r="A3764" s="1" t="str">
        <f ca="1">IFERROR(__xludf.DUMMYFUNCTION("GOOGLETRANSLATE(A3764, ""zh"", ""en"")"),"In October 2022, the Group issued a notice on adjusting the composition of the Carbon Peak and Carbon Neutrality Working Group. The Carbon Peak and Carbon Neutrality Working Group Office was established with the Group Chairman as the group leader and will"&amp;" be located in the Industry Department to ensure specific implementation.")</f>
        <v>In October 2022, the Group issued a notice on adjusting the composition of the Carbon Peak and Carbon Neutrality Working Group. The Carbon Peak and Carbon Neutrality Working Group Office was established with the Group Chairman as the group leader and will be located in the Industry Department to ensure specific implementation.</v>
      </c>
      <c r="B3764" s="1" t="str">
        <f ca="1">IFERROR(__xludf.DUMMYFUNCTION("GOOGLETRANSLATE(A3764, ""zh"", ""en"")"),"carbon emissions")</f>
        <v>carbon emissions</v>
      </c>
      <c r="C3764" s="1" t="str">
        <f ca="1">IFERROR(__xludf.DUMMYFUNCTION("GOOGLETRANSLATE(E3764, ""zh"", ""en"")"),"Qualitative text")</f>
        <v>Qualitative text</v>
      </c>
    </row>
    <row r="3765" spans="1:3" ht="13" x14ac:dyDescent="0.15">
      <c r="A3765" s="1" t="str">
        <f ca="1">IFERROR(__xludf.DUMMYFUNCTION("GOOGLETRANSLATE(A3765, ""zh"", ""en"")"),"2. Experts from the Shanghai Emergency Management Bureau were specially invited to conduct special training on how to implement the main responsibility of enterprise safety based on the Shanghai Production Regulations, further strengthening the sense of r"&amp;"esponsibility of leading cadres and earnestly shouldering the responsibility of the first person responsible for production safety.")</f>
        <v>2. Experts from the Shanghai Emergency Management Bureau were specially invited to conduct special training on how to implement the main responsibility of enterprise safety based on the Shanghai Production Regulations, further strengthening the sense of responsibility of leading cadres and earnestly shouldering the responsibility of the first person responsible for production safety.</v>
      </c>
      <c r="B3765" s="1" t="str">
        <f ca="1">IFERROR(__xludf.DUMMYFUNCTION("GOOGLETRANSLATE(A3765, ""zh"", ""en"")"),"staff")</f>
        <v>staff</v>
      </c>
      <c r="C3765" s="1" t="str">
        <f ca="1">IFERROR(__xludf.DUMMYFUNCTION("GOOGLETRANSLATE(E3765, ""zh"", ""en"")"),"Qualitative text")</f>
        <v>Qualitative text</v>
      </c>
    </row>
    <row r="3766" spans="1:3" ht="13" x14ac:dyDescent="0.15">
      <c r="A3766" s="1" t="str">
        <f ca="1">IFERROR(__xludf.DUMMYFUNCTION("GOOGLETRANSLATE(A3766, ""zh"", ""en"")"),"Legal Services Salon On November 23, Shanghai Electric held a legal services salon. Yuan Shengzhou, the employee supervisor and executive vice chairman of the Shanghai Mechanical and Electrical Trade Union, attended the salon. Xu Guofei, senior partner of"&amp;" Beijing Dacheng Shanghai Law Firm, was invited to give a special lecture.")</f>
        <v>Legal Services Salon On November 23, Shanghai Electric held a legal services salon. Yuan Shengzhou, the employee supervisor and executive vice chairman of the Shanghai Mechanical and Electrical Trade Union, attended the salon. Xu Guofei, senior partner of Beijing Dacheng Shanghai Law Firm, was invited to give a special lecture.</v>
      </c>
      <c r="B3766" s="1" t="str">
        <f ca="1">IFERROR(__xludf.DUMMYFUNCTION("GOOGLETRANSLATE(A3766, ""zh"", ""en"")"),"Legal proceedings and external sanctions")</f>
        <v>Legal proceedings and external sanctions</v>
      </c>
      <c r="C3766" s="1" t="str">
        <f ca="1">IFERROR(__xludf.DUMMYFUNCTION("GOOGLETRANSLATE(E3766, ""zh"", ""en"")"),"Qualitative text")</f>
        <v>Qualitative text</v>
      </c>
    </row>
    <row r="3767" spans="1:3" ht="13" x14ac:dyDescent="0.15">
      <c r="A3767" s="1" t="str">
        <f ca="1">IFERROR(__xludf.DUMMYFUNCTION("GOOGLETRANSLATE(A3767, ""zh"", ""en"")"),"The first and second Shanghai Electric Steady Progress Training Courses for Young and Middle-Aged Management Personnel in 2022 concluded on July 28 and November 5, respectively.")</f>
        <v>The first and second Shanghai Electric Steady Progress Training Courses for Young and Middle-Aged Management Personnel in 2022 concluded on July 28 and November 5, respectively.</v>
      </c>
      <c r="B3767" s="1" t="str">
        <f ca="1">IFERROR(__xludf.DUMMYFUNCTION("GOOGLETRANSLATE(A3767, ""zh"", ""en"")"),"staff")</f>
        <v>staff</v>
      </c>
      <c r="C3767" s="1" t="str">
        <f ca="1">IFERROR(__xludf.DUMMYFUNCTION("GOOGLETRANSLATE(E3767, ""zh"", ""en"")"),"Qualitative text")</f>
        <v>Qualitative text</v>
      </c>
    </row>
    <row r="3768" spans="1:3" ht="13" x14ac:dyDescent="0.15">
      <c r="A3768" s="1" t="str">
        <f ca="1">IFERROR(__xludf.DUMMYFUNCTION("GOOGLETRANSLATE(A3768, ""zh"", ""en"")"),"This year, the company provided 13 anti-money laundering training sessions to employees, both online and offline, with an anti-money laundering training coverage rate of 100%. It also provided 22 anti-money laundering training sessions to directors, inclu"&amp;"ding through anti-money laundering columns and compliance awareness sessions, with a participation rate of 100%.")</f>
        <v>This year, the company provided 13 anti-money laundering training sessions to employees, both online and offline, with an anti-money laundering training coverage rate of 100%. It also provided 22 anti-money laundering training sessions to directors, including through anti-money laundering columns and compliance awareness sessions, with a participation rate of 100%.</v>
      </c>
      <c r="B3768" s="1" t="str">
        <f ca="1">IFERROR(__xludf.DUMMYFUNCTION("GOOGLETRANSLATE(A3768, ""zh"", ""en"")"),"Anti-corruption and anti-money laundering")</f>
        <v>Anti-corruption and anti-money laundering</v>
      </c>
      <c r="C3768" s="1" t="str">
        <f ca="1">IFERROR(__xludf.DUMMYFUNCTION("GOOGLETRANSLATE(E3768, ""zh"", ""en"")"),"Quantitative Text")</f>
        <v>Quantitative Text</v>
      </c>
    </row>
    <row r="3769" spans="1:3" ht="13" x14ac:dyDescent="0.15">
      <c r="A3769" s="1" t="str">
        <f ca="1">IFERROR(__xludf.DUMMYFUNCTION("GOOGLETRANSLATE(A3769, ""zh"", ""en"")"),"0428 CITIC Securities 2022 Annual Social Responsibility Report 2. Risks and Opportunities The company's clients and investment targets' physical operating units may face property losses or operational interruptions due to extreme weather disasters such as"&amp;" typhoons, floods, and storms.")</f>
        <v>0428 CITIC Securities 2022 Annual Social Responsibility Report 2. Risks and Opportunities The company's clients and investment targets' physical operating units may face property losses or operational interruptions due to extreme weather disasters such as typhoons, floods, and storms.</v>
      </c>
      <c r="B3769" s="1" t="str">
        <f ca="1">IFERROR(__xludf.DUMMYFUNCTION("GOOGLETRANSLATE(A3769, ""zh"", ""en"")"),"Addressing climate change")</f>
        <v>Addressing climate change</v>
      </c>
      <c r="C3769" s="1" t="str">
        <f ca="1">IFERROR(__xludf.DUMMYFUNCTION("GOOGLETRANSLATE(E3769, ""zh"", ""en"")"),"Qualitative text")</f>
        <v>Qualitative text</v>
      </c>
    </row>
    <row r="3770" spans="1:3" ht="13" x14ac:dyDescent="0.15">
      <c r="A3770" s="1" t="str">
        <f ca="1">IFERROR(__xludf.DUMMYFUNCTION("GOOGLETRANSLATE(A3770, ""zh"", ""en"")"),"The continuous introduction of environmental protection and climate-related policies and the tightening of regulatory policies will affect the company's customers and investment targets. Traditional industries such as steel, petrochemical and thermal powe"&amp;"r companies may face the risk of rising production costs and deteriorating financial conditions.")</f>
        <v>The continuous introduction of environmental protection and climate-related policies and the tightening of regulatory policies will affect the company's customers and investment targets. Traditional industries such as steel, petrochemical and thermal power companies may face the risk of rising production costs and deteriorating financial conditions.</v>
      </c>
      <c r="B3770" s="1" t="str">
        <f ca="1">IFERROR(__xludf.DUMMYFUNCTION("GOOGLETRANSLATE(A3770, ""zh"", ""en"")"),"Addressing climate change")</f>
        <v>Addressing climate change</v>
      </c>
      <c r="C3770" s="1" t="str">
        <f ca="1">IFERROR(__xludf.DUMMYFUNCTION("GOOGLETRANSLATE(E3770, ""zh"", ""en"")"),"Qualitative text")</f>
        <v>Qualitative text</v>
      </c>
    </row>
    <row r="3771" spans="1:3" ht="13" x14ac:dyDescent="0.15">
      <c r="A3771" s="1" t="str">
        <f ca="1">IFERROR(__xludf.DUMMYFUNCTION("GOOGLETRANSLATE(A3771, ""zh"", ""en"")"),"In 2022, the company will continue to strengthen water management and improve water resource utilization by monitoring and regularly inspecting the water usage in office buildings, recycling kitchen water, and implementing a wastewater recycling program f"&amp;"or the water purification system in the Beijing headquarters building.")</f>
        <v>In 2022, the company will continue to strengthen water management and improve water resource utilization by monitoring and regularly inspecting the water usage in office buildings, recycling kitchen water, and implementing a wastewater recycling program for the water purification system in the Beijing headquarters building.</v>
      </c>
      <c r="B3771" s="1" t="str">
        <f ca="1">IFERROR(__xludf.DUMMYFUNCTION("GOOGLETRANSLATE(A3771, ""zh"", ""en"")"),"Water resources")</f>
        <v>Water resources</v>
      </c>
      <c r="C3771" s="1" t="str">
        <f ca="1">IFERROR(__xludf.DUMMYFUNCTION("GOOGLETRANSLATE(E3771, ""zh"", ""en"")"),"Qualitative text")</f>
        <v>Qualitative text</v>
      </c>
    </row>
    <row r="3772" spans="1:3" ht="13" x14ac:dyDescent="0.15">
      <c r="A3772" s="1" t="str">
        <f ca="1">IFERROR(__xludf.DUMMYFUNCTION("GOOGLETRANSLATE(A3772, ""zh"", ""en"")"),"In terms of QA management, we have established and improved the quality deviation management system and change management system. We have updated and implemented the quality management correction and prevention CAPA. We have reviewed the effectiveness of "&amp;"serious or recurring cases to ensure the efficient operation of the quality system.")</f>
        <v>In terms of QA management, we have established and improved the quality deviation management system and change management system. We have updated and implemented the quality management correction and prevention CAPA. We have reviewed the effectiveness of serious or recurring cases to ensure the efficient operation of the quality system.</v>
      </c>
      <c r="B3772" s="1" t="str">
        <f ca="1">IFERROR(__xludf.DUMMYFUNCTION("GOOGLETRANSLATE(A3772, ""zh"", ""en"")"),"Product quality")</f>
        <v>Product quality</v>
      </c>
      <c r="C3772" s="1" t="str">
        <f ca="1">IFERROR(__xludf.DUMMYFUNCTION("GOOGLETRANSLATE(E3772, ""zh"", ""en"")"),"Qualitative text")</f>
        <v>Qualitative text</v>
      </c>
    </row>
    <row r="3773" spans="1:3" ht="13" x14ac:dyDescent="0.15">
      <c r="A3773" s="1" t="str">
        <f ca="1">IFERROR(__xludf.DUMMYFUNCTION("GOOGLETRANSLATE(A3773, ""zh"", ""en"")"),"Shanghai Electric uses the Group Cybersecurity and Informatization Leading Group as the group's information security responsible body, and comprehensively regulates internal information security protection work based on internal systems and standards such"&amp;" as information security management and control, password management system security protection, etc.")</f>
        <v>Shanghai Electric uses the Group Cybersecurity and Informatization Leading Group as the group's information security responsible body, and comprehensively regulates internal information security protection work based on internal systems and standards such as information security management and control, password management system security protection, etc.</v>
      </c>
      <c r="B3773" s="1" t="str">
        <f ca="1">IFERROR(__xludf.DUMMYFUNCTION("GOOGLETRANSLATE(A3773, ""zh"", ""en"")"),"Data security")</f>
        <v>Data security</v>
      </c>
      <c r="C3773" s="1" t="str">
        <f ca="1">IFERROR(__xludf.DUMMYFUNCTION("GOOGLETRANSLATE(E3773, ""zh"", ""en"")"),"Qualitative text")</f>
        <v>Qualitative text</v>
      </c>
    </row>
    <row r="3774" spans="1:3" ht="13" x14ac:dyDescent="0.15">
      <c r="A3774" s="1" t="str">
        <f ca="1">IFERROR(__xludf.DUMMYFUNCTION("GOOGLETRANSLATE(A3774, ""zh"", ""en"")"),"The online channel is based on the Gemini CCB Mobile Banking CCB Life APP to provide services at your fingertips. The offline channel is based on the elderly care demonstration outlets to optimize the in-store services for elderly customers and build a co"&amp;"mmunity-based elderly care ecosystem centered on outlets.")</f>
        <v>The online channel is based on the Gemini CCB Mobile Banking CCB Life APP to provide services at your fingertips. The offline channel is based on the elderly care demonstration outlets to optimize the in-store services for elderly customers and build a community-based elderly care ecosystem centered on outlets.</v>
      </c>
      <c r="B3774" s="1" t="str">
        <f ca="1">IFERROR(__xludf.DUMMYFUNCTION("GOOGLETRANSLATE(A3774, ""zh"", ""en"")"),"Customers and Consumers")</f>
        <v>Customers and Consumers</v>
      </c>
      <c r="C3774" s="1" t="str">
        <f ca="1">IFERROR(__xludf.DUMMYFUNCTION("GOOGLETRANSLATE(E3774, ""zh"", ""en"")"),"Qualitative text")</f>
        <v>Qualitative text</v>
      </c>
    </row>
    <row r="3775" spans="1:3" ht="13" x14ac:dyDescent="0.15">
      <c r="A3775" s="1" t="str">
        <f ca="1">IFERROR(__xludf.DUMMYFUNCTION("GOOGLETRANSLATE(A3775, ""zh"", ""en"")"),"The company's service innovation-driven development strategy has helped 68 companies raise RMB149.7 billion in financing on the Science and Technology Innovation Board, ChiNext, and Beijing Stock Exchange, empowering companies' international development a"&amp;"nd serving 29 Chinese clients to complete US$11 billion in overseas equity financing.")</f>
        <v>The company's service innovation-driven development strategy has helped 68 companies raise RMB149.7 billion in financing on the Science and Technology Innovation Board, ChiNext, and Beijing Stock Exchange, empowering companies' international development and serving 29 Chinese clients to complete US$11 billion in overseas equity financing.</v>
      </c>
      <c r="B3775" s="1" t="str">
        <f ca="1">IFERROR(__xludf.DUMMYFUNCTION("GOOGLETRANSLATE(A3775, ""zh"", ""en"")"),"Technological innovation")</f>
        <v>Technological innovation</v>
      </c>
      <c r="C3775" s="1" t="str">
        <f ca="1">IFERROR(__xludf.DUMMYFUNCTION("GOOGLETRANSLATE(E3775, ""zh"", ""en"")"),"Quantitative Text")</f>
        <v>Quantitative Text</v>
      </c>
    </row>
    <row r="3776" spans="1:3" ht="13" x14ac:dyDescent="0.15">
      <c r="A3776" s="1" t="str">
        <f ca="1">IFERROR(__xludf.DUMMYFUNCTION("GOOGLETRANSLATE(A3776, ""zh"", ""en"")"),"Implement the Human Settlement Environment Improvement Demonstration Village Project. Promote the Happy Village Construction Action in 10 counties in 2022. Implement domestic waste and sewage treatment in 76 villages. Improve toilets for more than 2,000 h"&amp;"ouseholds. Deepen the greening, beautification and lighting of villages.")</f>
        <v>Implement the Human Settlement Environment Improvement Demonstration Village Project. Promote the Happy Village Construction Action in 10 counties in 2022. Implement domestic waste and sewage treatment in 76 villages. Improve toilets for more than 2,000 households. Deepen the greening, beautification and lighting of villages.</v>
      </c>
      <c r="B3776" s="1" t="str">
        <f ca="1">IFERROR(__xludf.DUMMYFUNCTION("GOOGLETRANSLATE(A3776, ""zh"", ""en"")"),"Waste Management")</f>
        <v>Waste Management</v>
      </c>
      <c r="C3776" s="1" t="str">
        <f ca="1">IFERROR(__xludf.DUMMYFUNCTION("GOOGLETRANSLATE(E3776, ""zh"", ""en"")"),"Quantitative Text")</f>
        <v>Quantitative Text</v>
      </c>
    </row>
    <row r="3777" spans="1:3" ht="13" x14ac:dyDescent="0.15">
      <c r="A3777" s="1" t="str">
        <f ca="1">IFERROR(__xludf.DUMMYFUNCTION("GOOGLETRANSLATE(A3777, ""zh"", ""en"")"),"The company, which operates across multiple supply chains, developed its own complete towline equipment. Four sets of core equipment from Hailiang, Haitu, Haiyan, and Haiyuan have been installed on the Offshore Oil 720 vessel. The company prioritizes the "&amp;"use of environmentally friendly materials, creating a new era for a fully domestically produced offshore oil seismic exploration vessel.")</f>
        <v>The company, which operates across multiple supply chains, developed its own complete towline equipment. Four sets of core equipment from Hailiang, Haitu, Haiyan, and Haiyuan have been installed on the Offshore Oil 720 vessel. The company prioritizes the use of environmentally friendly materials, creating a new era for a fully domestically produced offshore oil seismic exploration vessel.</v>
      </c>
      <c r="B3777" s="1" t="str">
        <f ca="1">IFERROR(__xludf.DUMMYFUNCTION("GOOGLETRANSLATE(A3777, ""zh"", ""en"")"),"supply chain management")</f>
        <v>supply chain management</v>
      </c>
      <c r="C3777" s="1" t="str">
        <f ca="1">IFERROR(__xludf.DUMMYFUNCTION("GOOGLETRANSLATE(E3777, ""zh"", ""en"")"),"Quantitative Text")</f>
        <v>Quantitative Text</v>
      </c>
    </row>
    <row r="3778" spans="1:3" ht="13" x14ac:dyDescent="0.15">
      <c r="A3778" s="1" t="str">
        <f ca="1">IFERROR(__xludf.DUMMYFUNCTION("GOOGLETRANSLATE(A3778, ""zh"", ""en"")"),"The company ranks ESG material issues according to their importance to stakeholders. The information obtained from this process helps to formulate ESG macro-goals, specific goals, information disclosure and continuous communication with stakeholders.")</f>
        <v>The company ranks ESG material issues according to their importance to stakeholders. The information obtained from this process helps to formulate ESG macro-goals, specific goals, information disclosure and continuous communication with stakeholders.</v>
      </c>
      <c r="B3778" s="1" t="str">
        <f ca="1">IFERROR(__xludf.DUMMYFUNCTION("GOOGLETRANSLATE(A3778, ""zh"", ""en"")"),"irrelevant text")</f>
        <v>irrelevant text</v>
      </c>
      <c r="C3778" s="1" t="str">
        <f ca="1">IFERROR(__xludf.DUMMYFUNCTION("GOOGLETRANSLATE(E3778, ""zh"", ""en"")"),"irrelevant text")</f>
        <v>irrelevant text</v>
      </c>
    </row>
    <row r="3779" spans="1:3" ht="13" x14ac:dyDescent="0.15">
      <c r="A3779" s="1" t="str">
        <f ca="1">IFERROR(__xludf.DUMMYFUNCTION("GOOGLETRANSLATE(A3779, ""zh"", ""en"")"),"1. Strengthening the protection of local water sources. We adopt strategies tailored to local conditions in our major operating areas, including utilizing valley streams, underground mine water, and recycled tailings pond water to ensure water safety and "&amp;"conserve water resources.")</f>
        <v>1. Strengthening the protection of local water sources. We adopt strategies tailored to local conditions in our major operating areas, including utilizing valley streams, underground mine water, and recycled tailings pond water to ensure water safety and conserve water resources.</v>
      </c>
      <c r="B3779" s="1" t="str">
        <f ca="1">IFERROR(__xludf.DUMMYFUNCTION("GOOGLETRANSLATE(A3779, ""zh"", ""en"")"),"Water resources")</f>
        <v>Water resources</v>
      </c>
      <c r="C3779" s="1" t="str">
        <f ca="1">IFERROR(__xludf.DUMMYFUNCTION("GOOGLETRANSLATE(E3779, ""zh"", ""en"")"),"Qualitative text")</f>
        <v>Qualitative text</v>
      </c>
    </row>
    <row r="3780" spans="1:3" ht="13" x14ac:dyDescent="0.15">
      <c r="A3780" s="1" t="str">
        <f ca="1">IFERROR(__xludf.DUMMYFUNCTION("GOOGLETRANSLATE(A3780, ""zh"", ""en"")"),"The Tibet Everest Water Resources Management Framework is led by the Strategy and Sustainability (ESG) Committee and is divided into three levels. The first level is the company's operations center, which is responsible for formulating water resource util"&amp;"ization plans and water conservation targets, and overseeing water conservation projects in each mining area.")</f>
        <v>The Tibet Everest Water Resources Management Framework is led by the Strategy and Sustainability (ESG) Committee and is divided into three levels. The first level is the company's operations center, which is responsible for formulating water resource utilization plans and water conservation targets, and overseeing water conservation projects in each mining area.</v>
      </c>
      <c r="B3780" s="1" t="str">
        <f ca="1">IFERROR(__xludf.DUMMYFUNCTION("GOOGLETRANSLATE(A3780, ""zh"", ""en"")"),"Water resources")</f>
        <v>Water resources</v>
      </c>
      <c r="C3780" s="1" t="str">
        <f ca="1">IFERROR(__xludf.DUMMYFUNCTION("GOOGLETRANSLATE(E3780, ""zh"", ""en"")"),"Qualitative text")</f>
        <v>Qualitative text</v>
      </c>
    </row>
    <row r="3781" spans="1:3" ht="13" x14ac:dyDescent="0.15">
      <c r="A3781" s="1" t="str">
        <f ca="1">IFERROR(__xludf.DUMMYFUNCTION("GOOGLETRANSLATE(A3781, ""zh"", ""en"")"),"We work with external experts to identify climate risks and opportunities faced by the company under different climate scenarios to manage risks, explore opportunities for energy conservation and carbon reduction in production processes, collect and discl"&amp;"ose sustainable development information, and continuously improve sustainable development performance.")</f>
        <v>We work with external experts to identify climate risks and opportunities faced by the company under different climate scenarios to manage risks, explore opportunities for energy conservation and carbon reduction in production processes, collect and disclose sustainable development information, and continuously improve sustainable development performance.</v>
      </c>
      <c r="B3781" s="1" t="str">
        <f ca="1">IFERROR(__xludf.DUMMYFUNCTION("GOOGLETRANSLATE(A3781, ""zh"", ""en"")"),"Addressing climate change")</f>
        <v>Addressing climate change</v>
      </c>
      <c r="C3781" s="1" t="str">
        <f ca="1">IFERROR(__xludf.DUMMYFUNCTION("GOOGLETRANSLATE(E3781, ""zh"", ""en"")"),"Qualitative text")</f>
        <v>Qualitative text</v>
      </c>
    </row>
    <row r="3782" spans="1:3" ht="13" x14ac:dyDescent="0.15">
      <c r="A3782" s="1" t="str">
        <f ca="1">IFERROR(__xludf.DUMMYFUNCTION("GOOGLETRANSLATE(A3782, ""zh"", ""en"")"),"Livzon Microspheres, a subsidiary of the Group, focuses on three key areas: anti-tumor, endocrine regulation, and anti-psychotics. It is developing long-acting ophthalmic medications and fully leveraging the long-acting sustained-release characteristics o"&amp;"f microsphere preparations to conduct in-depth research on long-acting preparation technologies with independent intellectual property rights.")</f>
        <v>Livzon Microspheres, a subsidiary of the Group, focuses on three key areas: anti-tumor, endocrine regulation, and anti-psychotics. It is developing long-acting ophthalmic medications and fully leveraging the long-acting sustained-release characteristics of microsphere preparations to conduct in-depth research on long-acting preparation technologies with independent intellectual property rights.</v>
      </c>
      <c r="B3782" s="1" t="str">
        <f ca="1">IFERROR(__xludf.DUMMYFUNCTION("GOOGLETRANSLATE(A3782, ""zh"", ""en"")"),"Intellectual Property Protection")</f>
        <v>Intellectual Property Protection</v>
      </c>
      <c r="C3782" s="1" t="str">
        <f ca="1">IFERROR(__xludf.DUMMYFUNCTION("GOOGLETRANSLATE(E3782, ""zh"", ""en"")"),"Qualitative text")</f>
        <v>Qualitative text</v>
      </c>
    </row>
    <row r="3783" spans="1:3" ht="13" x14ac:dyDescent="0.15">
      <c r="A3783" s="1" t="str">
        <f ca="1">IFERROR(__xludf.DUMMYFUNCTION("GOOGLETRANSLATE(A3783, ""zh"", ""en"")"),"After nearly 20 years of continuous development, the company has established a new generation of security capability system centered on the security brain to assist national cities, industries and enterprises in improving their ability to collaboratively "&amp;"defend against high-end network threats and safeguard the security of the digital age.")</f>
        <v>After nearly 20 years of continuous development, the company has established a new generation of security capability system centered on the security brain to assist national cities, industries and enterprises in improving their ability to collaboratively defend against high-end network threats and safeguard the security of the digital age.</v>
      </c>
      <c r="B3783" s="1" t="str">
        <f ca="1">IFERROR(__xludf.DUMMYFUNCTION("GOOGLETRANSLATE(A3783, ""zh"", ""en"")"),"Data security")</f>
        <v>Data security</v>
      </c>
      <c r="C3783" s="1" t="str">
        <f ca="1">IFERROR(__xludf.DUMMYFUNCTION("GOOGLETRANSLATE(E3783, ""zh"", ""en"")"),"Qualitative text")</f>
        <v>Qualitative text</v>
      </c>
    </row>
    <row r="3784" spans="1:3" ht="13" x14ac:dyDescent="0.15">
      <c r="A3784" s="1" t="str">
        <f ca="1">IFERROR(__xludf.DUMMYFUNCTION("GOOGLETRANSLATE(A3784, ""zh"", ""en"")"),"In 2022, Kangyuan held three online performance briefings, participated in the 2022 online investor group reception day activities for listed companies in Shenzhen, and actively responded to investors' questions through the Shanghai Stock Exchange e-inter"&amp;"active platform and investor hotline.")</f>
        <v>In 2022, Kangyuan held three online performance briefings, participated in the 2022 online investor group reception day activities for listed companies in Shenzhen, and actively responded to investors' questions through the Shanghai Stock Exchange e-interactive platform and investor hotline.</v>
      </c>
      <c r="B3784" s="1" t="str">
        <f ca="1">IFERROR(__xludf.DUMMYFUNCTION("GOOGLETRANSLATE(A3784, ""zh"", ""en"")"),"Information Disclosure and Investor Communication")</f>
        <v>Information Disclosure and Investor Communication</v>
      </c>
      <c r="C3784" s="1" t="str">
        <f ca="1">IFERROR(__xludf.DUMMYFUNCTION("GOOGLETRANSLATE(E3784, ""zh"", ""en"")"),"Quantitative Text")</f>
        <v>Quantitative Text</v>
      </c>
    </row>
    <row r="3785" spans="1:3" ht="13" x14ac:dyDescent="0.15">
      <c r="A3785" s="1" t="str">
        <f ca="1">IFERROR(__xludf.DUMMYFUNCTION("GOOGLETRANSLATE(A3785, ""zh"", ""en"")"),"Looking ahead to 2023, Joincare will continue to maintain its original aspirations and passionate dedication in the pursuit of inheritance and innovation. We will work together with all stakeholders to uphold product quality, focus on research and develop"&amp;"ment, and work tirelessly for the health cause, contributing to the construction of a healthy China through concrete actions.")</f>
        <v>Looking ahead to 2023, Joincare will continue to maintain its original aspirations and passionate dedication in the pursuit of inheritance and innovation. We will work together with all stakeholders to uphold product quality, focus on research and development, and work tirelessly for the health cause, contributing to the construction of a healthy China through concrete actions.</v>
      </c>
      <c r="B3785" s="1" t="str">
        <f ca="1">IFERROR(__xludf.DUMMYFUNCTION("GOOGLETRANSLATE(A3785, ""zh"", ""en"")"),"irrelevant text")</f>
        <v>irrelevant text</v>
      </c>
      <c r="C3785" s="1" t="str">
        <f ca="1">IFERROR(__xludf.DUMMYFUNCTION("GOOGLETRANSLATE(E3785, ""zh"", ""en"")"),"irrelevant text")</f>
        <v>irrelevant text</v>
      </c>
    </row>
    <row r="3786" spans="1:3" ht="13" x14ac:dyDescent="0.15">
      <c r="A3786" s="1" t="str">
        <f ca="1">IFERROR(__xludf.DUMMYFUNCTION("GOOGLETRANSLATE(A3786, ""zh"", ""en"")"),"During the reporting period, we received approximately 233 calls from investors, responded to 148 SSE e-interactions, and published 17 public account tweets covering topics such as company performance, latest business progress, IR interaction, ESG governa"&amp;"nce, and other topics of concern to investors.")</f>
        <v>During the reporting period, we received approximately 233 calls from investors, responded to 148 SSE e-interactions, and published 17 public account tweets covering topics such as company performance, latest business progress, IR interaction, ESG governance, and other topics of concern to investors.</v>
      </c>
      <c r="B3786" s="1" t="str">
        <f ca="1">IFERROR(__xludf.DUMMYFUNCTION("GOOGLETRANSLATE(A3786, ""zh"", ""en"")"),"Information Disclosure and Investor Communication")</f>
        <v>Information Disclosure and Investor Communication</v>
      </c>
      <c r="C3786" s="1" t="str">
        <f ca="1">IFERROR(__xludf.DUMMYFUNCTION("GOOGLETRANSLATE(E3786, ""zh"", ""en"")"),"Quantitative Text")</f>
        <v>Quantitative Text</v>
      </c>
    </row>
    <row r="3787" spans="1:3" ht="13" x14ac:dyDescent="0.15">
      <c r="A3787" s="1" t="str">
        <f ca="1">IFERROR(__xludf.DUMMYFUNCTION("GOOGLETRANSLATE(A3787, ""zh"", ""en"")"),"Use variable frequency speed regulation instead of slip motor rotor resistance speed regulation to minimize operating losses. Soft start devices are widely used to replace frequency-sensitive resistors, water resistance starters and other devices for star"&amp;"ting large motors to reduce energy consumption and motor use losses.")</f>
        <v>Use variable frequency speed regulation instead of slip motor rotor resistance speed regulation to minimize operating losses. Soft start devices are widely used to replace frequency-sensitive resistors, water resistance starters and other devices for starting large motors to reduce energy consumption and motor use losses.</v>
      </c>
      <c r="B3787" s="1" t="str">
        <f ca="1">IFERROR(__xludf.DUMMYFUNCTION("GOOGLETRANSLATE(A3787, ""zh"", ""en"")"),"Energy and resource consumption")</f>
        <v>Energy and resource consumption</v>
      </c>
      <c r="C3787" s="1" t="str">
        <f ca="1">IFERROR(__xludf.DUMMYFUNCTION("GOOGLETRANSLATE(E3787, ""zh"", ""en"")"),"Qualitative text")</f>
        <v>Qualitative text</v>
      </c>
    </row>
    <row r="3788" spans="1:3" ht="13" x14ac:dyDescent="0.15">
      <c r="A3788" s="1" t="str">
        <f ca="1">IFERROR(__xludf.DUMMYFUNCTION("GOOGLETRANSLATE(A3788, ""zh"", ""en"")"),"Highlighting the user-first approach and strengthening supply chain management, this year we prioritized privacy and data security for our users, ensuring they were fully protected and respected. We also promptly improved service quality based on user fee"&amp;"dback to ensure increased customer satisfaction.")</f>
        <v>Highlighting the user-first approach and strengthening supply chain management, this year we prioritized privacy and data security for our users, ensuring they were fully protected and respected. We also promptly improved service quality based on user feedback to ensure increased customer satisfaction.</v>
      </c>
      <c r="B3788" s="1" t="str">
        <f ca="1">IFERROR(__xludf.DUMMYFUNCTION("GOOGLETRANSLATE(A3788, ""zh"", ""en"")"),"Customers and Consumers")</f>
        <v>Customers and Consumers</v>
      </c>
      <c r="C3788" s="1" t="str">
        <f ca="1">IFERROR(__xludf.DUMMYFUNCTION("GOOGLETRANSLATE(E3788, ""zh"", ""en"")"),"Qualitative text")</f>
        <v>Qualitative text</v>
      </c>
    </row>
    <row r="3789" spans="1:3" ht="13" x14ac:dyDescent="0.15">
      <c r="A3789" s="1" t="str">
        <f ca="1">IFERROR(__xludf.DUMMYFUNCTION("GOOGLETRANSLATE(A3789, ""zh"", ""en"")"),"We coordinated and planned the Xuanji brand launch and the milestone event, including the installation of a geophysical exploration vessel on the China Heart Intelligent LNG ship and its commissioning, to form a sound mechanism that promotes brand buildin"&amp;"g through publicity, drives performance improvement through brand, and demonstrates political responsibility through performance.")</f>
        <v>We coordinated and planned the Xuanji brand launch and the milestone event, including the installation of a geophysical exploration vessel on the China Heart Intelligent LNG ship and its commissioning, to form a sound mechanism that promotes brand building through publicity, drives performance improvement through brand, and demonstrates political responsibility through performance.</v>
      </c>
      <c r="B3789" s="1" t="str">
        <f ca="1">IFERROR(__xludf.DUMMYFUNCTION("GOOGLETRANSLATE(A3789, ""zh"", ""en"")"),"Technological innovation")</f>
        <v>Technological innovation</v>
      </c>
      <c r="C3789" s="1" t="str">
        <f ca="1">IFERROR(__xludf.DUMMYFUNCTION("GOOGLETRANSLATE(E3789, ""zh"", ""en"")"),"Qualitative text")</f>
        <v>Qualitative text</v>
      </c>
    </row>
    <row r="3790" spans="1:3" ht="13" x14ac:dyDescent="0.15">
      <c r="A3790" s="1" t="str">
        <f ca="1">IFERROR(__xludf.DUMMYFUNCTION("GOOGLETRANSLATE(A3790, ""zh"", ""en"")"),"In 2022, a total of more than 4,000 cadres and employees of the company participated in the charity one-day donation activity. This activity has been organized for 12 consecutive years since 2011, fully demonstrating the humanitarian spirit of the company"&amp;"'s employees in helping the poor and the needy.")</f>
        <v>In 2022, a total of more than 4,000 cadres and employees of the company participated in the charity one-day donation activity. This activity has been organized for 12 consecutive years since 2011, fully demonstrating the humanitarian spirit of the company's employees in helping the poor and the needy.</v>
      </c>
      <c r="B3790" s="1" t="str">
        <f ca="1">IFERROR(__xludf.DUMMYFUNCTION("GOOGLETRANSLATE(A3790, ""zh"", ""en"")"),"Public welfare and volunteer service")</f>
        <v>Public welfare and volunteer service</v>
      </c>
      <c r="C3790" s="1" t="str">
        <f ca="1">IFERROR(__xludf.DUMMYFUNCTION("GOOGLETRANSLATE(E3790, ""zh"", ""en"")"),"Quantitative Text")</f>
        <v>Quantitative Text</v>
      </c>
    </row>
    <row r="3791" spans="1:3" ht="13" x14ac:dyDescent="0.15">
      <c r="A3791" s="1" t="str">
        <f ca="1">IFERROR(__xludf.DUMMYFUNCTION("GOOGLETRANSLATE(A3791, ""zh"", ""en"")"),"SDIC UBS Fund responded to the call of the district government to fulfill its social responsibility and donated RMB 200,000 to Xichou County, Wenshan Prefecture, Yunnan Province, Maqin County, Golog Prefecture, Qinghai Province and other counterpart assis"&amp;"tance areas of Hongkou District, contributing love and strength to the early realization of rural revitalization in poverty-stricken counties.")</f>
        <v>SDIC UBS Fund responded to the call of the district government to fulfill its social responsibility and donated RMB 200,000 to Xichou County, Wenshan Prefecture, Yunnan Province, Maqin County, Golog Prefecture, Qinghai Province and other counterpart assistance areas of Hongkou District, contributing love and strength to the early realization of rural revitalization in poverty-stricken counties.</v>
      </c>
      <c r="B3791" s="1" t="str">
        <f ca="1">IFERROR(__xludf.DUMMYFUNCTION("GOOGLETRANSLATE(A3791, ""zh"", ""en"")"),"Rural assistance")</f>
        <v>Rural assistance</v>
      </c>
      <c r="C3791" s="1" t="str">
        <f ca="1">IFERROR(__xludf.DUMMYFUNCTION("GOOGLETRANSLATE(E3791, ""zh"", ""en"")"),"Quantitative Text")</f>
        <v>Quantitative Text</v>
      </c>
    </row>
    <row r="3792" spans="1:3" ht="13" x14ac:dyDescent="0.15">
      <c r="A3792" s="1" t="str">
        <f ca="1">IFERROR(__xludf.DUMMYFUNCTION("GOOGLETRANSLATE(A3792, ""zh"", ""en"")"),"The funds raised this time will be used to support the construction of Anji Venous Industrial Park. Upon completion, the project will comprehensively enhance the waste treatment capacity and green development level of Anji County, and contribute to the co"&amp;"nstruction of China's most beautiful county and Huzhou City's ecological civilization pilot demonstration zone.")</f>
        <v>The funds raised this time will be used to support the construction of Anji Venous Industrial Park. Upon completion, the project will comprehensively enhance the waste treatment capacity and green development level of Anji County, and contribute to the construction of China's most beautiful county and Huzhou City's ecological civilization pilot demonstration zone.</v>
      </c>
      <c r="B3792" s="1" t="str">
        <f ca="1">IFERROR(__xludf.DUMMYFUNCTION("GOOGLETRANSLATE(A3792, ""zh"", ""en"")"),"Waste Management")</f>
        <v>Waste Management</v>
      </c>
      <c r="C3792" s="1" t="str">
        <f ca="1">IFERROR(__xludf.DUMMYFUNCTION("GOOGLETRANSLATE(E3792, ""zh"", ""en"")"),"Qualitative text")</f>
        <v>Qualitative text</v>
      </c>
    </row>
    <row r="3793" spans="1:3" ht="13" x14ac:dyDescent="0.15">
      <c r="A3793" s="1" t="str">
        <f ca="1">IFERROR(__xludf.DUMMYFUNCTION("GOOGLETRANSLATE(A3793, ""zh"", ""en"")"),"This year, the company formulated the 2022 Risk Appetite Statement, which determined the company's risk appetite and risk tolerance based on the company's development goals and strategic vision, combined with factors such as industry characteristics, fina"&amp;"ncial strength, risk management level, and external market environment.")</f>
        <v>This year, the company formulated the 2022 Risk Appetite Statement, which determined the company's risk appetite and risk tolerance based on the company's development goals and strategic vision, combined with factors such as industry characteristics, financial strength, risk management level, and external market environment.</v>
      </c>
      <c r="B3793" s="1" t="str">
        <f ca="1">IFERROR(__xludf.DUMMYFUNCTION("GOOGLETRANSLATE(A3793, ""zh"", ""en"")"),"Legal proceedings and external sanctions")</f>
        <v>Legal proceedings and external sanctions</v>
      </c>
      <c r="C3793" s="1" t="str">
        <f ca="1">IFERROR(__xludf.DUMMYFUNCTION("GOOGLETRANSLATE(E3793, ""zh"", ""en"")"),"Qualitative text")</f>
        <v>Qualitative text</v>
      </c>
    </row>
    <row r="3794" spans="1:3" ht="13" x14ac:dyDescent="0.15">
      <c r="A3794" s="1" t="str">
        <f ca="1">IFERROR(__xludf.DUMMYFUNCTION("GOOGLETRANSLATE(A3794, ""zh"", ""en"")"),"The training course has developed a dedicated curriculum aimed at building a team of grassroots cadres with broad vision, new concepts and strong capabilities. It aims to learn new backgrounds, new ideas and new measures to solve the problems of agricultu"&amp;"re, rural areas and farmers in rural areas, and promote the effective connection between poverty alleviation and rural revitalization.")</f>
        <v>The training course has developed a dedicated curriculum aimed at building a team of grassroots cadres with broad vision, new concepts and strong capabilities. It aims to learn new backgrounds, new ideas and new measures to solve the problems of agriculture, rural areas and farmers in rural areas, and promote the effective connection between poverty alleviation and rural revitalization.</v>
      </c>
      <c r="B3794" s="1" t="str">
        <f ca="1">IFERROR(__xludf.DUMMYFUNCTION("GOOGLETRANSLATE(A3794, ""zh"", ""en"")"),"Rural assistance")</f>
        <v>Rural assistance</v>
      </c>
      <c r="C3794" s="1" t="str">
        <f ca="1">IFERROR(__xludf.DUMMYFUNCTION("GOOGLETRANSLATE(E3794, ""zh"", ""en"")"),"Qualitative text")</f>
        <v>Qualitative text</v>
      </c>
    </row>
    <row r="3795" spans="1:3" ht="13" x14ac:dyDescent="0.15">
      <c r="A3795" s="1" t="str">
        <f ca="1">IFERROR(__xludf.DUMMYFUNCTION("GOOGLETRANSLATE(A3795, ""zh"", ""en"")"),"On September 5, 2022, the Group's Board of Directors reviewed and approved the draft of the 2022 Stock Option Incentive Plan, granting 49.45 million stock options to 423 incentive targets with September 5, 2022 as the first grant date.")</f>
        <v>On September 5, 2022, the Group's Board of Directors reviewed and approved the draft of the 2022 Stock Option Incentive Plan, granting 49.45 million stock options to 423 incentive targets with September 5, 2022 as the first grant date.</v>
      </c>
      <c r="B3795" s="1" t="str">
        <f ca="1">IFERROR(__xludf.DUMMYFUNCTION("GOOGLETRANSLATE(A3795, ""zh"", ""en"")"),"Organizational structure and operations")</f>
        <v>Organizational structure and operations</v>
      </c>
      <c r="C3795" s="1" t="str">
        <f ca="1">IFERROR(__xludf.DUMMYFUNCTION("GOOGLETRANSLATE(E3795, ""zh"", ""en"")"),"Quantitative Text")</f>
        <v>Quantitative Text</v>
      </c>
    </row>
    <row r="3796" spans="1:3" ht="13" x14ac:dyDescent="0.15">
      <c r="A3796" s="1" t="str">
        <f ca="1">IFERROR(__xludf.DUMMYFUNCTION("GOOGLETRANSLATE(A3796, ""zh"", ""en"")"),"Caring for Employee Health: Dragon Boat Festival Theme Event Promotional Poster. Chapter 4: Mutual Benefit and Win-Win for a Better Future: Focusing on self-development and growth while remembering our roots and giving back to the industry and society, in"&amp;"tegrating social and environmental responsibility into corporate development strategies.")</f>
        <v>Caring for Employee Health: Dragon Boat Festival Theme Event Promotional Poster. Chapter 4: Mutual Benefit and Win-Win for a Better Future: Focusing on self-development and growth while remembering our roots and giving back to the industry and society, integrating social and environmental responsibility into corporate development strategies.</v>
      </c>
      <c r="B3796" s="1" t="str">
        <f ca="1">IFERROR(__xludf.DUMMYFUNCTION("GOOGLETRANSLATE(A3796, ""zh"", ""en"")"),"staff")</f>
        <v>staff</v>
      </c>
      <c r="C3796" s="1" t="str">
        <f ca="1">IFERROR(__xludf.DUMMYFUNCTION("GOOGLETRANSLATE(E3796, ""zh"", ""en"")"),"Qualitative text")</f>
        <v>Qualitative text</v>
      </c>
    </row>
    <row r="3797" spans="1:3" ht="13" x14ac:dyDescent="0.15">
      <c r="A3797" s="1" t="str">
        <f ca="1">IFERROR(__xludf.DUMMYFUNCTION("GOOGLETRANSLATE(A3797, ""zh"", ""en"")"),"Tibet Everest has always adhered to the principle of common development in its production and operation, actively supported and cultivated local industries in the mining area, provided employment opportunities for indigenous people, actively participated "&amp;"in community affairs, and made great contributions to the economic development and people's livelihood in the project area.")</f>
        <v>Tibet Everest has always adhered to the principle of common development in its production and operation, actively supported and cultivated local industries in the mining area, provided employment opportunities for indigenous people, actively participated in community affairs, and made great contributions to the economic development and people's livelihood in the project area.</v>
      </c>
      <c r="B3797" s="1" t="str">
        <f ca="1">IFERROR(__xludf.DUMMYFUNCTION("GOOGLETRANSLATE(A3797, ""zh"", ""en"")"),"Promoting employment")</f>
        <v>Promoting employment</v>
      </c>
      <c r="C3797" s="1" t="str">
        <f ca="1">IFERROR(__xludf.DUMMYFUNCTION("GOOGLETRANSLATE(E3797, ""zh"", ""en"")"),"Qualitative text")</f>
        <v>Qualitative text</v>
      </c>
    </row>
    <row r="3798" spans="1:3" ht="13" x14ac:dyDescent="0.15">
      <c r="A3798" s="1" t="str">
        <f ca="1">IFERROR(__xludf.DUMMYFUNCTION("GOOGLETRANSLATE(A3798, ""zh"", ""en"")"),"During the reporting period, the company conducted a self-assessment of the design and implementation effectiveness of its internal control system for 2022. There were no major or significant deficiencies in the internal control over financial reporting, "&amp;"nor were there any major deficiencies in the internal control over non-financial reporting.")</f>
        <v>During the reporting period, the company conducted a self-assessment of the design and implementation effectiveness of its internal control system for 2022. There were no major or significant deficiencies in the internal control over financial reporting, nor were there any major deficiencies in the internal control over non-financial reporting.</v>
      </c>
      <c r="B3798" s="1" t="str">
        <f ca="1">IFERROR(__xludf.DUMMYFUNCTION("GOOGLETRANSLATE(A3798, ""zh"", ""en"")"),"Audit work")</f>
        <v>Audit work</v>
      </c>
      <c r="C3798" s="1" t="str">
        <f ca="1">IFERROR(__xludf.DUMMYFUNCTION("GOOGLETRANSLATE(E3798, ""zh"", ""en"")"),"Quantitative Text")</f>
        <v>Quantitative Text</v>
      </c>
    </row>
    <row r="3799" spans="1:3" ht="13" x14ac:dyDescent="0.15">
      <c r="A3799" s="1" t="str">
        <f ca="1">IFERROR(__xludf.DUMMYFUNCTION("GOOGLETRANSLATE(A3799, ""zh"", ""en"")"),"In November, the trademark of Xinjiang Uyghur Medicine Xipa successfully passed the Madrid System International Trademark Registration and was extended to Russia, Kazakhstan, Indonesia and other countries for approval and protection. It is the first pharm"&amp;"aceutical industry enterprise in Xinjiang to obtain the Madrid System International Trademark Registration.")</f>
        <v>In November, the trademark of Xinjiang Uyghur Medicine Xipa successfully passed the Madrid System International Trademark Registration and was extended to Russia, Kazakhstan, Indonesia and other countries for approval and protection. It is the first pharmaceutical industry enterprise in Xinjiang to obtain the Madrid System International Trademark Registration.</v>
      </c>
      <c r="B3799" s="1" t="str">
        <f ca="1">IFERROR(__xludf.DUMMYFUNCTION("GOOGLETRANSLATE(A3799, ""zh"", ""en"")"),"Intellectual Property Protection")</f>
        <v>Intellectual Property Protection</v>
      </c>
      <c r="C3799" s="1" t="str">
        <f ca="1">IFERROR(__xludf.DUMMYFUNCTION("GOOGLETRANSLATE(E3799, ""zh"", ""en"")"),"Quantitative Text")</f>
        <v>Quantitative Text</v>
      </c>
    </row>
    <row r="3800" spans="1:3" ht="13" x14ac:dyDescent="0.15">
      <c r="A3800" s="1" t="str">
        <f ca="1">IFERROR(__xludf.DUMMYFUNCTION("GOOGLETRANSLATE(A3800, ""zh"", ""en"")"),"Focusing on the customer-centric concept, Dongyuan Group always attaches great importance to the protection of customer rights and interests. At the same time, in light of the new industry background, it actively responds to customers' core concerns and p"&amp;"roactively establishes communication channels with customers to ensure positive interaction with them.")</f>
        <v>Focusing on the customer-centric concept, Dongyuan Group always attaches great importance to the protection of customer rights and interests. At the same time, in light of the new industry background, it actively responds to customers' core concerns and proactively establishes communication channels with customers to ensure positive interaction with them.</v>
      </c>
      <c r="B3800" s="1" t="str">
        <f ca="1">IFERROR(__xludf.DUMMYFUNCTION("GOOGLETRANSLATE(A3800, ""zh"", ""en"")"),"Customers and Consumers")</f>
        <v>Customers and Consumers</v>
      </c>
      <c r="C3800" s="1" t="str">
        <f ca="1">IFERROR(__xludf.DUMMYFUNCTION("GOOGLETRANSLATE(E3800, ""zh"", ""en"")"),"Qualitative text")</f>
        <v>Qualitative text</v>
      </c>
    </row>
    <row r="3801" spans="1:3" ht="13" x14ac:dyDescent="0.15">
      <c r="A3801" s="1" t="str">
        <f ca="1">IFERROR(__xludf.DUMMYFUNCTION("GOOGLETRANSLATE(A3801, ""zh"", ""en"")"),"In the face of the epidemic, some employees of Dongyuan Group in the southwest region responded quickly and stepped forward to actively participate in the prevention and control volunteer activities. On November 17, 2022, they went to the Fifth People's H"&amp;"ospital in Nan'an District, Chongqing to fight side by side with medical staff.")</f>
        <v>In the face of the epidemic, some employees of Dongyuan Group in the southwest region responded quickly and stepped forward to actively participate in the prevention and control volunteer activities. On November 17, 2022, they went to the Fifth People's Hospital in Nan'an District, Chongqing to fight side by side with medical staff.</v>
      </c>
      <c r="B3801" s="1" t="str">
        <f ca="1">IFERROR(__xludf.DUMMYFUNCTION("GOOGLETRANSLATE(A3801, ""zh"", ""en"")"),"Fighting the epidemic")</f>
        <v>Fighting the epidemic</v>
      </c>
      <c r="C3801" s="1" t="str">
        <f ca="1">IFERROR(__xludf.DUMMYFUNCTION("GOOGLETRANSLATE(E3801, ""zh"", ""en"")"),"Qualitative text")</f>
        <v>Qualitative text</v>
      </c>
    </row>
    <row r="3802" spans="1:3" ht="13" x14ac:dyDescent="0.15">
      <c r="A3802" s="1" t="str">
        <f ca="1">IFERROR(__xludf.DUMMYFUNCTION("GOOGLETRANSLATE(A3802, ""zh"", ""en"")"),"The 2022 forum will feature 24 sharing sessions. Guests include R&amp;D leaders from the Group's research institutes and operating companies, experts and scholars from key research institutions, and partner enterprises and institutions. Over 4,000 people will"&amp;" attend the forum in person or online.")</f>
        <v>The 2022 forum will feature 24 sharing sessions. Guests include R&amp;D leaders from the Group's research institutes and operating companies, experts and scholars from key research institutions, and partner enterprises and institutions. Over 4,000 people will attend the forum in person or online.</v>
      </c>
      <c r="B3802" s="1" t="str">
        <f ca="1">IFERROR(__xludf.DUMMYFUNCTION("GOOGLETRANSLATE(A3802, ""zh"", ""en"")"),"Technological innovation")</f>
        <v>Technological innovation</v>
      </c>
      <c r="C3802" s="1" t="str">
        <f ca="1">IFERROR(__xludf.DUMMYFUNCTION("GOOGLETRANSLATE(E3802, ""zh"", ""en"")"),"Quantitative Text")</f>
        <v>Quantitative Text</v>
      </c>
    </row>
    <row r="3803" spans="1:3" ht="13" x14ac:dyDescent="0.15">
      <c r="A3803" s="1" t="str">
        <f ca="1">IFERROR(__xludf.DUMMYFUNCTION("GOOGLETRANSLATE(A3803, ""zh"", ""en"")"),"The company signed an ongoing related-party transaction agreement with China National Petroleum Corporation at the beginning of its listing and regularly updated the details of the ongoing related-party transactions with China National Petroleum Corporati"&amp;"on, including the details of the scope and amount, in accordance with regulatory requirements, and submitted them to the board of directors and shareholders' meeting for approval.")</f>
        <v>The company signed an ongoing related-party transaction agreement with China National Petroleum Corporation at the beginning of its listing and regularly updated the details of the ongoing related-party transactions with China National Petroleum Corporation, including the details of the scope and amount, in accordance with regulatory requirements, and submitted them to the board of directors and shareholders' meeting for approval.</v>
      </c>
      <c r="B3803" s="1" t="str">
        <f ca="1">IFERROR(__xludf.DUMMYFUNCTION("GOOGLETRANSLATE(A3803, ""zh"", ""en"")"),"Shareholder and creditor rights")</f>
        <v>Shareholder and creditor rights</v>
      </c>
      <c r="C3803" s="1" t="str">
        <f ca="1">IFERROR(__xludf.DUMMYFUNCTION("GOOGLETRANSLATE(E3803, ""zh"", ""en"")"),"Qualitative text")</f>
        <v>Qualitative text</v>
      </c>
    </row>
    <row r="3804" spans="1:3" ht="13" x14ac:dyDescent="0.15">
      <c r="A3804" s="1" t="str">
        <f ca="1">IFERROR(__xludf.DUMMYFUNCTION("GOOGLETRANSLATE(A3804, ""zh"", ""en"")"),"The Board of Directors has established a Sustainability Committee composed of three directors. Mr. Huang Yongzhang, Executive Director and President of the Company, serves as the Chairman of the Committee. The Committee is responsible for overseeing the i"&amp;"mplementation of ESG policies, strategies and goals and regularly reviewing the Company's environmental, social and governance reports.")</f>
        <v>The Board of Directors has established a Sustainability Committee composed of three directors. Mr. Huang Yongzhang, Executive Director and President of the Company, serves as the Chairman of the Committee. The Committee is responsible for overseeing the implementation of ESG policies, strategies and goals and regularly reviewing the Company's environmental, social and governance reports.</v>
      </c>
      <c r="B3804" s="1" t="str">
        <f ca="1">IFERROR(__xludf.DUMMYFUNCTION("GOOGLETRANSLATE(A3804, ""zh"", ""en"")"),"Organizational structure and operations")</f>
        <v>Organizational structure and operations</v>
      </c>
      <c r="C3804" s="1" t="str">
        <f ca="1">IFERROR(__xludf.DUMMYFUNCTION("GOOGLETRANSLATE(E3804, ""zh"", ""en"")"),"Qualitative text")</f>
        <v>Qualitative text</v>
      </c>
    </row>
    <row r="3805" spans="1:3" ht="13" x14ac:dyDescent="0.15">
      <c r="A3805" s="1" t="str">
        <f ca="1">IFERROR(__xludf.DUMMYFUNCTION("GOOGLETRANSLATE(A3805, ""zh"", ""en"")"),"Haier Smart Home currently has 3,831 suppliers worldwide. The suppliers are distributed in the following regions: We are well aware that cooperation with local suppliers can reduce logistics costs, greenhouse gas emissions, maintain community relations, a"&amp;"nd promote local economic development.")</f>
        <v>Haier Smart Home currently has 3,831 suppliers worldwide. The suppliers are distributed in the following regions: We are well aware that cooperation with local suppliers can reduce logistics costs, greenhouse gas emissions, maintain community relations, and promote local economic development.</v>
      </c>
      <c r="B3805" s="1" t="str">
        <f ca="1">IFERROR(__xludf.DUMMYFUNCTION("GOOGLETRANSLATE(A3805, ""zh"", ""en"")"),"supply chain management")</f>
        <v>supply chain management</v>
      </c>
      <c r="C3805" s="1" t="str">
        <f ca="1">IFERROR(__xludf.DUMMYFUNCTION("GOOGLETRANSLATE(E3805, ""zh"", ""en"")"),"Quantitative Text")</f>
        <v>Quantitative Text</v>
      </c>
    </row>
    <row r="3806" spans="1:3" ht="13" x14ac:dyDescent="0.15">
      <c r="A3806" s="1" t="str">
        <f ca="1">IFERROR(__xludf.DUMMYFUNCTION("GOOGLETRANSLATE(A3806, ""zh"", ""en"")"),"Regular inspection and improvement of underground water pipes in the factory area. The water supply pipes of the member companies of the Group are mostly laid underground. Once a leak occurs in the underground pipe network, it is difficult to detect it in"&amp;" time. In addition, the probability of leakage is also higher for companies that have been built and operated for many years.")</f>
        <v>Regular inspection and improvement of underground water pipes in the factory area. The water supply pipes of the member companies of the Group are mostly laid underground. Once a leak occurs in the underground pipe network, it is difficult to detect it in time. In addition, the probability of leakage is also higher for companies that have been built and operated for many years.</v>
      </c>
      <c r="B3806" s="1" t="str">
        <f ca="1">IFERROR(__xludf.DUMMYFUNCTION("GOOGLETRANSLATE(A3806, ""zh"", ""en"")"),"Water resources")</f>
        <v>Water resources</v>
      </c>
      <c r="C3806" s="1" t="str">
        <f ca="1">IFERROR(__xludf.DUMMYFUNCTION("GOOGLETRANSLATE(E3806, ""zh"", ""en"")"),"Qualitative text")</f>
        <v>Qualitative text</v>
      </c>
    </row>
    <row r="3807" spans="1:3" ht="13" x14ac:dyDescent="0.15">
      <c r="A3807" s="1" t="str">
        <f ca="1">IFERROR(__xludf.DUMMYFUNCTION("GOOGLETRANSLATE(A3807, ""zh"", ""en"")"),"2022CorporateSocialResponsibilityReport111Material Recycling and Reduction Based on the material properties of packaging materials, Fosun Pharma optimizes processes to reduce packaging waste.")</f>
        <v>2022CorporateSocialResponsibilityReport111Material Recycling and Reduction Based on the material properties of packaging materials, Fosun Pharma optimizes processes to reduce packaging waste.</v>
      </c>
      <c r="B3807" s="1" t="str">
        <f ca="1">IFERROR(__xludf.DUMMYFUNCTION("GOOGLETRANSLATE(A3807, ""zh"", ""en"")"),"Waste Management")</f>
        <v>Waste Management</v>
      </c>
      <c r="C3807" s="1" t="str">
        <f ca="1">IFERROR(__xludf.DUMMYFUNCTION("GOOGLETRANSLATE(E3807, ""zh"", ""en"")"),"Qualitative text")</f>
        <v>Qualitative text</v>
      </c>
    </row>
    <row r="3808" spans="1:3" ht="13" x14ac:dyDescent="0.15">
      <c r="A3808" s="1" t="str">
        <f ca="1">IFERROR(__xludf.DUMMYFUNCTION("GOOGLETRANSLATE(A3808, ""zh"", ""en"")"),"We also require suppliers to abide by this commitment, provide written statements, and establish a raw material traceability policy to ensure that their procurement does not contain minerals of unknown origin or conflict minerals, and conduct conflict min"&amp;"eral research on a regular basis once a year.")</f>
        <v>We also require suppliers to abide by this commitment, provide written statements, and establish a raw material traceability policy to ensure that their procurement does not contain minerals of unknown origin or conflict minerals, and conduct conflict mineral research on a regular basis once a year.</v>
      </c>
      <c r="B3808" s="1" t="str">
        <f ca="1">IFERROR(__xludf.DUMMYFUNCTION("GOOGLETRANSLATE(A3808, ""zh"", ""en"")"),"raw materials")</f>
        <v>raw materials</v>
      </c>
      <c r="C3808" s="1" t="str">
        <f ca="1">IFERROR(__xludf.DUMMYFUNCTION("GOOGLETRANSLATE(E3808, ""zh"", ""en"")"),"Qualitative text")</f>
        <v>Qualitative text</v>
      </c>
    </row>
    <row r="3809" spans="1:3" ht="13" x14ac:dyDescent="0.15">
      <c r="A3809" s="1" t="str">
        <f ca="1">IFERROR(__xludf.DUMMYFUNCTION("GOOGLETRANSLATE(A3809, ""zh"", ""en"")"),"Haier Smart Home fully leverages the supervisory role of employees and society, establishes a safety production supervision mailbox, a three-level WeChat group for the park, factory, and team, and receives safety improvement suggestions or safety hazard r"&amp;"eports through various channels, such as an online reporting phone number and a reporting mailbox, and promptly organizes rectification.")</f>
        <v>Haier Smart Home fully leverages the supervisory role of employees and society, establishes a safety production supervision mailbox, a three-level WeChat group for the park, factory, and team, and receives safety improvement suggestions or safety hazard reports through various channels, such as an online reporting phone number and a reporting mailbox, and promptly organizes rectification.</v>
      </c>
      <c r="B3809" s="1" t="str">
        <f ca="1">IFERROR(__xludf.DUMMYFUNCTION("GOOGLETRANSLATE(A3809, ""zh"", ""en"")"),"Reporting System")</f>
        <v>Reporting System</v>
      </c>
      <c r="C3809" s="1" t="str">
        <f ca="1">IFERROR(__xludf.DUMMYFUNCTION("GOOGLETRANSLATE(E3809, ""zh"", ""en"")"),"Qualitative text")</f>
        <v>Qualitative text</v>
      </c>
    </row>
    <row r="3810" spans="1:3" ht="13" x14ac:dyDescent="0.15">
      <c r="A3810" s="1" t="str">
        <f ca="1">IFERROR(__xludf.DUMMYFUNCTION("GOOGLETRANSLATE(A3810, ""zh"", ""en"")"),"Kailin Pharmaceuticals is also actively practicing the concept of a zero-waste city by establishing an online waste supervision code. The life cycle of waste, such as input, generation, and discharge, is closely linked to the company's raw material procur"&amp;"ement, production operations, and final product disposal processes.")</f>
        <v>Kailin Pharmaceuticals is also actively practicing the concept of a zero-waste city by establishing an online waste supervision code. The life cycle of waste, such as input, generation, and discharge, is closely linked to the company's raw material procurement, production operations, and final product disposal processes.</v>
      </c>
      <c r="B3810" s="1" t="str">
        <f ca="1">IFERROR(__xludf.DUMMYFUNCTION("GOOGLETRANSLATE(A3810, ""zh"", ""en"")"),"Waste Management")</f>
        <v>Waste Management</v>
      </c>
      <c r="C3810" s="1" t="str">
        <f ca="1">IFERROR(__xludf.DUMMYFUNCTION("GOOGLETRANSLATE(E3810, ""zh"", ""en"")"),"Qualitative text")</f>
        <v>Qualitative text</v>
      </c>
    </row>
    <row r="3811" spans="1:3" ht="13" x14ac:dyDescent="0.15">
      <c r="A3811" s="1" t="str">
        <f ca="1">IFERROR(__xludf.DUMMYFUNCTION("GOOGLETRANSLATE(A3811, ""zh"", ""en"")"),"GRI Standard Disclosure Item Location GRI 3 Material Topics 2021 31 Process for Determining Material Topics P67 32 List of Material Topics P7 33 Management of Material Topics Please refer to the table below for specific management methods for specific top"&amp;"ics.")</f>
        <v>GRI Standard Disclosure Item Location GRI 3 Material Topics 2021 31 Process for Determining Material Topics P67 32 List of Material Topics P7 33 Management of Material Topics Please refer to the table below for specific management methods for specific topics.</v>
      </c>
      <c r="B3811" s="1" t="str">
        <f ca="1">IFERROR(__xludf.DUMMYFUNCTION("GOOGLETRANSLATE(A3811, ""zh"", ""en"")"),"irrelevant text")</f>
        <v>irrelevant text</v>
      </c>
      <c r="C3811" s="1" t="str">
        <f ca="1">IFERROR(__xludf.DUMMYFUNCTION("GOOGLETRANSLATE(E3811, ""zh"", ""en"")"),"irrelevant text")</f>
        <v>irrelevant text</v>
      </c>
    </row>
    <row r="3812" spans="1:3" ht="13" x14ac:dyDescent="0.15">
      <c r="A3812" s="1" t="str">
        <f ca="1">IFERROR(__xludf.DUMMYFUNCTION("GOOGLETRANSLATE(A3812, ""zh"", ""en"")"),"P6870B6 Product Liability General Disclosures: 1. Policies and 2. Information on compliance with relevant laws and regulations that have a significant impact on the issuer; 2. Information on health and safety, advertising, labelling and privacy matters re"&amp;"lating to products and services provided, and methods of redress.")</f>
        <v>P6870B6 Product Liability General Disclosures: 1. Policies and 2. Information on compliance with relevant laws and regulations that have a significant impact on the issuer; 2. Information on health and safety, advertising, labelling and privacy matters relating to products and services provided, and methods of redress.</v>
      </c>
      <c r="B3812" s="1" t="str">
        <f ca="1">IFERROR(__xludf.DUMMYFUNCTION("GOOGLETRANSLATE(A3812, ""zh"", ""en"")"),"Product quality")</f>
        <v>Product quality</v>
      </c>
      <c r="C3812" s="1" t="str">
        <f ca="1">IFERROR(__xludf.DUMMYFUNCTION("GOOGLETRANSLATE(E3812, ""zh"", ""en"")"),"Qualitative text")</f>
        <v>Qualitative text</v>
      </c>
    </row>
    <row r="3813" spans="1:3" ht="13" x14ac:dyDescent="0.15">
      <c r="A3813" s="1" t="str">
        <f ca="1">IFERROR(__xludf.DUMMYFUNCTION("GOOGLETRANSLATE(A3813, ""zh"", ""en"")"),"To ensure that stakeholders' appeals are handled promptly, the company has established a complaint system and a whistleblower protection system and has planned a reporting system and processing procedures. We handle reports and complaints in accordance wi"&amp;"th the anti-fraud and reporting system and implement a whistleblower protection system.")</f>
        <v>To ensure that stakeholders' appeals are handled promptly, the company has established a complaint system and a whistleblower protection system and has planned a reporting system and processing procedures. We handle reports and complaints in accordance with the anti-fraud and reporting system and implement a whistleblower protection system.</v>
      </c>
      <c r="B3813" s="1" t="str">
        <f ca="1">IFERROR(__xludf.DUMMYFUNCTION("GOOGLETRANSLATE(A3813, ""zh"", ""en"")"),"Reporting System")</f>
        <v>Reporting System</v>
      </c>
      <c r="C3813" s="1" t="str">
        <f ca="1">IFERROR(__xludf.DUMMYFUNCTION("GOOGLETRANSLATE(E3813, ""zh"", ""en"")"),"Qualitative text")</f>
        <v>Qualitative text</v>
      </c>
    </row>
    <row r="3814" spans="1:3" ht="13" x14ac:dyDescent="0.15">
      <c r="A3814" s="1" t="str">
        <f ca="1">IFERROR(__xludf.DUMMYFUNCTION("GOOGLETRANSLATE(A3814, ""zh"", ""en"")"),"During the Quality Month, we conducted 8 training sessions covering GMP, GSG, PGP, and other standards, and organized all employees to participate in quality management and product knowledge competitions covering R&amp;D, production, and operation modules. Th"&amp;"e total participation rate reached 72%.")</f>
        <v>During the Quality Month, we conducted 8 training sessions covering GMP, GSG, PGP, and other standards, and organized all employees to participate in quality management and product knowledge competitions covering R&amp;D, production, and operation modules. The total participation rate reached 72%.</v>
      </c>
      <c r="B3814" s="1" t="str">
        <f ca="1">IFERROR(__xludf.DUMMYFUNCTION("GOOGLETRANSLATE(A3814, ""zh"", ""en"")"),"Product quality")</f>
        <v>Product quality</v>
      </c>
      <c r="C3814" s="1" t="str">
        <f ca="1">IFERROR(__xludf.DUMMYFUNCTION("GOOGLETRANSLATE(E3814, ""zh"", ""en"")"),"Quantitative Text")</f>
        <v>Quantitative Text</v>
      </c>
    </row>
    <row r="3815" spans="1:3" ht="13" x14ac:dyDescent="0.15">
      <c r="A3815" s="1" t="str">
        <f ca="1">IFERROR(__xludf.DUMMYFUNCTION("GOOGLETRANSLATE(A3815, ""zh"", ""en"")"),"At the same time, we have strengthened our employees' confidentiality awareness and done a good job in information confidentiality to prevent information leakage by signing confidentiality agreements with key project personnel and other key personnel and "&amp;"organizing regular information security training.")</f>
        <v>At the same time, we have strengthened our employees' confidentiality awareness and done a good job in information confidentiality to prevent information leakage by signing confidentiality agreements with key project personnel and other key personnel and organizing regular information security training.</v>
      </c>
      <c r="B3815" s="1" t="str">
        <f ca="1">IFERROR(__xludf.DUMMYFUNCTION("GOOGLETRANSLATE(A3815, ""zh"", ""en"")"),"Data security")</f>
        <v>Data security</v>
      </c>
      <c r="C3815" s="1" t="str">
        <f ca="1">IFERROR(__xludf.DUMMYFUNCTION("GOOGLETRANSLATE(E3815, ""zh"", ""en"")"),"Qualitative text")</f>
        <v>Qualitative text</v>
      </c>
    </row>
    <row r="3816" spans="1:3" ht="13" x14ac:dyDescent="0.15">
      <c r="A3816" s="1" t="str">
        <f ca="1">IFERROR(__xludf.DUMMYFUNCTION("GOOGLETRANSLATE(A3816, ""zh"", ""en"")"),"1002022: All medical device manufacturing member companies of the Group shall report the occurrence of fatalities and group adverse events at the beginning of each month even if no relevant adverse reactions or adverse events have been collected.")</f>
        <v>1002022: All medical device manufacturing member companies of the Group shall report the occurrence of fatalities and group adverse events at the beginning of each month even if no relevant adverse reactions or adverse events have been collected.</v>
      </c>
      <c r="B3816" s="1" t="str">
        <f ca="1">IFERROR(__xludf.DUMMYFUNCTION("GOOGLETRANSLATE(A3816, ""zh"", ""en"")"),"Product quality")</f>
        <v>Product quality</v>
      </c>
      <c r="C3816" s="1" t="str">
        <f ca="1">IFERROR(__xludf.DUMMYFUNCTION("GOOGLETRANSLATE(E3816, ""zh"", ""en"")"),"Qualitative text")</f>
        <v>Qualitative text</v>
      </c>
    </row>
    <row r="3817" spans="1:3" ht="13" x14ac:dyDescent="0.15">
      <c r="A3817" s="1" t="str">
        <f ca="1">IFERROR(__xludf.DUMMYFUNCTION("GOOGLETRANSLATE(A3817, ""zh"", ""en"")"),"In October 2022, we successfully passed the National Intellectual Property Demonstration Enterprise Review again and received an excellent review result, which fully demonstrated the regulatory authorities' high recognition of the Group's consistent empha"&amp;"sis on independent technology research and development and deepening of intellectual property management.")</f>
        <v>In October 2022, we successfully passed the National Intellectual Property Demonstration Enterprise Review again and received an excellent review result, which fully demonstrated the regulatory authorities' high recognition of the Group's consistent emphasis on independent technology research and development and deepening of intellectual property management.</v>
      </c>
      <c r="B3817" s="1" t="str">
        <f ca="1">IFERROR(__xludf.DUMMYFUNCTION("GOOGLETRANSLATE(A3817, ""zh"", ""en"")"),"Intellectual Property Protection")</f>
        <v>Intellectual Property Protection</v>
      </c>
      <c r="C3817" s="1" t="str">
        <f ca="1">IFERROR(__xludf.DUMMYFUNCTION("GOOGLETRANSLATE(E3817, ""zh"", ""en"")"),"Quantitative Text")</f>
        <v>Quantitative Text</v>
      </c>
    </row>
    <row r="3818" spans="1:3" ht="13" x14ac:dyDescent="0.15">
      <c r="A3818" s="1" t="str">
        <f ca="1">IFERROR(__xludf.DUMMYFUNCTION("GOOGLETRANSLATE(A3818, ""zh"", ""en"")"),"Caring for the residents of the Tazhong community, Tazhong Mining visited impoverished families and border guards to take pictures. In the residential area of ​​Tazhong Mining employees, we carefully built five gardens covering an area of ​​more than 1,00"&amp;"0 square meters and planted nearly 3,000 flowers and green plants of various kinds.")</f>
        <v>Caring for the residents of the Tazhong community, Tazhong Mining visited impoverished families and border guards to take pictures. In the residential area of ​​Tazhong Mining employees, we carefully built five gardens covering an area of ​​more than 1,000 square meters and planted nearly 3,000 flowers and green plants of various kinds.</v>
      </c>
      <c r="B3818" s="1" t="str">
        <f ca="1">IFERROR(__xludf.DUMMYFUNCTION("GOOGLETRANSLATE(A3818, ""zh"", ""en"")"),"Public welfare and volunteer service")</f>
        <v>Public welfare and volunteer service</v>
      </c>
      <c r="C3818" s="1" t="str">
        <f ca="1">IFERROR(__xludf.DUMMYFUNCTION("GOOGLETRANSLATE(E3818, ""zh"", ""en"")"),"Quantitative Text")</f>
        <v>Quantitative Text</v>
      </c>
    </row>
    <row r="3819" spans="1:3" ht="13" x14ac:dyDescent="0.15">
      <c r="A3819" s="1" t="str">
        <f ca="1">IFERROR(__xludf.DUMMYFUNCTION("GOOGLETRANSLATE(A3819, ""zh"", ""en"")"),"Humanistic care and loving assistance We mobilize employees to care for community members and spread love. We send representatives to conduct regular and irregular visits during holidays or other times. We insist on providing poverty alleviation and assis"&amp;"tance to local poor households every month.")</f>
        <v>Humanistic care and loving assistance We mobilize employees to care for community members and spread love. We send representatives to conduct regular and irregular visits during holidays or other times. We insist on providing poverty alleviation and assistance to local poor households every month.</v>
      </c>
      <c r="B3819" s="1" t="str">
        <f ca="1">IFERROR(__xludf.DUMMYFUNCTION("GOOGLETRANSLATE(A3819, ""zh"", ""en"")"),"Public welfare and volunteer service")</f>
        <v>Public welfare and volunteer service</v>
      </c>
      <c r="C3819" s="1" t="str">
        <f ca="1">IFERROR(__xludf.DUMMYFUNCTION("GOOGLETRANSLATE(E3819, ""zh"", ""en"")"),"Qualitative text")</f>
        <v>Qualitative text</v>
      </c>
    </row>
    <row r="3820" spans="1:3" ht="13" x14ac:dyDescent="0.15">
      <c r="A3820" s="1" t="str">
        <f ca="1">IFERROR(__xludf.DUMMYFUNCTION("GOOGLETRANSLATE(A3820, ""zh"", ""en"")"),"The training camp for the entire value chain of discovery and clinical development was launched in June 2022. A total of 58 high-value managers of R&amp;D, including biosimilars, small molecules and innovative drugs, were selected to enter the training.")</f>
        <v>The training camp for the entire value chain of discovery and clinical development was launched in June 2022. A total of 58 high-value managers of R&amp;D, including biosimilars, small molecules and innovative drugs, were selected to enter the training.</v>
      </c>
      <c r="B3820" s="1" t="str">
        <f ca="1">IFERROR(__xludf.DUMMYFUNCTION("GOOGLETRANSLATE(A3820, ""zh"", ""en"")"),"Technological innovation")</f>
        <v>Technological innovation</v>
      </c>
      <c r="C3820" s="1" t="str">
        <f ca="1">IFERROR(__xludf.DUMMYFUNCTION("GOOGLETRANSLATE(E3820, ""zh"", ""en"")"),"Quantitative Text")</f>
        <v>Quantitative Text</v>
      </c>
    </row>
    <row r="3821" spans="1:3" ht="13" x14ac:dyDescent="0.15">
      <c r="A3821" s="1" t="str">
        <f ca="1">IFERROR(__xludf.DUMMYFUNCTION("GOOGLETRANSLATE(A3821, ""zh"", ""en"")"),"Once the industry is further included in the national carbon emissions trading industry model, the group must verify the front-end costs of low-emission technology transformation according to the government's dual carbon policy, investors, customers and o"&amp;"ther stakeholders' expectations.")</f>
        <v>Once the industry is further included in the national carbon emissions trading industry model, the group must verify the front-end costs of low-emission technology transformation according to the government's dual carbon policy, investors, customers and other stakeholders' expectations.</v>
      </c>
      <c r="B3821" s="1" t="str">
        <f ca="1">IFERROR(__xludf.DUMMYFUNCTION("GOOGLETRANSLATE(A3821, ""zh"", ""en"")"),"carbon emissions")</f>
        <v>carbon emissions</v>
      </c>
      <c r="C3821" s="1" t="str">
        <f ca="1">IFERROR(__xludf.DUMMYFUNCTION("GOOGLETRANSLATE(E3821, ""zh"", ""en"")"),"Qualitative text")</f>
        <v>Qualitative text</v>
      </c>
    </row>
    <row r="3822" spans="1:3" ht="13" x14ac:dyDescent="0.15">
      <c r="A3822" s="1" t="str">
        <f ca="1">IFERROR(__xludf.DUMMYFUNCTION("GOOGLETRANSLATE(A3822, ""zh"", ""en"")"),"Fosun Pharma Group maintains its privacy protection and has increased the Digital Technology Innovation Department of Fosun Pharma Group to combine the security protection of online private data. Whether it is online Internet platforms, network security l"&amp;"aws, data security laws, personal information, or offline hospitals, sensitive data is desensitized.")</f>
        <v>Fosun Pharma Group maintains its privacy protection and has increased the Digital Technology Innovation Department of Fosun Pharma Group to combine the security protection of online private data. Whether it is online Internet platforms, network security laws, data security laws, personal information, or offline hospitals, sensitive data is desensitized.</v>
      </c>
      <c r="B3822" s="1" t="str">
        <f ca="1">IFERROR(__xludf.DUMMYFUNCTION("GOOGLETRANSLATE(A3822, ""zh"", ""en"")"),"Data security")</f>
        <v>Data security</v>
      </c>
      <c r="C3822" s="1" t="str">
        <f ca="1">IFERROR(__xludf.DUMMYFUNCTION("GOOGLETRANSLATE(E3822, ""zh"", ""en"")"),"Qualitative text")</f>
        <v>Qualitative text</v>
      </c>
    </row>
    <row r="3823" spans="1:3" ht="13" x14ac:dyDescent="0.15">
      <c r="A3823" s="1" t="str">
        <f ca="1">IFERROR(__xludf.DUMMYFUNCTION("GOOGLETRANSLATE(A3823, ""zh"", ""en"")"),"In 2022, Kangyuan will continue to optimize employee occupational health protection, increase investment in employee occupational health protection, set up special funds for occupational health monitoring, procurement of labor protection supplies, and reg"&amp;"ular maintenance and optimization and upgrading of protective facilities.")</f>
        <v>In 2022, Kangyuan will continue to optimize employee occupational health protection, increase investment in employee occupational health protection, set up special funds for occupational health monitoring, procurement of labor protection supplies, and regular maintenance and optimization and upgrading of protective facilities.</v>
      </c>
      <c r="B3823" s="1" t="str">
        <f ca="1">IFERROR(__xludf.DUMMYFUNCTION("GOOGLETRANSLATE(A3823, ""zh"", ""en"")"),"staff")</f>
        <v>staff</v>
      </c>
      <c r="C3823" s="1" t="str">
        <f ca="1">IFERROR(__xludf.DUMMYFUNCTION("GOOGLETRANSLATE(E3823, ""zh"", ""en"")"),"Qualitative text")</f>
        <v>Qualitative text</v>
      </c>
    </row>
    <row r="3824" spans="1:3" ht="13" x14ac:dyDescent="0.15">
      <c r="A3824" s="1" t="str">
        <f ca="1">IFERROR(__xludf.DUMMYFUNCTION("GOOGLETRANSLATE(A3824, ""zh"", ""en"")"),"4,351 new employees were recruited, and the group's employee turnover rate was 1,756. Joincare Pharmaceutical Group Co., Ltd. The Group is committed to building a high-quality and dynamic talent team, recruiting talents and continuously striving to introd"&amp;"uce and cultivate new forces.")</f>
        <v>4,351 new employees were recruited, and the group's employee turnover rate was 1,756. Joincare Pharmaceutical Group Co., Ltd. The Group is committed to building a high-quality and dynamic talent team, recruiting talents and continuously striving to introduce and cultivate new forces.</v>
      </c>
      <c r="B3824" s="1" t="str">
        <f ca="1">IFERROR(__xludf.DUMMYFUNCTION("GOOGLETRANSLATE(A3824, ""zh"", ""en"")"),"staff")</f>
        <v>staff</v>
      </c>
      <c r="C3824" s="1" t="str">
        <f ca="1">IFERROR(__xludf.DUMMYFUNCTION("GOOGLETRANSLATE(E3824, ""zh"", ""en"")"),"Quantitative Text")</f>
        <v>Quantitative Text</v>
      </c>
    </row>
    <row r="3825" spans="1:3" ht="13" x14ac:dyDescent="0.15">
      <c r="A3825" s="1" t="str">
        <f ca="1">IFERROR(__xludf.DUMMYFUNCTION("GOOGLETRANSLATE(A3825, ""zh"", ""en"")"),"To protect the privacy of whistleblowers, Haier's compliance hotline, NAVEXGlobal, will provide whistleblowers with a confidential number and will not record the whistleblower's personal information. Upon receiving the report, an email will be automatical"&amp;"ly sent to the risk control and internal audit team.")</f>
        <v>To protect the privacy of whistleblowers, Haier's compliance hotline, NAVEXGlobal, will provide whistleblowers with a confidential number and will not record the whistleblower's personal information. Upon receiving the report, an email will be automatically sent to the risk control and internal audit team.</v>
      </c>
      <c r="B3825" s="1" t="str">
        <f ca="1">IFERROR(__xludf.DUMMYFUNCTION("GOOGLETRANSLATE(A3825, ""zh"", ""en"")"),"Reporting System")</f>
        <v>Reporting System</v>
      </c>
      <c r="C3825" s="1" t="str">
        <f ca="1">IFERROR(__xludf.DUMMYFUNCTION("GOOGLETRANSLATE(E3825, ""zh"", ""en"")"),"Qualitative text")</f>
        <v>Qualitative text</v>
      </c>
    </row>
    <row r="3826" spans="1:3" ht="13" x14ac:dyDescent="0.15">
      <c r="A3826" s="1" t="str">
        <f ca="1">IFERROR(__xludf.DUMMYFUNCTION("GOOGLETRANSLATE(A3826, ""zh"", ""en"")"),"Introducing psychological quality assessment EAR psychological training and other content to provide employees with psychological assessment, stress relief consultation and other services. The trade union represents the majority of employees and signs a c"&amp;"ollective contract with the company to ensure that the company's employees' union membership rate is 100%.")</f>
        <v>Introducing psychological quality assessment EAR psychological training and other content to provide employees with psychological assessment, stress relief consultation and other services. The trade union represents the majority of employees and signs a collective contract with the company to ensure that the company's employees' union membership rate is 100%.</v>
      </c>
      <c r="B3826" s="1" t="str">
        <f ca="1">IFERROR(__xludf.DUMMYFUNCTION("GOOGLETRANSLATE(A3826, ""zh"", ""en"")"),"staff")</f>
        <v>staff</v>
      </c>
      <c r="C3826" s="1" t="str">
        <f ca="1">IFERROR(__xludf.DUMMYFUNCTION("GOOGLETRANSLATE(E3826, ""zh"", ""en"")"),"Qualitative text")</f>
        <v>Qualitative text</v>
      </c>
    </row>
    <row r="3827" spans="1:3" ht="13" x14ac:dyDescent="0.15">
      <c r="A3827" s="1" t="str">
        <f ca="1">IFERROR(__xludf.DUMMYFUNCTION("GOOGLETRANSLATE(A3827, ""zh"", ""en"")"),"Explore the cooperative training model between enterprises and universities, jointly carry out advanced training courses in materials and chemical engineering for employees of affiliated enterprises with East China University of Science and Technology, an"&amp;"d actively reserve and cultivate technical and R&amp;D talents by leveraging the high-quality educational resources of universities to promote high-quality development.")</f>
        <v>Explore the cooperative training model between enterprises and universities, jointly carry out advanced training courses in materials and chemical engineering for employees of affiliated enterprises with East China University of Science and Technology, and actively reserve and cultivate technical and R&amp;D talents by leveraging the high-quality educational resources of universities to promote high-quality development.</v>
      </c>
      <c r="B3827" s="1" t="str">
        <f ca="1">IFERROR(__xludf.DUMMYFUNCTION("GOOGLETRANSLATE(A3827, ""zh"", ""en"")"),"staff")</f>
        <v>staff</v>
      </c>
      <c r="C3827" s="1" t="str">
        <f ca="1">IFERROR(__xludf.DUMMYFUNCTION("GOOGLETRANSLATE(E3827, ""zh"", ""en"")"),"Qualitative text")</f>
        <v>Qualitative text</v>
      </c>
    </row>
    <row r="3828" spans="1:3" ht="13" x14ac:dyDescent="0.15">
      <c r="A3828" s="1" t="str">
        <f ca="1">IFERROR(__xludf.DUMMYFUNCTION("GOOGLETRANSLATE(A3828, ""zh"", ""en"")"),"In 2022, the company's employee training will focus on applying knowledge to improve work efficiency and serve customers. From corporate culture to professional knowledge, all-round training will strive to improve the overall professional quality, work sk"&amp;"ills and technical level of employees.")</f>
        <v>In 2022, the company's employee training will focus on applying knowledge to improve work efficiency and serve customers. From corporate culture to professional knowledge, all-round training will strive to improve the overall professional quality, work skills and technical level of employees.</v>
      </c>
      <c r="B3828" s="1" t="str">
        <f ca="1">IFERROR(__xludf.DUMMYFUNCTION("GOOGLETRANSLATE(A3828, ""zh"", ""en"")"),"staff")</f>
        <v>staff</v>
      </c>
      <c r="C3828" s="1" t="str">
        <f ca="1">IFERROR(__xludf.DUMMYFUNCTION("GOOGLETRANSLATE(E3828, ""zh"", ""en"")"),"Qualitative text")</f>
        <v>Qualitative text</v>
      </c>
    </row>
    <row r="3829" spans="1:3" ht="13" x14ac:dyDescent="0.15">
      <c r="A3829" s="1" t="str">
        <f ca="1">IFERROR(__xludf.DUMMYFUNCTION("GOOGLETRANSLATE(A3829, ""zh"", ""en"")"),"The core content of the plan is to build an online service desk, promote the construction of electronic warehouse receipts, build system collaboration capabilities, build a smart warehouse system, and encourage the application of Internet of Things equipm"&amp;"ent in the park, providing a framework for the subsequent construction of the China Storage Smart Warehouse Information System project.")</f>
        <v>The core content of the plan is to build an online service desk, promote the construction of electronic warehouse receipts, build system collaboration capabilities, build a smart warehouse system, and encourage the application of Internet of Things equipment in the park, providing a framework for the subsequent construction of the China Storage Smart Warehouse Information System project.</v>
      </c>
      <c r="B3829" s="1" t="str">
        <f ca="1">IFERROR(__xludf.DUMMYFUNCTION("GOOGLETRANSLATE(A3829, ""zh"", ""en"")"),"Technological innovation")</f>
        <v>Technological innovation</v>
      </c>
      <c r="C3829" s="1" t="str">
        <f ca="1">IFERROR(__xludf.DUMMYFUNCTION("GOOGLETRANSLATE(E3829, ""zh"", ""en"")"),"Qualitative text")</f>
        <v>Qualitative text</v>
      </c>
    </row>
    <row r="3830" spans="1:3" ht="13" x14ac:dyDescent="0.15">
      <c r="A3830" s="1" t="str">
        <f ca="1">IFERROR(__xludf.DUMMYFUNCTION("GOOGLETRANSLATE(A3830, ""zh"", ""en"")"),"In 2022, to strengthen the construction of talent echelons, the company revised the management methods of the reserve talent pool of the central storage system. To promote the exchange of talents across regions, the company revised the management methods "&amp;"of inter-regional talent exchange within the central storage system. Multi-dimensional policy support is provided for the career development of employees.")</f>
        <v>In 2022, to strengthen the construction of talent echelons, the company revised the management methods of the reserve talent pool of the central storage system. To promote the exchange of talents across regions, the company revised the management methods of inter-regional talent exchange within the central storage system. Multi-dimensional policy support is provided for the career development of employees.</v>
      </c>
      <c r="B3830" s="1" t="str">
        <f ca="1">IFERROR(__xludf.DUMMYFUNCTION("GOOGLETRANSLATE(A3830, ""zh"", ""en"")"),"staff")</f>
        <v>staff</v>
      </c>
      <c r="C3830" s="1" t="str">
        <f ca="1">IFERROR(__xludf.DUMMYFUNCTION("GOOGLETRANSLATE(E3830, ""zh"", ""en"")"),"Qualitative text")</f>
        <v>Qualitative text</v>
      </c>
    </row>
    <row r="3831" spans="1:3" ht="13" x14ac:dyDescent="0.15">
      <c r="A3831" s="1" t="str">
        <f ca="1">IFERROR(__xludf.DUMMYFUNCTION("GOOGLETRANSLATE(A3831, ""zh"", ""en"")"),"Actively implement the spirit of the Group Party Committee's meeting on talent work and related policies, formulate and issue 15 new talent policies for Yunshang Company, establish a Talent Development Committee, organize and hold the 716 talent work spec"&amp;"ial meeting, and promote the implementation of the talent-driven enterprise strategy.")</f>
        <v>Actively implement the spirit of the Group Party Committee's meeting on talent work and related policies, formulate and issue 15 new talent policies for Yunshang Company, establish a Talent Development Committee, organize and hold the 716 talent work special meeting, and promote the implementation of the talent-driven enterprise strategy.</v>
      </c>
      <c r="B3831" s="1" t="str">
        <f ca="1">IFERROR(__xludf.DUMMYFUNCTION("GOOGLETRANSLATE(A3831, ""zh"", ""en"")"),"staff")</f>
        <v>staff</v>
      </c>
      <c r="C3831" s="1" t="str">
        <f ca="1">IFERROR(__xludf.DUMMYFUNCTION("GOOGLETRANSLATE(E3831, ""zh"", ""en"")"),"Quantitative Text")</f>
        <v>Quantitative Text</v>
      </c>
    </row>
    <row r="3832" spans="1:3" ht="13" x14ac:dyDescent="0.15">
      <c r="A3832" s="1" t="str">
        <f ca="1">IFERROR(__xludf.DUMMYFUNCTION("GOOGLETRANSLATE(A3832, ""zh"", ""en"")"),"The Industrial Investment Company and the investment company Yuantong Company jointly expanded from the automobile distribution field to the lithium battery distribution field. BAIC led the investment and joined Zhejiang Energy Group, Shaoxing State-owned"&amp;" Assets and other state-owned industrial capitals in participating in Zhongneng's PreIPO round of financing.")</f>
        <v>The Industrial Investment Company and the investment company Yuantong Company jointly expanded from the automobile distribution field to the lithium battery distribution field. BAIC led the investment and joined Zhejiang Energy Group, Shaoxing State-owned Assets and other state-owned industrial capitals in participating in Zhongneng's PreIPO round of financing.</v>
      </c>
      <c r="B3832" s="1" t="str">
        <f ca="1">IFERROR(__xludf.DUMMYFUNCTION("GOOGLETRANSLATE(A3832, ""zh"", ""en"")"),"Technological innovation")</f>
        <v>Technological innovation</v>
      </c>
      <c r="C3832" s="1" t="str">
        <f ca="1">IFERROR(__xludf.DUMMYFUNCTION("GOOGLETRANSLATE(E3832, ""zh"", ""en"")"),"Qualitative text")</f>
        <v>Qualitative text</v>
      </c>
    </row>
    <row r="3833" spans="1:3" ht="13" x14ac:dyDescent="0.15">
      <c r="A3833" s="1" t="str">
        <f ca="1">IFERROR(__xludf.DUMMYFUNCTION("GOOGLETRANSLATE(A3833, ""zh"", ""en"")"),"The company has established an intellectual property team to manage and maintain the company's own intellectual property rights in a targeted manner. Through a powerful infringement monitoring system and process, it detects and cracks down on infringement"&amp;"s of the company's patents, trademarks, and other rights, and protects the company's key technologies and core brands.")</f>
        <v>The company has established an intellectual property team to manage and maintain the company's own intellectual property rights in a targeted manner. Through a powerful infringement monitoring system and process, it detects and cracks down on infringements of the company's patents, trademarks, and other rights, and protects the company's key technologies and core brands.</v>
      </c>
      <c r="B3833" s="1" t="str">
        <f ca="1">IFERROR(__xludf.DUMMYFUNCTION("GOOGLETRANSLATE(A3833, ""zh"", ""en"")"),"Intellectual Property Protection")</f>
        <v>Intellectual Property Protection</v>
      </c>
      <c r="C3833" s="1" t="str">
        <f ca="1">IFERROR(__xludf.DUMMYFUNCTION("GOOGLETRANSLATE(E3833, ""zh"", ""en"")"),"Qualitative text")</f>
        <v>Qualitative text</v>
      </c>
    </row>
    <row r="3834" spans="1:3" ht="13" x14ac:dyDescent="0.15">
      <c r="A3834" s="1" t="str">
        <f ca="1">IFERROR(__xludf.DUMMYFUNCTION("GOOGLETRANSLATE(A3834, ""zh"", ""en"")"),"2022 training highlights and results display Through more than 100 after-class tutoring sessions, we finally produced topics with actual business performance outputs, technical control codes for employees, and achieved remarkable results. We produced topi"&amp;"cs with outputs and performance improvement topics.")</f>
        <v>2022 training highlights and results display Through more than 100 after-class tutoring sessions, we finally produced topics with actual business performance outputs, technical control codes for employees, and achieved remarkable results. We produced topics with outputs and performance improvement topics.</v>
      </c>
      <c r="B3834" s="1" t="str">
        <f ca="1">IFERROR(__xludf.DUMMYFUNCTION("GOOGLETRANSLATE(A3834, ""zh"", ""en"")"),"staff")</f>
        <v>staff</v>
      </c>
      <c r="C3834" s="1" t="str">
        <f ca="1">IFERROR(__xludf.DUMMYFUNCTION("GOOGLETRANSLATE(E3834, ""zh"", ""en"")"),"Quantitative Text")</f>
        <v>Quantitative Text</v>
      </c>
    </row>
    <row r="3835" spans="1:3" ht="13" x14ac:dyDescent="0.15">
      <c r="A3835" s="1" t="str">
        <f ca="1">IFERROR(__xludf.DUMMYFUNCTION("GOOGLETRANSLATE(A3835, ""zh"", ""en"")"),"The two sides will fully leverage their capabilities in industrial and resource integration to launch in-depth cooperation in areas such as digital reform, inclusive finance, and supply chain finance, creating innovative models for the deep integration of"&amp;" industry and finance, and jointly contribute to the construction of a demonstration zone for common prosperity.")</f>
        <v>The two sides will fully leverage their capabilities in industrial and resource integration to launch in-depth cooperation in areas such as digital reform, inclusive finance, and supply chain finance, creating innovative models for the deep integration of industry and finance, and jointly contribute to the construction of a demonstration zone for common prosperity.</v>
      </c>
      <c r="B3835" s="1" t="str">
        <f ca="1">IFERROR(__xludf.DUMMYFUNCTION("GOOGLETRANSLATE(A3835, ""zh"", ""en"")"),"supply chain management")</f>
        <v>supply chain management</v>
      </c>
      <c r="C3835" s="1" t="str">
        <f ca="1">IFERROR(__xludf.DUMMYFUNCTION("GOOGLETRANSLATE(E3835, ""zh"", ""en"")"),"Qualitative text")</f>
        <v>Qualitative text</v>
      </c>
    </row>
    <row r="3836" spans="1:3" ht="13" x14ac:dyDescent="0.15">
      <c r="A3836" s="1" t="str">
        <f ca="1">IFERROR(__xludf.DUMMYFUNCTION("GOOGLETRANSLATE(A3836, ""zh"", ""en"")"),"Coben Pharmaceuticals has been recognized as a Jiangsu Provincial Specialized, Advanced, and Innovative Small and Medium-sized Enterprise by the Jiangsu Provincial Enterprise Technology Center. It has increased production and sales of Paxlovid intermediat"&amp;"e 549, a first-line antiviral drug for COVID-19, and has accumulated experience in rapid R&amp;D and industrialization.")</f>
        <v>Coben Pharmaceuticals has been recognized as a Jiangsu Provincial Specialized, Advanced, and Innovative Small and Medium-sized Enterprise by the Jiangsu Provincial Enterprise Technology Center. It has increased production and sales of Paxlovid intermediate 549, a first-line antiviral drug for COVID-19, and has accumulated experience in rapid R&amp;D and industrialization.</v>
      </c>
      <c r="B3836" s="1" t="str">
        <f ca="1">IFERROR(__xludf.DUMMYFUNCTION("GOOGLETRANSLATE(A3836, ""zh"", ""en"")"),"Fighting the epidemic")</f>
        <v>Fighting the epidemic</v>
      </c>
      <c r="C3836" s="1" t="str">
        <f ca="1">IFERROR(__xludf.DUMMYFUNCTION("GOOGLETRANSLATE(E3836, ""zh"", ""en"")"),"Qualitative text")</f>
        <v>Qualitative text</v>
      </c>
    </row>
    <row r="3837" spans="1:3" ht="13" x14ac:dyDescent="0.15">
      <c r="A3837" s="1" t="str">
        <f ca="1">IFERROR(__xludf.DUMMYFUNCTION("GOOGLETRANSLATE(A3837, ""zh"", ""en"")"),"Increase independent research and development of key technologies to create industrial value INDUSTRIAL VALUE Value creation V Huanneng Chemical Company 0126 In 2022, the company obtained 27 national invention patents and 156 utility model patents")</f>
        <v>Increase independent research and development of key technologies to create industrial value INDUSTRIAL VALUE Value creation V Huanneng Chemical Company 0126 In 2022, the company obtained 27 national invention patents and 156 utility model patents</v>
      </c>
      <c r="B3837" s="1" t="str">
        <f ca="1">IFERROR(__xludf.DUMMYFUNCTION("GOOGLETRANSLATE(A3837, ""zh"", ""en"")"),"Intellectual Property Protection")</f>
        <v>Intellectual Property Protection</v>
      </c>
      <c r="C3837" s="1" t="str">
        <f ca="1">IFERROR(__xludf.DUMMYFUNCTION("GOOGLETRANSLATE(E3837, ""zh"", ""en"")"),"Quantitative Text")</f>
        <v>Quantitative Text</v>
      </c>
    </row>
    <row r="3838" spans="1:3" ht="13" x14ac:dyDescent="0.15">
      <c r="A3838" s="1" t="str">
        <f ca="1">IFERROR(__xludf.DUMMYFUNCTION("GOOGLETRANSLATE(A3838, ""zh"", ""en"")"),"At the same time, various funds have been invested to improve the infrastructure and living environment in the areas surrounding the hydropower station. 132 rural primary and secondary schools and kindergartens have been newly built or improved. 27 rural "&amp;"health clinics have been built. 140 villages have been renovated. 43 drinking water projects for humans and livestock have been built.")</f>
        <v>At the same time, various funds have been invested to improve the infrastructure and living environment in the areas surrounding the hydropower station. 132 rural primary and secondary schools and kindergartens have been newly built or improved. 27 rural health clinics have been built. 140 villages have been renovated. 43 drinking water projects for humans and livestock have been built.</v>
      </c>
      <c r="B3838" s="1" t="str">
        <f ca="1">IFERROR(__xludf.DUMMYFUNCTION("GOOGLETRANSLATE(A3838, ""zh"", ""en"")"),"Rural assistance")</f>
        <v>Rural assistance</v>
      </c>
      <c r="C3838" s="1" t="str">
        <f ca="1">IFERROR(__xludf.DUMMYFUNCTION("GOOGLETRANSLATE(E3838, ""zh"", ""en"")"),"Quantitative Text")</f>
        <v>Quantitative Text</v>
      </c>
    </row>
    <row r="3839" spans="1:3" ht="13" x14ac:dyDescent="0.15">
      <c r="A3839" s="1" t="str">
        <f ca="1">IFERROR(__xludf.DUMMYFUNCTION("GOOGLETRANSLATE(A3839, ""zh"", ""en"")"),"Enhance the supply capacity of clean energy products and services; leverage the advantages of a comprehensive sales network to layout the entire hydrogen energy industry chain; promote hydrogen refueling business; accelerate the construction of hydrogen s"&amp;"upply centers, hydrogen refueling stations, charging and swapping stations; and accelerate the transformation and development into a comprehensive energy service provider of oil, gas, hydrogen and electricity services.")</f>
        <v>Enhance the supply capacity of clean energy products and services; leverage the advantages of a comprehensive sales network to layout the entire hydrogen energy industry chain; promote hydrogen refueling business; accelerate the construction of hydrogen supply centers, hydrogen refueling stations, charging and swapping stations; and accelerate the transformation and development into a comprehensive energy service provider of oil, gas, hydrogen and electricity services.</v>
      </c>
      <c r="B3839" s="1" t="str">
        <f ca="1">IFERROR(__xludf.DUMMYFUNCTION("GOOGLETRANSLATE(A3839, ""zh"", ""en"")"),"Energy and resource consumption")</f>
        <v>Energy and resource consumption</v>
      </c>
      <c r="C3839" s="1" t="str">
        <f ca="1">IFERROR(__xludf.DUMMYFUNCTION("GOOGLETRANSLATE(E3839, ""zh"", ""en"")"),"Qualitative text")</f>
        <v>Qualitative text</v>
      </c>
    </row>
    <row r="3840" spans="1:3" ht="13" x14ac:dyDescent="0.15">
      <c r="A3840" s="1" t="str">
        <f ca="1">IFERROR(__xludf.DUMMYFUNCTION("GOOGLETRANSLATE(A3840, ""zh"", ""en"")"),"As one of the three pilot banks, the Bank participated in the People's Bank of China's climate risk stress testing pilot in 2021 and 2022, and helped develop a climate risk stress testing template for the banking industry in thermal power, petrochemical, "&amp;"aviation, and other industries.")</f>
        <v>As one of the three pilot banks, the Bank participated in the People's Bank of China's climate risk stress testing pilot in 2021 and 2022, and helped develop a climate risk stress testing template for the banking industry in thermal power, petrochemical, aviation, and other industries.</v>
      </c>
      <c r="B3840" s="1" t="str">
        <f ca="1">IFERROR(__xludf.DUMMYFUNCTION("GOOGLETRANSLATE(A3840, ""zh"", ""en"")"),"Addressing climate change")</f>
        <v>Addressing climate change</v>
      </c>
      <c r="C3840" s="1" t="str">
        <f ca="1">IFERROR(__xludf.DUMMYFUNCTION("GOOGLETRANSLATE(E3840, ""zh"", ""en"")"),"Qualitative text")</f>
        <v>Qualitative text</v>
      </c>
    </row>
    <row r="3841" spans="1:3" ht="13" x14ac:dyDescent="0.15">
      <c r="A3841" s="1" t="str">
        <f ca="1">IFERROR(__xludf.DUMMYFUNCTION("GOOGLETRANSLATE(A3841, ""zh"", ""en"")"),"In April 2022, on the occasion of the traditional Children's Day in Mexico, volunteers from COSL Mexico (hereinafter referred to as the Mexico Company) visited the San Pedro Pescado Orphanage in Playa del Carmen to visit and comfort the children in the or"&amp;"phanage.")</f>
        <v>In April 2022, on the occasion of the traditional Children's Day in Mexico, volunteers from COSL Mexico (hereinafter referred to as the Mexico Company) visited the San Pedro Pescado Orphanage in Playa del Carmen to visit and comfort the children in the orphanage.</v>
      </c>
      <c r="B3841" s="1" t="str">
        <f ca="1">IFERROR(__xludf.DUMMYFUNCTION("GOOGLETRANSLATE(A3841, ""zh"", ""en"")"),"Public welfare and volunteer service")</f>
        <v>Public welfare and volunteer service</v>
      </c>
      <c r="C3841" s="1" t="str">
        <f ca="1">IFERROR(__xludf.DUMMYFUNCTION("GOOGLETRANSLATE(E3841, ""zh"", ""en"")"),"Qualitative text")</f>
        <v>Qualitative text</v>
      </c>
    </row>
    <row r="3842" spans="1:3" ht="13" x14ac:dyDescent="0.15">
      <c r="A3842" s="1" t="str">
        <f ca="1">IFERROR(__xludf.DUMMYFUNCTION("GOOGLETRANSLATE(A3842, ""zh"", ""en"")"),"Compile two lists: a list of compliance responsibilities for key positions and a list of compliance controls for key business processes. Add compliance risk identification and compliance review requirements to the comprehensive risk management matrix and "&amp;"compile compliance manuals for business and functional departments.")</f>
        <v>Compile two lists: a list of compliance responsibilities for key positions and a list of compliance controls for key business processes. Add compliance risk identification and compliance review requirements to the comprehensive risk management matrix and compile compliance manuals for business and functional departments.</v>
      </c>
      <c r="B3842" s="1" t="str">
        <f ca="1">IFERROR(__xludf.DUMMYFUNCTION("GOOGLETRANSLATE(A3842, ""zh"", ""en"")"),"Legal proceedings and external sanctions")</f>
        <v>Legal proceedings and external sanctions</v>
      </c>
      <c r="C3842" s="1" t="str">
        <f ca="1">IFERROR(__xludf.DUMMYFUNCTION("GOOGLETRANSLATE(E3842, ""zh"", ""en"")"),"Qualitative text")</f>
        <v>Qualitative text</v>
      </c>
    </row>
    <row r="3843" spans="1:3" ht="13" x14ac:dyDescent="0.15">
      <c r="A3843" s="1" t="str">
        <f ca="1">IFERROR(__xludf.DUMMYFUNCTION("GOOGLETRANSLATE(A3843, ""zh"", ""en"")"),"In 2022, the company conducted a mental health assessment for all employees covering 29 dimensions including depression, anxiety, obsessive-compulsive symptoms, and phobia. 21,108 people completed the assessment. Employees' thoughts, emotions, and behavio"&amp;"rs were relatively stable, and their mental health was better than the national average.")</f>
        <v>In 2022, the company conducted a mental health assessment for all employees covering 29 dimensions including depression, anxiety, obsessive-compulsive symptoms, and phobia. 21,108 people completed the assessment. Employees' thoughts, emotions, and behaviors were relatively stable, and their mental health was better than the national average.</v>
      </c>
      <c r="B3843" s="1" t="str">
        <f ca="1">IFERROR(__xludf.DUMMYFUNCTION("GOOGLETRANSLATE(A3843, ""zh"", ""en"")"),"staff")</f>
        <v>staff</v>
      </c>
      <c r="C3843" s="1" t="str">
        <f ca="1">IFERROR(__xludf.DUMMYFUNCTION("GOOGLETRANSLATE(E3843, ""zh"", ""en"")"),"Quantitative Text")</f>
        <v>Quantitative Text</v>
      </c>
    </row>
    <row r="3844" spans="1:3" ht="13" x14ac:dyDescent="0.15">
      <c r="A3844" s="1" t="str">
        <f ca="1">IFERROR(__xludf.DUMMYFUNCTION("GOOGLETRANSLATE(A3844, ""zh"", ""en"")"),"In order to avoid the solid waste generated during the production process from polluting the environment, the company has specially formulated waste material recycling management measures for the solid waste generated, and will classify all solid waste an"&amp;"d select professionally qualified renewable resource recycling companies to participate in the bidding and recycling.")</f>
        <v>In order to avoid the solid waste generated during the production process from polluting the environment, the company has specially formulated waste material recycling management measures for the solid waste generated, and will classify all solid waste and select professionally qualified renewable resource recycling companies to participate in the bidding and recycling.</v>
      </c>
      <c r="B3844" s="1" t="str">
        <f ca="1">IFERROR(__xludf.DUMMYFUNCTION("GOOGLETRANSLATE(A3844, ""zh"", ""en"")"),"Waste Management")</f>
        <v>Waste Management</v>
      </c>
      <c r="C3844" s="1" t="str">
        <f ca="1">IFERROR(__xludf.DUMMYFUNCTION("GOOGLETRANSLATE(E3844, ""zh"", ""en"")"),"Qualitative text")</f>
        <v>Qualitative text</v>
      </c>
    </row>
    <row r="3845" spans="1:3" ht="13" x14ac:dyDescent="0.15">
      <c r="A3845" s="1" t="str">
        <f ca="1">IFERROR(__xludf.DUMMYFUNCTION("GOOGLETRANSLATE(A3845, ""zh"", ""en"")"),"Won the CES2023 Innovation Award On January 6, 2023, at CES Shanghai, ULEDX's new reference-level imaging product 110UX won the CES2023 Innovation Award from the Consumer Technology Association (CTA).")</f>
        <v>Won the CES2023 Innovation Award On January 6, 2023, at CES Shanghai, ULEDX's new reference-level imaging product 110UX won the CES2023 Innovation Award from the Consumer Technology Association (CTA).</v>
      </c>
      <c r="B3845" s="1" t="str">
        <f ca="1">IFERROR(__xludf.DUMMYFUNCTION("GOOGLETRANSLATE(A3845, ""zh"", ""en"")"),"Technological innovation")</f>
        <v>Technological innovation</v>
      </c>
      <c r="C3845" s="1" t="str">
        <f ca="1">IFERROR(__xludf.DUMMYFUNCTION("GOOGLETRANSLATE(E3845, ""zh"", ""en"")"),"Quantitative Text")</f>
        <v>Quantitative Text</v>
      </c>
    </row>
    <row r="3846" spans="1:3" ht="13" x14ac:dyDescent="0.15">
      <c r="A3846" s="1" t="str">
        <f ca="1">IFERROR(__xludf.DUMMYFUNCTION("GOOGLETRANSLATE(A3846, ""zh"", ""en"")"),"The organizational structure has been upgraded to establish a more efficient, flat, dynamic and competitive talent development channel. In 2022, the company completed the update and iteration of the position and rank system to provide employees with diver"&amp;"se career development paths and continuously motivate employees to improve their job capabilities.")</f>
        <v>The organizational structure has been upgraded to establish a more efficient, flat, dynamic and competitive talent development channel. In 2022, the company completed the update and iteration of the position and rank system to provide employees with diverse career development paths and continuously motivate employees to improve their job capabilities.</v>
      </c>
      <c r="B3846" s="1" t="str">
        <f ca="1">IFERROR(__xludf.DUMMYFUNCTION("GOOGLETRANSLATE(A3846, ""zh"", ""en"")"),"staff")</f>
        <v>staff</v>
      </c>
      <c r="C3846" s="1" t="str">
        <f ca="1">IFERROR(__xludf.DUMMYFUNCTION("GOOGLETRANSLATE(E3846, ""zh"", ""en"")"),"Qualitative text")</f>
        <v>Qualitative text</v>
      </c>
    </row>
    <row r="3847" spans="1:3" ht="13" x14ac:dyDescent="0.15">
      <c r="A3847" s="1" t="str">
        <f ca="1">IFERROR(__xludf.DUMMYFUNCTION("GOOGLETRANSLATE(A3847, ""zh"", ""en"")"),"Each subsidiary has formulated an emergency plan for environmental incidents and initiated response measures based on the environmental risk level. Through employee training and drills, we ensure that emergencies can be handled quickly, orderly and effect"&amp;"ively to minimize the risk of environmental pollution.")</f>
        <v>Each subsidiary has formulated an emergency plan for environmental incidents and initiated response measures based on the environmental risk level. Through employee training and drills, we ensure that emergencies can be handled quickly, orderly and effectively to minimize the risk of environmental pollution.</v>
      </c>
      <c r="B3847" s="1" t="str">
        <f ca="1">IFERROR(__xludf.DUMMYFUNCTION("GOOGLETRANSLATE(A3847, ""zh"", ""en"")"),"Environmental Policy")</f>
        <v>Environmental Policy</v>
      </c>
      <c r="C3847" s="1" t="str">
        <f ca="1">IFERROR(__xludf.DUMMYFUNCTION("GOOGLETRANSLATE(E3847, ""zh"", ""en"")"),"Qualitative text")</f>
        <v>Qualitative text</v>
      </c>
    </row>
    <row r="3848" spans="1:3" ht="13" x14ac:dyDescent="0.15">
      <c r="A3848" s="1" t="str">
        <f ca="1">IFERROR(__xludf.DUMMYFUNCTION("GOOGLETRANSLATE(A3848, ""zh"", ""en"")"),"In addition, the Group has incorporated supply chain anti-corruption management into the smart supply chain platform to capture and track corruption, dishonesty, and major operational risk information of all suppliers, and to publish the supplier negative"&amp;" list in real time through the supplier lifecycle platform.")</f>
        <v>In addition, the Group has incorporated supply chain anti-corruption management into the smart supply chain platform to capture and track corruption, dishonesty, and major operational risk information of all suppliers, and to publish the supplier negative list in real time through the supplier lifecycle platform.</v>
      </c>
      <c r="B3848" s="1" t="str">
        <f ca="1">IFERROR(__xludf.DUMMYFUNCTION("GOOGLETRANSLATE(A3848, ""zh"", ""en"")"),"Anti-corruption and anti-money laundering")</f>
        <v>Anti-corruption and anti-money laundering</v>
      </c>
      <c r="C3848" s="1" t="str">
        <f ca="1">IFERROR(__xludf.DUMMYFUNCTION("GOOGLETRANSLATE(E3848, ""zh"", ""en"")"),"Qualitative text")</f>
        <v>Qualitative text</v>
      </c>
    </row>
    <row r="3849" spans="1:3" ht="13" x14ac:dyDescent="0.15">
      <c r="A3849" s="1" t="str">
        <f ca="1">IFERROR(__xludf.DUMMYFUNCTION("GOOGLETRANSLATE(A3849, ""zh"", ""en"")"),"We treat every business partner with integrity, respect and responsibility, fully respect our customers, suppliers, contractors and peers, treat them equally, oppose any form of commercial bribery, and require our partners to comply with the company's int"&amp;"egrity risk prevention and control policies.")</f>
        <v>We treat every business partner with integrity, respect and responsibility, fully respect our customers, suppliers, contractors and peers, treat them equally, oppose any form of commercial bribery, and require our partners to comply with the company's integrity risk prevention and control policies.</v>
      </c>
      <c r="B3849" s="1" t="str">
        <f ca="1">IFERROR(__xludf.DUMMYFUNCTION("GOOGLETRANSLATE(A3849, ""zh"", ""en"")"),"Anti-corruption and anti-money laundering")</f>
        <v>Anti-corruption and anti-money laundering</v>
      </c>
      <c r="C3849" s="1" t="str">
        <f ca="1">IFERROR(__xludf.DUMMYFUNCTION("GOOGLETRANSLATE(E3849, ""zh"", ""en"")"),"Qualitative text")</f>
        <v>Qualitative text</v>
      </c>
    </row>
    <row r="3850" spans="1:3" ht="13" x14ac:dyDescent="0.15">
      <c r="A3850" s="1" t="str">
        <f ca="1">IFERROR(__xludf.DUMMYFUNCTION("GOOGLETRANSLATE(A3850, ""zh"", ""en"")"),"In addition, the company also provides supplementary commercial insurance for all employees. In 2022, the coverage content has been expanded to include term life insurance and traffic accident insurance on the basis of the original accident injury and sup"&amp;"plementary medical care, providing more comprehensive additional protection for employees to work with peace of mind.")</f>
        <v>In addition, the company also provides supplementary commercial insurance for all employees. In 2022, the coverage content has been expanded to include term life insurance and traffic accident insurance on the basis of the original accident injury and supplementary medical care, providing more comprehensive additional protection for employees to work with peace of mind.</v>
      </c>
      <c r="B3850" s="1" t="str">
        <f ca="1">IFERROR(__xludf.DUMMYFUNCTION("GOOGLETRANSLATE(A3850, ""zh"", ""en"")"),"staff")</f>
        <v>staff</v>
      </c>
      <c r="C3850" s="1" t="str">
        <f ca="1">IFERROR(__xludf.DUMMYFUNCTION("GOOGLETRANSLATE(E3850, ""zh"", ""en"")"),"Qualitative text")</f>
        <v>Qualitative text</v>
      </c>
    </row>
    <row r="3851" spans="1:3" ht="13" x14ac:dyDescent="0.15">
      <c r="A3851" s="1" t="str">
        <f ca="1">IFERROR(__xludf.DUMMYFUNCTION("GOOGLETRANSLATE(A3851, ""zh"", ""en"")"),"Always put the safety and physical and mental health of employees first, accelerate the construction of a healthy and safe enterprise, protect the rights and interests of employees, promote employee development, strive to improve the production and living"&amp;" conditions of employees, and benefit all employees and the general public with the results of enterprise development.")</f>
        <v>Always put the safety and physical and mental health of employees first, accelerate the construction of a healthy and safe enterprise, protect the rights and interests of employees, promote employee development, strive to improve the production and living conditions of employees, and benefit all employees and the general public with the results of enterprise development.</v>
      </c>
      <c r="B3851" s="1" t="str">
        <f ca="1">IFERROR(__xludf.DUMMYFUNCTION("GOOGLETRANSLATE(A3851, ""zh"", ""en"")"),"staff")</f>
        <v>staff</v>
      </c>
      <c r="C3851" s="1" t="str">
        <f ca="1">IFERROR(__xludf.DUMMYFUNCTION("GOOGLETRANSLATE(E3851, ""zh"", ""en"")"),"Qualitative text")</f>
        <v>Qualitative text</v>
      </c>
    </row>
    <row r="3852" spans="1:3" ht="13" x14ac:dyDescent="0.15">
      <c r="A3852" s="1" t="str">
        <f ca="1">IFERROR(__xludf.DUMMYFUNCTION("GOOGLETRANSLATE(A3852, ""zh"", ""en"")"),"This signing marks a global innovative collaboration between Shanghai Electric and Bentley in the industrial metaverse, focusing on the development, construction, and operation of digital and intelligent application platforms in infrastructure sectors suc"&amp;"h as energy and industrial sectors.")</f>
        <v>This signing marks a global innovative collaboration between Shanghai Electric and Bentley in the industrial metaverse, focusing on the development, construction, and operation of digital and intelligent application platforms in infrastructure sectors such as energy and industrial sectors.</v>
      </c>
      <c r="B3852" s="1" t="str">
        <f ca="1">IFERROR(__xludf.DUMMYFUNCTION("GOOGLETRANSLATE(A3852, ""zh"", ""en"")"),"Technological innovation")</f>
        <v>Technological innovation</v>
      </c>
      <c r="C3852" s="1" t="str">
        <f ca="1">IFERROR(__xludf.DUMMYFUNCTION("GOOGLETRANSLATE(E3852, ""zh"", ""en"")"),"Qualitative text")</f>
        <v>Qualitative text</v>
      </c>
    </row>
    <row r="3853" spans="1:3" ht="13" x14ac:dyDescent="0.15">
      <c r="A3853" s="1" t="str">
        <f ca="1">IFERROR(__xludf.DUMMYFUNCTION("GOOGLETRANSLATE(A3853, ""zh"", ""en"")"),"The company's personal pension business provides customers with professional and warm pension management services from the perspective of customer life cycle wealth management, including pension account management, pension asset allocation, pension servic"&amp;"es and companionship, to help the majority of residents enjoy a happy retirement.")</f>
        <v>The company's personal pension business provides customers with professional and warm pension management services from the perspective of customer life cycle wealth management, including pension account management, pension asset allocation, pension services and companionship, to help the majority of residents enjoy a happy retirement.</v>
      </c>
      <c r="B3853" s="1" t="str">
        <f ca="1">IFERROR(__xludf.DUMMYFUNCTION("GOOGLETRANSLATE(A3853, ""zh"", ""en"")"),"Customers and Consumers")</f>
        <v>Customers and Consumers</v>
      </c>
      <c r="C3853" s="1" t="str">
        <f ca="1">IFERROR(__xludf.DUMMYFUNCTION("GOOGLETRANSLATE(E3853, ""zh"", ""en"")"),"Qualitative text")</f>
        <v>Qualitative text</v>
      </c>
    </row>
    <row r="3854" spans="1:3" ht="13" x14ac:dyDescent="0.15">
      <c r="A3854" s="1" t="str">
        <f ca="1">IFERROR(__xludf.DUMMYFUNCTION("GOOGLETRANSLATE(A3854, ""zh"", ""en"")"),"The company consciously resists any behavior that disregards or tramples on human rights. It resolutely eliminates discrimination based on nationality, gender, age, race, religion, pregnancy or disability in recruitment, promotion, training and remunerati"&amp;"on, and adheres to the principle of equal consultation, mutual benefit and win-win, working together with employees for common development.")</f>
        <v>The company consciously resists any behavior that disregards or tramples on human rights. It resolutely eliminates discrimination based on nationality, gender, age, race, religion, pregnancy or disability in recruitment, promotion, training and remuneration, and adheres to the principle of equal consultation, mutual benefit and win-win, working together with employees for common development.</v>
      </c>
      <c r="B3854" s="1" t="str">
        <f ca="1">IFERROR(__xludf.DUMMYFUNCTION("GOOGLETRANSLATE(A3854, ""zh"", ""en"")"),"staff")</f>
        <v>staff</v>
      </c>
      <c r="C3854" s="1" t="str">
        <f ca="1">IFERROR(__xludf.DUMMYFUNCTION("GOOGLETRANSLATE(E3854, ""zh"", ""en"")"),"Qualitative text")</f>
        <v>Qualitative text</v>
      </c>
    </row>
    <row r="3855" spans="1:3" ht="13" x14ac:dyDescent="0.15">
      <c r="A3855" s="1" t="str">
        <f ca="1">IFERROR(__xludf.DUMMYFUNCTION("GOOGLETRANSLATE(A3855, ""zh"", ""en"")"),"The company further improves its internal control system in accordance with the requirements of the Basic Standards for Enterprise Internal Control and the relevant supporting guidelines, improves its internal control management system, standardizes its i"&amp;"nternal control operating procedures, enhances its risk prevention capabilities, and protects the safety of its assets.")</f>
        <v>The company further improves its internal control system in accordance with the requirements of the Basic Standards for Enterprise Internal Control and the relevant supporting guidelines, improves its internal control management system, standardizes its internal control operating procedures, enhances its risk prevention capabilities, and protects the safety of its assets.</v>
      </c>
      <c r="B3855" s="1" t="str">
        <f ca="1">IFERROR(__xludf.DUMMYFUNCTION("GOOGLETRANSLATE(A3855, ""zh"", ""en"")"),"Organizational structure and operations")</f>
        <v>Organizational structure and operations</v>
      </c>
      <c r="C3855" s="1" t="str">
        <f ca="1">IFERROR(__xludf.DUMMYFUNCTION("GOOGLETRANSLATE(E3855, ""zh"", ""en"")"),"Qualitative text")</f>
        <v>Qualitative text</v>
      </c>
    </row>
    <row r="3856" spans="1:3" ht="13" x14ac:dyDescent="0.15">
      <c r="A3856" s="1" t="str">
        <f ca="1">IFERROR(__xludf.DUMMYFUNCTION("GOOGLETRANSLATE(A3856, ""zh"", ""en"")"),"In 2022, the Shanghai Water Conservation Promotion Center conducted an annual assessment of Shanghai's water conservation management departments and individuals. After comprehensive evaluation, an employee of Shanghai Electric Motor Factory was named the "&amp;"2022 Shanghai Outstanding Water Conservation Worker.")</f>
        <v>In 2022, the Shanghai Water Conservation Promotion Center conducted an annual assessment of Shanghai's water conservation management departments and individuals. After comprehensive evaluation, an employee of Shanghai Electric Motor Factory was named the 2022 Shanghai Outstanding Water Conservation Worker.</v>
      </c>
      <c r="B3856" s="1" t="str">
        <f ca="1">IFERROR(__xludf.DUMMYFUNCTION("GOOGLETRANSLATE(A3856, ""zh"", ""en"")"),"Water resources")</f>
        <v>Water resources</v>
      </c>
      <c r="C3856" s="1" t="str">
        <f ca="1">IFERROR(__xludf.DUMMYFUNCTION("GOOGLETRANSLATE(E3856, ""zh"", ""en"")"),"Quantitative Text")</f>
        <v>Quantitative Text</v>
      </c>
    </row>
    <row r="3857" spans="1:3" ht="13" x14ac:dyDescent="0.15">
      <c r="A3857" s="1" t="str">
        <f ca="1">IFERROR(__xludf.DUMMYFUNCTION("GOOGLETRANSLATE(A3857, ""zh"", ""en"")"),"Short-term, medium-term, long-term; Short-term, medium-term, long-term; Short-term, medium-term, long-term; Fixed assets depreciate; Investment portfolio value decreases; Operating income decreases; Credit risk increases; Strengthen extreme climate disast"&amp;"er risk prevention measures; Conduct emergency rescue capacity training.")</f>
        <v>Short-term, medium-term, long-term; Short-term, medium-term, long-term; Short-term, medium-term, long-term; Fixed assets depreciate; Investment portfolio value decreases; Operating income decreases; Credit risk increases; Strengthen extreme climate disaster risk prevention measures; Conduct emergency rescue capacity training.</v>
      </c>
      <c r="B3857" s="1" t="str">
        <f ca="1">IFERROR(__xludf.DUMMYFUNCTION("GOOGLETRANSLATE(A3857, ""zh"", ""en"")"),"Addressing climate change")</f>
        <v>Addressing climate change</v>
      </c>
      <c r="C3857" s="1" t="str">
        <f ca="1">IFERROR(__xludf.DUMMYFUNCTION("GOOGLETRANSLATE(E3857, ""zh"", ""en"")"),"Qualitative text")</f>
        <v>Qualitative text</v>
      </c>
    </row>
    <row r="3858" spans="1:3" ht="13" x14ac:dyDescent="0.15">
      <c r="A3858" s="1" t="str">
        <f ca="1">IFERROR(__xludf.DUMMYFUNCTION("GOOGLETRANSLATE(A3858, ""zh"", ""en"")"),"Actively fulfill the relevant requirements of the Social Insurance Law of the People's Republic of China, pay various social insurance premiums for employees on time and in full, improve the enterprise annuity and enterprise supplementary medical insuranc"&amp;"e system, improve the production and living conditions of front-line employees, and safeguard the vital interests of employees.")</f>
        <v>Actively fulfill the relevant requirements of the Social Insurance Law of the People's Republic of China, pay various social insurance premiums for employees on time and in full, improve the enterprise annuity and enterprise supplementary medical insurance system, improve the production and living conditions of front-line employees, and safeguard the vital interests of employees.</v>
      </c>
      <c r="B3858" s="1" t="str">
        <f ca="1">IFERROR(__xludf.DUMMYFUNCTION("GOOGLETRANSLATE(A3858, ""zh"", ""en"")"),"staff")</f>
        <v>staff</v>
      </c>
      <c r="C3858" s="1" t="str">
        <f ca="1">IFERROR(__xludf.DUMMYFUNCTION("GOOGLETRANSLATE(E3858, ""zh"", ""en"")"),"Qualitative text")</f>
        <v>Qualitative text</v>
      </c>
    </row>
    <row r="3859" spans="1:3" ht="13" x14ac:dyDescent="0.15">
      <c r="A3859" s="1" t="str">
        <f ca="1">IFERROR(__xludf.DUMMYFUNCTION("GOOGLETRANSLATE(A3859, ""zh"", ""en"")"),"The project established a groundwater monitoring network, regularly measured and assessed changes in groundwater levels and water quality, and compiled a Groundwater Impact Report (UWIR). UWIRs proactively disclosed the status of groundwater resources to "&amp;"landowners, governments, environmental organizations, and other stakeholders.")</f>
        <v>The project established a groundwater monitoring network, regularly measured and assessed changes in groundwater levels and water quality, and compiled a Groundwater Impact Report (UWIR). UWIRs proactively disclosed the status of groundwater resources to landowners, governments, environmental organizations, and other stakeholders.</v>
      </c>
      <c r="B3859" s="1" t="str">
        <f ca="1">IFERROR(__xludf.DUMMYFUNCTION("GOOGLETRANSLATE(A3859, ""zh"", ""en"")"),"Water resources")</f>
        <v>Water resources</v>
      </c>
      <c r="C3859" s="1" t="str">
        <f ca="1">IFERROR(__xludf.DUMMYFUNCTION("GOOGLETRANSLATE(E3859, ""zh"", ""en"")"),"Qualitative text")</f>
        <v>Qualitative text</v>
      </c>
    </row>
    <row r="3860" spans="1:3" ht="13" x14ac:dyDescent="0.15">
      <c r="A3860" s="1" t="str">
        <f ca="1">IFERROR(__xludf.DUMMYFUNCTION("GOOGLETRANSLATE(A3860, ""zh"", ""en"")"),"New employees disclosed in the China Construction Bank Social Responsibility Report refer to the full-time employees of China Construction Bank (excluding domestic and overseas subsidiaries) who signed labor contracts with China Construction Bank in 2022 "&amp;"as of the end of the reporting period.")</f>
        <v>New employees disclosed in the China Construction Bank Social Responsibility Report refer to the full-time employees of China Construction Bank (excluding domestic and overseas subsidiaries) who signed labor contracts with China Construction Bank in 2022 as of the end of the reporting period.</v>
      </c>
      <c r="B3860" s="1" t="str">
        <f ca="1">IFERROR(__xludf.DUMMYFUNCTION("GOOGLETRANSLATE(A3860, ""zh"", ""en"")"),"staff")</f>
        <v>staff</v>
      </c>
      <c r="C3860" s="1" t="str">
        <f ca="1">IFERROR(__xludf.DUMMYFUNCTION("GOOGLETRANSLATE(E3860, ""zh"", ""en"")"),"Quantitative Text")</f>
        <v>Quantitative Text</v>
      </c>
    </row>
    <row r="3861" spans="1:3" ht="13" x14ac:dyDescent="0.15">
      <c r="A3861" s="1" t="str">
        <f ca="1">IFERROR(__xludf.DUMMYFUNCTION("GOOGLETRANSLATE(A3861, ""zh"", ""en"")"),"5.2 Mutual Promotion of Talent Development B2 Health and Safety General Disclosure Information on a) Policies on providing a safe working environment and protecting employees from occupational hazards and b) Compliance with relevant laws and regulations t"&amp;"hat have a significant impact on the issuer")</f>
        <v>5.2 Mutual Promotion of Talent Development B2 Health and Safety General Disclosure Information on a) Policies on providing a safe working environment and protecting employees from occupational hazards and b) Compliance with relevant laws and regulations that have a significant impact on the issuer</v>
      </c>
      <c r="B3861" s="1" t="str">
        <f ca="1">IFERROR(__xludf.DUMMYFUNCTION("GOOGLETRANSLATE(A3861, ""zh"", ""en"")"),"staff")</f>
        <v>staff</v>
      </c>
      <c r="C3861" s="1" t="str">
        <f ca="1">IFERROR(__xludf.DUMMYFUNCTION("GOOGLETRANSLATE(E3861, ""zh"", ""en"")"),"Qualitative text")</f>
        <v>Qualitative text</v>
      </c>
    </row>
    <row r="3862" spans="1:3" ht="13" x14ac:dyDescent="0.15">
      <c r="A3862" s="1" t="str">
        <f ca="1">IFERROR(__xludf.DUMMYFUNCTION("GOOGLETRANSLATE(A3862, ""zh"", ""en"")"),"The total number of employees disclosed in the China Construction Bank's Social Responsibility Report refers to the full-time employees of China Construction Bank as of the end of the reporting period, excluding those of its domestic and overseas subsidia"&amp;"ries who have signed labor contracts with China Construction Bank.")</f>
        <v>The total number of employees disclosed in the China Construction Bank's Social Responsibility Report refers to the full-time employees of China Construction Bank as of the end of the reporting period, excluding those of its domestic and overseas subsidiaries who have signed labor contracts with China Construction Bank.</v>
      </c>
      <c r="B3862" s="1" t="str">
        <f ca="1">IFERROR(__xludf.DUMMYFUNCTION("GOOGLETRANSLATE(A3862, ""zh"", ""en"")"),"staff")</f>
        <v>staff</v>
      </c>
      <c r="C3862" s="1" t="str">
        <f ca="1">IFERROR(__xludf.DUMMYFUNCTION("GOOGLETRANSLATE(E3862, ""zh"", ""en"")"),"Qualitative text")</f>
        <v>Qualitative text</v>
      </c>
    </row>
    <row r="3863" spans="1:3" ht="13" x14ac:dyDescent="0.15">
      <c r="A3863" s="1" t="str">
        <f ca="1">IFERROR(__xludf.DUMMYFUNCTION("GOOGLETRANSLATE(A3863, ""zh"", ""en"")"),"The company continues to carry out investigation and treatment of ecological and environmental hazards in key areas, implements hierarchical and classified management of hazards in accordance with the implementation specifications for investigation and tr"&amp;"eatment of ecological and environmental hazards, formulates rectification measures for each item, and continuously improves the work mechanism for investigation and treatment of ecological and environmental hazards.")</f>
        <v>The company continues to carry out investigation and treatment of ecological and environmental hazards in key areas, implements hierarchical and classified management of hazards in accordance with the implementation specifications for investigation and treatment of ecological and environmental hazards, formulates rectification measures for each item, and continuously improves the work mechanism for investigation and treatment of ecological and environmental hazards.</v>
      </c>
      <c r="B3863" s="1" t="str">
        <f ca="1">IFERROR(__xludf.DUMMYFUNCTION("GOOGLETRANSLATE(A3863, ""zh"", ""en"")"),"Environmental Policy")</f>
        <v>Environmental Policy</v>
      </c>
      <c r="C3863" s="1" t="str">
        <f ca="1">IFERROR(__xludf.DUMMYFUNCTION("GOOGLETRANSLATE(E3863, ""zh"", ""en"")"),"Qualitative text")</f>
        <v>Qualitative text</v>
      </c>
    </row>
    <row r="3864" spans="1:3" ht="13" x14ac:dyDescent="0.15">
      <c r="A3864" s="1" t="str">
        <f ca="1">IFERROR(__xludf.DUMMYFUNCTION("GOOGLETRANSLATE(A3864, ""zh"", ""en"")"),"We actively cooperate with various universities to carry out talent cultivation projects for key national industries in short supply and outstanding engineers of the Organization Department of the CPC Central Committee. We have signed cooperation agreemen"&amp;"ts with Shanghai Jiaotong University, Huazhong University of Science and Technology, East China University of Science and Technology, etc. Currently, 32 people have been included in the training plan.")</f>
        <v>We actively cooperate with various universities to carry out talent cultivation projects for key national industries in short supply and outstanding engineers of the Organization Department of the CPC Central Committee. We have signed cooperation agreements with Shanghai Jiaotong University, Huazhong University of Science and Technology, East China University of Science and Technology, etc. Currently, 32 people have been included in the training plan.</v>
      </c>
      <c r="B3864" s="1" t="str">
        <f ca="1">IFERROR(__xludf.DUMMYFUNCTION("GOOGLETRANSLATE(A3864, ""zh"", ""en"")"),"Promoting employment")</f>
        <v>Promoting employment</v>
      </c>
      <c r="C3864" s="1" t="str">
        <f ca="1">IFERROR(__xludf.DUMMYFUNCTION("GOOGLETRANSLATE(E3864, ""zh"", ""en"")"),"Quantitative Text")</f>
        <v>Quantitative Text</v>
      </c>
    </row>
    <row r="3865" spans="1:3" ht="13" x14ac:dyDescent="0.15">
      <c r="A3865" s="1" t="str">
        <f ca="1">IFERROR(__xludf.DUMMYFUNCTION("GOOGLETRANSLATE(A3865, ""zh"", ""en"")"),"Every year, the company purchases sweet potato vermicelli for the villages it supports as a welfare benefit for employees. Over the past six years, it has purchased a total of 1,000 vermicelli cases. Shenma Curtain Fabric launched the ""Sowing Hope"" week"&amp;"end class, a targeted volunteer support activity with significant results, raising over 3 million yuan to help build beautiful villages.")</f>
        <v>Every year, the company purchases sweet potato vermicelli for the villages it supports as a welfare benefit for employees. Over the past six years, it has purchased a total of 1,000 vermicelli cases. Shenma Curtain Fabric launched the "Sowing Hope" weekend class, a targeted volunteer support activity with significant results, raising over 3 million yuan to help build beautiful villages.</v>
      </c>
      <c r="B3865" s="1" t="str">
        <f ca="1">IFERROR(__xludf.DUMMYFUNCTION("GOOGLETRANSLATE(A3865, ""zh"", ""en"")"),"Rural assistance")</f>
        <v>Rural assistance</v>
      </c>
      <c r="C3865" s="1" t="str">
        <f ca="1">IFERROR(__xludf.DUMMYFUNCTION("GOOGLETRANSLATE(E3865, ""zh"", ""en"")"),"Quantitative Text")</f>
        <v>Quantitative Text</v>
      </c>
    </row>
    <row r="3866" spans="1:3" ht="13" x14ac:dyDescent="0.15">
      <c r="A3866" s="1" t="str">
        <f ca="1">IFERROR(__xludf.DUMMYFUNCTION("GOOGLETRANSLATE(A3866, ""zh"", ""en"")"),"As a pilot unit of Hangzhou's social evaluation organization, the Industrial Company carries out skill level certification for wire and cable manufacturers. The Logistics Company, the Industrial Company, the 0552 International College, professional traini"&amp;"ng institutions, and public resources meet the diverse needs of employees.")</f>
        <v>As a pilot unit of Hangzhou's social evaluation organization, the Industrial Company carries out skill level certification for wire and cable manufacturers. The Logistics Company, the Industrial Company, the 0552 International College, professional training institutions, and public resources meet the diverse needs of employees.</v>
      </c>
      <c r="B3866" s="1" t="str">
        <f ca="1">IFERROR(__xludf.DUMMYFUNCTION("GOOGLETRANSLATE(A3866, ""zh"", ""en"")"),"staff")</f>
        <v>staff</v>
      </c>
      <c r="C3866" s="1" t="str">
        <f ca="1">IFERROR(__xludf.DUMMYFUNCTION("GOOGLETRANSLATE(E3866, ""zh"", ""en"")"),"Qualitative text")</f>
        <v>Qualitative text</v>
      </c>
    </row>
    <row r="3867" spans="1:3" ht="13" x14ac:dyDescent="0.15">
      <c r="A3867" s="1" t="str">
        <f ca="1">IFERROR(__xludf.DUMMYFUNCTION("GOOGLETRANSLATE(A3867, ""zh"", ""en"")"),"Combined with the special research, we organized and carried out the Yunduo Plan and Yunfan Plan special training courses, using on-site teaching, online learning, practical simulation, and thematic teaching, corporate tours and action learning methods to"&amp;" carry out learning and produce 10 research results to contribute ideas and suggestions for promoting the company's development.")</f>
        <v>Combined with the special research, we organized and carried out the Yunduo Plan and Yunfan Plan special training courses, using on-site teaching, online learning, practical simulation, and thematic teaching, corporate tours and action learning methods to carry out learning and produce 10 research results to contribute ideas and suggestions for promoting the company's development.</v>
      </c>
      <c r="B3867" s="1" t="str">
        <f ca="1">IFERROR(__xludf.DUMMYFUNCTION("GOOGLETRANSLATE(A3867, ""zh"", ""en"")"),"Technological innovation")</f>
        <v>Technological innovation</v>
      </c>
      <c r="C3867" s="1" t="str">
        <f ca="1">IFERROR(__xludf.DUMMYFUNCTION("GOOGLETRANSLATE(E3867, ""zh"", ""en"")"),"Quantitative Text")</f>
        <v>Quantitative Text</v>
      </c>
    </row>
    <row r="3868" spans="1:3" ht="13" x14ac:dyDescent="0.15">
      <c r="A3868" s="1" t="str">
        <f ca="1">IFERROR(__xludf.DUMMYFUNCTION("GOOGLETRANSLATE(A3868, ""zh"", ""en"")"),"We will fully promote the implementation of the Group's digital safety management and control platform, comprehensively collect human, machine, material, and environmental management information, dynamically present the risk situation and safety performan"&amp;"ce of the Group's industrial sectors and physical enterprises, and build a digital and intelligent system for the Group's safety risk management and control.")</f>
        <v>We will fully promote the implementation of the Group's digital safety management and control platform, comprehensively collect human, machine, material, and environmental management information, dynamically present the risk situation and safety performance of the Group's industrial sectors and physical enterprises, and build a digital and intelligent system for the Group's safety risk management and control.</v>
      </c>
      <c r="B3868" s="1" t="str">
        <f ca="1">IFERROR(__xludf.DUMMYFUNCTION("GOOGLETRANSLATE(A3868, ""zh"", ""en"")"),"Data security")</f>
        <v>Data security</v>
      </c>
      <c r="C3868" s="1" t="str">
        <f ca="1">IFERROR(__xludf.DUMMYFUNCTION("GOOGLETRANSLATE(E3868, ""zh"", ""en"")"),"Qualitative text")</f>
        <v>Qualitative text</v>
      </c>
    </row>
    <row r="3869" spans="1:3" ht="13" x14ac:dyDescent="0.15">
      <c r="A3869" s="1" t="str">
        <f ca="1">IFERROR(__xludf.DUMMYFUNCTION("GOOGLETRANSLATE(A3869, ""zh"", ""en"")"),"The company hired a professional third-party company to give a detailed explanation of the new safety production law. In addition to on-site guidance on the use of fire extinguishers and water hoses, the company also conducted drills on cardiopulmonary re"&amp;"suscitation and other treatments, allowing employees to take turns practicing to improve their on-site emergency response capabilities.")</f>
        <v>The company hired a professional third-party company to give a detailed explanation of the new safety production law. In addition to on-site guidance on the use of fire extinguishers and water hoses, the company also conducted drills on cardiopulmonary resuscitation and other treatments, allowing employees to take turns practicing to improve their on-site emergency response capabilities.</v>
      </c>
      <c r="B3869" s="1" t="str">
        <f ca="1">IFERROR(__xludf.DUMMYFUNCTION("GOOGLETRANSLATE(A3869, ""zh"", ""en"")"),"staff")</f>
        <v>staff</v>
      </c>
      <c r="C3869" s="1" t="str">
        <f ca="1">IFERROR(__xludf.DUMMYFUNCTION("GOOGLETRANSLATE(E3869, ""zh"", ""en"")"),"Qualitative text")</f>
        <v>Qualitative text</v>
      </c>
    </row>
    <row r="3870" spans="1:3" ht="13" x14ac:dyDescent="0.15">
      <c r="A3870" s="1" t="str">
        <f ca="1">IFERROR(__xludf.DUMMYFUNCTION("GOOGLETRANSLATE(A3870, ""zh"", ""en"")"),"Organize and carry out the 2022 Wuchan Zhongda Cultural Festival series of activities to enrich the cultural life of employees, hold the first corporate culture micro-video competition, online running challenge, the third employee badminton competition, e"&amp;"mployee calligraphy and painting training courses and other large-scale cultural and sports activities.")</f>
        <v>Organize and carry out the 2022 Wuchan Zhongda Cultural Festival series of activities to enrich the cultural life of employees, hold the first corporate culture micro-video competition, online running challenge, the third employee badminton competition, employee calligraphy and painting training courses and other large-scale cultural and sports activities.</v>
      </c>
      <c r="B3870" s="1" t="str">
        <f ca="1">IFERROR(__xludf.DUMMYFUNCTION("GOOGLETRANSLATE(A3870, ""zh"", ""en"")"),"staff")</f>
        <v>staff</v>
      </c>
      <c r="C3870" s="1" t="str">
        <f ca="1">IFERROR(__xludf.DUMMYFUNCTION("GOOGLETRANSLATE(E3870, ""zh"", ""en"")"),"Qualitative text")</f>
        <v>Qualitative text</v>
      </c>
    </row>
    <row r="3871" spans="1:3" ht="13" x14ac:dyDescent="0.15">
      <c r="A3871" s="1" t="str">
        <f ca="1">IFERROR(__xludf.DUMMYFUNCTION("GOOGLETRANSLATE(A3871, ""zh"", ""en"")"),"Shanghai Electric strictly controls product quality assessment and conducts assessment and target requirements from aspects such as product grade, quality rate, quality loss rate, major quality incidents, and quality research topics to ensure that we can "&amp;"fully fulfill our quality commitment to customers while concentrating on product development.")</f>
        <v>Shanghai Electric strictly controls product quality assessment and conducts assessment and target requirements from aspects such as product grade, quality rate, quality loss rate, major quality incidents, and quality research topics to ensure that we can fully fulfill our quality commitment to customers while concentrating on product development.</v>
      </c>
      <c r="B3871" s="1" t="str">
        <f ca="1">IFERROR(__xludf.DUMMYFUNCTION("GOOGLETRANSLATE(A3871, ""zh"", ""en"")"),"Product quality")</f>
        <v>Product quality</v>
      </c>
      <c r="C3871" s="1" t="str">
        <f ca="1">IFERROR(__xludf.DUMMYFUNCTION("GOOGLETRANSLATE(E3871, ""zh"", ""en"")"),"Qualitative text")</f>
        <v>Qualitative text</v>
      </c>
    </row>
    <row r="3872" spans="1:3" ht="13" x14ac:dyDescent="0.15">
      <c r="A3872" s="1" t="str">
        <f ca="1">IFERROR(__xludf.DUMMYFUNCTION("GOOGLETRANSLATE(A3872, ""zh"", ""en"")"),"1. Assisting Rural Revitalization: In 2022, the company served poverty-stricken areas, completed one IPO, three refinancings, and raised RMB 11.1 billion. It also issued 30 corporate bonds and rural revitalization bonds for poverty alleviation in poverty-"&amp;"stricken areas, totaling RMB 38.2 billion.")</f>
        <v>1. Assisting Rural Revitalization: In 2022, the company served poverty-stricken areas, completed one IPO, three refinancings, and raised RMB 11.1 billion. It also issued 30 corporate bonds and rural revitalization bonds for poverty alleviation in poverty-stricken areas, totaling RMB 38.2 billion.</v>
      </c>
      <c r="B3872" s="1" t="str">
        <f ca="1">IFERROR(__xludf.DUMMYFUNCTION("GOOGLETRANSLATE(A3872, ""zh"", ""en"")"),"Rural assistance")</f>
        <v>Rural assistance</v>
      </c>
      <c r="C3872" s="1" t="str">
        <f ca="1">IFERROR(__xludf.DUMMYFUNCTION("GOOGLETRANSLATE(E3872, ""zh"", ""en"")"),"Quantitative Text")</f>
        <v>Quantitative Text</v>
      </c>
    </row>
    <row r="3873" spans="1:3" ht="13" x14ac:dyDescent="0.15">
      <c r="A3873" s="1" t="str">
        <f ca="1">IFERROR(__xludf.DUMMYFUNCTION("GOOGLETRANSLATE(A3873, ""zh"", ""en"")"),"Replace the waste gas equipment materials in time. Regularly replace the activated carbon in the high-concentration waste gas activated carbon adsorption device through production suspension and maintenance, and replace the heat storage body ball ring pac"&amp;"king in the regenerative incinerator to ensure the stable operation of the waste gas treatment facilities.")</f>
        <v>Replace the waste gas equipment materials in time. Regularly replace the activated carbon in the high-concentration waste gas activated carbon adsorption device through production suspension and maintenance, and replace the heat storage body ball ring packing in the regenerative incinerator to ensure the stable operation of the waste gas treatment facilities.</v>
      </c>
      <c r="B3873" s="1" t="str">
        <f ca="1">IFERROR(__xludf.DUMMYFUNCTION("GOOGLETRANSLATE(A3873, ""zh"", ""en"")"),"Waste Management")</f>
        <v>Waste Management</v>
      </c>
      <c r="C3873" s="1" t="str">
        <f ca="1">IFERROR(__xludf.DUMMYFUNCTION("GOOGLETRANSLATE(E3873, ""zh"", ""en"")"),"Qualitative text")</f>
        <v>Qualitative text</v>
      </c>
    </row>
    <row r="3874" spans="1:3" ht="13" x14ac:dyDescent="0.15">
      <c r="A3874" s="1" t="str">
        <f ca="1">IFERROR(__xludf.DUMMYFUNCTION("GOOGLETRANSLATE(A3874, ""zh"", ""en"")"),"In job practice, we help fresh graduates quickly integrate into the team and master job skills through mechanisms such as mentoring, rotation and discussion. They also carry out their work under the guidance of their department managers and mentors, layin"&amp;"g a solid foundation for them to independently undertake important work in the future.")</f>
        <v>In job practice, we help fresh graduates quickly integrate into the team and master job skills through mechanisms such as mentoring, rotation and discussion. They also carry out their work under the guidance of their department managers and mentors, laying a solid foundation for them to independently undertake important work in the future.</v>
      </c>
      <c r="B3874" s="1" t="str">
        <f ca="1">IFERROR(__xludf.DUMMYFUNCTION("GOOGLETRANSLATE(A3874, ""zh"", ""en"")"),"staff")</f>
        <v>staff</v>
      </c>
      <c r="C3874" s="1" t="str">
        <f ca="1">IFERROR(__xludf.DUMMYFUNCTION("GOOGLETRANSLATE(E3874, ""zh"", ""en"")"),"Qualitative text")</f>
        <v>Qualitative text</v>
      </c>
    </row>
    <row r="3875" spans="1:3" ht="13" x14ac:dyDescent="0.15">
      <c r="A3875" s="1" t="str">
        <f ca="1">IFERROR(__xludf.DUMMYFUNCTION("GOOGLETRANSLATE(A3875, ""zh"", ""en"")"),"Performance appraisal includes two dimensions: departmental appraisal and employee appraisal. The departmental appraisal dimension mainly includes indicators such as key tasks, lean management, and team building. The employee appraisal dimension includes "&amp;"indicators such as individual performance, employee behavior standards, and work improvement and optimization.")</f>
        <v>Performance appraisal includes two dimensions: departmental appraisal and employee appraisal. The departmental appraisal dimension mainly includes indicators such as key tasks, lean management, and team building. The employee appraisal dimension includes indicators such as individual performance, employee behavior standards, and work improvement and optimization.</v>
      </c>
      <c r="B3875" s="1" t="str">
        <f ca="1">IFERROR(__xludf.DUMMYFUNCTION("GOOGLETRANSLATE(A3875, ""zh"", ""en"")"),"staff")</f>
        <v>staff</v>
      </c>
      <c r="C3875" s="1" t="str">
        <f ca="1">IFERROR(__xludf.DUMMYFUNCTION("GOOGLETRANSLATE(E3875, ""zh"", ""en"")"),"Qualitative text")</f>
        <v>Qualitative text</v>
      </c>
    </row>
    <row r="3876" spans="1:3" ht="13" x14ac:dyDescent="0.15">
      <c r="A3876" s="1" t="str">
        <f ca="1">IFERROR(__xludf.DUMMYFUNCTION("GOOGLETRANSLATE(A3876, ""zh"", ""en"")"),"In 2022, the recombinant novel coronavirus fusion protein vaccine Likang V01, jointly developed by Livzon Biopharma, a subsidiary of the Group, and the Institute of Biophysics, Chinese Academy of Sciences, was approved for emergency use, providing a bette"&amp;"r solution for sequential booster immunization globally.")</f>
        <v>In 2022, the recombinant novel coronavirus fusion protein vaccine Likang V01, jointly developed by Livzon Biopharma, a subsidiary of the Group, and the Institute of Biophysics, Chinese Academy of Sciences, was approved for emergency use, providing a better solution for sequential booster immunization globally.</v>
      </c>
      <c r="B3876" s="1" t="str">
        <f ca="1">IFERROR(__xludf.DUMMYFUNCTION("GOOGLETRANSLATE(A3876, ""zh"", ""en"")"),"Fighting the epidemic")</f>
        <v>Fighting the epidemic</v>
      </c>
      <c r="C3876" s="1" t="str">
        <f ca="1">IFERROR(__xludf.DUMMYFUNCTION("GOOGLETRANSLATE(E3876, ""zh"", ""en"")"),"Qualitative text")</f>
        <v>Qualitative text</v>
      </c>
    </row>
    <row r="3877" spans="1:3" ht="13" x14ac:dyDescent="0.15">
      <c r="A3877" s="1" t="str">
        <f ca="1">IFERROR(__xludf.DUMMYFUNCTION("GOOGLETRANSLATE(A3877, ""zh"", ""en"")"),"The localized procurement of the Rumaila project has boosted the growth of a large number of local small and medium-sized enterprises, of which Etihad Al Basra for Contracting, Trading and Customs (EBCC) is one.")</f>
        <v>The localized procurement of the Rumaila project has boosted the growth of a large number of local small and medium-sized enterprises, of which Etihad Al Basra for Contracting, Trading and Customs (EBCC) is one.</v>
      </c>
      <c r="B3877" s="1" t="str">
        <f ca="1">IFERROR(__xludf.DUMMYFUNCTION("GOOGLETRANSLATE(A3877, ""zh"", ""en"")"),"supply chain management")</f>
        <v>supply chain management</v>
      </c>
      <c r="C3877" s="1" t="str">
        <f ca="1">IFERROR(__xludf.DUMMYFUNCTION("GOOGLETRANSLATE(E3877, ""zh"", ""en"")"),"Qualitative text")</f>
        <v>Qualitative text</v>
      </c>
    </row>
    <row r="3878" spans="1:3" ht="13" x14ac:dyDescent="0.15">
      <c r="A3878" s="1" t="str">
        <f ca="1">IFERROR(__xludf.DUMMYFUNCTION("GOOGLETRANSLATE(A3878, ""zh"", ""en"")"),"2627 Level B6 Product Liability General Disclosure Information on a) Policies and b) Compliance with relevant laws and regulations that have a significant impact on the issuer regarding health and safety, advertising, labelling and privacy matters of prod"&amp;"ucts and services provided, and methods of redress")</f>
        <v>2627 Level B6 Product Liability General Disclosure Information on a) Policies and b) Compliance with relevant laws and regulations that have a significant impact on the issuer regarding health and safety, advertising, labelling and privacy matters of products and services provided, and methods of redress</v>
      </c>
      <c r="B3878" s="1" t="str">
        <f ca="1">IFERROR(__xludf.DUMMYFUNCTION("GOOGLETRANSLATE(A3878, ""zh"", ""en"")"),"Product quality")</f>
        <v>Product quality</v>
      </c>
      <c r="C3878" s="1" t="str">
        <f ca="1">IFERROR(__xludf.DUMMYFUNCTION("GOOGLETRANSLATE(E3878, ""zh"", ""en"")"),"Qualitative text")</f>
        <v>Qualitative text</v>
      </c>
    </row>
    <row r="3879" spans="1:3" ht="13" x14ac:dyDescent="0.15">
      <c r="A3879" s="1" t="str">
        <f ca="1">IFERROR(__xludf.DUMMYFUNCTION("GOOGLETRANSLATE(A3879, ""zh"", ""en"")"),"The recombinant humanized anti-PD1 monoclonal antibody LZM009 for injection, a product under development by Livzon Biopharma, a subsidiary of the Group, can inhibit or activate receptors by targeting regulatory proteins, thereby enhancing immune responses"&amp;" and improving cancer prognosis.")</f>
        <v>The recombinant humanized anti-PD1 monoclonal antibody LZM009 for injection, a product under development by Livzon Biopharma, a subsidiary of the Group, can inhibit or activate receptors by targeting regulatory proteins, thereby enhancing immune responses and improving cancer prognosis.</v>
      </c>
      <c r="B3879" s="1" t="str">
        <f ca="1">IFERROR(__xludf.DUMMYFUNCTION("GOOGLETRANSLATE(A3879, ""zh"", ""en"")"),"Fighting the epidemic")</f>
        <v>Fighting the epidemic</v>
      </c>
      <c r="C3879" s="1" t="str">
        <f ca="1">IFERROR(__xludf.DUMMYFUNCTION("GOOGLETRANSLATE(E3879, ""zh"", ""en"")"),"Qualitative text")</f>
        <v>Qualitative text</v>
      </c>
    </row>
    <row r="3880" spans="1:3" ht="13" x14ac:dyDescent="0.15">
      <c r="A3880" s="1" t="str">
        <f ca="1">IFERROR(__xludf.DUMMYFUNCTION("GOOGLETRANSLATE(A3880, ""zh"", ""en"")"),"Kangyuan Health attaches great importance to the collection and reporting of adverse reactions of its products. It has added QR codes for collecting adverse reactions to product packaging and instructions to provide a convenient channel for customers to f"&amp;"eedback on adverse reactions. It now covers 100% of all drugs held by the group.")</f>
        <v>Kangyuan Health attaches great importance to the collection and reporting of adverse reactions of its products. It has added QR codes for collecting adverse reactions to product packaging and instructions to provide a convenient channel for customers to feedback on adverse reactions. It now covers 100% of all drugs held by the group.</v>
      </c>
      <c r="B3880" s="1" t="str">
        <f ca="1">IFERROR(__xludf.DUMMYFUNCTION("GOOGLETRANSLATE(A3880, ""zh"", ""en"")"),"Product quality")</f>
        <v>Product quality</v>
      </c>
      <c r="C3880" s="1" t="str">
        <f ca="1">IFERROR(__xludf.DUMMYFUNCTION("GOOGLETRANSLATE(E3880, ""zh"", ""en"")"),"Quantitative Text")</f>
        <v>Quantitative Text</v>
      </c>
    </row>
    <row r="3881" spans="1:3" ht="13" x14ac:dyDescent="0.15">
      <c r="A3881" s="1" t="str">
        <f ca="1">IFERROR(__xludf.DUMMYFUNCTION("GOOGLETRANSLATE(A3881, ""zh"", ""en"")"),"At the same time, we actively protect the legitimate rights and interests of whistleblowers. We strictly keep confidential the relevant information and content of whistleblowers according to the system requirements, classify the reporting materials and re"&amp;"cords as confidential and manage them by a dedicated person to ensure that whistleblowers will not suffer retaliation due to the disclosure of their reports.")</f>
        <v>At the same time, we actively protect the legitimate rights and interests of whistleblowers. We strictly keep confidential the relevant information and content of whistleblowers according to the system requirements, classify the reporting materials and records as confidential and manage them by a dedicated person to ensure that whistleblowers will not suffer retaliation due to the disclosure of their reports.</v>
      </c>
      <c r="B3881" s="1" t="str">
        <f ca="1">IFERROR(__xludf.DUMMYFUNCTION("GOOGLETRANSLATE(A3881, ""zh"", ""en"")"),"Reporting System")</f>
        <v>Reporting System</v>
      </c>
      <c r="C3881" s="1" t="str">
        <f ca="1">IFERROR(__xludf.DUMMYFUNCTION("GOOGLETRANSLATE(E3881, ""zh"", ""en"")"),"Qualitative text")</f>
        <v>Qualitative text</v>
      </c>
    </row>
    <row r="3882" spans="1:3" ht="13" x14ac:dyDescent="0.15">
      <c r="A3882" s="1" t="str">
        <f ca="1">IFERROR(__xludf.DUMMYFUNCTION("GOOGLETRANSLATE(A3882, ""zh"", ""en"")"),"We set business ethics requirements for employees in the employee handbook to regulate the behavior of all employees and conduct business ethics culture training for all new employees, including full-time employees, part-time employees and contract employ"&amp;"ees, during their induction training to enhance their awareness of integrity.")</f>
        <v>We set business ethics requirements for employees in the employee handbook to regulate the behavior of all employees and conduct business ethics culture training for all new employees, including full-time employees, part-time employees and contract employees, during their induction training to enhance their awareness of integrity.</v>
      </c>
      <c r="B3882" s="1" t="str">
        <f ca="1">IFERROR(__xludf.DUMMYFUNCTION("GOOGLETRANSLATE(A3882, ""zh"", ""en"")"),"staff")</f>
        <v>staff</v>
      </c>
      <c r="C3882" s="1" t="str">
        <f ca="1">IFERROR(__xludf.DUMMYFUNCTION("GOOGLETRANSLATE(E3882, ""zh"", ""en"")"),"Qualitative text")</f>
        <v>Qualitative text</v>
      </c>
    </row>
    <row r="3883" spans="1:3" ht="13" x14ac:dyDescent="0.15">
      <c r="A3883" s="1" t="str">
        <f ca="1">IFERROR(__xludf.DUMMYFUNCTION("GOOGLETRANSLATE(A3883, ""zh"", ""en"")"),"In addition, Livzon Group regularly publishes information security risk alerts and defense measures through its internal website, such as identification of phishing emails and processing of personal privacy protection, emphasizing the prevention of inform"&amp;"ation security risks in daily work and improving the level of information security protection.")</f>
        <v>In addition, Livzon Group regularly publishes information security risk alerts and defense measures through its internal website, such as identification of phishing emails and processing of personal privacy protection, emphasizing the prevention of information security risks in daily work and improving the level of information security protection.</v>
      </c>
      <c r="B3883" s="1" t="str">
        <f ca="1">IFERROR(__xludf.DUMMYFUNCTION("GOOGLETRANSLATE(A3883, ""zh"", ""en"")"),"Data security")</f>
        <v>Data security</v>
      </c>
      <c r="C3883" s="1" t="str">
        <f ca="1">IFERROR(__xludf.DUMMYFUNCTION("GOOGLETRANSLATE(E3883, ""zh"", ""en"")"),"Qualitative text")</f>
        <v>Qualitative text</v>
      </c>
    </row>
    <row r="3884" spans="1:3" ht="13" x14ac:dyDescent="0.15">
      <c r="A3884" s="1" t="str">
        <f ca="1">IFERROR(__xludf.DUMMYFUNCTION("GOOGLETRANSLATE(A3884, ""zh"", ""en"")"),"Xinyijia has saved over 16 billion yuan in various deposits for small and medium-sized enterprises, issued approximately 70,000 letters of guarantee, and served over 20,000 enterprises. Xinyijia was selected as a model case for public procurement and stat"&amp;"e-owned enterprise procurement by the China Federation of Logistics and Purchasing in 2021.")</f>
        <v>Xinyijia has saved over 16 billion yuan in various deposits for small and medium-sized enterprises, issued approximately 70,000 letters of guarantee, and served over 20,000 enterprises. Xinyijia was selected as a model case for public procurement and state-owned enterprise procurement by the China Federation of Logistics and Purchasing in 2021.</v>
      </c>
      <c r="B3884" s="1" t="str">
        <f ca="1">IFERROR(__xludf.DUMMYFUNCTION("GOOGLETRANSLATE(A3884, ""zh"", ""en"")"),"supply chain management")</f>
        <v>supply chain management</v>
      </c>
      <c r="C3884" s="1" t="str">
        <f ca="1">IFERROR(__xludf.DUMMYFUNCTION("GOOGLETRANSLATE(E3884, ""zh"", ""en"")"),"Quantitative Text")</f>
        <v>Quantitative Text</v>
      </c>
    </row>
    <row r="3885" spans="1:3" ht="13" x14ac:dyDescent="0.15">
      <c r="A3885" s="1" t="str">
        <f ca="1">IFERROR(__xludf.DUMMYFUNCTION("GOOGLETRANSLATE(A3885, ""zh"", ""en"")"),"The platform focuses on trading institutions and mid- to high-end individual clients. It provides professional trading strategies and in-depth customized development through the integration of professional trading tools, solving customer trading pain poin"&amp;"ts in a one-stop manner, and providing strong support for branch expansion and customer service.")</f>
        <v>The platform focuses on trading institutions and mid- to high-end individual clients. It provides professional trading strategies and in-depth customized development through the integration of professional trading tools, solving customer trading pain points in a one-stop manner, and providing strong support for branch expansion and customer service.</v>
      </c>
      <c r="B3885" s="1" t="str">
        <f ca="1">IFERROR(__xludf.DUMMYFUNCTION("GOOGLETRANSLATE(A3885, ""zh"", ""en"")"),"Customers and Consumers")</f>
        <v>Customers and Consumers</v>
      </c>
      <c r="C3885" s="1" t="str">
        <f ca="1">IFERROR(__xludf.DUMMYFUNCTION("GOOGLETRANSLATE(E3885, ""zh"", ""en"")"),"Qualitative text")</f>
        <v>Qualitative text</v>
      </c>
    </row>
    <row r="3886" spans="1:3" ht="13" x14ac:dyDescent="0.15">
      <c r="A3886" s="1" t="str">
        <f ca="1">IFERROR(__xludf.DUMMYFUNCTION("GOOGLETRANSLATE(A3886, ""zh"", ""en"")"),"In 2022, Huanlong New Materials adopted the model of cooperative base farmers and jointly established a farmers' forestry professional cooperative with farmers in Ruifeng Town, Qingshen County, Sichuan Province and surrounding areas. It carried out in-dep"&amp;"th bamboo forest base construction work and has built nearly 30,000 acres of Qingshen Small Bamboo Sea.")</f>
        <v>In 2022, Huanlong New Materials adopted the model of cooperative base farmers and jointly established a farmers' forestry professional cooperative with farmers in Ruifeng Town, Qingshen County, Sichuan Province and surrounding areas. It carried out in-depth bamboo forest base construction work and has built nearly 30,000 acres of Qingshen Small Bamboo Sea.</v>
      </c>
      <c r="B3886" s="1" t="str">
        <f ca="1">IFERROR(__xludf.DUMMYFUNCTION("GOOGLETRANSLATE(A3886, ""zh"", ""en"")"),"Rural assistance")</f>
        <v>Rural assistance</v>
      </c>
      <c r="C3886" s="1" t="str">
        <f ca="1">IFERROR(__xludf.DUMMYFUNCTION("GOOGLETRANSLATE(E3886, ""zh"", ""en"")"),"Quantitative Text")</f>
        <v>Quantitative Text</v>
      </c>
    </row>
    <row r="3887" spans="1:3" ht="13" x14ac:dyDescent="0.15">
      <c r="A3887" s="1" t="str">
        <f ca="1">IFERROR(__xludf.DUMMYFUNCTION("GOOGLETRANSLATE(A3887, ""zh"", ""en"")"),"Quality Education and Training 2526 In September 2022, Renfu Pharmaceutical's independently developed Class 1.2 innovative Chinese medicine, Desmodium leucoderma Total Flavonoids Capsules, received marketing approval from the National Medical Products Adm"&amp;"inistration, becoming the world's first new Chinese medicine for the prevention and treatment of urinary stones.")</f>
        <v>Quality Education and Training 2526 In September 2022, Renfu Pharmaceutical's independently developed Class 1.2 innovative Chinese medicine, Desmodium leucoderma Total Flavonoids Capsules, received marketing approval from the National Medical Products Administration, becoming the world's first new Chinese medicine for the prevention and treatment of urinary stones.</v>
      </c>
      <c r="B3887" s="1" t="str">
        <f ca="1">IFERROR(__xludf.DUMMYFUNCTION("GOOGLETRANSLATE(A3887, ""zh"", ""en"")"),"Product quality")</f>
        <v>Product quality</v>
      </c>
      <c r="C3887" s="1" t="str">
        <f ca="1">IFERROR(__xludf.DUMMYFUNCTION("GOOGLETRANSLATE(E3887, ""zh"", ""en"")"),"Qualitative text")</f>
        <v>Qualitative text</v>
      </c>
    </row>
    <row r="3888" spans="1:3" ht="13" x14ac:dyDescent="0.15">
      <c r="A3888" s="1" t="str">
        <f ca="1">IFERROR(__xludf.DUMMYFUNCTION("GOOGLETRANSLATE(A3888, ""zh"", ""en"")"),"Case studies on the scientific operation of the ""Three Meetings"" (hereinafter referred to as ""Three Meetings""), anti-commercial bribery training, and other companies such as Yichang Renfu, Gedian Renfu, Wuhan Renfu, and Renfu Chengtian have establishe"&amp;"d a third-party marketing cooperation management system, established a standardized customer credit risk assessment system, and made provisions for anti-corruption and anti-bribery.")</f>
        <v>Case studies on the scientific operation of the "Three Meetings" (hereinafter referred to as "Three Meetings"), anti-commercial bribery training, and other companies such as Yichang Renfu, Gedian Renfu, Wuhan Renfu, and Renfu Chengtian have established a third-party marketing cooperation management system, established a standardized customer credit risk assessment system, and made provisions for anti-corruption and anti-bribery.</v>
      </c>
      <c r="B3888" s="1" t="str">
        <f ca="1">IFERROR(__xludf.DUMMYFUNCTION("GOOGLETRANSLATE(A3888, ""zh"", ""en"")"),"Anti-corruption and anti-money laundering")</f>
        <v>Anti-corruption and anti-money laundering</v>
      </c>
      <c r="C3888" s="1" t="str">
        <f ca="1">IFERROR(__xludf.DUMMYFUNCTION("GOOGLETRANSLATE(E3888, ""zh"", ""en"")"),"Qualitative text")</f>
        <v>Qualitative text</v>
      </c>
    </row>
    <row r="3889" spans="1:3" ht="13" x14ac:dyDescent="0.15">
      <c r="A3889" s="1" t="str">
        <f ca="1">IFERROR(__xludf.DUMMYFUNCTION("GOOGLETRANSLATE(A3889, ""zh"", ""en"")"),"At the same time, during the high-incidence seasons and related solar terms, the company will use the form of promotional posters to promote knowledge on disease prevention and treatment. The audience coverage involves all employees of the company, the ma"&amp;"rketing team, commercial customers, end customers and consumers.")</f>
        <v>At the same time, during the high-incidence seasons and related solar terms, the company will use the form of promotional posters to promote knowledge on disease prevention and treatment. The audience coverage involves all employees of the company, the marketing team, commercial customers, end customers and consumers.</v>
      </c>
      <c r="B3889" s="1" t="str">
        <f ca="1">IFERROR(__xludf.DUMMYFUNCTION("GOOGLETRANSLATE(A3889, ""zh"", ""en"")"),"Fighting the epidemic")</f>
        <v>Fighting the epidemic</v>
      </c>
      <c r="C3889" s="1" t="str">
        <f ca="1">IFERROR(__xludf.DUMMYFUNCTION("GOOGLETRANSLATE(E3889, ""zh"", ""en"")"),"Qualitative text")</f>
        <v>Qualitative text</v>
      </c>
    </row>
    <row r="3890" spans="1:3" ht="13" x14ac:dyDescent="0.15">
      <c r="A3890" s="1" t="str">
        <f ca="1">IFERROR(__xludf.DUMMYFUNCTION("GOOGLETRANSLATE(A3890, ""zh"", ""en"")"),"In June 2022, Wuhan Renfu organized more than 300 managers at all levels to participate in the training of the People's Republic of China Occupational Safety and Health Law. The heads of various departments studied the production management requirements a"&amp;"nd specifications in detail. At the same time, the training was transferred within each department to achieve full coverage.")</f>
        <v>In June 2022, Wuhan Renfu organized more than 300 managers at all levels to participate in the training of the People's Republic of China Occupational Safety and Health Law. The heads of various departments studied the production management requirements and specifications in detail. At the same time, the training was transferred within each department to achieve full coverage.</v>
      </c>
      <c r="B3890" s="1" t="str">
        <f ca="1">IFERROR(__xludf.DUMMYFUNCTION("GOOGLETRANSLATE(A3890, ""zh"", ""en"")"),"staff")</f>
        <v>staff</v>
      </c>
      <c r="C3890" s="1" t="str">
        <f ca="1">IFERROR(__xludf.DUMMYFUNCTION("GOOGLETRANSLATE(E3890, ""zh"", ""en"")"),"Quantitative Text")</f>
        <v>Quantitative Text</v>
      </c>
    </row>
    <row r="3891" spans="1:3" ht="13" x14ac:dyDescent="0.15">
      <c r="A3891" s="1" t="str">
        <f ca="1">IFERROR(__xludf.DUMMYFUNCTION("GOOGLETRANSLATE(A3891, ""zh"", ""en"")"),"84 outstanding employees from the company's R&amp;D, production, technology, and marketing systems were selected for the first phase of the project. Through special training and online learning, regular sharing and exchanges, theme activities, year-end assess"&amp;"ments and defense, talent potential was stimulated and core competitiveness was enhanced.")</f>
        <v>84 outstanding employees from the company's R&amp;D, production, technology, and marketing systems were selected for the first phase of the project. Through special training and online learning, regular sharing and exchanges, theme activities, year-end assessments and defense, talent potential was stimulated and core competitiveness was enhanced.</v>
      </c>
      <c r="B3891" s="1" t="str">
        <f ca="1">IFERROR(__xludf.DUMMYFUNCTION("GOOGLETRANSLATE(A3891, ""zh"", ""en"")"),"staff")</f>
        <v>staff</v>
      </c>
      <c r="C3891" s="1" t="str">
        <f ca="1">IFERROR(__xludf.DUMMYFUNCTION("GOOGLETRANSLATE(E3891, ""zh"", ""en"")"),"Qualitative text")</f>
        <v>Qualitative text</v>
      </c>
    </row>
    <row r="3892" spans="1:3" ht="13" x14ac:dyDescent="0.15">
      <c r="A3892" s="1" t="str">
        <f ca="1">IFERROR(__xludf.DUMMYFUNCTION("GOOGLETRANSLATE(A3892, ""zh"", ""en"")"),"In 2022, the company held active and effective exchanges with the CA100 investor group, including more than 10 institutions such as Harvest Fund, on topics such as energy transformation path, carbon emission control, new energy and new business developmen"&amp;"t, CCS, CCUS, and hydrogen energy development.")</f>
        <v>In 2022, the company held active and effective exchanges with the CA100 investor group, including more than 10 institutions such as Harvest Fund, on topics such as energy transformation path, carbon emission control, new energy and new business development, CCS, CCUS, and hydrogen energy development.</v>
      </c>
      <c r="B3892" s="1" t="str">
        <f ca="1">IFERROR(__xludf.DUMMYFUNCTION("GOOGLETRANSLATE(A3892, ""zh"", ""en"")"),"carbon emissions")</f>
        <v>carbon emissions</v>
      </c>
      <c r="C3892" s="1" t="str">
        <f ca="1">IFERROR(__xludf.DUMMYFUNCTION("GOOGLETRANSLATE(E3892, ""zh"", ""en"")"),"Qualitative text")</f>
        <v>Qualitative text</v>
      </c>
    </row>
    <row r="3893" spans="1:3" ht="13" x14ac:dyDescent="0.15">
      <c r="A3893" s="1" t="str">
        <f ca="1">IFERROR(__xludf.DUMMYFUNCTION("GOOGLETRANSLATE(A3893, ""zh"", ""en"")"),"The report systematically highlights how the main engine energy management system helps drilling contractors reduce fuel consumption and emissions, how supercapacitors can shift peaks and valleys faster than batteries, and how mobile cuttings handling uni"&amp;"ts can reduce carbon emissions from cuttings transportation.")</f>
        <v>The report systematically highlights how the main engine energy management system helps drilling contractors reduce fuel consumption and emissions, how supercapacitors can shift peaks and valleys faster than batteries, and how mobile cuttings handling units can reduce carbon emissions from cuttings transportation.</v>
      </c>
      <c r="B3893" s="1" t="str">
        <f ca="1">IFERROR(__xludf.DUMMYFUNCTION("GOOGLETRANSLATE(A3893, ""zh"", ""en"")"),"carbon emissions")</f>
        <v>carbon emissions</v>
      </c>
      <c r="C3893" s="1" t="str">
        <f ca="1">IFERROR(__xludf.DUMMYFUNCTION("GOOGLETRANSLATE(E3893, ""zh"", ""en"")"),"Qualitative text")</f>
        <v>Qualitative text</v>
      </c>
    </row>
    <row r="3894" spans="1:3" ht="13" x14ac:dyDescent="0.15">
      <c r="A3894" s="1" t="str">
        <f ca="1">IFERROR(__xludf.DUMMYFUNCTION("GOOGLETRANSLATE(A3894, ""zh"", ""en"")"),"At the same time, in 2021, we invested more than 2.6 million yuan to renovate and upgrade the existing VOCs waste gas treatment facilities. After the facilities were put into use in 2022, the VOCs emissions were greatly reduced. After inspection, the VOCs"&amp;" removal rate reached 95%.")</f>
        <v>At the same time, in 2021, we invested more than 2.6 million yuan to renovate and upgrade the existing VOCs waste gas treatment facilities. After the facilities were put into use in 2022, the VOCs emissions were greatly reduced. After inspection, the VOCs removal rate reached 95%.</v>
      </c>
      <c r="B3894" s="1" t="str">
        <f ca="1">IFERROR(__xludf.DUMMYFUNCTION("GOOGLETRANSLATE(A3894, ""zh"", ""en"")"),"Waste Management")</f>
        <v>Waste Management</v>
      </c>
      <c r="C3894" s="1" t="str">
        <f ca="1">IFERROR(__xludf.DUMMYFUNCTION("GOOGLETRANSLATE(E3894, ""zh"", ""en"")"),"Quantitative Text")</f>
        <v>Quantitative Text</v>
      </c>
    </row>
    <row r="3895" spans="1:3" ht="13" x14ac:dyDescent="0.15">
      <c r="A3895" s="1" t="str">
        <f ca="1">IFERROR(__xludf.DUMMYFUNCTION("GOOGLETRANSLATE(A3895, ""zh"", ""en"")"),"Hold party member conferences, branch committees and party group meetings as required, conduct party lectures by branch secretaries, and invite professional party building lecturers to give party lectures to ensure that party members' sense of identity an"&amp;"d pioneering and exemplary consciousness are fully exerted, and the cohesion and combat effectiveness of the party organization are guaranteed.")</f>
        <v>Hold party member conferences, branch committees and party group meetings as required, conduct party lectures by branch secretaries, and invite professional party building lecturers to give party lectures to ensure that party members' sense of identity and pioneering and exemplary consciousness are fully exerted, and the cohesion and combat effectiveness of the party organization are guaranteed.</v>
      </c>
      <c r="B3895" s="1" t="str">
        <f ca="1">IFERROR(__xludf.DUMMYFUNCTION("GOOGLETRANSLATE(A3895, ""zh"", ""en"")"),"staff")</f>
        <v>staff</v>
      </c>
      <c r="C3895" s="1" t="str">
        <f ca="1">IFERROR(__xludf.DUMMYFUNCTION("GOOGLETRANSLATE(E3895, ""zh"", ""en"")"),"Qualitative text")</f>
        <v>Qualitative text</v>
      </c>
    </row>
    <row r="3896" spans="1:3" ht="13" x14ac:dyDescent="0.15">
      <c r="A3896" s="1" t="str">
        <f ca="1">IFERROR(__xludf.DUMMYFUNCTION("GOOGLETRANSLATE(A3896, ""zh"", ""en"")"),"Social win-win, dedicating love to the betterment of society, overcoming difficulties and fighting the epidemic. In 2022, the epidemic spread to many places, and people's production and life faced challenges. Dima Co., Ltd. responded to the call immediate"&amp;"ly and coordinated its various business units to participate in anti-epidemic activities.")</f>
        <v>Social win-win, dedicating love to the betterment of society, overcoming difficulties and fighting the epidemic. In 2022, the epidemic spread to many places, and people's production and life faced challenges. Dima Co., Ltd. responded to the call immediately and coordinated its various business units to participate in anti-epidemic activities.</v>
      </c>
      <c r="B3896" s="1" t="str">
        <f ca="1">IFERROR(__xludf.DUMMYFUNCTION("GOOGLETRANSLATE(A3896, ""zh"", ""en"")"),"Fighting the epidemic")</f>
        <v>Fighting the epidemic</v>
      </c>
      <c r="C3896" s="1" t="str">
        <f ca="1">IFERROR(__xludf.DUMMYFUNCTION("GOOGLETRANSLATE(E3896, ""zh"", ""en"")"),"Qualitative text")</f>
        <v>Qualitative text</v>
      </c>
    </row>
    <row r="3897" spans="1:3" ht="13" x14ac:dyDescent="0.15">
      <c r="A3897" s="1" t="str">
        <f ca="1">IFERROR(__xludf.DUMMYFUNCTION("GOOGLETRANSLATE(A3897, ""zh"", ""en"")"),"The Dima Sharing Care Fund adheres to a committee-based autonomous management model. Committee members cover business segments such as Dongyuan Real Estate, Dima Industrial Development, and Dima Industry, and must be full-time employees of the company wit"&amp;"h a tenure of more than six months. Any employee who leaves the company must be promptly nominated to fill their position.")</f>
        <v>The Dima Sharing Care Fund adheres to a committee-based autonomous management model. Committee members cover business segments such as Dongyuan Real Estate, Dima Industrial Development, and Dima Industry, and must be full-time employees of the company with a tenure of more than six months. Any employee who leaves the company must be promptly nominated to fill their position.</v>
      </c>
      <c r="B3897" s="1" t="str">
        <f ca="1">IFERROR(__xludf.DUMMYFUNCTION("GOOGLETRANSLATE(A3897, ""zh"", ""en"")"),"staff")</f>
        <v>staff</v>
      </c>
      <c r="C3897" s="1" t="str">
        <f ca="1">IFERROR(__xludf.DUMMYFUNCTION("GOOGLETRANSLATE(E3897, ""zh"", ""en"")"),"Qualitative text")</f>
        <v>Qualitative text</v>
      </c>
    </row>
    <row r="3898" spans="1:3" ht="13" x14ac:dyDescent="0.15">
      <c r="A3898" s="1" t="str">
        <f ca="1">IFERROR(__xludf.DUMMYFUNCTION("GOOGLETRANSLATE(A3898, ""zh"", ""en"")"),"At the same time, we strictly control the proportion of labor dispatch employment, dynamically grasp the situation of labor dispatch employment positions, the number of employees, the proportion of employees, salary payment, social security participation "&amp;"and other information, implement equal pay for equal work, and promote full-caliber management of labor employment through integrated job management.")</f>
        <v>At the same time, we strictly control the proportion of labor dispatch employment, dynamically grasp the situation of labor dispatch employment positions, the number of employees, the proportion of employees, salary payment, social security participation and other information, implement equal pay for equal work, and promote full-caliber management of labor employment through integrated job management.</v>
      </c>
      <c r="B3898" s="1" t="str">
        <f ca="1">IFERROR(__xludf.DUMMYFUNCTION("GOOGLETRANSLATE(A3898, ""zh"", ""en"")"),"staff")</f>
        <v>staff</v>
      </c>
      <c r="C3898" s="1" t="str">
        <f ca="1">IFERROR(__xludf.DUMMYFUNCTION("GOOGLETRANSLATE(E3898, ""zh"", ""en"")"),"Qualitative text")</f>
        <v>Qualitative text</v>
      </c>
    </row>
    <row r="3899" spans="1:3" ht="13" x14ac:dyDescent="0.15">
      <c r="A3899" s="1" t="str">
        <f ca="1">IFERROR(__xludf.DUMMYFUNCTION("GOOGLETRANSLATE(A3899, ""zh"", ""en"")"),"During the performance evaluation phase, the supervisor will conduct a comprehensive evaluation of the employee based on the employee's self-assessment, combined with the employee's performance and ability, as well as the opinions of other relevant depart"&amp;"ments with whom they have business exchanges, and will fully communicate with the employee to provide feedback on the employee's performance.")</f>
        <v>During the performance evaluation phase, the supervisor will conduct a comprehensive evaluation of the employee based on the employee's self-assessment, combined with the employee's performance and ability, as well as the opinions of other relevant departments with whom they have business exchanges, and will fully communicate with the employee to provide feedback on the employee's performance.</v>
      </c>
      <c r="B3899" s="1" t="str">
        <f ca="1">IFERROR(__xludf.DUMMYFUNCTION("GOOGLETRANSLATE(A3899, ""zh"", ""en"")"),"staff")</f>
        <v>staff</v>
      </c>
      <c r="C3899" s="1" t="str">
        <f ca="1">IFERROR(__xludf.DUMMYFUNCTION("GOOGLETRANSLATE(E3899, ""zh"", ""en"")"),"Qualitative text")</f>
        <v>Qualitative text</v>
      </c>
    </row>
    <row r="3900" spans="1:3" ht="13" x14ac:dyDescent="0.15">
      <c r="A3900" s="1" t="str">
        <f ca="1">IFERROR(__xludf.DUMMYFUNCTION("GOOGLETRANSLATE(A3900, ""zh"", ""en"")"),"The company pays its employees labor remuneration on time and establishes a diversified incentive system that guides business success, value contribution and long-termism, and continuously implements equity incentives for key employees.")</f>
        <v>The company pays its employees labor remuneration on time and establishes a diversified incentive system that guides business success, value contribution and long-termism, and continuously implements equity incentives for key employees.</v>
      </c>
      <c r="B3900" s="1" t="str">
        <f ca="1">IFERROR(__xludf.DUMMYFUNCTION("GOOGLETRANSLATE(A3900, ""zh"", ""en"")"),"staff")</f>
        <v>staff</v>
      </c>
      <c r="C3900" s="1" t="str">
        <f ca="1">IFERROR(__xludf.DUMMYFUNCTION("GOOGLETRANSLATE(E3900, ""zh"", ""en"")"),"Quantitative Text")</f>
        <v>Quantitative Text</v>
      </c>
    </row>
    <row r="3901" spans="1:3" ht="13" x14ac:dyDescent="0.15">
      <c r="A3901" s="1" t="str">
        <f ca="1">IFERROR(__xludf.DUMMYFUNCTION("GOOGLETRANSLATE(A3901, ""zh"", ""en"")"),"During the reporting period, the company received three Qingdao Science and Technology Progress Awards for technological innovation, including the Hisense European R&amp;D Center in Kronach, Germany, and the TVS Yongshan R&amp;D Center in Japan, as well as two Ch"&amp;"ina Electronics Society Science and Technology Progress Awards and two Industry Association Outstanding Product and Technology Awards.")</f>
        <v>During the reporting period, the company received three Qingdao Science and Technology Progress Awards for technological innovation, including the Hisense European R&amp;D Center in Kronach, Germany, and the TVS Yongshan R&amp;D Center in Japan, as well as two China Electronics Society Science and Technology Progress Awards and two Industry Association Outstanding Product and Technology Awards.</v>
      </c>
      <c r="B3901" s="1" t="str">
        <f ca="1">IFERROR(__xludf.DUMMYFUNCTION("GOOGLETRANSLATE(A3901, ""zh"", ""en"")"),"Technological innovation")</f>
        <v>Technological innovation</v>
      </c>
      <c r="C3901" s="1" t="str">
        <f ca="1">IFERROR(__xludf.DUMMYFUNCTION("GOOGLETRANSLATE(E3901, ""zh"", ""en"")"),"Quantitative Text")</f>
        <v>Quantitative Text</v>
      </c>
    </row>
    <row r="3902" spans="1:3" ht="13" x14ac:dyDescent="0.15">
      <c r="A3902" s="1" t="str">
        <f ca="1">IFERROR(__xludf.DUMMYFUNCTION("GOOGLETRANSLATE(A3902, ""zh"", ""en"")"),"COSL has established a Youth Blue Force Volunteer Teaching Pioneer Team. Young people from the company's Tianjin, Zhanjiang, and Shenzhen regions responded to the call and used their knowledge and expertise to visit Hope Primary Schools in rural areas of "&amp;"Hebei, Yunnan, Hubei, and Hainan to provide volunteer teaching services on a monthly basis.")</f>
        <v>COSL has established a Youth Blue Force Volunteer Teaching Pioneer Team. Young people from the company's Tianjin, Zhanjiang, and Shenzhen regions responded to the call and used their knowledge and expertise to visit Hope Primary Schools in rural areas of Hebei, Yunnan, Hubei, and Hainan to provide volunteer teaching services on a monthly basis.</v>
      </c>
      <c r="B3902" s="1" t="str">
        <f ca="1">IFERROR(__xludf.DUMMYFUNCTION("GOOGLETRANSLATE(A3902, ""zh"", ""en"")"),"Public welfare and volunteer service")</f>
        <v>Public welfare and volunteer service</v>
      </c>
      <c r="C3902" s="1" t="str">
        <f ca="1">IFERROR(__xludf.DUMMYFUNCTION("GOOGLETRANSLATE(E3902, ""zh"", ""en"")"),"Qualitative text")</f>
        <v>Qualitative text</v>
      </c>
    </row>
    <row r="3903" spans="1:3" ht="13" x14ac:dyDescent="0.15">
      <c r="A3903" s="1" t="str">
        <f ca="1">IFERROR(__xludf.DUMMYFUNCTION("GOOGLETRANSLATE(A3903, ""zh"", ""en"")"),"In the future, the company will use the Qingdao park drill as a benchmark to promote it in all parks across the country and simultaneously carry out preparatory work and drills to enhance the risk response capabilities of each park, so that the company ca"&amp;"n effectively avoid related losses in extreme weather conditions.")</f>
        <v>In the future, the company will use the Qingdao park drill as a benchmark to promote it in all parks across the country and simultaneously carry out preparatory work and drills to enhance the risk response capabilities of each park, so that the company can effectively avoid related losses in extreme weather conditions.</v>
      </c>
      <c r="B3903" s="1" t="str">
        <f ca="1">IFERROR(__xludf.DUMMYFUNCTION("GOOGLETRANSLATE(A3903, ""zh"", ""en"")"),"Addressing climate change")</f>
        <v>Addressing climate change</v>
      </c>
      <c r="C3903" s="1" t="str">
        <f ca="1">IFERROR(__xludf.DUMMYFUNCTION("GOOGLETRANSLATE(E3903, ""zh"", ""en"")"),"Qualitative text")</f>
        <v>Qualitative text</v>
      </c>
    </row>
    <row r="3904" spans="1:3" ht="13" x14ac:dyDescent="0.15">
      <c r="A3904" s="1" t="str">
        <f ca="1">IFERROR(__xludf.DUMMYFUNCTION("GOOGLETRANSLATE(A3904, ""zh"", ""en"")"),"Energy-saving and low-carbon technology application The company continues to strengthen the research and development and promotion of energy-saving and low-carbon technologies, optimizes and upgrades energy-saving process technologies and equipment, and g"&amp;"radually expands the application scope of innovative technologies by creating energy-saving and low-carbon technology application pilot and demonstration projects.")</f>
        <v>Energy-saving and low-carbon technology application The company continues to strengthen the research and development and promotion of energy-saving and low-carbon technologies, optimizes and upgrades energy-saving process technologies and equipment, and gradually expands the application scope of innovative technologies by creating energy-saving and low-carbon technology application pilot and demonstration projects.</v>
      </c>
      <c r="B3904" s="1" t="str">
        <f ca="1">IFERROR(__xludf.DUMMYFUNCTION("GOOGLETRANSLATE(A3904, ""zh"", ""en"")"),"Energy and resource consumption")</f>
        <v>Energy and resource consumption</v>
      </c>
      <c r="C3904" s="1" t="str">
        <f ca="1">IFERROR(__xludf.DUMMYFUNCTION("GOOGLETRANSLATE(E3904, ""zh"", ""en"")"),"Qualitative text")</f>
        <v>Qualitative text</v>
      </c>
    </row>
    <row r="3905" spans="1:3" ht="13" x14ac:dyDescent="0.15">
      <c r="A3905" s="1" t="str">
        <f ca="1">IFERROR(__xludf.DUMMYFUNCTION("GOOGLETRANSLATE(A3905, ""zh"", ""en"")"),"About this report: Environmental A1 Emissions General Disclosure: 1. Policies and 2. Compliance with relevant laws and regulations that have a significant impact on the issuer regarding waste gas and greenhouse gas emissions, water and soil pollution, and"&amp;" the generation of hazardous and non-hazardous wastes.")</f>
        <v>About this report: Environmental A1 Emissions General Disclosure: 1. Policies and 2. Compliance with relevant laws and regulations that have a significant impact on the issuer regarding waste gas and greenhouse gas emissions, water and soil pollution, and the generation of hazardous and non-hazardous wastes.</v>
      </c>
      <c r="B3905" s="1" t="str">
        <f ca="1">IFERROR(__xludf.DUMMYFUNCTION("GOOGLETRANSLATE(A3905, ""zh"", ""en"")"),"Waste Management")</f>
        <v>Waste Management</v>
      </c>
      <c r="C3905" s="1" t="str">
        <f ca="1">IFERROR(__xludf.DUMMYFUNCTION("GOOGLETRANSLATE(E3905, ""zh"", ""en"")"),"Qualitative text")</f>
        <v>Qualitative text</v>
      </c>
    </row>
    <row r="3906" spans="1:3" ht="13" x14ac:dyDescent="0.15">
      <c r="A3906" s="1" t="str">
        <f ca="1">IFERROR(__xludf.DUMMYFUNCTION("GOOGLETRANSLATE(A3906, ""zh"", ""en"")"),"The proportion of procurement expenditure from local suppliers disclosed in China Construction Bank's Social Responsibility Report refers to the proportion of total foreign currency payments made by the head office to the total amount of payments within C"&amp;"hina Construction Bank's procurement system as of the end of the reporting period.")</f>
        <v>The proportion of procurement expenditure from local suppliers disclosed in China Construction Bank's Social Responsibility Report refers to the proportion of total foreign currency payments made by the head office to the total amount of payments within China Construction Bank's procurement system as of the end of the reporting period.</v>
      </c>
      <c r="B3906" s="1" t="str">
        <f ca="1">IFERROR(__xludf.DUMMYFUNCTION("GOOGLETRANSLATE(A3906, ""zh"", ""en"")"),"supply chain management")</f>
        <v>supply chain management</v>
      </c>
      <c r="C3906" s="1" t="str">
        <f ca="1">IFERROR(__xludf.DUMMYFUNCTION("GOOGLETRANSLATE(E3906, ""zh"", ""en"")"),"Qualitative text")</f>
        <v>Qualitative text</v>
      </c>
    </row>
    <row r="3907" spans="1:3" ht="13" x14ac:dyDescent="0.15">
      <c r="A3907" s="1" t="str">
        <f ca="1">IFERROR(__xludf.DUMMYFUNCTION("GOOGLETRANSLATE(A3907, ""zh"", ""en"")"),"As of the end of 2022, Haier Smart Home has invested over RMB 128 million in the Hope Project, supporting the construction of 365 Hope Primary Schools and 1 Hope Middle School across 26 provinces, municipalities and autonomous regions nationwide. It is th"&amp;"e company that has built the most Hope Primary Schools in the Hope Project.")</f>
        <v>As of the end of 2022, Haier Smart Home has invested over RMB 128 million in the Hope Project, supporting the construction of 365 Hope Primary Schools and 1 Hope Middle School across 26 provinces, municipalities and autonomous regions nationwide. It is the company that has built the most Hope Primary Schools in the Hope Project.</v>
      </c>
      <c r="B3907" s="1" t="str">
        <f ca="1">IFERROR(__xludf.DUMMYFUNCTION("GOOGLETRANSLATE(A3907, ""zh"", ""en"")"),"Public welfare and volunteer service")</f>
        <v>Public welfare and volunteer service</v>
      </c>
      <c r="C3907" s="1" t="str">
        <f ca="1">IFERROR(__xludf.DUMMYFUNCTION("GOOGLETRANSLATE(E3907, ""zh"", ""en"")"),"Quantitative Text")</f>
        <v>Quantitative Text</v>
      </c>
    </row>
    <row r="3908" spans="1:3" ht="13" x14ac:dyDescent="0.15">
      <c r="A3908" s="1" t="str">
        <f ca="1">IFERROR(__xludf.DUMMYFUNCTION("GOOGLETRANSLATE(A3908, ""zh"", ""en"")"),"The discarded office supplies disclosed in China Construction Bank's Social Responsibility Report refer to the total amount of discarded office supplies from China Construction Bank's head office and 37 branches during the reporting period, including disc"&amp;"arded pens, discarded paper clips and discarded staples.")</f>
        <v>The discarded office supplies disclosed in China Construction Bank's Social Responsibility Report refer to the total amount of discarded office supplies from China Construction Bank's head office and 37 branches during the reporting period, including discarded pens, discarded paper clips and discarded staples.</v>
      </c>
      <c r="B3908" s="1" t="str">
        <f ca="1">IFERROR(__xludf.DUMMYFUNCTION("GOOGLETRANSLATE(A3908, ""zh"", ""en"")"),"Waste Management")</f>
        <v>Waste Management</v>
      </c>
      <c r="C3908" s="1" t="str">
        <f ca="1">IFERROR(__xludf.DUMMYFUNCTION("GOOGLETRANSLATE(E3908, ""zh"", ""en"")"),"Quantitative Text")</f>
        <v>Quantitative Text</v>
      </c>
    </row>
    <row r="3909" spans="1:3" ht="13" x14ac:dyDescent="0.15">
      <c r="A3909" s="1" t="str">
        <f ca="1">IFERROR(__xludf.DUMMYFUNCTION("GOOGLETRANSLATE(A3909, ""zh"", ""en"")"),"In 2018 and 2020, the company was listed on the Frankfurt Stock Exchange in Germany with the stock code 690D.DF and the Hong Kong Stock Exchange with the stock code 06690.HK. Since then, the company has formed ADH's global capital market layout.")</f>
        <v>In 2018 and 2020, the company was listed on the Frankfurt Stock Exchange in Germany with the stock code 690D.DF and the Hong Kong Stock Exchange with the stock code 06690.HK. Since then, the company has formed ADH's global capital market layout.</v>
      </c>
      <c r="B3909" s="1" t="str">
        <f ca="1">IFERROR(__xludf.DUMMYFUNCTION("GOOGLETRANSLATE(A3909, ""zh"", ""en"")"),"Organizational structure and operations")</f>
        <v>Organizational structure and operations</v>
      </c>
      <c r="C3909" s="1" t="str">
        <f ca="1">IFERROR(__xludf.DUMMYFUNCTION("GOOGLETRANSLATE(E3909, ""zh"", ""en"")"),"Qualitative text")</f>
        <v>Qualitative text</v>
      </c>
    </row>
    <row r="3910" spans="1:3" ht="13" x14ac:dyDescent="0.15">
      <c r="A3910" s="1" t="str">
        <f ca="1">IFERROR(__xludf.DUMMYFUNCTION("GOOGLETRANSLATE(A3910, ""zh"", ""en"")"),"The Group continues to promote the marketing and registration of biosimilars, generic drugs and generic drug consistency evaluation products, including import registration, overseas registration, etc., with over 260 projects, including 63 marketing approv"&amp;"als for the main innovative drugs under development, and centralized bulk procurement of drugs.")</f>
        <v>The Group continues to promote the marketing and registration of biosimilars, generic drugs and generic drug consistency evaluation products, including import registration, overseas registration, etc., with over 260 projects, including 63 marketing approvals for the main innovative drugs under development, and centralized bulk procurement of drugs.</v>
      </c>
      <c r="B3910" s="1" t="str">
        <f ca="1">IFERROR(__xludf.DUMMYFUNCTION("GOOGLETRANSLATE(A3910, ""zh"", ""en"")"),"Technological innovation")</f>
        <v>Technological innovation</v>
      </c>
      <c r="C3910" s="1" t="str">
        <f ca="1">IFERROR(__xludf.DUMMYFUNCTION("GOOGLETRANSLATE(E3910, ""zh"", ""en"")"),"Quantitative Text")</f>
        <v>Quantitative Text</v>
      </c>
    </row>
    <row r="3911" spans="1:3" ht="13" x14ac:dyDescent="0.15">
      <c r="A3911" s="1" t="str">
        <f ca="1">IFERROR(__xludf.DUMMYFUNCTION("GOOGLETRANSLATE(A3911, ""zh"", ""en"")"),"The excellent talents recruited through internal recommendation in 2022 will help the company to reserve rich talent resources and help the performance of the company basically meet the requirements and pass the test smoothly. The organization continues t"&amp;"o evolve.")</f>
        <v>The excellent talents recruited through internal recommendation in 2022 will help the company to reserve rich talent resources and help the performance of the company basically meet the requirements and pass the test smoothly. The organization continues to evolve.</v>
      </c>
      <c r="B3911" s="1" t="str">
        <f ca="1">IFERROR(__xludf.DUMMYFUNCTION("GOOGLETRANSLATE(A3911, ""zh"", ""en"")"),"staff")</f>
        <v>staff</v>
      </c>
      <c r="C3911" s="1" t="str">
        <f ca="1">IFERROR(__xludf.DUMMYFUNCTION("GOOGLETRANSLATE(E3911, ""zh"", ""en"")"),"Qualitative text")</f>
        <v>Qualitative text</v>
      </c>
    </row>
    <row r="3912" spans="1:3" ht="13" x14ac:dyDescent="0.15">
      <c r="A3912" s="1" t="str">
        <f ca="1">IFERROR(__xludf.DUMMYFUNCTION("GOOGLETRANSLATE(A3912, ""zh"", ""en"")"),"The ACCA Strategic Investment Gas Station and other series of general professional skills training high-potential finance classes that will be carried out continuously in 2022 have become an important way for the Group to cultivate key leaders in the fiel"&amp;"d by providing professional, refined and comprehensive training projects.")</f>
        <v>The ACCA Strategic Investment Gas Station and other series of general professional skills training high-potential finance classes that will be carried out continuously in 2022 have become an important way for the Group to cultivate key leaders in the field by providing professional, refined and comprehensive training projects.</v>
      </c>
      <c r="B3912" s="1" t="str">
        <f ca="1">IFERROR(__xludf.DUMMYFUNCTION("GOOGLETRANSLATE(A3912, ""zh"", ""en"")"),"staff")</f>
        <v>staff</v>
      </c>
      <c r="C3912" s="1" t="str">
        <f ca="1">IFERROR(__xludf.DUMMYFUNCTION("GOOGLETRANSLATE(E3912, ""zh"", ""en"")"),"Qualitative text")</f>
        <v>Qualitative text</v>
      </c>
    </row>
    <row r="3913" spans="1:3" ht="13" x14ac:dyDescent="0.15">
      <c r="A3913" s="1" t="str">
        <f ca="1">IFERROR(__xludf.DUMMYFUNCTION("GOOGLETRANSLATE(A3913, ""zh"", ""en"")"),"China Construction Bank has partnered with leading steel industry companies to establish a fund to extend green financial services. Leveraging the strategic leadership of green finance, investing in carbon neutrality across the steel industry chain is of "&amp;"great significance for reducing carbon emissions in the domestic steel industry and the nation as a whole.")</f>
        <v>China Construction Bank has partnered with leading steel industry companies to establish a fund to extend green financial services. Leveraging the strategic leadership of green finance, investing in carbon neutrality across the steel industry chain is of great significance for reducing carbon emissions in the domestic steel industry and the nation as a whole.</v>
      </c>
      <c r="B3913" s="1" t="str">
        <f ca="1">IFERROR(__xludf.DUMMYFUNCTION("GOOGLETRANSLATE(A3913, ""zh"", ""en"")"),"Green Finance")</f>
        <v>Green Finance</v>
      </c>
      <c r="C3913" s="1" t="str">
        <f ca="1">IFERROR(__xludf.DUMMYFUNCTION("GOOGLETRANSLATE(E3913, ""zh"", ""en"")"),"Qualitative text")</f>
        <v>Qualitative text</v>
      </c>
    </row>
    <row r="3914" spans="1:3" ht="13" x14ac:dyDescent="0.15">
      <c r="A3914" s="1" t="str">
        <f ca="1">IFERROR(__xludf.DUMMYFUNCTION("GOOGLETRANSLATE(A3914, ""zh"", ""en"")"),"In addition, the company has completed the registration of 20 trademarks, obtained patent authorization for 6 patent applications, and registered 2 new software copyrights to safeguard the company's own brand and intellectual property rights. It has also "&amp;"improved the full-process intellectual property protection system from system to application.")</f>
        <v>In addition, the company has completed the registration of 20 trademarks, obtained patent authorization for 6 patent applications, and registered 2 new software copyrights to safeguard the company's own brand and intellectual property rights. It has also improved the full-process intellectual property protection system from system to application.</v>
      </c>
      <c r="B3914" s="1" t="str">
        <f ca="1">IFERROR(__xludf.DUMMYFUNCTION("GOOGLETRANSLATE(A3914, ""zh"", ""en"")"),"Intellectual Property Protection")</f>
        <v>Intellectual Property Protection</v>
      </c>
      <c r="C3914" s="1" t="str">
        <f ca="1">IFERROR(__xludf.DUMMYFUNCTION("GOOGLETRANSLATE(E3914, ""zh"", ""en"")"),"Quantitative Text")</f>
        <v>Quantitative Text</v>
      </c>
    </row>
    <row r="3915" spans="1:3" ht="13" x14ac:dyDescent="0.15">
      <c r="A3915" s="1" t="str">
        <f ca="1">IFERROR(__xludf.DUMMYFUNCTION("GOOGLETRANSLATE(A3915, ""zh"", ""en"")"),"By formulating relevant systems and methods to supervise overseas employment practices, we will fully protect the legitimate rights and interests of overseas employees, while also paying attention to the career growth and development of overseas employees"&amp;", strengthening humanistic care, building harmonious labor relations, and promoting the balanced development of economic and social benefits.")</f>
        <v>By formulating relevant systems and methods to supervise overseas employment practices, we will fully protect the legitimate rights and interests of overseas employees, while also paying attention to the career growth and development of overseas employees, strengthening humanistic care, building harmonious labor relations, and promoting the balanced development of economic and social benefits.</v>
      </c>
      <c r="B3915" s="1" t="str">
        <f ca="1">IFERROR(__xludf.DUMMYFUNCTION("GOOGLETRANSLATE(A3915, ""zh"", ""en"")"),"staff")</f>
        <v>staff</v>
      </c>
      <c r="C3915" s="1" t="str">
        <f ca="1">IFERROR(__xludf.DUMMYFUNCTION("GOOGLETRANSLATE(E3915, ""zh"", ""en"")"),"Qualitative text")</f>
        <v>Qualitative text</v>
      </c>
    </row>
    <row r="3916" spans="1:3" ht="13" x14ac:dyDescent="0.15">
      <c r="A3916" s="1" t="str">
        <f ca="1">IFERROR(__xludf.DUMMYFUNCTION("GOOGLETRANSLATE(A3916, ""zh"", ""en"")"),"The company optimized the coverage of the network traffic security monitoring system, launched the terminal advanced threat detection and response defense system, carried out refined operations based on the security situation awareness platform, and promo"&amp;"ted the implementation and promotion of the cloud security management and control system to further enhance the level of security technology.")</f>
        <v>The company optimized the coverage of the network traffic security monitoring system, launched the terminal advanced threat detection and response defense system, carried out refined operations based on the security situation awareness platform, and promoted the implementation and promotion of the cloud security management and control system to further enhance the level of security technology.</v>
      </c>
      <c r="B3916" s="1" t="str">
        <f ca="1">IFERROR(__xludf.DUMMYFUNCTION("GOOGLETRANSLATE(A3916, ""zh"", ""en"")"),"Data security")</f>
        <v>Data security</v>
      </c>
      <c r="C3916" s="1" t="str">
        <f ca="1">IFERROR(__xludf.DUMMYFUNCTION("GOOGLETRANSLATE(E3916, ""zh"", ""en"")"),"Qualitative text")</f>
        <v>Qualitative text</v>
      </c>
    </row>
    <row r="3917" spans="1:3" ht="13" x14ac:dyDescent="0.15">
      <c r="A3917" s="1" t="str">
        <f ca="1">IFERROR(__xludf.DUMMYFUNCTION("GOOGLETRANSLATE(A3917, ""zh"", ""en"")"),"The list of winners of the 16th China Listed Company Value Selection in the New Era, New Value, hosted by Securities Times in September 2022 was announced. Haier Smart Home won the ESG Top 100 Chinese Listed Company Award.")</f>
        <v>The list of winners of the 16th China Listed Company Value Selection in the New Era, New Value, hosted by Securities Times in September 2022 was announced. Haier Smart Home won the ESG Top 100 Chinese Listed Company Award.</v>
      </c>
      <c r="B3917" s="1" t="str">
        <f ca="1">IFERROR(__xludf.DUMMYFUNCTION("GOOGLETRANSLATE(A3917, ""zh"", ""en"")"),"Sustainable certification")</f>
        <v>Sustainable certification</v>
      </c>
      <c r="C3917" s="1" t="str">
        <f ca="1">IFERROR(__xludf.DUMMYFUNCTION("GOOGLETRANSLATE(E3917, ""zh"", ""en"")"),"Quantitative Text")</f>
        <v>Quantitative Text</v>
      </c>
    </row>
    <row r="3918" spans="1:3" ht="13" x14ac:dyDescent="0.15">
      <c r="A3918" s="1" t="str">
        <f ca="1">IFERROR(__xludf.DUMMYFUNCTION("GOOGLETRANSLATE(A3918, ""zh"", ""en"")"),"Strengthen oil spill management, conduct research on the application of artificial intelligence, big data, industrial Internet and other technologies in the industrial field, carry out pilot projects of industrial Internet safety production based on Sinop"&amp;"ec Zhiyun, promote the deep integration of intelligent and digital platform construction and safety production")</f>
        <v>Strengthen oil spill management, conduct research on the application of artificial intelligence, big data, industrial Internet and other technologies in the industrial field, carry out pilot projects of industrial Internet safety production based on Sinopec Zhiyun, promote the deep integration of intelligent and digital platform construction and safety production</v>
      </c>
      <c r="B3918" s="1" t="str">
        <f ca="1">IFERROR(__xludf.DUMMYFUNCTION("GOOGLETRANSLATE(A3918, ""zh"", ""en"")"),"Technological innovation")</f>
        <v>Technological innovation</v>
      </c>
      <c r="C3918" s="1" t="str">
        <f ca="1">IFERROR(__xludf.DUMMYFUNCTION("GOOGLETRANSLATE(E3918, ""zh"", ""en"")"),"Qualitative text")</f>
        <v>Qualitative text</v>
      </c>
    </row>
    <row r="3919" spans="1:3" ht="13" x14ac:dyDescent="0.15">
      <c r="A3919" s="1" t="str">
        <f ca="1">IFERROR(__xludf.DUMMYFUNCTION("GOOGLETRANSLATE(A3919, ""zh"", ""en"")"),"Invited a third-party safety rating agency to conduct a system certification review for the company. Zhenhai Refining and Chemical obtained the first International Safety Rating System (ISRS) Level 7 certificate in my country's petrochemical industry, bec"&amp;"oming the first company in my country's petrochemical industry to achieve an international safety rating of Level 7.")</f>
        <v>Invited a third-party safety rating agency to conduct a system certification review for the company. Zhenhai Refining and Chemical obtained the first International Safety Rating System (ISRS) Level 7 certificate in my country's petrochemical industry, becoming the first company in my country's petrochemical industry to achieve an international safety rating of Level 7.</v>
      </c>
      <c r="B3919" s="1" t="str">
        <f ca="1">IFERROR(__xludf.DUMMYFUNCTION("GOOGLETRANSLATE(A3919, ""zh"", ""en"")"),"Sustainable certification")</f>
        <v>Sustainable certification</v>
      </c>
      <c r="C3919" s="1" t="str">
        <f ca="1">IFERROR(__xludf.DUMMYFUNCTION("GOOGLETRANSLATE(E3919, ""zh"", ""en"")"),"Quantitative Text")</f>
        <v>Quantitative Text</v>
      </c>
    </row>
    <row r="3920" spans="1:3" ht="13" x14ac:dyDescent="0.15">
      <c r="A3920" s="1" t="str">
        <f ca="1">IFERROR(__xludf.DUMMYFUNCTION("GOOGLETRANSLATE(A3920, ""zh"", ""en"")"),"Improve the construction of IoT security management system and establish IoT security testing center. This year, we revised the IoT security system management plan and released Haier Zigbee Security Development Guide, Haier Key Management Security Require"&amp;"ments and other security specifications.")</f>
        <v>Improve the construction of IoT security management system and establish IoT security testing center. This year, we revised the IoT security system management plan and released Haier Zigbee Security Development Guide, Haier Key Management Security Requirements and other security specifications.</v>
      </c>
      <c r="B3920" s="1" t="str">
        <f ca="1">IFERROR(__xludf.DUMMYFUNCTION("GOOGLETRANSLATE(A3920, ""zh"", ""en"")"),"Data security")</f>
        <v>Data security</v>
      </c>
      <c r="C3920" s="1" t="str">
        <f ca="1">IFERROR(__xludf.DUMMYFUNCTION("GOOGLETRANSLATE(E3920, ""zh"", ""en"")"),"Qualitative text")</f>
        <v>Qualitative text</v>
      </c>
    </row>
    <row r="3921" spans="1:3" ht="13" x14ac:dyDescent="0.15">
      <c r="A3921" s="1" t="str">
        <f ca="1">IFERROR(__xludf.DUMMYFUNCTION("GOOGLETRANSLATE(A3921, ""zh"", ""en"")"),"The company regularly conducts market benchmarking of compensation and performance, deepens the application of benchmarking results and guides affiliated units to refer to labor market prices to control the income distribution gap between personnel at dif"&amp;"ferent job levels, improve the compensation competitiveness of key core talents, and establish a reasonable distribution relationship.")</f>
        <v>The company regularly conducts market benchmarking of compensation and performance, deepens the application of benchmarking results and guides affiliated units to refer to labor market prices to control the income distribution gap between personnel at different job levels, improve the compensation competitiveness of key core talents, and establish a reasonable distribution relationship.</v>
      </c>
      <c r="B3921" s="1" t="str">
        <f ca="1">IFERROR(__xludf.DUMMYFUNCTION("GOOGLETRANSLATE(A3921, ""zh"", ""en"")"),"staff")</f>
        <v>staff</v>
      </c>
      <c r="C3921" s="1" t="str">
        <f ca="1">IFERROR(__xludf.DUMMYFUNCTION("GOOGLETRANSLATE(E3921, ""zh"", ""en"")"),"Qualitative text")</f>
        <v>Qualitative text</v>
      </c>
    </row>
    <row r="3922" spans="1:3" ht="13" x14ac:dyDescent="0.15">
      <c r="A3922" s="1" t="str">
        <f ca="1">IFERROR(__xludf.DUMMYFUNCTION("GOOGLETRANSLATE(A3922, ""zh"", ""en"")"),"The principle of sunshine and transparent procurement is the first priority. Quality and sustainable supplier integrity management is to further standardize supplier management and improve the service quality of suppliers in accordance with contract perfo"&amp;"rmance and other violations of laws, regulations and rules. On the Yilian.com procurement platform, structured management behavior")</f>
        <v>The principle of sunshine and transparent procurement is the first priority. Quality and sustainable supplier integrity management is to further standardize supplier management and improve the service quality of suppliers in accordance with contract performance and other violations of laws, regulations and rules. On the Yilian.com procurement platform, structured management behavior</v>
      </c>
      <c r="B3922" s="1" t="str">
        <f ca="1">IFERROR(__xludf.DUMMYFUNCTION("GOOGLETRANSLATE(A3922, ""zh"", ""en"")"),"supply chain management")</f>
        <v>supply chain management</v>
      </c>
      <c r="C3922" s="1" t="str">
        <f ca="1">IFERROR(__xludf.DUMMYFUNCTION("GOOGLETRANSLATE(E3922, ""zh"", ""en"")"),"Qualitative text")</f>
        <v>Qualitative text</v>
      </c>
    </row>
    <row r="3923" spans="1:3" ht="13" x14ac:dyDescent="0.15">
      <c r="A3923" s="1" t="str">
        <f ca="1">IFERROR(__xludf.DUMMYFUNCTION("GOOGLETRANSLATE(A3923, ""zh"", ""en"")"),"The company adheres to a zero-tolerance attitude to punish corruption and continuously improves its anti-corruption compliance system and supervision and management procedures. This makes the restriction and supervision of power operation more effective, "&amp;"and the employees' satisfaction rate with anti-corruption work increases year by year, creating a good environment with clean and upright conduct.")</f>
        <v>The company adheres to a zero-tolerance attitude to punish corruption and continuously improves its anti-corruption compliance system and supervision and management procedures. This makes the restriction and supervision of power operation more effective, and the employees' satisfaction rate with anti-corruption work increases year by year, creating a good environment with clean and upright conduct.</v>
      </c>
      <c r="B3923" s="1" t="str">
        <f ca="1">IFERROR(__xludf.DUMMYFUNCTION("GOOGLETRANSLATE(A3923, ""zh"", ""en"")"),"Anti-corruption and anti-money laundering")</f>
        <v>Anti-corruption and anti-money laundering</v>
      </c>
      <c r="C3923" s="1" t="str">
        <f ca="1">IFERROR(__xludf.DUMMYFUNCTION("GOOGLETRANSLATE(E3923, ""zh"", ""en"")"),"Qualitative text")</f>
        <v>Qualitative text</v>
      </c>
    </row>
    <row r="3924" spans="1:3" ht="13" x14ac:dyDescent="0.15">
      <c r="A3924" s="1" t="str">
        <f ca="1">IFERROR(__xludf.DUMMYFUNCTION("GOOGLETRANSLATE(A3924, ""zh"", ""en"")"),"At offshore production sites, waste that is allowed to be discharged is treated in accordance with the requirements and then discharged in accordance with the regulations. Pollutants that do not meet the discharge requirements are transported back to land"&amp;" by the operation site and handed over to a qualified third party for recycling and treatment.")</f>
        <v>At offshore production sites, waste that is allowed to be discharged is treated in accordance with the requirements and then discharged in accordance with the regulations. Pollutants that do not meet the discharge requirements are transported back to land by the operation site and handed over to a qualified third party for recycling and treatment.</v>
      </c>
      <c r="B3924" s="1" t="str">
        <f ca="1">IFERROR(__xludf.DUMMYFUNCTION("GOOGLETRANSLATE(A3924, ""zh"", ""en"")"),"Waste Management")</f>
        <v>Waste Management</v>
      </c>
      <c r="C3924" s="1" t="str">
        <f ca="1">IFERROR(__xludf.DUMMYFUNCTION("GOOGLETRANSLATE(E3924, ""zh"", ""en"")"),"Qualitative text")</f>
        <v>Qualitative text</v>
      </c>
    </row>
    <row r="3925" spans="1:3" ht="13" x14ac:dyDescent="0.15">
      <c r="A3925" s="1" t="str">
        <f ca="1">IFERROR(__xludf.DUMMYFUNCTION("GOOGLETRANSLATE(A3925, ""zh"", ""en"")"),"Okonzene Topitant Palonosetron Capsules, the world's first oral targeted small molecule approved for the treatment of silver brow disease, are currently the largest local sub-center in French-speaking West Africa. Oteler Apremilast Tablets are the world's"&amp;" first. More drugs are entering emerging markets.")</f>
        <v>Okonzene Topitant Palonosetron Capsules, the world's first oral targeted small molecule approved for the treatment of silver brow disease, are currently the largest local sub-center in French-speaking West Africa. Oteler Apremilast Tablets are the world's first. More drugs are entering emerging markets.</v>
      </c>
      <c r="B3925" s="1" t="str">
        <f ca="1">IFERROR(__xludf.DUMMYFUNCTION("GOOGLETRANSLATE(A3925, ""zh"", ""en"")"),"Technological innovation")</f>
        <v>Technological innovation</v>
      </c>
      <c r="C3925" s="1" t="str">
        <f ca="1">IFERROR(__xludf.DUMMYFUNCTION("GOOGLETRANSLATE(E3925, ""zh"", ""en"")"),"Qualitative text")</f>
        <v>Qualitative text</v>
      </c>
    </row>
    <row r="3926" spans="1:3" ht="13" x14ac:dyDescent="0.15">
      <c r="A3926" s="1" t="str">
        <f ca="1">IFERROR(__xludf.DUMMYFUNCTION("GOOGLETRANSLATE(A3926, ""zh"", ""en"")"),"GRI 418 Customer Privacy 2016 4181 Substantiated complaints related to breaches of customer privacy and loss of customer data The organization has no significant substantiated complaints related to breaches of customer privacy and loss of customer data in"&amp;" 2022")</f>
        <v>GRI 418 Customer Privacy 2016 4181 Substantiated complaints related to breaches of customer privacy and loss of customer data The organization has no significant substantiated complaints related to breaches of customer privacy and loss of customer data in 2022</v>
      </c>
      <c r="B3926" s="1" t="str">
        <f ca="1">IFERROR(__xludf.DUMMYFUNCTION("GOOGLETRANSLATE(A3926, ""zh"", ""en"")"),"Customers and Consumers")</f>
        <v>Customers and Consumers</v>
      </c>
      <c r="C3926" s="1" t="str">
        <f ca="1">IFERROR(__xludf.DUMMYFUNCTION("GOOGLETRANSLATE(E3926, ""zh"", ""en"")"),"Quantitative Text")</f>
        <v>Quantitative Text</v>
      </c>
    </row>
    <row r="3927" spans="1:3" ht="13" x14ac:dyDescent="0.15">
      <c r="A3927" s="1" t="str">
        <f ca="1">IFERROR(__xludf.DUMMYFUNCTION("GOOGLETRANSLATE(A3927, ""zh"", ""en"")"),"In the future, the Uganda company will continue to provide jobs that meet the skill requirements for the local community in the operating area in accordance with the requirements of the local government and Party A, ensuring that every community village i"&amp;"n the operating area has the right to obtain the available job opportunity quota.")</f>
        <v>In the future, the Uganda company will continue to provide jobs that meet the skill requirements for the local community in the operating area in accordance with the requirements of the local government and Party A, ensuring that every community village in the operating area has the right to obtain the available job opportunity quota.</v>
      </c>
      <c r="B3927" s="1" t="str">
        <f ca="1">IFERROR(__xludf.DUMMYFUNCTION("GOOGLETRANSLATE(A3927, ""zh"", ""en"")"),"Promoting employment")</f>
        <v>Promoting employment</v>
      </c>
      <c r="C3927" s="1" t="str">
        <f ca="1">IFERROR(__xludf.DUMMYFUNCTION("GOOGLETRANSLATE(E3927, ""zh"", ""en"")"),"Qualitative text")</f>
        <v>Qualitative text</v>
      </c>
    </row>
    <row r="3928" spans="1:3" ht="13" x14ac:dyDescent="0.15">
      <c r="A3928" s="1" t="str">
        <f ca="1">IFERROR(__xludf.DUMMYFUNCTION("GOOGLETRANSLATE(A3928, ""zh"", ""en"")"),"The company sets a 100% detection rate for occupational hazard factors, a 100% effective prevention and control rate, a 100% occupational health examination rate, and a 100% intervention rate for high-risk personnel as its occupational health management g"&amp;"oals and continuously carries out relevant health and safety management actions around these goals.")</f>
        <v>The company sets a 100% detection rate for occupational hazard factors, a 100% effective prevention and control rate, a 100% occupational health examination rate, and a 100% intervention rate for high-risk personnel as its occupational health management goals and continuously carries out relevant health and safety management actions around these goals.</v>
      </c>
      <c r="B3928" s="1" t="str">
        <f ca="1">IFERROR(__xludf.DUMMYFUNCTION("GOOGLETRANSLATE(A3928, ""zh"", ""en"")"),"staff")</f>
        <v>staff</v>
      </c>
      <c r="C3928" s="1" t="str">
        <f ca="1">IFERROR(__xludf.DUMMYFUNCTION("GOOGLETRANSLATE(E3928, ""zh"", ""en"")"),"Quantitative Text")</f>
        <v>Quantitative Text</v>
      </c>
    </row>
    <row r="3929" spans="1:3" ht="13" x14ac:dyDescent="0.15">
      <c r="A3929" s="1" t="str">
        <f ca="1">IFERROR(__xludf.DUMMYFUNCTION("GOOGLETRANSLATE(A3929, ""zh"", ""en"")"),"We analyze the causes of common accidents such as leakage and rollover that occur during transportation between regional companies and share them among regional companies in the form of monthly special meetings to warn employees of possible logistics safe"&amp;"ty risks and enhance their safety management awareness.")</f>
        <v>We analyze the causes of common accidents such as leakage and rollover that occur during transportation between regional companies and share them among regional companies in the form of monthly special meetings to warn employees of possible logistics safety risks and enhance their safety management awareness.</v>
      </c>
      <c r="B3929" s="1" t="str">
        <f ca="1">IFERROR(__xludf.DUMMYFUNCTION("GOOGLETRANSLATE(A3929, ""zh"", ""en"")"),"staff")</f>
        <v>staff</v>
      </c>
      <c r="C3929" s="1" t="str">
        <f ca="1">IFERROR(__xludf.DUMMYFUNCTION("GOOGLETRANSLATE(E3929, ""zh"", ""en"")"),"Qualitative text")</f>
        <v>Qualitative text</v>
      </c>
    </row>
    <row r="3930" spans="1:3" ht="13" x14ac:dyDescent="0.15">
      <c r="A3930" s="1" t="str">
        <f ca="1">IFERROR(__xludf.DUMMYFUNCTION("GOOGLETRANSLATE(A3930, ""zh"", ""en"")"),"Position and rank iteration In 2022, the company upgraded its training concepts, training content, and training methods. During the epidemic, it launched multiple online psychological group counseling courses and released multiple epidemic prevention and "&amp;"control guidelines to help employees adjust their mindsets and respond scientifically to the impact of the epidemic.")</f>
        <v>Position and rank iteration In 2022, the company upgraded its training concepts, training content, and training methods. During the epidemic, it launched multiple online psychological group counseling courses and released multiple epidemic prevention and control guidelines to help employees adjust their mindsets and respond scientifically to the impact of the epidemic.</v>
      </c>
      <c r="B3930" s="1" t="str">
        <f ca="1">IFERROR(__xludf.DUMMYFUNCTION("GOOGLETRANSLATE(A3930, ""zh"", ""en"")"),"Fighting the epidemic")</f>
        <v>Fighting the epidemic</v>
      </c>
      <c r="C3930" s="1" t="str">
        <f ca="1">IFERROR(__xludf.DUMMYFUNCTION("GOOGLETRANSLATE(E3930, ""zh"", ""en"")"),"Qualitative text")</f>
        <v>Qualitative text</v>
      </c>
    </row>
    <row r="3931" spans="1:3" ht="13" x14ac:dyDescent="0.15">
      <c r="A3931" s="1" t="str">
        <f ca="1">IFERROR(__xludf.DUMMYFUNCTION("GOOGLETRANSLATE(A3931, ""zh"", ""en"")"),"Product quality improvement: In 2022, a total of 21 internal and external training sessions were conducted, with 134 participants participating in the interactive training. The main training content included ISO9001 standard 5Why analysis method, etc. One"&amp;" professional pillar award and two elite backbone awards were selected.")</f>
        <v>Product quality improvement: In 2022, a total of 21 internal and external training sessions were conducted, with 134 participants participating in the interactive training. The main training content included ISO9001 standard 5Why analysis method, etc. One professional pillar award and two elite backbone awards were selected.</v>
      </c>
      <c r="B3931" s="1" t="str">
        <f ca="1">IFERROR(__xludf.DUMMYFUNCTION("GOOGLETRANSLATE(A3931, ""zh"", ""en"")"),"Product quality")</f>
        <v>Product quality</v>
      </c>
      <c r="C3931" s="1" t="str">
        <f ca="1">IFERROR(__xludf.DUMMYFUNCTION("GOOGLETRANSLATE(E3931, ""zh"", ""en"")"),"Quantitative Text")</f>
        <v>Quantitative Text</v>
      </c>
    </row>
    <row r="3932" spans="1:3" ht="13" x14ac:dyDescent="0.15">
      <c r="A3932" s="1" t="str">
        <f ca="1">IFERROR(__xludf.DUMMYFUNCTION("GOOGLETRANSLATE(A3932, ""zh"", ""en"")"),"Haier tops the list of foreign brands in German white goods brands. In September 2022, the authoritative German magazine Marktintern announced the results of the 2022 white goods brand rankings. Haier Smart Home ranked first among foreign brands in the ov"&amp;"erall list.")</f>
        <v>Haier tops the list of foreign brands in German white goods brands. In September 2022, the authoritative German magazine Marktintern announced the results of the 2022 white goods brand rankings. Haier Smart Home ranked first among foreign brands in the overall list.</v>
      </c>
      <c r="B3932" s="1" t="str">
        <f ca="1">IFERROR(__xludf.DUMMYFUNCTION("GOOGLETRANSLATE(A3932, ""zh"", ""en"")"),"Product quality")</f>
        <v>Product quality</v>
      </c>
      <c r="C3932" s="1" t="str">
        <f ca="1">IFERROR(__xludf.DUMMYFUNCTION("GOOGLETRANSLATE(E3932, ""zh"", ""en"")"),"Quantitative Text")</f>
        <v>Quantitative Text</v>
      </c>
    </row>
    <row r="3933" spans="1:3" ht="13" x14ac:dyDescent="0.15">
      <c r="A3933" s="1" t="str">
        <f ca="1">IFERROR(__xludf.DUMMYFUNCTION("GOOGLETRANSLATE(A3933, ""zh"", ""en"")"),"By 2022, Haier Smart Home has signed strategic cooperation agreements with more than 40 dismantling plants across the country to send the recycled waste appliances to Haier Laixi Recycling Interconnection Plant and other formal dismantling companies in th"&amp;"e industry to ensure that every waste appliance is disposed of in compliance with regulations.")</f>
        <v>By 2022, Haier Smart Home has signed strategic cooperation agreements with more than 40 dismantling plants across the country to send the recycled waste appliances to Haier Laixi Recycling Interconnection Plant and other formal dismantling companies in the industry to ensure that every waste appliance is disposed of in compliance with regulations.</v>
      </c>
      <c r="B3933" s="1" t="str">
        <f ca="1">IFERROR(__xludf.DUMMYFUNCTION("GOOGLETRANSLATE(A3933, ""zh"", ""en"")"),"Waste Management")</f>
        <v>Waste Management</v>
      </c>
      <c r="C3933" s="1" t="str">
        <f ca="1">IFERROR(__xludf.DUMMYFUNCTION("GOOGLETRANSLATE(E3933, ""zh"", ""en"")"),"Qualitative text")</f>
        <v>Qualitative text</v>
      </c>
    </row>
    <row r="3934" spans="1:3" ht="13" x14ac:dyDescent="0.15">
      <c r="A3934" s="1" t="str">
        <f ca="1">IFERROR(__xludf.DUMMYFUNCTION("GOOGLETRANSLATE(A3934, ""zh"", ""en"")"),"Leader was listed in the Most Valuable Brands List on July 26, 2022. Leader was listed in the 2022 China 500 Most Valuable Brands with a brand value of 13.378 billion yuan. It is the only young home appliance brand selected")</f>
        <v>Leader was listed in the Most Valuable Brands List on July 26, 2022. Leader was listed in the 2022 China 500 Most Valuable Brands with a brand value of 13.378 billion yuan. It is the only young home appliance brand selected</v>
      </c>
      <c r="B3934" s="1" t="str">
        <f ca="1">IFERROR(__xludf.DUMMYFUNCTION("GOOGLETRANSLATE(A3934, ""zh"", ""en"")"),"Product quality")</f>
        <v>Product quality</v>
      </c>
      <c r="C3934" s="1" t="str">
        <f ca="1">IFERROR(__xludf.DUMMYFUNCTION("GOOGLETRANSLATE(E3934, ""zh"", ""en"")"),"Quantitative Text")</f>
        <v>Quantitative Text</v>
      </c>
    </row>
    <row r="3935" spans="1:3" ht="13" x14ac:dyDescent="0.15">
      <c r="A3935" s="1" t="str">
        <f ca="1">IFERROR(__xludf.DUMMYFUNCTION("GOOGLETRANSLATE(A3935, ""zh"", ""en"")"),"Formulate detailed safety management rules for internal floating roof tank maintenance and laboratory safety supervision and management regulations for key risk areas; coordinate and promote special management work on safety risks such as hazardous chemic"&amp;"als, long-distance oil and gas pipelines, urban gas, and housing and building safety.")</f>
        <v>Formulate detailed safety management rules for internal floating roof tank maintenance and laboratory safety supervision and management regulations for key risk areas; coordinate and promote special management work on safety risks such as hazardous chemicals, long-distance oil and gas pipelines, urban gas, and housing and building safety.</v>
      </c>
      <c r="B3935" s="1" t="str">
        <f ca="1">IFERROR(__xludf.DUMMYFUNCTION("GOOGLETRANSLATE(A3935, ""zh"", ""en"")"),"Chemical Safety")</f>
        <v>Chemical Safety</v>
      </c>
      <c r="C3935" s="1" t="str">
        <f ca="1">IFERROR(__xludf.DUMMYFUNCTION("GOOGLETRANSLATE(E3935, ""zh"", ""en"")"),"Qualitative text")</f>
        <v>Qualitative text</v>
      </c>
    </row>
    <row r="3936" spans="1:3" ht="13" x14ac:dyDescent="0.15">
      <c r="A3936" s="1" t="str">
        <f ca="1">IFERROR(__xludf.DUMMYFUNCTION("GOOGLETRANSLATE(A3936, ""zh"", ""en"")"),"This impact is not only reflected in creating jobs, contributing tax revenue, and bringing business opportunities to local suppliers and contractors, but also in reducing the impact of production and operation activities on the community environment and s"&amp;"ociety, safeguarding the human rights of community residents, and promoting the improvement of local self-development capabilities.")</f>
        <v>This impact is not only reflected in creating jobs, contributing tax revenue, and bringing business opportunities to local suppliers and contractors, but also in reducing the impact of production and operation activities on the community environment and society, safeguarding the human rights of community residents, and promoting the improvement of local self-development capabilities.</v>
      </c>
      <c r="B3936" s="1" t="str">
        <f ca="1">IFERROR(__xludf.DUMMYFUNCTION("GOOGLETRANSLATE(A3936, ""zh"", ""en"")"),"Promoting employment")</f>
        <v>Promoting employment</v>
      </c>
      <c r="C3936" s="1" t="str">
        <f ca="1">IFERROR(__xludf.DUMMYFUNCTION("GOOGLETRANSLATE(E3936, ""zh"", ""en"")"),"Qualitative text")</f>
        <v>Qualitative text</v>
      </c>
    </row>
    <row r="3937" spans="1:3" ht="13" x14ac:dyDescent="0.15">
      <c r="A3937" s="1" t="str">
        <f ca="1">IFERROR(__xludf.DUMMYFUNCTION("GOOGLETRANSLATE(A3937, ""zh"", ""en"")"),"During the reporting period, the company established a Strategy and Sustainability (ESG) Committee to enhance the company's management level in areas such as corporate governance, environmental protection, production safety, community relations, employee "&amp;"rights and interests, and resource utilization, and to continuously improve performance on related issues.")</f>
        <v>During the reporting period, the company established a Strategy and Sustainability (ESG) Committee to enhance the company's management level in areas such as corporate governance, environmental protection, production safety, community relations, employee rights and interests, and resource utilization, and to continuously improve performance on related issues.</v>
      </c>
      <c r="B3937" s="1" t="str">
        <f ca="1">IFERROR(__xludf.DUMMYFUNCTION("GOOGLETRANSLATE(A3937, ""zh"", ""en"")"),"Organizational structure and operations")</f>
        <v>Organizational structure and operations</v>
      </c>
      <c r="C3937" s="1" t="str">
        <f ca="1">IFERROR(__xludf.DUMMYFUNCTION("GOOGLETRANSLATE(E3937, ""zh"", ""en"")"),"Qualitative text")</f>
        <v>Qualitative text</v>
      </c>
    </row>
    <row r="3938" spans="1:3" ht="13" x14ac:dyDescent="0.15">
      <c r="A3938" s="1" t="str">
        <f ca="1">IFERROR(__xludf.DUMMYFUNCTION("GOOGLETRANSLATE(A3938, ""zh"", ""en"")"),"In order to strengthen the construction of confidentiality system, we have strengthened the confidentiality deployment of scientific research information. On the basis of the original R&amp;D confidentiality system, we have further incorporated the pilot tran"&amp;"sfer production into the use of data security encryption and confidentiality system to ensure the realization of information security in the entire chain from R&amp;D to production.")</f>
        <v>In order to strengthen the construction of confidentiality system, we have strengthened the confidentiality deployment of scientific research information. On the basis of the original R&amp;D confidentiality system, we have further incorporated the pilot transfer production into the use of data security encryption and confidentiality system to ensure the realization of information security in the entire chain from R&amp;D to production.</v>
      </c>
      <c r="B3938" s="1" t="str">
        <f ca="1">IFERROR(__xludf.DUMMYFUNCTION("GOOGLETRANSLATE(A3938, ""zh"", ""en"")"),"Data security")</f>
        <v>Data security</v>
      </c>
      <c r="C3938" s="1" t="str">
        <f ca="1">IFERROR(__xludf.DUMMYFUNCTION("GOOGLETRANSLATE(E3938, ""zh"", ""en"")"),"Qualitative text")</f>
        <v>Qualitative text</v>
      </c>
    </row>
    <row r="3939" spans="1:3" ht="13" x14ac:dyDescent="0.15">
      <c r="A3939" s="1" t="str">
        <f ca="1">IFERROR(__xludf.DUMMYFUNCTION("GOOGLETRANSLATE(A3939, ""zh"", ""en"")"),"Polymyxin has a low resistance rate and strong antibacterial activity against Gram-negative bacteria such as Escherichia coli. It is known as the last line of defense against multidrug-resistant Gram-negative bacterial infections that are ineffective agai"&amp;"nst antibiotics such as β-lactams, aminoglycosides, or quinolones.")</f>
        <v>Polymyxin has a low resistance rate and strong antibacterial activity against Gram-negative bacteria such as Escherichia coli. It is known as the last line of defense against multidrug-resistant Gram-negative bacterial infections that are ineffective against antibiotics such as β-lactams, aminoglycosides, or quinolones.</v>
      </c>
      <c r="B3939" s="1" t="str">
        <f ca="1">IFERROR(__xludf.DUMMYFUNCTION("GOOGLETRANSLATE(A3939, ""zh"", ""en"")"),"Product quality")</f>
        <v>Product quality</v>
      </c>
      <c r="C3939" s="1" t="str">
        <f ca="1">IFERROR(__xludf.DUMMYFUNCTION("GOOGLETRANSLATE(E3939, ""zh"", ""en"")"),"Qualitative text")</f>
        <v>Qualitative text</v>
      </c>
    </row>
    <row r="3940" spans="1:3" ht="13" x14ac:dyDescent="0.15">
      <c r="A3940" s="1" t="str">
        <f ca="1">IFERROR(__xludf.DUMMYFUNCTION("GOOGLETRANSLATE(A3940, ""zh"", ""en"")"),"Cultural Exchange Tajik Luban Workshop In the afternoon of August 2022, Li Yaohui, Vice President of the company and General Manager of Tajik-China Mining, met with Tianjin Institute of Construction, the construction unit of Tajik Luban Workshop, at the c"&amp;"ompany's Dushanbe office. The two sides discussed the construction of the Tajik Luban Workshop project.")</f>
        <v>Cultural Exchange Tajik Luban Workshop In the afternoon of August 2022, Li Yaohui, Vice President of the company and General Manager of Tajik-China Mining, met with Tianjin Institute of Construction, the construction unit of Tajik Luban Workshop, at the company's Dushanbe office. The two sides discussed the construction of the Tajik Luban Workshop project.</v>
      </c>
      <c r="B3940" s="1" t="str">
        <f ca="1">IFERROR(__xludf.DUMMYFUNCTION("GOOGLETRANSLATE(A3940, ""zh"", ""en"")"),"Technological innovation")</f>
        <v>Technological innovation</v>
      </c>
      <c r="C3940" s="1" t="str">
        <f ca="1">IFERROR(__xludf.DUMMYFUNCTION("GOOGLETRANSLATE(E3940, ""zh"", ""en"")"),"Qualitative text")</f>
        <v>Qualitative text</v>
      </c>
    </row>
    <row r="3941" spans="1:3" ht="13" x14ac:dyDescent="0.15">
      <c r="A3941" s="1" t="str">
        <f ca="1">IFERROR(__xludf.DUMMYFUNCTION("GOOGLETRANSLATE(A3941, ""zh"", ""en"")"),"In order to solve local employment problems, we adhere to the concept of local management and carry out various forms of vocational skills training and employment training with the support of relevant government departments in the operating area and in ac"&amp;"cordance with the basic principle of relying on joint education with enterprises to improve skills and promote employment.")</f>
        <v>In order to solve local employment problems, we adhere to the concept of local management and carry out various forms of vocational skills training and employment training with the support of relevant government departments in the operating area and in accordance with the basic principle of relying on joint education with enterprises to improve skills and promote employment.</v>
      </c>
      <c r="B3941" s="1" t="str">
        <f ca="1">IFERROR(__xludf.DUMMYFUNCTION("GOOGLETRANSLATE(A3941, ""zh"", ""en"")"),"Promoting employment")</f>
        <v>Promoting employment</v>
      </c>
      <c r="C3941" s="1" t="str">
        <f ca="1">IFERROR(__xludf.DUMMYFUNCTION("GOOGLETRANSLATE(E3941, ""zh"", ""en"")"),"Qualitative text")</f>
        <v>Qualitative text</v>
      </c>
    </row>
    <row r="3942" spans="1:3" ht="13" x14ac:dyDescent="0.15">
      <c r="A3942" s="1" t="str">
        <f ca="1">IFERROR(__xludf.DUMMYFUNCTION("GOOGLETRANSLATE(A3942, ""zh"", ""en"")"),"Focusing on high-quality development, we are focusing on the core business and achieving high-quality development. We invested 1.134 billion yuan in R&amp;D, newly authorized 147 patents, and possessed 2018 professional and technical qualifications. Key perfo"&amp;"rmance indicators: Quality and safety are the lifeline of pharmaceutical companies.")</f>
        <v>Focusing on high-quality development, we are focusing on the core business and achieving high-quality development. We invested 1.134 billion yuan in R&amp;D, newly authorized 147 patents, and possessed 2018 professional and technical qualifications. Key performance indicators: Quality and safety are the lifeline of pharmaceutical companies.</v>
      </c>
      <c r="B3942" s="1" t="str">
        <f ca="1">IFERROR(__xludf.DUMMYFUNCTION("GOOGLETRANSLATE(A3942, ""zh"", ""en"")"),"Technological innovation")</f>
        <v>Technological innovation</v>
      </c>
      <c r="C3942" s="1" t="str">
        <f ca="1">IFERROR(__xludf.DUMMYFUNCTION("GOOGLETRANSLATE(E3942, ""zh"", ""en"")"),"Quantitative Text")</f>
        <v>Quantitative Text</v>
      </c>
    </row>
    <row r="3943" spans="1:3" ht="13" x14ac:dyDescent="0.15">
      <c r="A3943" s="1" t="str">
        <f ca="1">IFERROR(__xludf.DUMMYFUNCTION("GOOGLETRANSLATE(A3943, ""zh"", ""en"")"),"Faced with an increasingly complex and volatile external environment and the company's development tasks, SDIC Capital adheres to the general principle of seeking progress while maintaining stability, adheres to the original intention of providing financi"&amp;"al services to the real economy, seeks truth from facts, and is determined to move forward, striving tirelessly to build a first-class financial holding platform for listed central enterprises in China.")</f>
        <v>Faced with an increasingly complex and volatile external environment and the company's development tasks, SDIC Capital adheres to the general principle of seeking progress while maintaining stability, adheres to the original intention of providing financial services to the real economy, seeks truth from facts, and is determined to move forward, striving tirelessly to build a first-class financial holding platform for listed central enterprises in China.</v>
      </c>
      <c r="B3943" s="1" t="str">
        <f ca="1">IFERROR(__xludf.DUMMYFUNCTION("GOOGLETRANSLATE(A3943, ""zh"", ""en"")"),"Organizational structure and operations")</f>
        <v>Organizational structure and operations</v>
      </c>
      <c r="C3943" s="1" t="str">
        <f ca="1">IFERROR(__xludf.DUMMYFUNCTION("GOOGLETRANSLATE(E3943, ""zh"", ""en"")"),"Qualitative text")</f>
        <v>Qualitative text</v>
      </c>
    </row>
    <row r="3944" spans="1:3" ht="13" x14ac:dyDescent="0.15">
      <c r="A3944" s="1" t="str">
        <f ca="1">IFERROR(__xludf.DUMMYFUNCTION("GOOGLETRANSLATE(A3944, ""zh"", ""en"")"),"Looking ahead to 2023, the domestic economic order will gradually return to normal, the industrial chain and supply chain will resume smooth operation, corporate production activities will be carried out in an orderly manner, market demand will continue t"&amp;"o expand, and investment potential will continue to be released. It is expected that the warehousing industry will gradually return to a stable and positive operating trend.")</f>
        <v>Looking ahead to 2023, the domestic economic order will gradually return to normal, the industrial chain and supply chain will resume smooth operation, corporate production activities will be carried out in an orderly manner, market demand will continue to expand, and investment potential will continue to be released. It is expected that the warehousing industry will gradually return to a stable and positive operating trend.</v>
      </c>
      <c r="B3944" s="1" t="str">
        <f ca="1">IFERROR(__xludf.DUMMYFUNCTION("GOOGLETRANSLATE(A3944, ""zh"", ""en"")"),"supply chain management")</f>
        <v>supply chain management</v>
      </c>
      <c r="C3944" s="1" t="str">
        <f ca="1">IFERROR(__xludf.DUMMYFUNCTION("GOOGLETRANSLATE(E3944, ""zh"", ""en"")"),"Qualitative text")</f>
        <v>Qualitative text</v>
      </c>
    </row>
    <row r="3945" spans="1:3" ht="13" x14ac:dyDescent="0.15">
      <c r="A3945" s="1" t="str">
        <f ca="1">IFERROR(__xludf.DUMMYFUNCTION("GOOGLETRANSLATE(A3945, ""zh"", ""en"")"),"It is a source of pride and honor for all CCB employees who have found new career coordinates, new values, new career stages, and deeply felt that finance is a beautiful cause that serves society through the new financial action of serving the general pub"&amp;"lic, solving social pain points, and building a better life.")</f>
        <v>It is a source of pride and honor for all CCB employees who have found new career coordinates, new values, new career stages, and deeply felt that finance is a beautiful cause that serves society through the new financial action of serving the general public, solving social pain points, and building a better life.</v>
      </c>
      <c r="B3945" s="1" t="str">
        <f ca="1">IFERROR(__xludf.DUMMYFUNCTION("GOOGLETRANSLATE(A3945, ""zh"", ""en"")"),"Promoting employment")</f>
        <v>Promoting employment</v>
      </c>
      <c r="C3945" s="1" t="str">
        <f ca="1">IFERROR(__xludf.DUMMYFUNCTION("GOOGLETRANSLATE(E3945, ""zh"", ""en"")"),"Qualitative text")</f>
        <v>Qualitative text</v>
      </c>
    </row>
    <row r="3946" spans="1:3" ht="13" x14ac:dyDescent="0.15">
      <c r="A3946" s="1" t="str">
        <f ca="1">IFERROR(__xludf.DUMMYFUNCTION("GOOGLETRANSLATE(A3946, ""zh"", ""en"")"),"The company hired external experts to hold compliance lectures on the theory and practice of corporate compliance under the Antitrust Law and legal risk prevention for corporate advertising, in order to enhance the compliance awareness of employees and cr"&amp;"eate a strong corporate culture of legal and compliant operations.")</f>
        <v>The company hired external experts to hold compliance lectures on the theory and practice of corporate compliance under the Antitrust Law and legal risk prevention for corporate advertising, in order to enhance the compliance awareness of employees and create a strong corporate culture of legal and compliant operations.</v>
      </c>
      <c r="B3946" s="1" t="str">
        <f ca="1">IFERROR(__xludf.DUMMYFUNCTION("GOOGLETRANSLATE(A3946, ""zh"", ""en"")"),"Anti-unfair competition")</f>
        <v>Anti-unfair competition</v>
      </c>
      <c r="C3946" s="1" t="str">
        <f ca="1">IFERROR(__xludf.DUMMYFUNCTION("GOOGLETRANSLATE(E3946, ""zh"", ""en"")"),"Qualitative text")</f>
        <v>Qualitative text</v>
      </c>
    </row>
    <row r="3947" spans="1:3" ht="13" x14ac:dyDescent="0.15">
      <c r="A3947" s="1" t="str">
        <f ca="1">IFERROR(__xludf.DUMMYFUNCTION("GOOGLETRANSLATE(A3947, ""zh"", ""en"")"),"In 2022, Fosun Pharma will focus on patients' unmet clinical needs, continue to increase investment in innovation, promote the launch of innovative products to improve drug accessibility and affordability, truly address people's health needs, and strive t"&amp;"o promote the sustainable development of China's health industry.")</f>
        <v>In 2022, Fosun Pharma will focus on patients' unmet clinical needs, continue to increase investment in innovation, promote the launch of innovative products to improve drug accessibility and affordability, truly address people's health needs, and strive to promote the sustainable development of China's health industry.</v>
      </c>
      <c r="B3947" s="1" t="str">
        <f ca="1">IFERROR(__xludf.DUMMYFUNCTION("GOOGLETRANSLATE(A3947, ""zh"", ""en"")"),"Product quality")</f>
        <v>Product quality</v>
      </c>
      <c r="C3947" s="1" t="str">
        <f ca="1">IFERROR(__xludf.DUMMYFUNCTION("GOOGLETRANSLATE(E3947, ""zh"", ""en"")"),"Qualitative text")</f>
        <v>Qualitative text</v>
      </c>
    </row>
    <row r="3948" spans="1:3" ht="13" x14ac:dyDescent="0.15">
      <c r="A3948" s="1" t="str">
        <f ca="1">IFERROR(__xludf.DUMMYFUNCTION("GOOGLETRANSLATE(A3948, ""zh"", ""en"")"),"Solar energy is renewable and has a good ecological affinity while producing energy. It also provides thermal insulation and is pollution-free and emission-free during use. A better one-stop power station solution helps companies achieve green, efficient "&amp;"and sustainable development and enhance their corporate image.")</f>
        <v>Solar energy is renewable and has a good ecological affinity while producing energy. It also provides thermal insulation and is pollution-free and emission-free during use. A better one-stop power station solution helps companies achieve green, efficient and sustainable development and enhance their corporate image.</v>
      </c>
      <c r="B3948" s="1" t="str">
        <f ca="1">IFERROR(__xludf.DUMMYFUNCTION("GOOGLETRANSLATE(A3948, ""zh"", ""en"")"),"Clean Technology")</f>
        <v>Clean Technology</v>
      </c>
      <c r="C3948" s="1" t="str">
        <f ca="1">IFERROR(__xludf.DUMMYFUNCTION("GOOGLETRANSLATE(E3948, ""zh"", ""en"")"),"Qualitative text")</f>
        <v>Qualitative text</v>
      </c>
    </row>
    <row r="3949" spans="1:3" ht="13" x14ac:dyDescent="0.15">
      <c r="A3949" s="1" t="str">
        <f ca="1">IFERROR(__xludf.DUMMYFUNCTION("GOOGLETRANSLATE(A3949, ""zh"", ""en"")"),"Daily inspection and feedback on waste gas concentration testing. Xinxiang Haibin conducts daily concentration testing of environmental pollutants in production areas and key areas. The concentration monitoring results and waste gas leakage are reported t"&amp;"o each production department, and any non-conforming items are rectified in a timely manner.")</f>
        <v>Daily inspection and feedback on waste gas concentration testing. Xinxiang Haibin conducts daily concentration testing of environmental pollutants in production areas and key areas. The concentration monitoring results and waste gas leakage are reported to each production department, and any non-conforming items are rectified in a timely manner.</v>
      </c>
      <c r="B3949" s="1" t="str">
        <f ca="1">IFERROR(__xludf.DUMMYFUNCTION("GOOGLETRANSLATE(A3949, ""zh"", ""en"")"),"Waste Management")</f>
        <v>Waste Management</v>
      </c>
      <c r="C3949" s="1" t="str">
        <f ca="1">IFERROR(__xludf.DUMMYFUNCTION("GOOGLETRANSLATE(E3949, ""zh"", ""en"")"),"Qualitative text")</f>
        <v>Qualitative text</v>
      </c>
    </row>
    <row r="3950" spans="1:3" ht="13" x14ac:dyDescent="0.15">
      <c r="A3950" s="1" t="str">
        <f ca="1">IFERROR(__xludf.DUMMYFUNCTION("GOOGLETRANSLATE(A3950, ""zh"", ""en"")"),"Visit Songping Hut to care for patients with mental disorders. Purchase paintings to support patients with mental disorders. During the fight against the COVID-19 pandemic, Kangyuan actively fulfilled its social responsibility and provided supplies to fro"&amp;"ntline epidemic prevention personnel, medical workers, and volunteers.")</f>
        <v>Visit Songping Hut to care for patients with mental disorders. Purchase paintings to support patients with mental disorders. During the fight against the COVID-19 pandemic, Kangyuan actively fulfilled its social responsibility and provided supplies to frontline epidemic prevention personnel, medical workers, and volunteers.</v>
      </c>
      <c r="B3950" s="1" t="str">
        <f ca="1">IFERROR(__xludf.DUMMYFUNCTION("GOOGLETRANSLATE(A3950, ""zh"", ""en"")"),"Fighting the epidemic")</f>
        <v>Fighting the epidemic</v>
      </c>
      <c r="C3950" s="1" t="str">
        <f ca="1">IFERROR(__xludf.DUMMYFUNCTION("GOOGLETRANSLATE(E3950, ""zh"", ""en"")"),"Qualitative text")</f>
        <v>Qualitative text</v>
      </c>
    </row>
    <row r="3951" spans="1:3" ht="13" x14ac:dyDescent="0.15">
      <c r="A3951" s="1" t="str">
        <f ca="1">IFERROR(__xludf.DUMMYFUNCTION("GOOGLETRANSLATE(A3951, ""zh"", ""en"")"),"The consumer rights protection departments of the head office and branches have established consumer rights protection posts. The head office's product and service management department and other departments closely related to consumer rights protection w"&amp;"ork have also designated consumer rights protection specialists to carry out relevant work in their departments.")</f>
        <v>The consumer rights protection departments of the head office and branches have established consumer rights protection posts. The head office's product and service management department and other departments closely related to consumer rights protection work have also designated consumer rights protection specialists to carry out relevant work in their departments.</v>
      </c>
      <c r="B3951" s="1" t="str">
        <f ca="1">IFERROR(__xludf.DUMMYFUNCTION("GOOGLETRANSLATE(A3951, ""zh"", ""en"")"),"Customers and Consumers")</f>
        <v>Customers and Consumers</v>
      </c>
      <c r="C3951" s="1" t="str">
        <f ca="1">IFERROR(__xludf.DUMMYFUNCTION("GOOGLETRANSLATE(E3951, ""zh"", ""en"")"),"Qualitative text")</f>
        <v>Qualitative text</v>
      </c>
    </row>
    <row r="3952" spans="1:3" ht="13" x14ac:dyDescent="0.15">
      <c r="A3952" s="1" t="str">
        <f ca="1">IFERROR(__xludf.DUMMYFUNCTION("GOOGLETRANSLATE(A3952, ""zh"", ""en"")"),"Case Study: China Investment and Insurance Corporation (CIIC) partners with the Asian Development Bank (ADB) to protect biodiversity. In 2022, CIIC joined the Biodiversity Finance Partnership (PBF) exchange and cooperation platform to strengthen cooperati"&amp;"on with international institutional members and jointly support biodiversity conservation projects.")</f>
        <v>Case Study: China Investment and Insurance Corporation (CIIC) partners with the Asian Development Bank (ADB) to protect biodiversity. In 2022, CIIC joined the Biodiversity Finance Partnership (PBF) exchange and cooperation platform to strengthen cooperation with international institutional members and jointly support biodiversity conservation projects.</v>
      </c>
      <c r="B3952" s="1" t="str">
        <f ca="1">IFERROR(__xludf.DUMMYFUNCTION("GOOGLETRANSLATE(A3952, ""zh"", ""en"")"),"biodiversity")</f>
        <v>biodiversity</v>
      </c>
      <c r="C3952" s="1" t="str">
        <f ca="1">IFERROR(__xludf.DUMMYFUNCTION("GOOGLETRANSLATE(E3952, ""zh"", ""en"")"),"Qualitative text")</f>
        <v>Qualitative text</v>
      </c>
    </row>
    <row r="3953" spans="1:3" ht="13" x14ac:dyDescent="0.15">
      <c r="A3953" s="1" t="str">
        <f ca="1">IFERROR(__xludf.DUMMYFUNCTION("GOOGLETRANSLATE(A3953, ""zh"", ""en"")"),"Materiality: The Bank follows the Environmental, Social and Governance Reporting Guidelines and conducts materiality assessments based on stakeholder concerns. This includes identifying relevant environmental, social and governance issues, assessing their"&amp;" materiality, and reviewing and confirming the assessment process and results.")</f>
        <v>Materiality: The Bank follows the Environmental, Social and Governance Reporting Guidelines and conducts materiality assessments based on stakeholder concerns. This includes identifying relevant environmental, social and governance issues, assessing their materiality, and reviewing and confirming the assessment process and results.</v>
      </c>
      <c r="B3953" s="1" t="str">
        <f ca="1">IFERROR(__xludf.DUMMYFUNCTION("GOOGLETRANSLATE(A3953, ""zh"", ""en"")"),"Environmental Policy")</f>
        <v>Environmental Policy</v>
      </c>
      <c r="C3953" s="1" t="str">
        <f ca="1">IFERROR(__xludf.DUMMYFUNCTION("GOOGLETRANSLATE(E3953, ""zh"", ""en"")"),"Qualitative text")</f>
        <v>Qualitative text</v>
      </c>
    </row>
    <row r="3954" spans="1:3" ht="13" x14ac:dyDescent="0.15">
      <c r="A3954" s="1" t="str">
        <f ca="1">IFERROR(__xludf.DUMMYFUNCTION("GOOGLETRANSLATE(A3954, ""zh"", ""en"")"),"The Group's support for the most challenging salvage operation in history with its equipment strength not only demonstrates Shanghai Electric Nuclear Power's processing strength in the field of high-end assembly manufacturing, but also fully reflects Shan"&amp;"ghai Electric Nuclear Power's new industrial ecological thinking of cross-border integration of its own technologies to promote common development.")</f>
        <v>The Group's support for the most challenging salvage operation in history with its equipment strength not only demonstrates Shanghai Electric Nuclear Power's processing strength in the field of high-end assembly manufacturing, but also fully reflects Shanghai Electric Nuclear Power's new industrial ecological thinking of cross-border integration of its own technologies to promote common development.</v>
      </c>
      <c r="B3954" s="1" t="str">
        <f ca="1">IFERROR(__xludf.DUMMYFUNCTION("GOOGLETRANSLATE(A3954, ""zh"", ""en"")"),"Technological innovation")</f>
        <v>Technological innovation</v>
      </c>
      <c r="C3954" s="1" t="str">
        <f ca="1">IFERROR(__xludf.DUMMYFUNCTION("GOOGLETRANSLATE(E3954, ""zh"", ""en"")"),"Qualitative text")</f>
        <v>Qualitative text</v>
      </c>
    </row>
    <row r="3955" spans="1:3" ht="13" x14ac:dyDescent="0.15">
      <c r="A3955" s="1" t="str">
        <f ca="1">IFERROR(__xludf.DUMMYFUNCTION("GOOGLETRANSLATE(A3955, ""zh"", ""en"")"),"The project's annual biomass fuel processing capacity is equivalent to reducing standard coal consumption by 110,000 tons and carbon dioxide emissions by 150,000 tons. The average annual cumulative power generation is 250 million kWh, realizing the concep"&amp;"t of an agricultural circular economy model that recycles resources from waste products.")</f>
        <v>The project's annual biomass fuel processing capacity is equivalent to reducing standard coal consumption by 110,000 tons and carbon dioxide emissions by 150,000 tons. The average annual cumulative power generation is 250 million kWh, realizing the concept of an agricultural circular economy model that recycles resources from waste products.</v>
      </c>
      <c r="B3955" s="1" t="str">
        <f ca="1">IFERROR(__xludf.DUMMYFUNCTION("GOOGLETRANSLATE(A3955, ""zh"", ""en"")"),"Waste Management")</f>
        <v>Waste Management</v>
      </c>
      <c r="C3955" s="1" t="str">
        <f ca="1">IFERROR(__xludf.DUMMYFUNCTION("GOOGLETRANSLATE(E3955, ""zh"", ""en"")"),"Quantitative Text")</f>
        <v>Quantitative Text</v>
      </c>
    </row>
    <row r="3956" spans="1:3" ht="13" x14ac:dyDescent="0.15">
      <c r="A3956" s="1" t="str">
        <f ca="1">IFERROR(__xludf.DUMMYFUNCTION("GOOGLETRANSLATE(A3956, ""zh"", ""en"")"),"We insist on starting from our own business and strive to improve rural infrastructure through the construction of local rural projects, improve the rural economic and social development, and provide more employment opportunities for rural residents to ma"&amp;"ke a living through hard work, so as to contribute to the realization of rural revitalization.")</f>
        <v>We insist on starting from our own business and strive to improve rural infrastructure through the construction of local rural projects, improve the rural economic and social development, and provide more employment opportunities for rural residents to make a living through hard work, so as to contribute to the realization of rural revitalization.</v>
      </c>
      <c r="B3956" s="1" t="str">
        <f ca="1">IFERROR(__xludf.DUMMYFUNCTION("GOOGLETRANSLATE(A3956, ""zh"", ""en"")"),"Rural assistance")</f>
        <v>Rural assistance</v>
      </c>
      <c r="C3956" s="1" t="str">
        <f ca="1">IFERROR(__xludf.DUMMYFUNCTION("GOOGLETRANSLATE(E3956, ""zh"", ""en"")"),"Qualitative text")</f>
        <v>Qualitative text</v>
      </c>
    </row>
    <row r="3957" spans="1:3" ht="13" x14ac:dyDescent="0.15">
      <c r="A3957" s="1" t="str">
        <f ca="1">IFERROR(__xludf.DUMMYFUNCTION("GOOGLETRANSLATE(A3957, ""zh"", ""en"")"),"On February 8, 2022, the first Shanghai Electric Cadre Conference of 2022 was held at the training base with the theme of ""Forging Ahead Through Hardships, Drawing a Blueprint for Two Centenaries, Writing a New Chapter, Overcoming Difficulties, Innovatin"&amp;"g and Developing, and Welcoming the Success of the 20th National Congress of the Communist Party of China with Practical Actions.""")</f>
        <v>On February 8, 2022, the first Shanghai Electric Cadre Conference of 2022 was held at the training base with the theme of "Forging Ahead Through Hardships, Drawing a Blueprint for Two Centenaries, Writing a New Chapter, Overcoming Difficulties, Innovating and Developing, and Welcoming the Success of the 20th National Congress of the Communist Party of China with Practical Actions."</v>
      </c>
      <c r="B3957" s="1" t="str">
        <f ca="1">IFERROR(__xludf.DUMMYFUNCTION("GOOGLETRANSLATE(A3957, ""zh"", ""en"")"),"Organizational structure and operations")</f>
        <v>Organizational structure and operations</v>
      </c>
      <c r="C3957" s="1" t="str">
        <f ca="1">IFERROR(__xludf.DUMMYFUNCTION("GOOGLETRANSLATE(E3957, ""zh"", ""en"")"),"Qualitative text")</f>
        <v>Qualitative text</v>
      </c>
    </row>
    <row r="3958" spans="1:3" ht="13" x14ac:dyDescent="0.15">
      <c r="A3958" s="1" t="str">
        <f ca="1">IFERROR(__xludf.DUMMYFUNCTION("GOOGLETRANSLATE(A3958, ""zh"", ""en"")"),"3.1 Environmental Protection and Refined Management 3.2 Energy Conservation and Efficiency Improvement for Green Development 3.3 Addressing Both the Symptoms and the Root Causes Standardizing Pollutant Discharge A4 General Disclosure on Climate Change Ide"&amp;"ntify and address policies for significant climate-related issues that have or may have an impact on the issuer")</f>
        <v>3.1 Environmental Protection and Refined Management 3.2 Energy Conservation and Efficiency Improvement for Green Development 3.3 Addressing Both the Symptoms and the Root Causes Standardizing Pollutant Discharge A4 General Disclosure on Climate Change Identify and address policies for significant climate-related issues that have or may have an impact on the issuer</v>
      </c>
      <c r="B3958" s="1" t="str">
        <f ca="1">IFERROR(__xludf.DUMMYFUNCTION("GOOGLETRANSLATE(A3958, ""zh"", ""en"")"),"Addressing climate change")</f>
        <v>Addressing climate change</v>
      </c>
      <c r="C3958" s="1" t="str">
        <f ca="1">IFERROR(__xludf.DUMMYFUNCTION("GOOGLETRANSLATE(E3958, ""zh"", ""en"")"),"Qualitative text")</f>
        <v>Qualitative text</v>
      </c>
    </row>
    <row r="3959" spans="1:3" ht="13" x14ac:dyDescent="0.15">
      <c r="A3959" s="1" t="str">
        <f ca="1">IFERROR(__xludf.DUMMYFUNCTION("GOOGLETRANSLATE(A3959, ""zh"", ""en"")"),"At the same time, we optimized our recruitment strategy, adopted diversified recruitment channels and methods such as online job fairs, live broadcasts, and online job fairs. We also participated in the State-owned Assets Qiji University Employment Promot"&amp;"ion Month and held summer internship programs to strengthen publicity and recruitment efforts in Shanghai universities.")</f>
        <v>At the same time, we optimized our recruitment strategy, adopted diversified recruitment channels and methods such as online job fairs, live broadcasts, and online job fairs. We also participated in the State-owned Assets Qiji University Employment Promotion Month and held summer internship programs to strengthen publicity and recruitment efforts in Shanghai universities.</v>
      </c>
      <c r="B3959" s="1" t="str">
        <f ca="1">IFERROR(__xludf.DUMMYFUNCTION("GOOGLETRANSLATE(A3959, ""zh"", ""en"")"),"Promoting employment")</f>
        <v>Promoting employment</v>
      </c>
      <c r="C3959" s="1" t="str">
        <f ca="1">IFERROR(__xludf.DUMMYFUNCTION("GOOGLETRANSLATE(E3959, ""zh"", ""en"")"),"Qualitative text")</f>
        <v>Qualitative text</v>
      </c>
    </row>
    <row r="3960" spans="1:3" ht="13" x14ac:dyDescent="0.15">
      <c r="A3960" s="1" t="str">
        <f ca="1">IFERROR(__xludf.DUMMYFUNCTION("GOOGLETRANSLATE(A3960, ""zh"", ""en"")"),"The planned 2-hour course continued for more than 3 hours until all the wrong questions on the test paper were explained.")</f>
        <v>The planned 2-hour course continued for more than 3 hours until all the wrong questions on the test paper were explained.</v>
      </c>
      <c r="B3960" s="1" t="str">
        <f ca="1">IFERROR(__xludf.DUMMYFUNCTION("GOOGLETRANSLATE(A3960, ""zh"", ""en"")"),"Public welfare and volunteer service")</f>
        <v>Public welfare and volunteer service</v>
      </c>
      <c r="C3960" s="1" t="str">
        <f ca="1">IFERROR(__xludf.DUMMYFUNCTION("GOOGLETRANSLATE(E3960, ""zh"", ""en"")"),"Qualitative text")</f>
        <v>Qualitative text</v>
      </c>
    </row>
    <row r="3961" spans="1:3" ht="13" x14ac:dyDescent="0.15">
      <c r="A3961" s="1" t="str">
        <f ca="1">IFERROR(__xludf.DUMMYFUNCTION("GOOGLETRANSLATE(A3961, ""zh"", ""en"")"),"In addition, Shanghai Electric and the Shanghai Mechanical and Electrical Trade Union have reached a consensus on signing a special collective contract for the protection of female employees' rights and interests, encouraging female employees of the group"&amp;" and its affiliated companies to actively participate in the company's production and business activities, continuously innovate, and make new contributions to the company's development.")</f>
        <v>In addition, Shanghai Electric and the Shanghai Mechanical and Electrical Trade Union have reached a consensus on signing a special collective contract for the protection of female employees' rights and interests, encouraging female employees of the group and its affiliated companies to actively participate in the company's production and business activities, continuously innovate, and make new contributions to the company's development.</v>
      </c>
      <c r="B3961" s="1" t="str">
        <f ca="1">IFERROR(__xludf.DUMMYFUNCTION("GOOGLETRANSLATE(A3961, ""zh"", ""en"")"),"staff")</f>
        <v>staff</v>
      </c>
      <c r="C3961" s="1" t="str">
        <f ca="1">IFERROR(__xludf.DUMMYFUNCTION("GOOGLETRANSLATE(E3961, ""zh"", ""en"")"),"Qualitative text")</f>
        <v>Qualitative text</v>
      </c>
    </row>
    <row r="3962" spans="1:3" ht="13" x14ac:dyDescent="0.15">
      <c r="A3962" s="1" t="str">
        <f ca="1">IFERROR(__xludf.DUMMYFUNCTION("GOOGLETRANSLATE(A3962, ""zh"", ""en"")"),"334 Shenma Industrial Co., Ltd. 2021 Social Responsibility Report Protecting a Green Ecosystem Waste Management Company Improves General Solid Waste and Hazardous Waste Management Systems Standardizes Daily Collection, Temporary Storage, Transfer, and Rec"&amp;"eipt Records")</f>
        <v>334 Shenma Industrial Co., Ltd. 2021 Social Responsibility Report Protecting a Green Ecosystem Waste Management Company Improves General Solid Waste and Hazardous Waste Management Systems Standardizes Daily Collection, Temporary Storage, Transfer, and Receipt Records</v>
      </c>
      <c r="B3962" s="1" t="str">
        <f ca="1">IFERROR(__xludf.DUMMYFUNCTION("GOOGLETRANSLATE(A3962, ""zh"", ""en"")"),"Waste Management")</f>
        <v>Waste Management</v>
      </c>
      <c r="C3962" s="1" t="str">
        <f ca="1">IFERROR(__xludf.DUMMYFUNCTION("GOOGLETRANSLATE(E3962, ""zh"", ""en"")"),"Qualitative text")</f>
        <v>Qualitative text</v>
      </c>
    </row>
    <row r="3963" spans="1:3" ht="13" x14ac:dyDescent="0.15">
      <c r="A3963" s="1" t="str">
        <f ca="1">IFERROR(__xludf.DUMMYFUNCTION("GOOGLETRANSLATE(A3963, ""zh"", ""en"")"),"During the intervals of daily inspection and maintenance, we provide targeted water-saving knowledge education to water users and post water-saving publicity signs in the cafeteria of the comprehensive office building to create a good atmosphere for water"&amp;"-saving publicity.")</f>
        <v>During the intervals of daily inspection and maintenance, we provide targeted water-saving knowledge education to water users and post water-saving publicity signs in the cafeteria of the comprehensive office building to create a good atmosphere for water-saving publicity.</v>
      </c>
      <c r="B3963" s="1" t="str">
        <f ca="1">IFERROR(__xludf.DUMMYFUNCTION("GOOGLETRANSLATE(A3963, ""zh"", ""en"")"),"Water resources")</f>
        <v>Water resources</v>
      </c>
      <c r="C3963" s="1" t="str">
        <f ca="1">IFERROR(__xludf.DUMMYFUNCTION("GOOGLETRANSLATE(E3963, ""zh"", ""en"")"),"Qualitative text")</f>
        <v>Qualitative text</v>
      </c>
    </row>
    <row r="3964" spans="1:3" ht="13" x14ac:dyDescent="0.15">
      <c r="A3964" s="1" t="str">
        <f ca="1">IFERROR(__xludf.DUMMYFUNCTION("GOOGLETRANSLATE(A3964, ""zh"", ""en"")"),"Focusing on the independent market strategy, the existing export market will be restructured according to OEM products and independent products, and the existing domestic market will continue to be cultivated in accordance with the ""Three Selfs"" strateg"&amp;"y to ensure that the company's strategy can be fully implemented.")</f>
        <v>Focusing on the independent market strategy, the existing export market will be restructured according to OEM products and independent products, and the existing domestic market will continue to be cultivated in accordance with the "Three Selfs" strategy to ensure that the company's strategy can be fully implemented.</v>
      </c>
      <c r="B3964" s="1" t="str">
        <f ca="1">IFERROR(__xludf.DUMMYFUNCTION("GOOGLETRANSLATE(A3964, ""zh"", ""en"")"),"Organizational structure and operations")</f>
        <v>Organizational structure and operations</v>
      </c>
      <c r="C3964" s="1" t="str">
        <f ca="1">IFERROR(__xludf.DUMMYFUNCTION("GOOGLETRANSLATE(E3964, ""zh"", ""en"")"),"Qualitative text")</f>
        <v>Qualitative text</v>
      </c>
    </row>
    <row r="3965" spans="1:3" ht="13" x14ac:dyDescent="0.15">
      <c r="A3965" s="1" t="str">
        <f ca="1">IFERROR(__xludf.DUMMYFUNCTION("GOOGLETRANSLATE(A3965, ""zh"", ""en"")"),"The newly established Hydrogen Age Company is an important measure for Shanghai Electric to implement its 41x strategy. Relying on its technical accumulation in PEM and alkaline water electrolysis hydrogen production, it will provide advanced, reliable an"&amp;"d customizable hydrogen production products and energy system solutions.")</f>
        <v>The newly established Hydrogen Age Company is an important measure for Shanghai Electric to implement its 41x strategy. Relying on its technical accumulation in PEM and alkaline water electrolysis hydrogen production, it will provide advanced, reliable and customizable hydrogen production products and energy system solutions.</v>
      </c>
      <c r="B3965" s="1" t="str">
        <f ca="1">IFERROR(__xludf.DUMMYFUNCTION("GOOGLETRANSLATE(A3965, ""zh"", ""en"")"),"Technological innovation")</f>
        <v>Technological innovation</v>
      </c>
      <c r="C3965" s="1" t="str">
        <f ca="1">IFERROR(__xludf.DUMMYFUNCTION("GOOGLETRANSLATE(E3965, ""zh"", ""en"")"),"Qualitative text")</f>
        <v>Qualitative text</v>
      </c>
    </row>
    <row r="3966" spans="1:3" ht="13" x14ac:dyDescent="0.15">
      <c r="A3966" s="1" t="str">
        <f ca="1">IFERROR(__xludf.DUMMYFUNCTION("GOOGLETRANSLATE(A3966, ""zh"", ""en"")"),"Nylon Chemical Company used the WeChat public account to publish information on legal and regulatory updates, emergency science knowledge, safety learning materials, accident cases, and other content for employees to learn from.")</f>
        <v>Nylon Chemical Company used the WeChat public account to publish information on legal and regulatory updates, emergency science knowledge, safety learning materials, accident cases, and other content for employees to learn from.</v>
      </c>
      <c r="B3966" s="1" t="str">
        <f ca="1">IFERROR(__xludf.DUMMYFUNCTION("GOOGLETRANSLATE(A3966, ""zh"", ""en"")"),"Fighting the epidemic")</f>
        <v>Fighting the epidemic</v>
      </c>
      <c r="C3966" s="1" t="str">
        <f ca="1">IFERROR(__xludf.DUMMYFUNCTION("GOOGLETRANSLATE(E3966, ""zh"", ""en"")"),"Qualitative text")</f>
        <v>Qualitative text</v>
      </c>
    </row>
    <row r="3967" spans="1:3" ht="13" x14ac:dyDescent="0.15">
      <c r="A3967" s="1" t="str">
        <f ca="1">IFERROR(__xludf.DUMMYFUNCTION("GOOGLETRANSLATE(A3967, ""zh"", ""en"")"),"2. In social welfare activities, CLSA continues to go deep into the grassroots communities in Hong Kong to fulfill its promise of caring for the society and integrate community care into the series of celebrations coordinated by the Hong Kong SAR Governme"&amp;"nt to celebrate the 25th anniversary of Hong Kong's return to the motherland.")</f>
        <v>2. In social welfare activities, CLSA continues to go deep into the grassroots communities in Hong Kong to fulfill its promise of caring for the society and integrate community care into the series of celebrations coordinated by the Hong Kong SAR Government to celebrate the 25th anniversary of Hong Kong's return to the motherland.</v>
      </c>
      <c r="B3967" s="1" t="str">
        <f ca="1">IFERROR(__xludf.DUMMYFUNCTION("GOOGLETRANSLATE(A3967, ""zh"", ""en"")"),"Public welfare and volunteer service")</f>
        <v>Public welfare and volunteer service</v>
      </c>
      <c r="C3967" s="1" t="str">
        <f ca="1">IFERROR(__xludf.DUMMYFUNCTION("GOOGLETRANSLATE(E3967, ""zh"", ""en"")"),"Qualitative text")</f>
        <v>Qualitative text</v>
      </c>
    </row>
    <row r="3968" spans="1:3" ht="13" x14ac:dyDescent="0.15">
      <c r="A3968" s="1" t="str">
        <f ca="1">IFERROR(__xludf.DUMMYFUNCTION("GOOGLETRANSLATE(A3968, ""zh"", ""en"")"),"The Finance Company participated in the Wuchan Zhongda Blue Angels Love Blood Donation Campaign. The Finance Company and the Environmental Energy Company 37 actively carried out paired assistance and promotion within the province. They organized assistanc"&amp;"e and promotion working groups throughout the year to conduct more than 10 in-depth surveys in paired villages to timely understand needs and propose targeted assistance and promotion measures.")</f>
        <v>The Finance Company participated in the Wuchan Zhongda Blue Angels Love Blood Donation Campaign. The Finance Company and the Environmental Energy Company 37 actively carried out paired assistance and promotion within the province. They organized assistance and promotion working groups throughout the year to conduct more than 10 in-depth surveys in paired villages to timely understand needs and propose targeted assistance and promotion measures.</v>
      </c>
      <c r="B3968" s="1" t="str">
        <f ca="1">IFERROR(__xludf.DUMMYFUNCTION("GOOGLETRANSLATE(A3968, ""zh"", ""en"")"),"Public welfare and volunteer service")</f>
        <v>Public welfare and volunteer service</v>
      </c>
      <c r="C3968" s="1" t="str">
        <f ca="1">IFERROR(__xludf.DUMMYFUNCTION("GOOGLETRANSLATE(E3968, ""zh"", ""en"")"),"Quantitative Text")</f>
        <v>Quantitative Text</v>
      </c>
    </row>
    <row r="3969" spans="1:3" ht="13" x14ac:dyDescent="0.15">
      <c r="A3969" s="1" t="str">
        <f ca="1">IFERROR(__xludf.DUMMYFUNCTION("GOOGLETRANSLATE(A3969, ""zh"", ""en"")"),"Major honors include: Xinjiaaisi's sludge drying workshop was included in the list of recommended national youth safety production demonstration posts; Tongxiang Taiaisi's drone-based heat network smart safety inspection and digital management project was"&amp;" rated as a provincial enterprise safety production demonstration project;")</f>
        <v>Major honors include: Xinjiaaisi's sludge drying workshop was included in the list of recommended national youth safety production demonstration posts; Tongxiang Taiaisi's drone-based heat network smart safety inspection and digital management project was rated as a provincial enterprise safety production demonstration project;</v>
      </c>
      <c r="B3969" s="1" t="str">
        <f ca="1">IFERROR(__xludf.DUMMYFUNCTION("GOOGLETRANSLATE(A3969, ""zh"", ""en"")"),"staff")</f>
        <v>staff</v>
      </c>
      <c r="C3969" s="1" t="str">
        <f ca="1">IFERROR(__xludf.DUMMYFUNCTION("GOOGLETRANSLATE(E3969, ""zh"", ""en"")"),"Qualitative text")</f>
        <v>Qualitative text</v>
      </c>
    </row>
    <row r="3970" spans="1:3" ht="13" x14ac:dyDescent="0.15">
      <c r="A3970" s="1" t="str">
        <f ca="1">IFERROR(__xludf.DUMMYFUNCTION("GOOGLETRANSLATE(A3970, ""zh"", ""en"")"),"In order to better promote information security publicity and enhance the information security awareness of all employees, we organized quarterly technical training for the enterprise information management department in 2022, with more than 780 people pa"&amp;"rticipating. We also actively participated in the Shanghai Panshi Operation attack and defense drill.")</f>
        <v>In order to better promote information security publicity and enhance the information security awareness of all employees, we organized quarterly technical training for the enterprise information management department in 2022, with more than 780 people participating. We also actively participated in the Shanghai Panshi Operation attack and defense drill.</v>
      </c>
      <c r="B3970" s="1" t="str">
        <f ca="1">IFERROR(__xludf.DUMMYFUNCTION("GOOGLETRANSLATE(A3970, ""zh"", ""en"")"),"Data security")</f>
        <v>Data security</v>
      </c>
      <c r="C3970" s="1" t="str">
        <f ca="1">IFERROR(__xludf.DUMMYFUNCTION("GOOGLETRANSLATE(E3970, ""zh"", ""en"")"),"Quantitative Text")</f>
        <v>Quantitative Text</v>
      </c>
    </row>
    <row r="3971" spans="1:3" ht="13" x14ac:dyDescent="0.15">
      <c r="A3971" s="1" t="str">
        <f ca="1">IFERROR(__xludf.DUMMYFUNCTION("GOOGLETRANSLATE(A3971, ""zh"", ""en"")"),"At the same time, we continue to improve information security management systems and regulations, including client standard information security management and control, optimization and update of confidential equipment management, and new related systems "&amp;"and procedures including security vulnerability identification and patching process, source code management, etc.")</f>
        <v>At the same time, we continue to improve information security management systems and regulations, including client standard information security management and control, optimization and update of confidential equipment management, and new related systems and procedures including security vulnerability identification and patching process, source code management, etc.</v>
      </c>
      <c r="B3971" s="1" t="str">
        <f ca="1">IFERROR(__xludf.DUMMYFUNCTION("GOOGLETRANSLATE(A3971, ""zh"", ""en"")"),"Data security")</f>
        <v>Data security</v>
      </c>
      <c r="C3971" s="1" t="str">
        <f ca="1">IFERROR(__xludf.DUMMYFUNCTION("GOOGLETRANSLATE(E3971, ""zh"", ""en"")"),"Qualitative text")</f>
        <v>Qualitative text</v>
      </c>
    </row>
    <row r="3972" spans="1:3" ht="13" x14ac:dyDescent="0.15">
      <c r="A3972" s="1" t="str">
        <f ca="1">IFERROR(__xludf.DUMMYFUNCTION("GOOGLETRANSLATE(A3972, ""zh"", ""en"")"),"Each member company and key enterprises such as thermal power, sewage treatment and high-end manufacturing industries have established a leadership group headed by the top leader and a specific work promotion organization. The corresponding functional dep"&amp;"artments have been clearly defined and equipped with full-time and part-time staff to effectively promote environmental protection and energy conservation and emission reduction work.")</f>
        <v>Each member company and key enterprises such as thermal power, sewage treatment and high-end manufacturing industries have established a leadership group headed by the top leader and a specific work promotion organization. The corresponding functional departments have been clearly defined and equipped with full-time and part-time staff to effectively promote environmental protection and energy conservation and emission reduction work.</v>
      </c>
      <c r="B3972" s="1" t="str">
        <f ca="1">IFERROR(__xludf.DUMMYFUNCTION("GOOGLETRANSLATE(A3972, ""zh"", ""en"")"),"Environmental Policy")</f>
        <v>Environmental Policy</v>
      </c>
      <c r="C3972" s="1" t="str">
        <f ca="1">IFERROR(__xludf.DUMMYFUNCTION("GOOGLETRANSLATE(E3972, ""zh"", ""en"")"),"Qualitative text")</f>
        <v>Qualitative text</v>
      </c>
    </row>
    <row r="3973" spans="1:3" ht="13" x14ac:dyDescent="0.15">
      <c r="A3973" s="1" t="str">
        <f ca="1">IFERROR(__xludf.DUMMYFUNCTION("GOOGLETRANSLATE(A3973, ""zh"", ""en"")"),"Effectively promote the implementation of audit projects, orderly implement audit stratification and classification, consolidate the internal audit supervision responsibilities of industrial sectors, complete the two-level internal audit supervision funct"&amp;"ions and force allocation, and strengthen the management and control requirements of each department fulfilling its duties and responsibilities through organizational stratification, responsibility classification and object classification.")</f>
        <v>Effectively promote the implementation of audit projects, orderly implement audit stratification and classification, consolidate the internal audit supervision responsibilities of industrial sectors, complete the two-level internal audit supervision functions and force allocation, and strengthen the management and control requirements of each department fulfilling its duties and responsibilities through organizational stratification, responsibility classification and object classification.</v>
      </c>
      <c r="B3973" s="1" t="str">
        <f ca="1">IFERROR(__xludf.DUMMYFUNCTION("GOOGLETRANSLATE(A3973, ""zh"", ""en"")"),"Audit work")</f>
        <v>Audit work</v>
      </c>
      <c r="C3973" s="1" t="str">
        <f ca="1">IFERROR(__xludf.DUMMYFUNCTION("GOOGLETRANSLATE(E3973, ""zh"", ""en"")"),"Qualitative text")</f>
        <v>Qualitative text</v>
      </c>
    </row>
    <row r="3974" spans="1:3" ht="13" x14ac:dyDescent="0.15">
      <c r="A3974" s="1" t="str">
        <f ca="1">IFERROR(__xludf.DUMMYFUNCTION("GOOGLETRANSLATE(A3974, ""zh"", ""en"")"),"In June 2022, the digital office space independently developed by Shanghai Electric was officially approved by the International WELL Building Institute and obtained the highest WELL Platinum certification. In addition, it also obtained more than ten pate"&amp;"nts and other intellectual property rights.")</f>
        <v>In June 2022, the digital office space independently developed by Shanghai Electric was officially approved by the International WELL Building Institute and obtained the highest WELL Platinum certification. In addition, it also obtained more than ten patents and other intellectual property rights.</v>
      </c>
      <c r="B3974" s="1" t="str">
        <f ca="1">IFERROR(__xludf.DUMMYFUNCTION("GOOGLETRANSLATE(A3974, ""zh"", ""en"")"),"Water resources")</f>
        <v>Water resources</v>
      </c>
      <c r="C3974" s="1" t="str">
        <f ca="1">IFERROR(__xludf.DUMMYFUNCTION("GOOGLETRANSLATE(E3974, ""zh"", ""en"")"),"Qualitative text")</f>
        <v>Qualitative text</v>
      </c>
    </row>
    <row r="3975" spans="1:3" ht="13" x14ac:dyDescent="0.15">
      <c r="A3975" s="1" t="str">
        <f ca="1">IFERROR(__xludf.DUMMYFUNCTION("GOOGLETRANSLATE(A3975, ""zh"", ""en"")"),"With the joint efforts of the entire company, the safety production situation remained stable in 2022 and no safety production accidents occurred. Various activities with rich contents were carried out around the themes of Safety Production Month and Fire"&amp;" Protection Month to enhance the safety literacy of all employees.")</f>
        <v>With the joint efforts of the entire company, the safety production situation remained stable in 2022 and no safety production accidents occurred. Various activities with rich contents were carried out around the themes of Safety Production Month and Fire Protection Month to enhance the safety literacy of all employees.</v>
      </c>
      <c r="B3975" s="1" t="str">
        <f ca="1">IFERROR(__xludf.DUMMYFUNCTION("GOOGLETRANSLATE(A3975, ""zh"", ""en"")"),"staff")</f>
        <v>staff</v>
      </c>
      <c r="C3975" s="1" t="str">
        <f ca="1">IFERROR(__xludf.DUMMYFUNCTION("GOOGLETRANSLATE(E3975, ""zh"", ""en"")"),"Qualitative text")</f>
        <v>Qualitative text</v>
      </c>
    </row>
    <row r="3976" spans="1:3" ht="13" x14ac:dyDescent="0.15">
      <c r="A3976" s="1" t="str">
        <f ca="1">IFERROR(__xludf.DUMMYFUNCTION("GOOGLETRANSLATE(A3976, ""zh"", ""en"")"),"Employee Turnover Rate The employee turnover rate disclosed in the Sustainability Report refers to the ratio of employees at Sinopec who have requested to terminate their labor contracts for personal reasons to the total number of employees, excluding ord"&amp;"inary employees such as gas station operators.")</f>
        <v>Employee Turnover Rate The employee turnover rate disclosed in the Sustainability Report refers to the ratio of employees at Sinopec who have requested to terminate their labor contracts for personal reasons to the total number of employees, excluding ordinary employees such as gas station operators.</v>
      </c>
      <c r="B3976" s="1" t="str">
        <f ca="1">IFERROR(__xludf.DUMMYFUNCTION("GOOGLETRANSLATE(A3976, ""zh"", ""en"")"),"staff")</f>
        <v>staff</v>
      </c>
      <c r="C3976" s="1" t="str">
        <f ca="1">IFERROR(__xludf.DUMMYFUNCTION("GOOGLETRANSLATE(E3976, ""zh"", ""en"")"),"Quantitative Text")</f>
        <v>Quantitative Text</v>
      </c>
    </row>
    <row r="3977" spans="1:3" ht="13" x14ac:dyDescent="0.15">
      <c r="A3977" s="1" t="str">
        <f ca="1">IFERROR(__xludf.DUMMYFUNCTION("GOOGLETRANSLATE(A3977, ""zh"", ""en"")"),"In addition, we focus on leveraging the three-tiered scientific and technological innovation system led by the Central Research Institute. By co-locating the Group's Science and Technology Management Department with the Central Research Institute, we can "&amp;"fully leverage the Central Research Institute's leading role and platform function in the Group's scientific and technological innovation system.")</f>
        <v>In addition, we focus on leveraging the three-tiered scientific and technological innovation system led by the Central Research Institute. By co-locating the Group's Science and Technology Management Department with the Central Research Institute, we can fully leverage the Central Research Institute's leading role and platform function in the Group's scientific and technological innovation system.</v>
      </c>
      <c r="B3977" s="1" t="str">
        <f ca="1">IFERROR(__xludf.DUMMYFUNCTION("GOOGLETRANSLATE(A3977, ""zh"", ""en"")"),"Technological innovation")</f>
        <v>Technological innovation</v>
      </c>
      <c r="C3977" s="1" t="str">
        <f ca="1">IFERROR(__xludf.DUMMYFUNCTION("GOOGLETRANSLATE(E3977, ""zh"", ""en"")"),"Qualitative text")</f>
        <v>Qualitative text</v>
      </c>
    </row>
    <row r="3978" spans="1:3" ht="13" x14ac:dyDescent="0.15">
      <c r="A3978" s="1" t="str">
        <f ca="1">IFERROR(__xludf.DUMMYFUNCTION("GOOGLETRANSLATE(A3978, ""zh"", ""en"")"),"Shanghai Electric Group's new energy strategy was released on site, and a cloud contract was signed to jointly develop new energy projects with five partners and to carry out strategic cooperation in the new energy industry financial ecosystem with more t"&amp;"han ten financial institutions and industrial cooperation institutions.")</f>
        <v>Shanghai Electric Group's new energy strategy was released on site, and a cloud contract was signed to jointly develop new energy projects with five partners and to carry out strategic cooperation in the new energy industry financial ecosystem with more than ten financial institutions and industrial cooperation institutions.</v>
      </c>
      <c r="B3978" s="1" t="str">
        <f ca="1">IFERROR(__xludf.DUMMYFUNCTION("GOOGLETRANSLATE(A3978, ""zh"", ""en"")"),"Technological innovation")</f>
        <v>Technological innovation</v>
      </c>
      <c r="C3978" s="1" t="str">
        <f ca="1">IFERROR(__xludf.DUMMYFUNCTION("GOOGLETRANSLATE(E3978, ""zh"", ""en"")"),"Qualitative text")</f>
        <v>Qualitative text</v>
      </c>
    </row>
    <row r="3979" spans="1:3" ht="13" x14ac:dyDescent="0.15">
      <c r="A3979" s="1" t="str">
        <f ca="1">IFERROR(__xludf.DUMMYFUNCTION("GOOGLETRANSLATE(A3979, ""zh"", ""en"")"),"We must insist that talent is the primary resource, strengthen internal training and external recruitment, accelerate the construction of a high-quality and professional scientific and technological talent team, and at the same time promote the concept of"&amp;" project priority and practical progress, so that those who want to do things can do them, those who have the ability to do things can accomplish them, and those who contribute will be rewarded.")</f>
        <v>We must insist that talent is the primary resource, strengthen internal training and external recruitment, accelerate the construction of a high-quality and professional scientific and technological talent team, and at the same time promote the concept of project priority and practical progress, so that those who want to do things can do them, those who have the ability to do things can accomplish them, and those who contribute will be rewarded.</v>
      </c>
      <c r="B3979" s="1" t="str">
        <f ca="1">IFERROR(__xludf.DUMMYFUNCTION("GOOGLETRANSLATE(A3979, ""zh"", ""en"")"),"staff")</f>
        <v>staff</v>
      </c>
      <c r="C3979" s="1" t="str">
        <f ca="1">IFERROR(__xludf.DUMMYFUNCTION("GOOGLETRANSLATE(E3979, ""zh"", ""en"")"),"Qualitative text")</f>
        <v>Qualitative text</v>
      </c>
    </row>
    <row r="3980" spans="1:3" ht="13" x14ac:dyDescent="0.15">
      <c r="A3980" s="1" t="str">
        <f ca="1">IFERROR(__xludf.DUMMYFUNCTION("GOOGLETRANSLATE(A3980, ""zh"", ""en"")"),"Private banking smart elderly care service innovations are creating a comprehensive private banking elderly care service system centered on private banking elderly care financial planning for a happy old age. Relying on intelligent operations, we are prom"&amp;"oting innovations in private banking smart elderly care services and supporting the development of a group-level elderly care ecosystem.")</f>
        <v>Private banking smart elderly care service innovations are creating a comprehensive private banking elderly care service system centered on private banking elderly care financial planning for a happy old age. Relying on intelligent operations, we are promoting innovations in private banking smart elderly care services and supporting the development of a group-level elderly care ecosystem.</v>
      </c>
      <c r="B3980" s="1" t="str">
        <f ca="1">IFERROR(__xludf.DUMMYFUNCTION("GOOGLETRANSLATE(A3980, ""zh"", ""en"")"),"Technological innovation")</f>
        <v>Technological innovation</v>
      </c>
      <c r="C3980" s="1" t="str">
        <f ca="1">IFERROR(__xludf.DUMMYFUNCTION("GOOGLETRANSLATE(E3980, ""zh"", ""en"")"),"Qualitative text")</f>
        <v>Qualitative text</v>
      </c>
    </row>
    <row r="3981" spans="1:3" ht="13" x14ac:dyDescent="0.15">
      <c r="A3981" s="1" t="str">
        <f ca="1">IFERROR(__xludf.DUMMYFUNCTION("GOOGLETRANSLATE(A3981, ""zh"", ""en"")"),"Improve the consumer protection system and mechanism, continuously improve the top-down consumer protection hierarchical management system, and basically form a matrix consumer protection management model that covers all aspects horizontally and verticall"&amp;"y. Continue to incorporate consumer protection work into the bank's overall business development strategy, corporate culture building, and risk management.")</f>
        <v>Improve the consumer protection system and mechanism, continuously improve the top-down consumer protection hierarchical management system, and basically form a matrix consumer protection management model that covers all aspects horizontally and vertically. Continue to incorporate consumer protection work into the bank's overall business development strategy, corporate culture building, and risk management.</v>
      </c>
      <c r="B3981" s="1" t="str">
        <f ca="1">IFERROR(__xludf.DUMMYFUNCTION("GOOGLETRANSLATE(A3981, ""zh"", ""en"")"),"Customers and Consumers")</f>
        <v>Customers and Consumers</v>
      </c>
      <c r="C3981" s="1" t="str">
        <f ca="1">IFERROR(__xludf.DUMMYFUNCTION("GOOGLETRANSLATE(E3981, ""zh"", ""en"")"),"Qualitative text")</f>
        <v>Qualitative text</v>
      </c>
    </row>
    <row r="3982" spans="1:3" ht="13" x14ac:dyDescent="0.15">
      <c r="A3982" s="1" t="str">
        <f ca="1">IFERROR(__xludf.DUMMYFUNCTION("GOOGLETRANSLATE(A3982, ""zh"", ""en"")"),"In terms of accessibility, the bank organized sign language learning activities for all employees and launched the Wanbao Sign Language Classroom series, with over 500,000 participants, effectively improving the sign language service skills of branch empl"&amp;"oyees and effectively meeting the needs of the hearing-impaired community for high-quality financial services.")</f>
        <v>In terms of accessibility, the bank organized sign language learning activities for all employees and launched the Wanbao Sign Language Classroom series, with over 500,000 participants, effectively improving the sign language service skills of branch employees and effectively meeting the needs of the hearing-impaired community for high-quality financial services.</v>
      </c>
      <c r="B3982" s="1" t="str">
        <f ca="1">IFERROR(__xludf.DUMMYFUNCTION("GOOGLETRANSLATE(A3982, ""zh"", ""en"")"),"staff")</f>
        <v>staff</v>
      </c>
      <c r="C3982" s="1" t="str">
        <f ca="1">IFERROR(__xludf.DUMMYFUNCTION("GOOGLETRANSLATE(E3982, ""zh"", ""en"")"),"Quantitative Text")</f>
        <v>Quantitative Text</v>
      </c>
    </row>
    <row r="3983" spans="1:3" ht="13" x14ac:dyDescent="0.15">
      <c r="A3983" s="1" t="str">
        <f ca="1">IFERROR(__xludf.DUMMYFUNCTION("GOOGLETRANSLATE(A3983, ""zh"", ""en"")"),"All manufacturing enterprises of the group have completed ISO9001:2015 quality management system certification and have formed a complete set of quality work specifications including quality management general outline, quality work guidelines, major quali"&amp;"ty trial methods, etc. through years of practice.")</f>
        <v>All manufacturing enterprises of the group have completed ISO9001:2015 quality management system certification and have formed a complete set of quality work specifications including quality management general outline, quality work guidelines, major quality trial methods, etc. through years of practice.</v>
      </c>
      <c r="B3983" s="1" t="str">
        <f ca="1">IFERROR(__xludf.DUMMYFUNCTION("GOOGLETRANSLATE(A3983, ""zh"", ""en"")"),"Product quality")</f>
        <v>Product quality</v>
      </c>
      <c r="C3983" s="1" t="str">
        <f ca="1">IFERROR(__xludf.DUMMYFUNCTION("GOOGLETRANSLATE(E3983, ""zh"", ""en"")"),"Qualitative text")</f>
        <v>Qualitative text</v>
      </c>
    </row>
    <row r="3984" spans="1:3" ht="13" x14ac:dyDescent="0.15">
      <c r="A3984" s="1" t="str">
        <f ca="1">IFERROR(__xludf.DUMMYFUNCTION("GOOGLETRANSLATE(A3984, ""zh"", ""en"")"),"No incidents of being reported and punished by government network and information security regulatory authorities during the disclosure of various types of information occurred throughout the year. No major or above-level network and information security "&amp;"incidents occurred throughout the year. No software legalization incidents with significant negative social impact occurred throughout the year.")</f>
        <v>No incidents of being reported and punished by government network and information security regulatory authorities during the disclosure of various types of information occurred throughout the year. No major or above-level network and information security incidents occurred throughout the year. No software legalization incidents with significant negative social impact occurred throughout the year.</v>
      </c>
      <c r="B3984" s="1" t="str">
        <f ca="1">IFERROR(__xludf.DUMMYFUNCTION("GOOGLETRANSLATE(A3984, ""zh"", ""en"")"),"Data security")</f>
        <v>Data security</v>
      </c>
      <c r="C3984" s="1" t="str">
        <f ca="1">IFERROR(__xludf.DUMMYFUNCTION("GOOGLETRANSLATE(E3984, ""zh"", ""en"")"),"Quantitative Text")</f>
        <v>Quantitative Text</v>
      </c>
    </row>
    <row r="3985" spans="1:3" ht="13" x14ac:dyDescent="0.15">
      <c r="A3985" s="1" t="str">
        <f ca="1">IFERROR(__xludf.DUMMYFUNCTION("GOOGLETRANSLATE(A3985, ""zh"", ""en"")"),"Currently, it has 7 major first-level holding subsidiaries, with branches in 13 countries around the world and more than 400 branches and outlets in China. Major holding subsidiaries such as China Asset Management, CITIC Futures, and Jinshi Investment all"&amp;" maintain leading positions in their respective fields.")</f>
        <v>Currently, it has 7 major first-level holding subsidiaries, with branches in 13 countries around the world and more than 400 branches and outlets in China. Major holding subsidiaries such as China Asset Management, CITIC Futures, and Jinshi Investment all maintain leading positions in their respective fields.</v>
      </c>
      <c r="B3985" s="1" t="str">
        <f ca="1">IFERROR(__xludf.DUMMYFUNCTION("GOOGLETRANSLATE(A3985, ""zh"", ""en"")"),"Organizational structure and operations")</f>
        <v>Organizational structure and operations</v>
      </c>
      <c r="C3985" s="1" t="str">
        <f ca="1">IFERROR(__xludf.DUMMYFUNCTION("GOOGLETRANSLATE(E3985, ""zh"", ""en"")"),"Qualitative text")</f>
        <v>Qualitative text</v>
      </c>
    </row>
    <row r="3986" spans="1:3" ht="13" x14ac:dyDescent="0.15">
      <c r="A3986" s="1" t="str">
        <f ca="1">IFERROR(__xludf.DUMMYFUNCTION("GOOGLETRANSLATE(A3986, ""zh"", ""en"")"),"OneQuant Project Team Review Meeting Case Essence Securities' professional quantitative trading platform OneQuantV2.0 is launched in 2022. Essence Securities' independently designed and developed OneQuantV2.0 trading platform is launched")</f>
        <v>OneQuant Project Team Review Meeting Case Essence Securities' professional quantitative trading platform OneQuantV2.0 is launched in 2022. Essence Securities' independently designed and developed OneQuantV2.0 trading platform is launched</v>
      </c>
      <c r="B3986" s="1" t="str">
        <f ca="1">IFERROR(__xludf.DUMMYFUNCTION("GOOGLETRANSLATE(A3986, ""zh"", ""en"")"),"Technological innovation")</f>
        <v>Technological innovation</v>
      </c>
      <c r="C3986" s="1" t="str">
        <f ca="1">IFERROR(__xludf.DUMMYFUNCTION("GOOGLETRANSLATE(E3986, ""zh"", ""en"")"),"Qualitative text")</f>
        <v>Qualitative text</v>
      </c>
    </row>
    <row r="3987" spans="1:3" ht="13" x14ac:dyDescent="0.15">
      <c r="A3987" s="1" t="str">
        <f ca="1">IFERROR(__xludf.DUMMYFUNCTION("GOOGLETRANSLATE(A3987, ""zh"", ""en"")"),"In response to the issues identified during the interviews and surveys, the functional management departments worked together to conduct research and feedback, promote improvement measures, respond to and exchange opinions and suggestions raised by employ"&amp;"ees on issues of concern, and encourage employees to participate more fully in company decision-making and management.")</f>
        <v>In response to the issues identified during the interviews and surveys, the functional management departments worked together to conduct research and feedback, promote improvement measures, respond to and exchange opinions and suggestions raised by employees on issues of concern, and encourage employees to participate more fully in company decision-making and management.</v>
      </c>
      <c r="B3987" s="1" t="str">
        <f ca="1">IFERROR(__xludf.DUMMYFUNCTION("GOOGLETRANSLATE(A3987, ""zh"", ""en"")"),"staff")</f>
        <v>staff</v>
      </c>
      <c r="C3987" s="1" t="str">
        <f ca="1">IFERROR(__xludf.DUMMYFUNCTION("GOOGLETRANSLATE(E3987, ""zh"", ""en"")"),"Qualitative text")</f>
        <v>Qualitative text</v>
      </c>
    </row>
    <row r="3988" spans="1:3" ht="13" x14ac:dyDescent="0.15">
      <c r="A3988" s="1" t="str">
        <f ca="1">IFERROR(__xludf.DUMMYFUNCTION("GOOGLETRANSLATE(A3988, ""zh"", ""en"")"),"Ankang Cup Competition Promotional Poster, Ankang Cup Employee Skills Competition, Female Crane Operator Challenge, 202021 Ankang Cup Competition Honor Roll, A Beautiful and Harmonious Society Chapter 06: Shanghai Electric Remains Firmly in Charge of Corp"&amp;"orate Social Responsibility Beyond Creating Economic Value")</f>
        <v>Ankang Cup Competition Promotional Poster, Ankang Cup Employee Skills Competition, Female Crane Operator Challenge, 202021 Ankang Cup Competition Honor Roll, A Beautiful and Harmonious Society Chapter 06: Shanghai Electric Remains Firmly in Charge of Corporate Social Responsibility Beyond Creating Economic Value</v>
      </c>
      <c r="B3988" s="1" t="str">
        <f ca="1">IFERROR(__xludf.DUMMYFUNCTION("GOOGLETRANSLATE(A3988, ""zh"", ""en"")"),"staff")</f>
        <v>staff</v>
      </c>
      <c r="C3988" s="1" t="str">
        <f ca="1">IFERROR(__xludf.DUMMYFUNCTION("GOOGLETRANSLATE(E3988, ""zh"", ""en"")"),"Qualitative text")</f>
        <v>Qualitative text</v>
      </c>
    </row>
    <row r="3989" spans="1:3" ht="13" x14ac:dyDescent="0.15">
      <c r="A3989" s="1" t="str">
        <f ca="1">IFERROR(__xludf.DUMMYFUNCTION("GOOGLETRANSLATE(A3989, ""zh"", ""en"")"),"3. Through opening special columns in various media, we carried out all-round, multi-angle and three-dimensional publicity and risk warning education for employees. Each unit produced public service advertisements, posters, short videos, prompts and voice"&amp;" messages, etc., with a total of 1,515 publicity audiences of 49,211 people.")</f>
        <v>3. Through opening special columns in various media, we carried out all-round, multi-angle and three-dimensional publicity and risk warning education for employees. Each unit produced public service advertisements, posters, short videos, prompts and voice messages, etc., with a total of 1,515 publicity audiences of 49,211 people.</v>
      </c>
      <c r="B3989" s="1" t="str">
        <f ca="1">IFERROR(__xludf.DUMMYFUNCTION("GOOGLETRANSLATE(A3989, ""zh"", ""en"")"),"Public welfare and volunteer service")</f>
        <v>Public welfare and volunteer service</v>
      </c>
      <c r="C3989" s="1" t="str">
        <f ca="1">IFERROR(__xludf.DUMMYFUNCTION("GOOGLETRANSLATE(E3989, ""zh"", ""en"")"),"Quantitative Text")</f>
        <v>Quantitative Text</v>
      </c>
    </row>
    <row r="3990" spans="1:3" ht="13" x14ac:dyDescent="0.15">
      <c r="A3990" s="1" t="str">
        <f ca="1">IFERROR(__xludf.DUMMYFUNCTION("GOOGLETRANSLATE(A3990, ""zh"", ""en"")"),"We emphasize strictly addressing the shortcomings in the construction of clean government, linking the dual responsibility system with assessment and using it as an important basis for cadre selection, appointment, assessment, and evaluation, continuously"&amp;" improving the credibility of personnel selection and appointment, and earnestly implementing the main responsibility for the construction of Party conduct and clean government.")</f>
        <v>We emphasize strictly addressing the shortcomings in the construction of clean government, linking the dual responsibility system with assessment and using it as an important basis for cadre selection, appointment, assessment, and evaluation, continuously improving the credibility of personnel selection and appointment, and earnestly implementing the main responsibility for the construction of Party conduct and clean government.</v>
      </c>
      <c r="B3990" s="1" t="str">
        <f ca="1">IFERROR(__xludf.DUMMYFUNCTION("GOOGLETRANSLATE(A3990, ""zh"", ""en"")"),"Anti-corruption and anti-money laundering")</f>
        <v>Anti-corruption and anti-money laundering</v>
      </c>
      <c r="C3990" s="1" t="str">
        <f ca="1">IFERROR(__xludf.DUMMYFUNCTION("GOOGLETRANSLATE(E3990, ""zh"", ""en"")"),"Qualitative text")</f>
        <v>Qualitative text</v>
      </c>
    </row>
    <row r="3991" spans="1:3" ht="13" x14ac:dyDescent="0.15">
      <c r="A3991" s="1" t="str">
        <f ca="1">IFERROR(__xludf.DUMMYFUNCTION("GOOGLETRANSLATE(A3991, ""zh"", ""en"")"),"As of 2022, the company has 734 authorized patents, including 323 invention patents and 50 overseas authorized patents, covering Europe, the United States, Japan, Russia, Australia, New Zealand, Mexico, Hong Kong, China, Taiwan and other countries and reg"&amp;"ions.")</f>
        <v>As of 2022, the company has 734 authorized patents, including 323 invention patents and 50 overseas authorized patents, covering Europe, the United States, Japan, Russia, Australia, New Zealand, Mexico, Hong Kong, China, Taiwan and other countries and regions.</v>
      </c>
      <c r="B3991" s="1" t="str">
        <f ca="1">IFERROR(__xludf.DUMMYFUNCTION("GOOGLETRANSLATE(A3991, ""zh"", ""en"")"),"Intellectual Property Protection")</f>
        <v>Intellectual Property Protection</v>
      </c>
      <c r="C3991" s="1" t="str">
        <f ca="1">IFERROR(__xludf.DUMMYFUNCTION("GOOGLETRANSLATE(E3991, ""zh"", ""en"")"),"Quantitative Text")</f>
        <v>Quantitative Text</v>
      </c>
    </row>
    <row r="3992" spans="1:3" ht="13" x14ac:dyDescent="0.15">
      <c r="A3992" s="1" t="str">
        <f ca="1">IFERROR(__xludf.DUMMYFUNCTION("GOOGLETRANSLATE(A3992, ""zh"", ""en"")"),"It is estimated that ecological protection forests can absorb about 20,000 tons of carbon dioxide each year, and the negative carbon part can neutralize the carbon emissions of passing vehicles. This provides a new solution for desert control and desert h"&amp;"ighway operation and maintenance in my country, and opens a new path for the construction of zero-carbon desert highways.")</f>
        <v>It is estimated that ecological protection forests can absorb about 20,000 tons of carbon dioxide each year, and the negative carbon part can neutralize the carbon emissions of passing vehicles. This provides a new solution for desert control and desert highway operation and maintenance in my country, and opens a new path for the construction of zero-carbon desert highways.</v>
      </c>
      <c r="B3992" s="1" t="str">
        <f ca="1">IFERROR(__xludf.DUMMYFUNCTION("GOOGLETRANSLATE(A3992, ""zh"", ""en"")"),"carbon emissions")</f>
        <v>carbon emissions</v>
      </c>
      <c r="C3992" s="1" t="str">
        <f ca="1">IFERROR(__xludf.DUMMYFUNCTION("GOOGLETRANSLATE(E3992, ""zh"", ""en"")"),"Qualitative text")</f>
        <v>Qualitative text</v>
      </c>
    </row>
    <row r="3993" spans="1:3" ht="13" x14ac:dyDescent="0.15">
      <c r="A3993" s="1" t="str">
        <f ca="1">IFERROR(__xludf.DUMMYFUNCTION("GOOGLETRANSLATE(A3993, ""zh"", ""en"")"),"We conduct quality assessments on suppliers' materials, engineering or services through annual inspections, flight checks and expiration re-evaluations to review their re-supply qualifications. We also select some suppliers and conduct joint re-evaluation"&amp;"s with the factory to eliminate unqualified suppliers.")</f>
        <v>We conduct quality assessments on suppliers' materials, engineering or services through annual inspections, flight checks and expiration re-evaluations to review their re-supply qualifications. We also select some suppliers and conduct joint re-evaluations with the factory to eliminate unqualified suppliers.</v>
      </c>
      <c r="B3993" s="1" t="str">
        <f ca="1">IFERROR(__xludf.DUMMYFUNCTION("GOOGLETRANSLATE(A3993, ""zh"", ""en"")"),"supply chain management")</f>
        <v>supply chain management</v>
      </c>
      <c r="C3993" s="1" t="str">
        <f ca="1">IFERROR(__xludf.DUMMYFUNCTION("GOOGLETRANSLATE(E3993, ""zh"", ""en"")"),"Qualitative text")</f>
        <v>Qualitative text</v>
      </c>
    </row>
    <row r="3994" spans="1:3" ht="13" x14ac:dyDescent="0.15">
      <c r="A3994" s="1" t="str">
        <f ca="1">IFERROR(__xludf.DUMMYFUNCTION("GOOGLETRANSLATE(A3994, ""zh"", ""en"")"),"At the end of 2022, in order to meet the market demand for medicines, Renfu Pharmaceutical's production units went all out to stabilize production and ensure supply. At the same time, they donated more than 12 million ibuprofen tablets to some regions fre"&amp;"e of charge, ensuring the timely medication needs of people in rural areas, especially remote areas.")</f>
        <v>At the end of 2022, in order to meet the market demand for medicines, Renfu Pharmaceutical's production units went all out to stabilize production and ensure supply. At the same time, they donated more than 12 million ibuprofen tablets to some regions free of charge, ensuring the timely medication needs of people in rural areas, especially remote areas.</v>
      </c>
      <c r="B3994" s="1" t="str">
        <f ca="1">IFERROR(__xludf.DUMMYFUNCTION("GOOGLETRANSLATE(A3994, ""zh"", ""en"")"),"Fighting the epidemic")</f>
        <v>Fighting the epidemic</v>
      </c>
      <c r="C3994" s="1" t="str">
        <f ca="1">IFERROR(__xludf.DUMMYFUNCTION("GOOGLETRANSLATE(E3994, ""zh"", ""en"")"),"Quantitative Text")</f>
        <v>Quantitative Text</v>
      </c>
    </row>
    <row r="3995" spans="1:3" ht="13" x14ac:dyDescent="0.15">
      <c r="A3995" s="1" t="str">
        <f ca="1">IFERROR(__xludf.DUMMYFUNCTION("GOOGLETRANSLATE(A3995, ""zh"", ""en"")"),"The main business of Tazhong Mining is mining, ore dressing and crude lead smelting. The Argentine lithium salt lake project mainly uses the industry's mature adsorption membrane lithium extraction process, which has the characteristics of green economy a"&amp;"nd can minimize the generation of waste such as slag.")</f>
        <v>The main business of Tazhong Mining is mining, ore dressing and crude lead smelting. The Argentine lithium salt lake project mainly uses the industry's mature adsorption membrane lithium extraction process, which has the characteristics of green economy and can minimize the generation of waste such as slag.</v>
      </c>
      <c r="B3995" s="1" t="str">
        <f ca="1">IFERROR(__xludf.DUMMYFUNCTION("GOOGLETRANSLATE(A3995, ""zh"", ""en"")"),"Waste Management")</f>
        <v>Waste Management</v>
      </c>
      <c r="C3995" s="1" t="str">
        <f ca="1">IFERROR(__xludf.DUMMYFUNCTION("GOOGLETRANSLATE(E3995, ""zh"", ""en"")"),"Qualitative text")</f>
        <v>Qualitative text</v>
      </c>
    </row>
    <row r="3996" spans="1:3" ht="13" x14ac:dyDescent="0.15">
      <c r="A3996" s="1" t="str">
        <f ca="1">IFERROR(__xludf.DUMMYFUNCTION("GOOGLETRANSLATE(A3996, ""zh"", ""en"")"),"We create a green and environmentally friendly office atmosphere for our employees, promote energy-saving and consumption-reducing office equipment, and guide all employees to form an energy-saving and environmentally friendly office and life awareness th"&amp;"rough efficient and pragmatic management measures and subtle concept transmission, building an environmentally friendly enterprise.")</f>
        <v>We create a green and environmentally friendly office atmosphere for our employees, promote energy-saving and consumption-reducing office equipment, and guide all employees to form an energy-saving and environmentally friendly office and life awareness through efficient and pragmatic management measures and subtle concept transmission, building an environmentally friendly enterprise.</v>
      </c>
      <c r="B3996" s="1" t="str">
        <f ca="1">IFERROR(__xludf.DUMMYFUNCTION("GOOGLETRANSLATE(A3996, ""zh"", ""en"")"),"staff")</f>
        <v>staff</v>
      </c>
      <c r="C3996" s="1" t="str">
        <f ca="1">IFERROR(__xludf.DUMMYFUNCTION("GOOGLETRANSLATE(E3996, ""zh"", ""en"")"),"Qualitative text")</f>
        <v>Qualitative text</v>
      </c>
    </row>
    <row r="3997" spans="1:3" ht="13" x14ac:dyDescent="0.15">
      <c r="A3997" s="1" t="str">
        <f ca="1">IFERROR(__xludf.DUMMYFUNCTION("GOOGLETRANSLATE(A3997, ""zh"", ""en"")"),"Under the guidance of the Audit Committee of the Board of Directors, the Group Audit Department formulates the annual audit and supervision work plan and conducts audit work on the Group and its subsidiaries according to the plan, reviewing and supervisin"&amp;"g the implementation of the ethical standards and anti-corruption and anti-commercial bribery policies of each company.")</f>
        <v>Under the guidance of the Audit Committee of the Board of Directors, the Group Audit Department formulates the annual audit and supervision work plan and conducts audit work on the Group and its subsidiaries according to the plan, reviewing and supervising the implementation of the ethical standards and anti-corruption and anti-commercial bribery policies of each company.</v>
      </c>
      <c r="B3997" s="1" t="str">
        <f ca="1">IFERROR(__xludf.DUMMYFUNCTION("GOOGLETRANSLATE(A3997, ""zh"", ""en"")"),"Audit work")</f>
        <v>Audit work</v>
      </c>
      <c r="C3997" s="1" t="str">
        <f ca="1">IFERROR(__xludf.DUMMYFUNCTION("GOOGLETRANSLATE(E3997, ""zh"", ""en"")"),"Qualitative text")</f>
        <v>Qualitative text</v>
      </c>
    </row>
    <row r="3998" spans="1:3" ht="13" x14ac:dyDescent="0.15">
      <c r="A3998" s="1" t="str">
        <f ca="1">IFERROR(__xludf.DUMMYFUNCTION("GOOGLETRANSLATE(A3998, ""zh"", ""en"")"),"In 2022, the company launched a compliance WeChat official account and video account, CITICS Compliance Window. The platform was updated daily through various forms such as articles, long pictures, and short videos. It also carried out a number of special"&amp;" publicity activities such as anti-money laundering, honest practice, and anti-monopoly.")</f>
        <v>In 2022, the company launched a compliance WeChat official account and video account, CITICS Compliance Window. The platform was updated daily through various forms such as articles, long pictures, and short videos. It also carried out a number of special publicity activities such as anti-money laundering, honest practice, and anti-monopoly.</v>
      </c>
      <c r="B3998" s="1" t="str">
        <f ca="1">IFERROR(__xludf.DUMMYFUNCTION("GOOGLETRANSLATE(A3998, ""zh"", ""en"")"),"Anti-corruption and anti-money laundering")</f>
        <v>Anti-corruption and anti-money laundering</v>
      </c>
      <c r="C3998" s="1" t="str">
        <f ca="1">IFERROR(__xludf.DUMMYFUNCTION("GOOGLETRANSLATE(E3998, ""zh"", ""en"")"),"Qualitative text")</f>
        <v>Qualitative text</v>
      </c>
    </row>
    <row r="3999" spans="1:3" ht="13" x14ac:dyDescent="0.15">
      <c r="A3999" s="1" t="str">
        <f ca="1">IFERROR(__xludf.DUMMYFUNCTION("GOOGLETRANSLATE(A3999, ""zh"", ""en"")"),"At the same time, Shanghai Electric continues to integrate group resources and actively carry out supplier management, focusing on tapping the potential of the supply chain, continuously improving the digital capabilities of the supply chain, and effectiv"&amp;"ely promoting the high-quality and sustainable development of the supply chain, leading industry partners to embrace a green and low-carbon future.")</f>
        <v>At the same time, Shanghai Electric continues to integrate group resources and actively carry out supplier management, focusing on tapping the potential of the supply chain, continuously improving the digital capabilities of the supply chain, and effectively promoting the high-quality and sustainable development of the supply chain, leading industry partners to embrace a green and low-carbon future.</v>
      </c>
      <c r="B3999" s="1" t="str">
        <f ca="1">IFERROR(__xludf.DUMMYFUNCTION("GOOGLETRANSLATE(A3999, ""zh"", ""en"")"),"supply chain management")</f>
        <v>supply chain management</v>
      </c>
      <c r="C3999" s="1" t="str">
        <f ca="1">IFERROR(__xludf.DUMMYFUNCTION("GOOGLETRANSLATE(E3999, ""zh"", ""en"")"),"Qualitative text")</f>
        <v>Qualitative text</v>
      </c>
    </row>
    <row r="4000" spans="1:3" ht="13" x14ac:dyDescent="0.15">
      <c r="A4000" s="1" t="str">
        <f ca="1">IFERROR(__xludf.DUMMYFUNCTION("GOOGLETRANSLATE(A4000, ""zh"", ""en"")"),"In addition, the Group's Board of Directors consists of an Audit Committee, a Remuneration and Appraisal Committee, a Strategy Committee, a Nomination Committee, and a Social Responsibility Committee to assist the Board in performing its functions and lev"&amp;"erage the committees' expertise to ensure the legitimacy, scientific nature, and accuracy of the Board's decisions.")</f>
        <v>In addition, the Group's Board of Directors consists of an Audit Committee, a Remuneration and Appraisal Committee, a Strategy Committee, a Nomination Committee, and a Social Responsibility Committee to assist the Board in performing its functions and leverage the committees' expertise to ensure the legitimacy, scientific nature, and accuracy of the Board's decisions.</v>
      </c>
      <c r="B4000" s="1" t="str">
        <f ca="1">IFERROR(__xludf.DUMMYFUNCTION("GOOGLETRANSLATE(A4000, ""zh"", ""en"")"),"Organizational structure and operations")</f>
        <v>Organizational structure and operations</v>
      </c>
      <c r="C4000" s="1" t="str">
        <f ca="1">IFERROR(__xludf.DUMMYFUNCTION("GOOGLETRANSLATE(E4000, ""zh"", ""en"")"),"Qualitative text")</f>
        <v>Qualitative text</v>
      </c>
    </row>
    <row r="4001" spans="1:3" ht="13" x14ac:dyDescent="0.15">
      <c r="A4001" s="1" t="str">
        <f ca="1">IFERROR(__xludf.DUMMYFUNCTION("GOOGLETRANSLATE(A4001, ""zh"", ""en"")"),"Livzon Group has signed a year-round supply agreement with its domestic strategic partners, offering price discounts based on purchase volume. Despite the COVID-19 pandemic causing increases in production costs, logistics, and transportation costs, Livzon"&amp;" Group has essentially maintained its original price for product sales.")</f>
        <v>Livzon Group has signed a year-round supply agreement with its domestic strategic partners, offering price discounts based on purchase volume. Despite the COVID-19 pandemic causing increases in production costs, logistics, and transportation costs, Livzon Group has essentially maintained its original price for product sales.</v>
      </c>
      <c r="B4001" s="1" t="str">
        <f ca="1">IFERROR(__xludf.DUMMYFUNCTION("GOOGLETRANSLATE(A4001, ""zh"", ""en"")"),"Fighting the epidemic")</f>
        <v>Fighting the epidemic</v>
      </c>
      <c r="C4001" s="1" t="str">
        <f ca="1">IFERROR(__xludf.DUMMYFUNCTION("GOOGLETRANSLATE(E4001, ""zh"", ""en"")"),"Qualitative text")</f>
        <v>Qualitative text</v>
      </c>
    </row>
    <row r="4002" spans="1:3" ht="13" x14ac:dyDescent="0.15">
      <c r="A4002" s="1" t="str">
        <f ca="1">IFERROR(__xludf.DUMMYFUNCTION("GOOGLETRANSLATE(A4002, ""zh"", ""en"")"),"In addition, the Group has established a supplier quality review management system. According to the system requirements, suppliers' qualifications, production sites, process technology levels, quality assurance systems, etc. are regularly scientifically "&amp;"reviewed to determine whether their various capabilities meet the quality requirements of Jiankangyuan.")</f>
        <v>In addition, the Group has established a supplier quality review management system. According to the system requirements, suppliers' qualifications, production sites, process technology levels, quality assurance systems, etc. are regularly scientifically reviewed to determine whether their various capabilities meet the quality requirements of Jiankangyuan.</v>
      </c>
      <c r="B4002" s="1" t="str">
        <f ca="1">IFERROR(__xludf.DUMMYFUNCTION("GOOGLETRANSLATE(A4002, ""zh"", ""en"")"),"supply chain management")</f>
        <v>supply chain management</v>
      </c>
      <c r="C4002" s="1" t="str">
        <f ca="1">IFERROR(__xludf.DUMMYFUNCTION("GOOGLETRANSLATE(E4002, ""zh"", ""en"")"),"Qualitative text")</f>
        <v>Qualitative text</v>
      </c>
    </row>
    <row r="4003" spans="1:3" ht="13" x14ac:dyDescent="0.15">
      <c r="A4003" s="1" t="str">
        <f ca="1">IFERROR(__xludf.DUMMYFUNCTION("GOOGLETRANSLATE(A4003, ""zh"", ""en"")"),"We have opened up multiple communication channels to ensure adequate exchange and interaction, and we listen to the suggestions of stakeholders to determine the company's sustainable development priorities, continuously improve the company's governance st"&amp;"ructure, enhance operational standards, and work together with all parties for common development.")</f>
        <v>We have opened up multiple communication channels to ensure adequate exchange and interaction, and we listen to the suggestions of stakeholders to determine the company's sustainable development priorities, continuously improve the company's governance structure, enhance operational standards, and work together with all parties for common development.</v>
      </c>
      <c r="B4003" s="1" t="str">
        <f ca="1">IFERROR(__xludf.DUMMYFUNCTION("GOOGLETRANSLATE(A4003, ""zh"", ""en"")"),"Organizational structure and operations")</f>
        <v>Organizational structure and operations</v>
      </c>
      <c r="C4003" s="1" t="str">
        <f ca="1">IFERROR(__xludf.DUMMYFUNCTION("GOOGLETRANSLATE(E4003, ""zh"", ""en"")"),"Qualitative text")</f>
        <v>Qualitative text</v>
      </c>
    </row>
    <row r="4004" spans="1:3" ht="13" x14ac:dyDescent="0.15">
      <c r="A4004" s="1" t="str">
        <f ca="1">IFERROR(__xludf.DUMMYFUNCTION("GOOGLETRANSLATE(A4004, ""zh"", ""en"")"),"In 2022, refining and chemical companies continued to recycle and utilize high-concentration carbon dioxide emitted by hydrogen production and ammonia synthesis units, capturing 1.534 million tons of carbon dioxide and injecting 657,000 tons of carbon dio"&amp;"xide into oilfield operations, achieving good results in reducing carbon emissions and increasing oil production.")</f>
        <v>In 2022, refining and chemical companies continued to recycle and utilize high-concentration carbon dioxide emitted by hydrogen production and ammonia synthesis units, capturing 1.534 million tons of carbon dioxide and injecting 657,000 tons of carbon dioxide into oilfield operations, achieving good results in reducing carbon emissions and increasing oil production.</v>
      </c>
      <c r="B4004" s="1" t="str">
        <f ca="1">IFERROR(__xludf.DUMMYFUNCTION("GOOGLETRANSLATE(A4004, ""zh"", ""en"")"),"carbon emissions")</f>
        <v>carbon emissions</v>
      </c>
      <c r="C4004" s="1" t="str">
        <f ca="1">IFERROR(__xludf.DUMMYFUNCTION("GOOGLETRANSLATE(E4004, ""zh"", ""en"")"),"Quantitative Text")</f>
        <v>Quantitative Text</v>
      </c>
    </row>
    <row r="4005" spans="1:3" ht="13" x14ac:dyDescent="0.15">
      <c r="A4005" s="1" t="str">
        <f ca="1">IFERROR(__xludf.DUMMYFUNCTION("GOOGLETRANSLATE(A4005, ""zh"", ""en"")"),"In addition, the company has formulated a reference list for the classification of general industrial solid waste for inspection, maintenance and major renovation of refining and chemical enterprises and a reference list for the classification of construc"&amp;"tion waste for inspection, maintenance and major renovation of refining and chemical enterprises to improve the source identification and classified storage management level of hazardous waste and other solid wastes.")</f>
        <v>In addition, the company has formulated a reference list for the classification of general industrial solid waste for inspection, maintenance and major renovation of refining and chemical enterprises and a reference list for the classification of construction waste for inspection, maintenance and major renovation of refining and chemical enterprises to improve the source identification and classified storage management level of hazardous waste and other solid wastes.</v>
      </c>
      <c r="B4005" s="1" t="str">
        <f ca="1">IFERROR(__xludf.DUMMYFUNCTION("GOOGLETRANSLATE(A4005, ""zh"", ""en"")"),"Waste Management")</f>
        <v>Waste Management</v>
      </c>
      <c r="C4005" s="1" t="str">
        <f ca="1">IFERROR(__xludf.DUMMYFUNCTION("GOOGLETRANSLATE(E4005, ""zh"", ""en"")"),"Qualitative text")</f>
        <v>Qualitative text</v>
      </c>
    </row>
    <row r="4006" spans="1:3" ht="13" x14ac:dyDescent="0.15">
      <c r="A4006" s="1" t="str">
        <f ca="1">IFERROR(__xludf.DUMMYFUNCTION("GOOGLETRANSLATE(A4006, ""zh"", ""en"")"),"In order to create an atmosphere of innovation for all employees and enhance the innovation activity of R&amp;D personnel, Haier Smart Home has formulated a global intellectual property and standard reward system, built a patent incentive platform, and establ"&amp;"ished the Best Patent Award, Patent Application Award, and Patent Standardization Award to encourage high-quality innovation.")</f>
        <v>In order to create an atmosphere of innovation for all employees and enhance the innovation activity of R&amp;D personnel, Haier Smart Home has formulated a global intellectual property and standard reward system, built a patent incentive platform, and established the Best Patent Award, Patent Application Award, and Patent Standardization Award to encourage high-quality innovation.</v>
      </c>
      <c r="B4006" s="1" t="str">
        <f ca="1">IFERROR(__xludf.DUMMYFUNCTION("GOOGLETRANSLATE(A4006, ""zh"", ""en"")"),"Intellectual Property Protection")</f>
        <v>Intellectual Property Protection</v>
      </c>
      <c r="C4006" s="1" t="str">
        <f ca="1">IFERROR(__xludf.DUMMYFUNCTION("GOOGLETRANSLATE(E4006, ""zh"", ""en"")"),"Qualitative text")</f>
        <v>Qualitative text</v>
      </c>
    </row>
    <row r="4007" spans="1:3" ht="13" x14ac:dyDescent="0.15">
      <c r="A4007" s="1" t="str">
        <f ca="1">IFERROR(__xludf.DUMMYFUNCTION("GOOGLETRANSLATE(A4007, ""zh"", ""en"")"),"In order to reduce the damage to employees' health caused by pharmaceutical dust, the company upgraded and optimized the original manual feeding method to a hose suction feeding method, which reduced the occupational risk of dust caused by manual operatio"&amp;"n and reduced the amount of physical labor, eliminating the risk of exposure when adding materials.")</f>
        <v>In order to reduce the damage to employees' health caused by pharmaceutical dust, the company upgraded and optimized the original manual feeding method to a hose suction feeding method, which reduced the occupational risk of dust caused by manual operation and reduced the amount of physical labor, eliminating the risk of exposure when adding materials.</v>
      </c>
      <c r="B4007" s="1" t="str">
        <f ca="1">IFERROR(__xludf.DUMMYFUNCTION("GOOGLETRANSLATE(A4007, ""zh"", ""en"")"),"staff")</f>
        <v>staff</v>
      </c>
      <c r="C4007" s="1" t="str">
        <f ca="1">IFERROR(__xludf.DUMMYFUNCTION("GOOGLETRANSLATE(E4007, ""zh"", ""en"")"),"Qualitative text")</f>
        <v>Qualitative text</v>
      </c>
    </row>
    <row r="4008" spans="1:3" ht="13" x14ac:dyDescent="0.15">
      <c r="A4008" s="1" t="str">
        <f ca="1">IFERROR(__xludf.DUMMYFUNCTION("GOOGLETRANSLATE(A4008, ""zh"", ""en"")"),"Based on these laws and regulations, the company formulates and continuously updates relevant policies and systems, such as the Patent Management Measures and Opinions on Strengthening the Legal Protection of Intellectual Property Rights, to provide clear"&amp;" implementation norms for promoting patent management and intellectual property legal protection.")</f>
        <v>Based on these laws and regulations, the company formulates and continuously updates relevant policies and systems, such as the Patent Management Measures and Opinions on Strengthening the Legal Protection of Intellectual Property Rights, to provide clear implementation norms for promoting patent management and intellectual property legal protection.</v>
      </c>
      <c r="B4008" s="1" t="str">
        <f ca="1">IFERROR(__xludf.DUMMYFUNCTION("GOOGLETRANSLATE(A4008, ""zh"", ""en"")"),"Intellectual Property Protection")</f>
        <v>Intellectual Property Protection</v>
      </c>
      <c r="C4008" s="1" t="str">
        <f ca="1">IFERROR(__xludf.DUMMYFUNCTION("GOOGLETRANSLATE(E4008, ""zh"", ""en"")"),"Qualitative text")</f>
        <v>Qualitative text</v>
      </c>
    </row>
    <row r="4009" spans="1:3" ht="13" x14ac:dyDescent="0.15">
      <c r="A4009" s="1" t="str">
        <f ca="1">IFERROR(__xludf.DUMMYFUNCTION("GOOGLETRANSLATE(A4009, ""zh"", ""en"")"),"The output values ​​involving carbon emissions and energy consumption per 10,000 yuan of output value will be revised and adjusted in accordance with statistical requirements. The output values ​​involving carbon emissions and energy consumption per 10,00"&amp;"0 yuan of output value will be revised and adjusted accordingly.")</f>
        <v>The output values ​​involving carbon emissions and energy consumption per 10,000 yuan of output value will be revised and adjusted in accordance with statistical requirements. The output values ​​involving carbon emissions and energy consumption per 10,000 yuan of output value will be revised and adjusted accordingly.</v>
      </c>
      <c r="B4009" s="1" t="str">
        <f ca="1">IFERROR(__xludf.DUMMYFUNCTION("GOOGLETRANSLATE(A4009, ""zh"", ""en"")"),"carbon emissions")</f>
        <v>carbon emissions</v>
      </c>
      <c r="C4009" s="1" t="str">
        <f ca="1">IFERROR(__xludf.DUMMYFUNCTION("GOOGLETRANSLATE(E4009, ""zh"", ""en"")"),"Qualitative text")</f>
        <v>Qualitative text</v>
      </c>
    </row>
    <row r="4010" spans="1:3" ht="13" x14ac:dyDescent="0.15">
      <c r="A4010" s="1" t="str">
        <f ca="1">IFERROR(__xludf.DUMMYFUNCTION("GOOGLETRANSLATE(A4010, ""zh"", ""en"")"),"In 2022, Sinopec established 3,132 youth volunteer service teams, and 87,000 Sinopec youth voluntarily registered as youth volunteers, actively playing a role in volunteer service in supporting major rural revitalization activities, serving and safeguardi"&amp;"ng harmonious community construction.")</f>
        <v>In 2022, Sinopec established 3,132 youth volunteer service teams, and 87,000 Sinopec youth voluntarily registered as youth volunteers, actively playing a role in volunteer service in supporting major rural revitalization activities, serving and safeguarding harmonious community construction.</v>
      </c>
      <c r="B4010" s="1" t="str">
        <f ca="1">IFERROR(__xludf.DUMMYFUNCTION("GOOGLETRANSLATE(A4010, ""zh"", ""en"")"),"Public welfare and volunteer service")</f>
        <v>Public welfare and volunteer service</v>
      </c>
      <c r="C4010" s="1" t="str">
        <f ca="1">IFERROR(__xludf.DUMMYFUNCTION("GOOGLETRANSLATE(E4010, ""zh"", ""en"")"),"Quantitative Text")</f>
        <v>Quantitative Text</v>
      </c>
    </row>
    <row r="4011" spans="1:3" ht="13" x14ac:dyDescent="0.15">
      <c r="A4011" s="1" t="str">
        <f ca="1">IFERROR(__xludf.DUMMYFUNCTION("GOOGLETRANSLATE(A4011, ""zh"", ""en"")"),"The Dima Nixi Children's Care Center project is located at Nixi Primary School in Nixi Town, Yunyang County, Chongqing. It is the first site selected for the Dima Rural Children's Care Center and the first innovative community children's home in the count"&amp;"ry. It will be put into operation on October 16, 2020.")</f>
        <v>The Dima Nixi Children's Care Center project is located at Nixi Primary School in Nixi Town, Yunyang County, Chongqing. It is the first site selected for the Dima Rural Children's Care Center and the first innovative community children's home in the country. It will be put into operation on October 16, 2020.</v>
      </c>
      <c r="B4011" s="1" t="str">
        <f ca="1">IFERROR(__xludf.DUMMYFUNCTION("GOOGLETRANSLATE(A4011, ""zh"", ""en"")"),"Public welfare and volunteer service")</f>
        <v>Public welfare and volunteer service</v>
      </c>
      <c r="C4011" s="1" t="str">
        <f ca="1">IFERROR(__xludf.DUMMYFUNCTION("GOOGLETRANSLATE(E4011, ""zh"", ""en"")"),"Qualitative text")</f>
        <v>Qualitative text</v>
      </c>
    </row>
    <row r="4012" spans="1:3" ht="13" x14ac:dyDescent="0.15">
      <c r="A4012" s="1" t="str">
        <f ca="1">IFERROR(__xludf.DUMMYFUNCTION("GOOGLETRANSLATE(A4012, ""zh"", ""en"")"),"Actively apply existing information technology to organically integrate green materials, green procurement, green production planning, green packaging, green warehousing, green transportation, green distribution and recycling processes, and ultimately ach"&amp;"ieve both economic and social benefits for the enterprise.")</f>
        <v>Actively apply existing information technology to organically integrate green materials, green procurement, green production planning, green packaging, green warehousing, green transportation, green distribution and recycling processes, and ultimately achieve both economic and social benefits for the enterprise.</v>
      </c>
      <c r="B4012" s="1" t="str">
        <f ca="1">IFERROR(__xludf.DUMMYFUNCTION("GOOGLETRANSLATE(A4012, ""zh"", ""en"")"),"raw materials")</f>
        <v>raw materials</v>
      </c>
      <c r="C4012" s="1" t="str">
        <f ca="1">IFERROR(__xludf.DUMMYFUNCTION("GOOGLETRANSLATE(E4012, ""zh"", ""en"")"),"Qualitative text")</f>
        <v>Qualitative text</v>
      </c>
    </row>
    <row r="4013" spans="1:3" ht="13" x14ac:dyDescent="0.15">
      <c r="A4013" s="1" t="str">
        <f ca="1">IFERROR(__xludf.DUMMYFUNCTION("GOOGLETRANSLATE(A4013, ""zh"", ""en"")"),"For the supervision and management of new reactions and adverse events, actively carry out timely reporting of current or serious adverse reactions, conduct training on adverse reaction management, and implement effective risk management. Require pharmace"&amp;"utical member companies to take control measures within the specified time.")</f>
        <v>For the supervision and management of new reactions and adverse events, actively carry out timely reporting of current or serious adverse reactions, conduct training on adverse reaction management, and implement effective risk management. Require pharmaceutical member companies to take control measures within the specified time.</v>
      </c>
      <c r="B4013" s="1" t="str">
        <f ca="1">IFERROR(__xludf.DUMMYFUNCTION("GOOGLETRANSLATE(A4013, ""zh"", ""en"")"),"Product quality")</f>
        <v>Product quality</v>
      </c>
      <c r="C4013" s="1" t="str">
        <f ca="1">IFERROR(__xludf.DUMMYFUNCTION("GOOGLETRANSLATE(E4013, ""zh"", ""en"")"),"Qualitative text")</f>
        <v>Qualitative text</v>
      </c>
    </row>
    <row r="4014" spans="1:3" ht="13" x14ac:dyDescent="0.15">
      <c r="A4014" s="1" t="str">
        <f ca="1">IFERROR(__xludf.DUMMYFUNCTION("GOOGLETRANSLATE(A4014, ""zh"", ""en"")"),"Always adhere to the coordinated development and security, adhere to the bottom line thinking, unswervingly implement the overall national security concept, effectively prevent and resolve various risks and challenges, firmly hold the bottom line of preve"&amp;"nting systemic financial risks, and achieve a virtuous interaction between high-quality development and high-level security.")</f>
        <v>Always adhere to the coordinated development and security, adhere to the bottom line thinking, unswervingly implement the overall national security concept, effectively prevent and resolve various risks and challenges, firmly hold the bottom line of preventing systemic financial risks, and achieve a virtuous interaction between high-quality development and high-level security.</v>
      </c>
      <c r="B4014" s="1" t="str">
        <f ca="1">IFERROR(__xludf.DUMMYFUNCTION("GOOGLETRANSLATE(A4014, ""zh"", ""en"")"),"Legal proceedings and external sanctions")</f>
        <v>Legal proceedings and external sanctions</v>
      </c>
      <c r="C4014" s="1" t="str">
        <f ca="1">IFERROR(__xludf.DUMMYFUNCTION("GOOGLETRANSLATE(E4014, ""zh"", ""en"")"),"Qualitative text")</f>
        <v>Qualitative text</v>
      </c>
    </row>
    <row r="4015" spans="1:3" ht="13" x14ac:dyDescent="0.15">
      <c r="A4015" s="1" t="str">
        <f ca="1">IFERROR(__xludf.DUMMYFUNCTION("GOOGLETRANSLATE(A4015, ""zh"", ""en"")"),"Whistleblower Protection The company conscientiously implements the relevant requirements of national laws and regulations on whistleblower protection, regards the protection of whistleblower information as an important responsibility, improves and perfec"&amp;"ts the internal confidentiality mechanism, formulates the company's work methods for handling reports and accusations, and strengthens the protection of whistleblowers.")</f>
        <v>Whistleblower Protection The company conscientiously implements the relevant requirements of national laws and regulations on whistleblower protection, regards the protection of whistleblower information as an important responsibility, improves and perfects the internal confidentiality mechanism, formulates the company's work methods for handling reports and accusations, and strengthens the protection of whistleblowers.</v>
      </c>
      <c r="B4015" s="1" t="str">
        <f ca="1">IFERROR(__xludf.DUMMYFUNCTION("GOOGLETRANSLATE(A4015, ""zh"", ""en"")"),"Reporting System")</f>
        <v>Reporting System</v>
      </c>
      <c r="C4015" s="1" t="str">
        <f ca="1">IFERROR(__xludf.DUMMYFUNCTION("GOOGLETRANSLATE(E4015, ""zh"", ""en"")"),"Qualitative text")</f>
        <v>Qualitative text</v>
      </c>
    </row>
    <row r="4016" spans="1:3" ht="13" x14ac:dyDescent="0.15">
      <c r="A4016" s="1" t="str">
        <f ca="1">IFERROR(__xludf.DUMMYFUNCTION("GOOGLETRANSLATE(A4016, ""zh"", ""en"")"),"The Company and its major subsidiaries have major water pollutant emission level indicators. The Company has vigorously promoted the importance of water conservation by making water-saving display boards, distributing water-saving leaflets, hanging water-"&amp;"saving banners, etc. Total emissions per unit: COD tons, ammonia nitrogen tons")</f>
        <v>The Company and its major subsidiaries have major water pollutant emission level indicators. The Company has vigorously promoted the importance of water conservation by making water-saving display boards, distributing water-saving leaflets, hanging water-saving banners, etc. Total emissions per unit: COD tons, ammonia nitrogen tons</v>
      </c>
      <c r="B4016" s="1" t="str">
        <f ca="1">IFERROR(__xludf.DUMMYFUNCTION("GOOGLETRANSLATE(A4016, ""zh"", ""en"")"),"Water resources")</f>
        <v>Water resources</v>
      </c>
      <c r="C4016" s="1" t="str">
        <f ca="1">IFERROR(__xludf.DUMMYFUNCTION("GOOGLETRANSLATE(E4016, ""zh"", ""en"")"),"Quantitative Text")</f>
        <v>Quantitative Text</v>
      </c>
    </row>
    <row r="4017" spans="1:3" ht="13" x14ac:dyDescent="0.15">
      <c r="A4017" s="1" t="str">
        <f ca="1">IFERROR(__xludf.DUMMYFUNCTION("GOOGLETRANSLATE(A4017, ""zh"", ""en"")"),".. Enter the ESG management topic and see responsibility, safety first, people-oriented, mutual benefit and win-win. GRI content index www..cn As of the end of 2022, the public welfare platform has settled in charitable organizations and carried out chari"&amp;"table fundraising projects, raising more than 10,000 yuan.")</f>
        <v>.. Enter the ESG management topic and see responsibility, safety first, people-oriented, mutual benefit and win-win. GRI content index www..cn As of the end of 2022, the public welfare platform has settled in charitable organizations and carried out charitable fundraising projects, raising more than 10,000 yuan.</v>
      </c>
      <c r="B4017" s="1" t="str">
        <f ca="1">IFERROR(__xludf.DUMMYFUNCTION("GOOGLETRANSLATE(A4017, ""zh"", ""en"")"),"Public welfare and volunteer service")</f>
        <v>Public welfare and volunteer service</v>
      </c>
      <c r="C4017" s="1" t="str">
        <f ca="1">IFERROR(__xludf.DUMMYFUNCTION("GOOGLETRANSLATE(E4017, ""zh"", ""en"")"),"Quantitative Text")</f>
        <v>Quantitative Text</v>
      </c>
    </row>
    <row r="4018" spans="1:3" ht="13" x14ac:dyDescent="0.15">
      <c r="A4018" s="1" t="str">
        <f ca="1">IFERROR(__xludf.DUMMYFUNCTION("GOOGLETRANSLATE(A4018, ""zh"", ""en"")"),"In 2022, the special committees held a total of 14 meetings, including 5 meetings of the Audit and Risk Management Committee, 5 meetings of the Nomination Committee, 3 meetings of the Remuneration and Appraisal Committee, and 1 meeting of the Strategy and"&amp;" Investment Management Committee.")</f>
        <v>In 2022, the special committees held a total of 14 meetings, including 5 meetings of the Audit and Risk Management Committee, 5 meetings of the Nomination Committee, 3 meetings of the Remuneration and Appraisal Committee, and 1 meeting of the Strategy and Investment Management Committee.</v>
      </c>
      <c r="B4018" s="1" t="str">
        <f ca="1">IFERROR(__xludf.DUMMYFUNCTION("GOOGLETRANSLATE(A4018, ""zh"", ""en"")"),"Organizational structure and operations")</f>
        <v>Organizational structure and operations</v>
      </c>
      <c r="C4018" s="1" t="str">
        <f ca="1">IFERROR(__xludf.DUMMYFUNCTION("GOOGLETRANSLATE(E4018, ""zh"", ""en"")"),"Quantitative Text")</f>
        <v>Quantitative Text</v>
      </c>
    </row>
    <row r="4019" spans="1:3" ht="13" x14ac:dyDescent="0.15">
      <c r="A4019" s="1" t="str">
        <f ca="1">IFERROR(__xludf.DUMMYFUNCTION("GOOGLETRANSLATE(A4019, ""zh"", ""en"")"),"The platform establishes a scenario twin environment to achieve consistent network architecture, equal risk, and virtual-real interconnection. It also provides scientific research tools and a practical knowledge base suitable for the domestic education sy"&amp;"stem, providing a practical environment for the cultivation of digital security talents and innovation in cybersecurity research in China.")</f>
        <v>The platform establishes a scenario twin environment to achieve consistent network architecture, equal risk, and virtual-real interconnection. It also provides scientific research tools and a practical knowledge base suitable for the domestic education system, providing a practical environment for the cultivation of digital security talents and innovation in cybersecurity research in China.</v>
      </c>
      <c r="B4019" s="1" t="str">
        <f ca="1">IFERROR(__xludf.DUMMYFUNCTION("GOOGLETRANSLATE(A4019, ""zh"", ""en"")"),"Data security")</f>
        <v>Data security</v>
      </c>
      <c r="C4019" s="1" t="str">
        <f ca="1">IFERROR(__xludf.DUMMYFUNCTION("GOOGLETRANSLATE(E4019, ""zh"", ""en"")"),"Qualitative text")</f>
        <v>Qualitative text</v>
      </c>
    </row>
    <row r="4020" spans="1:3" ht="13" x14ac:dyDescent="0.15">
      <c r="A4020" s="1" t="str">
        <f ca="1">IFERROR(__xludf.DUMMYFUNCTION("GOOGLETRANSLATE(A4020, ""zh"", ""en"")"),"Adhere to the goal of becoming a national first-class enterprise in safety production standardization, carry out in-depth benchmarking and learning activities, revise and improve various safety management systems such as the full-staff safety production r"&amp;"esponsibility system, improve the zero leakage management system and assessment plan, and continue to promote the construction of a zero leakage factory.")</f>
        <v>Adhere to the goal of becoming a national first-class enterprise in safety production standardization, carry out in-depth benchmarking and learning activities, revise and improve various safety management systems such as the full-staff safety production responsibility system, improve the zero leakage management system and assessment plan, and continue to promote the construction of a zero leakage factory.</v>
      </c>
      <c r="B4020" s="1" t="str">
        <f ca="1">IFERROR(__xludf.DUMMYFUNCTION("GOOGLETRANSLATE(A4020, ""zh"", ""en"")"),"staff")</f>
        <v>staff</v>
      </c>
      <c r="C4020" s="1" t="str">
        <f ca="1">IFERROR(__xludf.DUMMYFUNCTION("GOOGLETRANSLATE(E4020, ""zh"", ""en"")"),"Qualitative text")</f>
        <v>Qualitative text</v>
      </c>
    </row>
    <row r="4021" spans="1:3" ht="13" x14ac:dyDescent="0.15">
      <c r="A4021" s="1" t="str">
        <f ca="1">IFERROR(__xludf.DUMMYFUNCTION("GOOGLETRANSLATE(A4021, ""zh"", ""en"")"),"COSL 2022 ESG Report 17 Risk Identification, Risk Prevention and Response The Company has established a systematic and comprehensive risk management process, including collecting initial risk management information, conducting risk assessments, formulatin"&amp;"g management strategies, proposing and implementing solutions, and monitoring and improving risk management.")</f>
        <v>COSL 2022 ESG Report 17 Risk Identification, Risk Prevention and Response The Company has established a systematic and comprehensive risk management process, including collecting initial risk management information, conducting risk assessments, formulating management strategies, proposing and implementing solutions, and monitoring and improving risk management.</v>
      </c>
      <c r="B4021" s="1" t="str">
        <f ca="1">IFERROR(__xludf.DUMMYFUNCTION("GOOGLETRANSLATE(A4021, ""zh"", ""en"")"),"irrelevant text")</f>
        <v>irrelevant text</v>
      </c>
      <c r="C4021" s="1" t="str">
        <f ca="1">IFERROR(__xludf.DUMMYFUNCTION("GOOGLETRANSLATE(E4021, ""zh"", ""en"")"),"irrelevant text")</f>
        <v>irrelevant text</v>
      </c>
    </row>
    <row r="4022" spans="1:3" ht="13" x14ac:dyDescent="0.15">
      <c r="A4022" s="1" t="str">
        <f ca="1">IFERROR(__xludf.DUMMYFUNCTION("GOOGLETRANSLATE(A4022, ""zh"", ""en"")"),"China Construction Bank Corporation 2022 Social Responsibility Report 62 III. Social Aspects B1B4 Employment and Labor Standards The Bank recruits employees publicly in accordance with the law, upholds open and equal competition and selects the best, and "&amp;"prohibits setting discriminatory conditions based on gender, ethnicity, region, religion, etc.")</f>
        <v>China Construction Bank Corporation 2022 Social Responsibility Report 62 III. Social Aspects B1B4 Employment and Labor Standards The Bank recruits employees publicly in accordance with the law, upholds open and equal competition and selects the best, and prohibits setting discriminatory conditions based on gender, ethnicity, region, religion, etc.</v>
      </c>
      <c r="B4022" s="1" t="str">
        <f ca="1">IFERROR(__xludf.DUMMYFUNCTION("GOOGLETRANSLATE(A4022, ""zh"", ""en"")"),"Promoting employment")</f>
        <v>Promoting employment</v>
      </c>
      <c r="C4022" s="1" t="str">
        <f ca="1">IFERROR(__xludf.DUMMYFUNCTION("GOOGLETRANSLATE(E4022, ""zh"", ""en"")"),"Qualitative text")</f>
        <v>Qualitative text</v>
      </c>
    </row>
    <row r="4023" spans="1:3" ht="13" x14ac:dyDescent="0.15">
      <c r="A4023" s="1" t="str">
        <f ca="1">IFERROR(__xludf.DUMMYFUNCTION("GOOGLETRANSLATE(A4023, ""zh"", ""en"")"),"A4 Climate Change Risks and Opportunities The Risk Management Committee of the Bank's Board of Directors regularly reviews the Bank's environmental and climate risk management and oversees the implementation of relevant work in related areas.")</f>
        <v>A4 Climate Change Risks and Opportunities The Risk Management Committee of the Bank's Board of Directors regularly reviews the Bank's environmental and climate risk management and oversees the implementation of relevant work in related areas.</v>
      </c>
      <c r="B4023" s="1" t="str">
        <f ca="1">IFERROR(__xludf.DUMMYFUNCTION("GOOGLETRANSLATE(A4023, ""zh"", ""en"")"),"Addressing climate change")</f>
        <v>Addressing climate change</v>
      </c>
      <c r="C4023" s="1" t="str">
        <f ca="1">IFERROR(__xludf.DUMMYFUNCTION("GOOGLETRANSLATE(E4023, ""zh"", ""en"")"),"Qualitative text")</f>
        <v>Qualitative text</v>
      </c>
    </row>
    <row r="4024" spans="1:3" ht="13" x14ac:dyDescent="0.15">
      <c r="A4024" s="1" t="str">
        <f ca="1">IFERROR(__xludf.DUMMYFUNCTION("GOOGLETRANSLATE(A4024, ""zh"", ""en"")"),"Strengthen personal information privacy protection. Formulate a 2022 personal customer information protection work plan in accordance with the relevant requirements of the Personal Information Protection Law and the Data Security Law. Rapidly promote syst"&amp;"em optimization along the four main lines of work: channel, product, service, data management, and basic technology.")</f>
        <v>Strengthen personal information privacy protection. Formulate a 2022 personal customer information protection work plan in accordance with the relevant requirements of the Personal Information Protection Law and the Data Security Law. Rapidly promote system optimization along the four main lines of work: channel, product, service, data management, and basic technology.</v>
      </c>
      <c r="B4024" s="1" t="str">
        <f ca="1">IFERROR(__xludf.DUMMYFUNCTION("GOOGLETRANSLATE(A4024, ""zh"", ""en"")"),"Data security")</f>
        <v>Data security</v>
      </c>
      <c r="C4024" s="1" t="str">
        <f ca="1">IFERROR(__xludf.DUMMYFUNCTION("GOOGLETRANSLATE(E4024, ""zh"", ""en"")"),"Qualitative text")</f>
        <v>Qualitative text</v>
      </c>
    </row>
    <row r="4025" spans="1:3" ht="13" x14ac:dyDescent="0.15">
      <c r="A4025" s="1" t="str">
        <f ca="1">IFERROR(__xludf.DUMMYFUNCTION("GOOGLETRANSLATE(A4025, ""zh"", ""en"")"),"The number of smart ATMs (STM) disclosed in China Construction Bank's Social Responsibility Report refers to the number of smart ATMs operating externally across China Construction Bank, excluding domestic and overseas subsidiaries, as of the end of the r"&amp;"eporting period.")</f>
        <v>The number of smart ATMs (STM) disclosed in China Construction Bank's Social Responsibility Report refers to the number of smart ATMs operating externally across China Construction Bank, excluding domestic and overseas subsidiaries, as of the end of the reporting period.</v>
      </c>
      <c r="B4025" s="1" t="str">
        <f ca="1">IFERROR(__xludf.DUMMYFUNCTION("GOOGLETRANSLATE(A4025, ""zh"", ""en"")"),"Technological innovation")</f>
        <v>Technological innovation</v>
      </c>
      <c r="C4025" s="1" t="str">
        <f ca="1">IFERROR(__xludf.DUMMYFUNCTION("GOOGLETRANSLATE(E4025, ""zh"", ""en"")"),"Quantitative Text")</f>
        <v>Quantitative Text</v>
      </c>
    </row>
    <row r="4026" spans="1:3" ht="13" x14ac:dyDescent="0.15">
      <c r="A4026" s="1" t="str">
        <f ca="1">IFERROR(__xludf.DUMMYFUNCTION("GOOGLETRANSLATE(A4026, ""zh"", ""en"")"),"The ESG team of our subsidiary, China Asset Management, has held in-depth discussions with more than 40 large listed companies on the overall ESG situation in 2022. All listed companies have given positive feedback, and some have received improvements in "&amp;"third-party ESG ratings.")</f>
        <v>The ESG team of our subsidiary, China Asset Management, has held in-depth discussions with more than 40 large listed companies on the overall ESG situation in 2022. All listed companies have given positive feedback, and some have received improvements in third-party ESG ratings.</v>
      </c>
      <c r="B4026" s="1" t="str">
        <f ca="1">IFERROR(__xludf.DUMMYFUNCTION("GOOGLETRANSLATE(A4026, ""zh"", ""en"")"),"Sustainable certification")</f>
        <v>Sustainable certification</v>
      </c>
      <c r="C4026" s="1" t="str">
        <f ca="1">IFERROR(__xludf.DUMMYFUNCTION("GOOGLETRANSLATE(E4026, ""zh"", ""en"")"),"Quantitative Text")</f>
        <v>Quantitative Text</v>
      </c>
    </row>
    <row r="4027" spans="1:3" ht="13" x14ac:dyDescent="0.15">
      <c r="A4027" s="1" t="str">
        <f ca="1">IFERROR(__xludf.DUMMYFUNCTION("GOOGLETRANSLATE(A4027, ""zh"", ""en"")"),"Excellence: We aim high and strive to be the industry leader. We cherish our company's brand and reputation as if it were our own life. We are dedicated to our work and adhere to the highest standards and strictest requirements to do everything well. We c"&amp;"onstantly innovate and build a long-lasting foundation through breakthroughs and breakthroughs.")</f>
        <v>Excellence: We aim high and strive to be the industry leader. We cherish our company's brand and reputation as if it were our own life. We are dedicated to our work and adhere to the highest standards and strictest requirements to do everything well. We constantly innovate and build a long-lasting foundation through breakthroughs and breakthroughs.</v>
      </c>
      <c r="B4027" s="1" t="str">
        <f ca="1">IFERROR(__xludf.DUMMYFUNCTION("GOOGLETRANSLATE(A4027, ""zh"", ""en"")"),"irrelevant text")</f>
        <v>irrelevant text</v>
      </c>
      <c r="C4027" s="1" t="str">
        <f ca="1">IFERROR(__xludf.DUMMYFUNCTION("GOOGLETRANSLATE(E4027, ""zh"", ""en"")"),"irrelevant text")</f>
        <v>irrelevant text</v>
      </c>
    </row>
    <row r="4028" spans="1:3" ht="13" x14ac:dyDescent="0.15">
      <c r="A4028" s="1" t="str">
        <f ca="1">IFERROR(__xludf.DUMMYFUNCTION("GOOGLETRANSLATE(A4028, ""zh"", ""en"")"),"The company insists on being a practitioner of responsible investment and green finance, continuously promoting the application of responsible investment strategies, deeply deploying innovative ESG products and continuously expanding green industry financ"&amp;"ing, green bonds and other businesses, promoting innovation in green financial products and services, and promoting low-carbon transformation.")</f>
        <v>The company insists on being a practitioner of responsible investment and green finance, continuously promoting the application of responsible investment strategies, deeply deploying innovative ESG products and continuously expanding green industry financing, green bonds and other businesses, promoting innovation in green financial products and services, and promoting low-carbon transformation.</v>
      </c>
      <c r="B4028" s="1" t="str">
        <f ca="1">IFERROR(__xludf.DUMMYFUNCTION("GOOGLETRANSLATE(A4028, ""zh"", ""en"")"),"Green Finance")</f>
        <v>Green Finance</v>
      </c>
      <c r="C4028" s="1" t="str">
        <f ca="1">IFERROR(__xludf.DUMMYFUNCTION("GOOGLETRANSLATE(E4028, ""zh"", ""en"")"),"Qualitative text")</f>
        <v>Qualitative text</v>
      </c>
    </row>
    <row r="4029" spans="1:3" ht="13" x14ac:dyDescent="0.15">
      <c r="A4029" s="1" t="str">
        <f ca="1">IFERROR(__xludf.DUMMYFUNCTION("GOOGLETRANSLATE(A4029, ""zh"", ""en"")"),"CITIC Securities actively conducts independent research and development and innovation, focusing on business development, product and service digital operations, and has achieved a series of results covering wealth management, asset management and other b"&amp;"usinesses, continuously promoting the digital transformation of the enterprise and the in-depth application and innovation of securities technology.")</f>
        <v>CITIC Securities actively conducts independent research and development and innovation, focusing on business development, product and service digital operations, and has achieved a series of results covering wealth management, asset management and other businesses, continuously promoting the digital transformation of the enterprise and the in-depth application and innovation of securities technology.</v>
      </c>
      <c r="B4029" s="1" t="str">
        <f ca="1">IFERROR(__xludf.DUMMYFUNCTION("GOOGLETRANSLATE(A4029, ""zh"", ""en"")"),"Technological innovation")</f>
        <v>Technological innovation</v>
      </c>
      <c r="C4029" s="1" t="str">
        <f ca="1">IFERROR(__xludf.DUMMYFUNCTION("GOOGLETRANSLATE(E4029, ""zh"", ""en"")"),"Qualitative text")</f>
        <v>Qualitative text</v>
      </c>
    </row>
    <row r="4030" spans="1:3" ht="13" x14ac:dyDescent="0.15">
      <c r="A4030" s="1" t="str">
        <f ca="1">IFERROR(__xludf.DUMMYFUNCTION("GOOGLETRANSLATE(A4030, ""zh"", ""en"")"),"As the core technology of single-reheat power generation boilers, this patent has been successfully applied to the world's first 1000MW ultra-supercritical double-reheat coal-fired power generation boiler in the Guodian Taizhou double-reheat demonstration"&amp;" project. Its capacity and comprehensive parameters were the highest in the world at that time.")</f>
        <v>As the core technology of single-reheat power generation boilers, this patent has been successfully applied to the world's first 1000MW ultra-supercritical double-reheat coal-fired power generation boiler in the Guodian Taizhou double-reheat demonstration project. Its capacity and comprehensive parameters were the highest in the world at that time.</v>
      </c>
      <c r="B4030" s="1" t="str">
        <f ca="1">IFERROR(__xludf.DUMMYFUNCTION("GOOGLETRANSLATE(A4030, ""zh"", ""en"")"),"Intellectual Property Protection")</f>
        <v>Intellectual Property Protection</v>
      </c>
      <c r="C4030" s="1" t="str">
        <f ca="1">IFERROR(__xludf.DUMMYFUNCTION("GOOGLETRANSLATE(E4030, ""zh"", ""en"")"),"Qualitative text")</f>
        <v>Qualitative text</v>
      </c>
    </row>
    <row r="4031" spans="1:3" ht="13" x14ac:dyDescent="0.15">
      <c r="A4031" s="1" t="str">
        <f ca="1">IFERROR(__xludf.DUMMYFUNCTION("GOOGLETRANSLATE(A4031, ""zh"", ""en"")"),"In 2022, Shanghai Electric launched a series of activities themed ""Seeking Progress While Maintaining Stability, Working Together with Integrity, Upholding Integrity and Innovation, and Achieving Long-term Development of the Group"" to promote the high-q"&amp;"uality development of the Group and to welcome the successful convening of the 20th National Congress of the Communist Party of China. The activities will be categorized and strengthened to promote the publicity and education of the Party Constitution, Pa"&amp;"rty Rules, and Party Discipline.")</f>
        <v>In 2022, Shanghai Electric launched a series of activities themed "Seeking Progress While Maintaining Stability, Working Together with Integrity, Upholding Integrity and Innovation, and Achieving Long-term Development of the Group" to promote the high-quality development of the Group and to welcome the successful convening of the 20th National Congress of the Communist Party of China. The activities will be categorized and strengthened to promote the publicity and education of the Party Constitution, Party Rules, and Party Discipline.</v>
      </c>
      <c r="B4031" s="1" t="str">
        <f ca="1">IFERROR(__xludf.DUMMYFUNCTION("GOOGLETRANSLATE(A4031, ""zh"", ""en"")"),"Anti-corruption and anti-money laundering")</f>
        <v>Anti-corruption and anti-money laundering</v>
      </c>
      <c r="C4031" s="1" t="str">
        <f ca="1">IFERROR(__xludf.DUMMYFUNCTION("GOOGLETRANSLATE(E4031, ""zh"", ""en"")"),"Qualitative text")</f>
        <v>Qualitative text</v>
      </c>
    </row>
    <row r="4032" spans="1:3" ht="13" x14ac:dyDescent="0.15">
      <c r="A4032" s="1" t="str">
        <f ca="1">IFERROR(__xludf.DUMMYFUNCTION("GOOGLETRANSLATE(A4032, ""zh"", ""en"")"),"The company has formulated the Implementation Measures for Employee Representative Conferences of Sinopec's Directly Affiliated Units, clarifying the basic principles, scope of authority, and organizational procedures for the establishment of employee rep"&amp;"resentative conferences. It has established and improved the employee director and employee supervisor system, laying the foundation for employee representatives to perform their duties in accordance with the law and participate in corporate governance in"&amp;" an orderly manner.")</f>
        <v>The company has formulated the Implementation Measures for Employee Representative Conferences of Sinopec's Directly Affiliated Units, clarifying the basic principles, scope of authority, and organizational procedures for the establishment of employee representative conferences. It has established and improved the employee director and employee supervisor system, laying the foundation for employee representatives to perform their duties in accordance with the law and participate in corporate governance in an orderly manner.</v>
      </c>
      <c r="B4032" s="1" t="str">
        <f ca="1">IFERROR(__xludf.DUMMYFUNCTION("GOOGLETRANSLATE(A4032, ""zh"", ""en"")"),"staff")</f>
        <v>staff</v>
      </c>
      <c r="C4032" s="1" t="str">
        <f ca="1">IFERROR(__xludf.DUMMYFUNCTION("GOOGLETRANSLATE(E4032, ""zh"", ""en"")"),"Qualitative text")</f>
        <v>Qualitative text</v>
      </c>
    </row>
    <row r="4033" spans="1:3" ht="13" x14ac:dyDescent="0.15">
      <c r="A4033" s="1" t="str">
        <f ca="1">IFERROR(__xludf.DUMMYFUNCTION("GOOGLETRANSLATE(A4033, ""zh"", ""en"")"),"Indirect emissions (million tons of carbon dioxide equivalent) The indirect emissions disclosed in the Sustainability Report refer to the indirect greenhouse gas emissions generated by the production and operation enterprises under Sinopec Corporation con"&amp;"suming purchased electricity, purchased heat, steam, etc.")</f>
        <v>Indirect emissions (million tons of carbon dioxide equivalent) The indirect emissions disclosed in the Sustainability Report refer to the indirect greenhouse gas emissions generated by the production and operation enterprises under Sinopec Corporation consuming purchased electricity, purchased heat, steam, etc.</v>
      </c>
      <c r="B4033" s="1" t="str">
        <f ca="1">IFERROR(__xludf.DUMMYFUNCTION("GOOGLETRANSLATE(A4033, ""zh"", ""en"")"),"carbon emissions")</f>
        <v>carbon emissions</v>
      </c>
      <c r="C4033" s="1" t="str">
        <f ca="1">IFERROR(__xludf.DUMMYFUNCTION("GOOGLETRANSLATE(E4033, ""zh"", ""en"")"),"Qualitative text")</f>
        <v>Qualitative text</v>
      </c>
    </row>
    <row r="4034" spans="1:3" ht="13" x14ac:dyDescent="0.15">
      <c r="A4034" s="1" t="str">
        <f ca="1">IFERROR(__xludf.DUMMYFUNCTION("GOOGLETRANSLATE(A4034, ""zh"", ""en"")"),"Employee Care The company conducts long-term research on assistance and relief work, strengthens policy research on compliance management of assistance and relief funds, and continuously improves the assistance and relief work mechanism. It provides targe"&amp;"ted assistance to employees and their families in need through paired assistance and volunteer services, ensuring that they are truly helped in times of difficulty.")</f>
        <v>Employee Care The company conducts long-term research on assistance and relief work, strengthens policy research on compliance management of assistance and relief funds, and continuously improves the assistance and relief work mechanism. It provides targeted assistance to employees and their families in need through paired assistance and volunteer services, ensuring that they are truly helped in times of difficulty.</v>
      </c>
      <c r="B4034" s="1" t="str">
        <f ca="1">IFERROR(__xludf.DUMMYFUNCTION("GOOGLETRANSLATE(A4034, ""zh"", ""en"")"),"staff")</f>
        <v>staff</v>
      </c>
      <c r="C4034" s="1" t="str">
        <f ca="1">IFERROR(__xludf.DUMMYFUNCTION("GOOGLETRANSLATE(E4034, ""zh"", ""en"")"),"Qualitative text")</f>
        <v>Qualitative text</v>
      </c>
    </row>
    <row r="4035" spans="1:3" ht="13" x14ac:dyDescent="0.15">
      <c r="A4035" s="1" t="str">
        <f ca="1">IFERROR(__xludf.DUMMYFUNCTION("GOOGLETRANSLATE(A4035, ""zh"", ""en"")"),"The principles for analyzing substantive issues of the organization and the suggestions on communication channels and methods with stakeholders are described in the internal management report on social responsibility. The topic is also submitted to the re"&amp;"levant management departments of Fosun Pharma for reference in its continuous improvement.")</f>
        <v>The principles for analyzing substantive issues of the organization and the suggestions on communication channels and methods with stakeholders are described in the internal management report on social responsibility. The topic is also submitted to the relevant management departments of Fosun Pharma for reference in its continuous improvement.</v>
      </c>
      <c r="B4035" s="1" t="str">
        <f ca="1">IFERROR(__xludf.DUMMYFUNCTION("GOOGLETRANSLATE(A4035, ""zh"", ""en"")"),"Organizational structure and operations")</f>
        <v>Organizational structure and operations</v>
      </c>
      <c r="C4035" s="1" t="str">
        <f ca="1">IFERROR(__xludf.DUMMYFUNCTION("GOOGLETRANSLATE(E4035, ""zh"", ""en"")"),"Qualitative text")</f>
        <v>Qualitative text</v>
      </c>
    </row>
    <row r="4036" spans="1:3" ht="13" x14ac:dyDescent="0.15">
      <c r="A4036" s="1" t="str">
        <f ca="1">IFERROR(__xludf.DUMMYFUNCTION("GOOGLETRANSLATE(A4036, ""zh"", ""en"")"),"Statement of Independence and Competence SGS is a leading global inspection, testing and certification organization. It is recognized as a benchmark for quality and integrity. It operates in more than 140 countries and has a global service network of more"&amp;" than 2,600 branches and laboratories.")</f>
        <v>Statement of Independence and Competence SGS is a leading global inspection, testing and certification organization. It is recognized as a benchmark for quality and integrity. It operates in more than 140 countries and has a global service network of more than 2,600 branches and laboratories.</v>
      </c>
      <c r="B4036" s="1" t="str">
        <f ca="1">IFERROR(__xludf.DUMMYFUNCTION("GOOGLETRANSLATE(A4036, ""zh"", ""en"")"),"Sustainable certification")</f>
        <v>Sustainable certification</v>
      </c>
      <c r="C4036" s="1" t="str">
        <f ca="1">IFERROR(__xludf.DUMMYFUNCTION("GOOGLETRANSLATE(E4036, ""zh"", ""en"")"),"Qualitative text")</f>
        <v>Qualitative text</v>
      </c>
    </row>
    <row r="4037" spans="1:3" ht="13" x14ac:dyDescent="0.15">
      <c r="A4037" s="1" t="str">
        <f ca="1">IFERROR(__xludf.DUMMYFUNCTION("GOOGLETRANSLATE(A4037, ""zh"", ""en"")"),"702022 Social Responsibility Report Based on a safety and environmental risk management mechanism that combines centralization and decentralization, Shanghai Electric has established a three-tiered supervisory network structure encompassing the group head"&amp;"quarters, industrial groups, and grassroots units, continuously promoting a dual prevention mechanism of risk identification and hidden danger investigation and management.")</f>
        <v>702022 Social Responsibility Report Based on a safety and environmental risk management mechanism that combines centralization and decentralization, Shanghai Electric has established a three-tiered supervisory network structure encompassing the group headquarters, industrial groups, and grassroots units, continuously promoting a dual prevention mechanism of risk identification and hidden danger investigation and management.</v>
      </c>
      <c r="B4037" s="1" t="str">
        <f ca="1">IFERROR(__xludf.DUMMYFUNCTION("GOOGLETRANSLATE(A4037, ""zh"", ""en"")"),"Organizational structure and operations")</f>
        <v>Organizational structure and operations</v>
      </c>
      <c r="C4037" s="1" t="str">
        <f ca="1">IFERROR(__xludf.DUMMYFUNCTION("GOOGLETRANSLATE(E4037, ""zh"", ""en"")"),"Qualitative text")</f>
        <v>Qualitative text</v>
      </c>
    </row>
    <row r="4038" spans="1:3" ht="13" x14ac:dyDescent="0.15">
      <c r="A4038" s="1" t="str">
        <f ca="1">IFERROR(__xludf.DUMMYFUNCTION("GOOGLETRANSLATE(A4038, ""zh"", ""en"")"),"In 2022, Shanghai Electric's total training investment was RMB 104.55 million. The training covered employees at different levels, with the percentage of senior employees receiving training reaching 100%, and the percentage of middle-level and ordinary em"&amp;"ployees receiving training exceeding 97%. The average coverage rate was 98.56%.")</f>
        <v>In 2022, Shanghai Electric's total training investment was RMB 104.55 million. The training covered employees at different levels, with the percentage of senior employees receiving training reaching 100%, and the percentage of middle-level and ordinary employees receiving training exceeding 97%. The average coverage rate was 98.56%.</v>
      </c>
      <c r="B4038" s="1" t="str">
        <f ca="1">IFERROR(__xludf.DUMMYFUNCTION("GOOGLETRANSLATE(A4038, ""zh"", ""en"")"),"staff")</f>
        <v>staff</v>
      </c>
      <c r="C4038" s="1" t="str">
        <f ca="1">IFERROR(__xludf.DUMMYFUNCTION("GOOGLETRANSLATE(E4038, ""zh"", ""en"")"),"Quantitative Text")</f>
        <v>Quantitative Text</v>
      </c>
    </row>
    <row r="4039" spans="1:3" ht="13" x14ac:dyDescent="0.15">
      <c r="A4039" s="1" t="str">
        <f ca="1">IFERROR(__xludf.DUMMYFUNCTION("GOOGLETRANSLATE(A4039, ""zh"", ""en"")"),"In 2022, Dima Industry will promote the 433 Strong Base Project, which will enable common technologies and professional capabilities to be improved in 35 special projects such as intelligent network integration, positioning, water communication, composite"&amp;" new materials, etc. The three-dimensional work will bring about the improvement of design efficiency and manufacturing efficiency.")</f>
        <v>In 2022, Dima Industry will promote the 433 Strong Base Project, which will enable common technologies and professional capabilities to be improved in 35 special projects such as intelligent network integration, positioning, water communication, composite new materials, etc. The three-dimensional work will bring about the improvement of design efficiency and manufacturing efficiency.</v>
      </c>
      <c r="B4039" s="1" t="str">
        <f ca="1">IFERROR(__xludf.DUMMYFUNCTION("GOOGLETRANSLATE(A4039, ""zh"", ""en"")"),"Technological innovation")</f>
        <v>Technological innovation</v>
      </c>
      <c r="C4039" s="1" t="str">
        <f ca="1">IFERROR(__xludf.DUMMYFUNCTION("GOOGLETRANSLATE(E4039, ""zh"", ""en"")"),"Quantitative Text")</f>
        <v>Quantitative Text</v>
      </c>
    </row>
    <row r="4040" spans="1:3" ht="13" x14ac:dyDescent="0.15">
      <c r="A4040" s="1" t="str">
        <f ca="1">IFERROR(__xludf.DUMMYFUNCTION("GOOGLETRANSLATE(A4040, ""zh"", ""en"")"),"Focusing on core business as the main line, we will lay the foundation for high-quality development, further strengthen resource investment, build core product lines, and concentrate on developing the pharmaceutical industry sector. We will build a light-"&amp;"footed and focused model of focusing on the core business and continuously improving profitability to lay the foundation for the company's high-quality development.")</f>
        <v>Focusing on core business as the main line, we will lay the foundation for high-quality development, further strengthen resource investment, build core product lines, and concentrate on developing the pharmaceutical industry sector. We will build a light-footed and focused model of focusing on the core business and continuously improving profitability to lay the foundation for the company's high-quality development.</v>
      </c>
      <c r="B4040" s="1" t="str">
        <f ca="1">IFERROR(__xludf.DUMMYFUNCTION("GOOGLETRANSLATE(A4040, ""zh"", ""en"")"),"Technological innovation")</f>
        <v>Technological innovation</v>
      </c>
      <c r="C4040" s="1" t="str">
        <f ca="1">IFERROR(__xludf.DUMMYFUNCTION("GOOGLETRANSLATE(E4040, ""zh"", ""en"")"),"Qualitative text")</f>
        <v>Qualitative text</v>
      </c>
    </row>
    <row r="4041" spans="1:3" ht="13" x14ac:dyDescent="0.15">
      <c r="A4041" s="1" t="str">
        <f ca="1">IFERROR(__xludf.DUMMYFUNCTION("GOOGLETRANSLATE(A4041, ""zh"", ""en"")"),"The center not only meets the needs of local children for after-school learning, knowledge expansion, leisure and entertainment, mental health, online companionship and offline interaction, but also takes care of the needs of local guardians, provides a p"&amp;"lace for social activities for the elderly, and builds a caring system for the venue service mechanism.")</f>
        <v>The center not only meets the needs of local children for after-school learning, knowledge expansion, leisure and entertainment, mental health, online companionship and offline interaction, but also takes care of the needs of local guardians, provides a place for social activities for the elderly, and builds a caring system for the venue service mechanism.</v>
      </c>
      <c r="B4041" s="1" t="str">
        <f ca="1">IFERROR(__xludf.DUMMYFUNCTION("GOOGLETRANSLATE(A4041, ""zh"", ""en"")"),"Public welfare and volunteer service")</f>
        <v>Public welfare and volunteer service</v>
      </c>
      <c r="C4041" s="1" t="str">
        <f ca="1">IFERROR(__xludf.DUMMYFUNCTION("GOOGLETRANSLATE(E4041, ""zh"", ""en"")"),"Qualitative text")</f>
        <v>Qualitative text</v>
      </c>
    </row>
    <row r="4042" spans="1:3" ht="13" x14ac:dyDescent="0.15">
      <c r="A4042" s="1" t="str">
        <f ca="1">IFERROR(__xludf.DUMMYFUNCTION("GOOGLETRANSLATE(A4042, ""zh"", ""en"")"),"The company adheres to the talent management strategy of recruiting talents widely, cultivating talents meticulously, using talents boldly and retaining talents sincerely. It has established a three-tier talent training system of Jingmang Plan, Jingrui Pl"&amp;"an and Elite Plan, and carries out continuous tiered and systematic training for young employees, high-potential backbones and management personnel at all levels.")</f>
        <v>The company adheres to the talent management strategy of recruiting talents widely, cultivating talents meticulously, using talents boldly and retaining talents sincerely. It has established a three-tier talent training system of Jingmang Plan, Jingrui Plan and Elite Plan, and carries out continuous tiered and systematic training for young employees, high-potential backbones and management personnel at all levels.</v>
      </c>
      <c r="B4042" s="1" t="str">
        <f ca="1">IFERROR(__xludf.DUMMYFUNCTION("GOOGLETRANSLATE(A4042, ""zh"", ""en"")"),"staff")</f>
        <v>staff</v>
      </c>
      <c r="C4042" s="1" t="str">
        <f ca="1">IFERROR(__xludf.DUMMYFUNCTION("GOOGLETRANSLATE(E4042, ""zh"", ""en"")"),"Qualitative text")</f>
        <v>Qualitative text</v>
      </c>
    </row>
    <row r="4043" spans="1:3" ht="13" x14ac:dyDescent="0.15">
      <c r="A4043" s="1" t="str">
        <f ca="1">IFERROR(__xludf.DUMMYFUNCTION("GOOGLETRANSLATE(A4043, ""zh"", ""en"")"),"Wuhan Renfu organizes a symposium for new and old employees to build a platform for communication between employees and the company, so as to understand the thoughts and work status of new colleagues and effectively help employees solve problems in work a"&amp;"nd life, and help new colleagues integrate into the company environment as soon as possible.")</f>
        <v>Wuhan Renfu organizes a symposium for new and old employees to build a platform for communication between employees and the company, so as to understand the thoughts and work status of new colleagues and effectively help employees solve problems in work and life, and help new colleagues integrate into the company environment as soon as possible.</v>
      </c>
      <c r="B4043" s="1" t="str">
        <f ca="1">IFERROR(__xludf.DUMMYFUNCTION("GOOGLETRANSLATE(A4043, ""zh"", ""en"")"),"staff")</f>
        <v>staff</v>
      </c>
      <c r="C4043" s="1" t="str">
        <f ca="1">IFERROR(__xludf.DUMMYFUNCTION("GOOGLETRANSLATE(E4043, ""zh"", ""en"")"),"Qualitative text")</f>
        <v>Qualitative text</v>
      </c>
    </row>
    <row r="4044" spans="1:3" ht="13" x14ac:dyDescent="0.15">
      <c r="A4044" s="1" t="str">
        <f ca="1">IFERROR(__xludf.DUMMYFUNCTION("GOOGLETRANSLATE(A4044, ""zh"", ""en"")"),"In November 2022, Deng Xiafei, Chairman and CEO of Humanwell Healthcare, attended the China-Africa Youth Innovation and Entrepreneurship Competition held in Wuhan as a judge, further stimulating the innovation and entrepreneurship vitality of Chinese and "&amp;"African youth, broadening the space for innovation and entrepreneurship cooperation, and building a platform for exchange and cooperation between Chinese and African youth.")</f>
        <v>In November 2022, Deng Xiafei, Chairman and CEO of Humanwell Healthcare, attended the China-Africa Youth Innovation and Entrepreneurship Competition held in Wuhan as a judge, further stimulating the innovation and entrepreneurship vitality of Chinese and African youth, broadening the space for innovation and entrepreneurship cooperation, and building a platform for exchange and cooperation between Chinese and African youth.</v>
      </c>
      <c r="B4044" s="1" t="str">
        <f ca="1">IFERROR(__xludf.DUMMYFUNCTION("GOOGLETRANSLATE(A4044, ""zh"", ""en"")"),"Public welfare and volunteer service")</f>
        <v>Public welfare and volunteer service</v>
      </c>
      <c r="C4044" s="1" t="str">
        <f ca="1">IFERROR(__xludf.DUMMYFUNCTION("GOOGLETRANSLATE(E4044, ""zh"", ""en"")"),"Qualitative text")</f>
        <v>Qualitative text</v>
      </c>
    </row>
    <row r="4045" spans="1:3" ht="13" x14ac:dyDescent="0.15">
      <c r="A4045" s="1" t="str">
        <f ca="1">IFERROR(__xludf.DUMMYFUNCTION("GOOGLETRANSLATE(A4045, ""zh"", ""en"")"),"Since 2015, when Yichang People's Welfare Institute and the Yichang Municipal Federation of Literary and Art Circles jointly formed a support team to help Qiaoliao Village, Qiaoliao Village has undergone tremendous changes. The per capita disposable incom"&amp;"e has increased from 5,000 yuan to 12,000 yuan, and the village collective economy has grown from 0 to 240,000 yuan.")</f>
        <v>Since 2015, when Yichang People's Welfare Institute and the Yichang Municipal Federation of Literary and Art Circles jointly formed a support team to help Qiaoliao Village, Qiaoliao Village has undergone tremendous changes. The per capita disposable income has increased from 5,000 yuan to 12,000 yuan, and the village collective economy has grown from 0 to 240,000 yuan.</v>
      </c>
      <c r="B4045" s="1" t="str">
        <f ca="1">IFERROR(__xludf.DUMMYFUNCTION("GOOGLETRANSLATE(A4045, ""zh"", ""en"")"),"Rural assistance")</f>
        <v>Rural assistance</v>
      </c>
      <c r="C4045" s="1" t="str">
        <f ca="1">IFERROR(__xludf.DUMMYFUNCTION("GOOGLETRANSLATE(E4045, ""zh"", ""en"")"),"Quantitative Text")</f>
        <v>Quantitative Text</v>
      </c>
    </row>
    <row r="4046" spans="1:3" ht="13" x14ac:dyDescent="0.15">
      <c r="A4046" s="1" t="str">
        <f ca="1">IFERROR(__xludf.DUMMYFUNCTION("GOOGLETRANSLATE(A4046, ""zh"", ""en"")"),"The Super Factory Quality Control Center has developed a home growth profile, enabling customers to remotely view on-site construction footage, construction progress, and quality control functions. A promotion and implementation plan and training have bee"&amp;"n launched, and the plan is to expand to projects in Kunming, Shijiazhuang, Yibin, and other places by 2023.")</f>
        <v>The Super Factory Quality Control Center has developed a home growth profile, enabling customers to remotely view on-site construction footage, construction progress, and quality control functions. A promotion and implementation plan and training have been launched, and the plan is to expand to projects in Kunming, Shijiazhuang, Yibin, and other places by 2023.</v>
      </c>
      <c r="B4046" s="1" t="str">
        <f ca="1">IFERROR(__xludf.DUMMYFUNCTION("GOOGLETRANSLATE(A4046, ""zh"", ""en"")"),"Customers and Consumers")</f>
        <v>Customers and Consumers</v>
      </c>
      <c r="C4046" s="1" t="str">
        <f ca="1">IFERROR(__xludf.DUMMYFUNCTION("GOOGLETRANSLATE(E4046, ""zh"", ""en"")"),"Qualitative text")</f>
        <v>Qualitative text</v>
      </c>
    </row>
    <row r="4047" spans="1:3" ht="13" x14ac:dyDescent="0.15">
      <c r="A4047" s="1" t="str">
        <f ca="1">IFERROR(__xludf.DUMMYFUNCTION("GOOGLETRANSLATE(A4047, ""zh"", ""en"")"),"The rainwater recycling and secondary utilization device saves the project 87,900 yuan in water costs each year. At the same time, the project won the title of Sichuan Provincial Water-Saving Community and was recommended by the Sichuan Provincial Housing"&amp;" and Urban-Rural Development Bureau and the Mianyang Municipal Housing and Urban-Rural Development Bureau to participate in the national excellent water-saving project evaluation activities.")</f>
        <v>The rainwater recycling and secondary utilization device saves the project 87,900 yuan in water costs each year. At the same time, the project won the title of Sichuan Provincial Water-Saving Community and was recommended by the Sichuan Provincial Housing and Urban-Rural Development Bureau and the Mianyang Municipal Housing and Urban-Rural Development Bureau to participate in the national excellent water-saving project evaluation activities.</v>
      </c>
      <c r="B4047" s="1" t="str">
        <f ca="1">IFERROR(__xludf.DUMMYFUNCTION("GOOGLETRANSLATE(A4047, ""zh"", ""en"")"),"Water resources")</f>
        <v>Water resources</v>
      </c>
      <c r="C4047" s="1" t="str">
        <f ca="1">IFERROR(__xludf.DUMMYFUNCTION("GOOGLETRANSLATE(E4047, ""zh"", ""en"")"),"Quantitative Text")</f>
        <v>Quantitative Text</v>
      </c>
    </row>
    <row r="4048" spans="1:3" ht="13" x14ac:dyDescent="0.15">
      <c r="A4048" s="1" t="str">
        <f ca="1">IFERROR(__xludf.DUMMYFUNCTION("GOOGLETRANSLATE(A4048, ""zh"", ""en"")"),"Highlights of the digital exhibition hall: Online communication and fission cover a wide range of people. Party members, the public, students, etc. can browse it. Unlimited space expansion is not restricted by physical space. Convenient visitor can roam t"&amp;"he exhibition hall without leaving home. Even the epidemic can't stop visitors. Environmentally friendly, energy-saving, low cost and easy maintenance.")</f>
        <v>Highlights of the digital exhibition hall: Online communication and fission cover a wide range of people. Party members, the public, students, etc. can browse it. Unlimited space expansion is not restricted by physical space. Convenient visitor can roam the exhibition hall without leaving home. Even the epidemic can't stop visitors. Environmentally friendly, energy-saving, low cost and easy maintenance.</v>
      </c>
      <c r="B4048" s="1" t="str">
        <f ca="1">IFERROR(__xludf.DUMMYFUNCTION("GOOGLETRANSLATE(A4048, ""zh"", ""en"")"),"Fighting the epidemic")</f>
        <v>Fighting the epidemic</v>
      </c>
      <c r="C4048" s="1" t="str">
        <f ca="1">IFERROR(__xludf.DUMMYFUNCTION("GOOGLETRANSLATE(E4048, ""zh"", ""en"")"),"Qualitative text")</f>
        <v>Qualitative text</v>
      </c>
    </row>
    <row r="4049" spans="1:3" ht="13" x14ac:dyDescent="0.15">
      <c r="A4049" s="1" t="str">
        <f ca="1">IFERROR(__xludf.DUMMYFUNCTION("GOOGLETRANSLATE(A4049, ""zh"", ""en"")"),"Comprehensively promote compliance with new air pollution standards in key areas such as oil and gas fields, refining, sales, and storage. Continue to strengthen online monitoring and compliance control of air pollution sources. Carry out emergency respon"&amp;"se to heavy pollution weather in key areas and key periods, and strictly control emissions that meet standards.")</f>
        <v>Comprehensively promote compliance with new air pollution standards in key areas such as oil and gas fields, refining, sales, and storage. Continue to strengthen online monitoring and compliance control of air pollution sources. Carry out emergency response to heavy pollution weather in key areas and key periods, and strictly control emissions that meet standards.</v>
      </c>
      <c r="B4049" s="1" t="str">
        <f ca="1">IFERROR(__xludf.DUMMYFUNCTION("GOOGLETRANSLATE(A4049, ""zh"", ""en"")"),"Waste Management")</f>
        <v>Waste Management</v>
      </c>
      <c r="C4049" s="1" t="str">
        <f ca="1">IFERROR(__xludf.DUMMYFUNCTION("GOOGLETRANSLATE(E4049, ""zh"", ""en"")"),"Qualitative text")</f>
        <v>Qualitative text</v>
      </c>
    </row>
    <row r="4050" spans="1:3" ht="13" x14ac:dyDescent="0.15">
      <c r="A4050" s="1" t="str">
        <f ca="1">IFERROR(__xludf.DUMMYFUNCTION("GOOGLETRANSLATE(A4050, ""zh"", ""en"")"),"We systematically identify key climate-related risk points that impact the company's strategy from aspects such as reputation, market, technology, operations, policies, regulations, and physical factors, and develop corresponding response measures to enha"&amp;"nce the company's ability to respond to potential climate risks and opportunities at a strategic level.")</f>
        <v>We systematically identify key climate-related risk points that impact the company's strategy from aspects such as reputation, market, technology, operations, policies, regulations, and physical factors, and develop corresponding response measures to enhance the company's ability to respond to potential climate risks and opportunities at a strategic level.</v>
      </c>
      <c r="B4050" s="1" t="str">
        <f ca="1">IFERROR(__xludf.DUMMYFUNCTION("GOOGLETRANSLATE(A4050, ""zh"", ""en"")"),"Addressing climate change")</f>
        <v>Addressing climate change</v>
      </c>
      <c r="C4050" s="1" t="str">
        <f ca="1">IFERROR(__xludf.DUMMYFUNCTION("GOOGLETRANSLATE(E4050, ""zh"", ""en"")"),"Qualitative text")</f>
        <v>Qualitative text</v>
      </c>
    </row>
    <row r="4051" spans="1:3" ht="13" x14ac:dyDescent="0.15">
      <c r="A4051" s="1" t="str">
        <f ca="1">IFERROR(__xludf.DUMMYFUNCTION("GOOGLETRANSLATE(A4051, ""zh"", ""en"")"),"The project aims to provide farmers in five provinces, including Shandong, Henan, Hebei, Zhejiang and Liaoning, with loan guarantees of no less than RMB 200 million to help more than 3,000 rural households build distributed photovoltaic power stations on "&amp;"their rooftops to generate clean energy using solar power.")</f>
        <v>The project aims to provide farmers in five provinces, including Shandong, Henan, Hebei, Zhejiang and Liaoning, with loan guarantees of no less than RMB 200 million to help more than 3,000 rural households build distributed photovoltaic power stations on their rooftops to generate clean energy using solar power.</v>
      </c>
      <c r="B4051" s="1" t="str">
        <f ca="1">IFERROR(__xludf.DUMMYFUNCTION("GOOGLETRANSLATE(A4051, ""zh"", ""en"")"),"Rural assistance")</f>
        <v>Rural assistance</v>
      </c>
      <c r="C4051" s="1" t="str">
        <f ca="1">IFERROR(__xludf.DUMMYFUNCTION("GOOGLETRANSLATE(E4051, ""zh"", ""en"")"),"Quantitative Text")</f>
        <v>Quantitative Text</v>
      </c>
    </row>
    <row r="4052" spans="1:3" ht="13" x14ac:dyDescent="0.15">
      <c r="A4052" s="1" t="str">
        <f ca="1">IFERROR(__xludf.DUMMYFUNCTION("GOOGLETRANSLATE(A4052, ""zh"", ""en"")"),"The shareholders' meeting exercises relevant rights in accordance with the law. In response to the risks of deposit financial business with Hisense Group Finance Co., Ltd., the Company has formulated regulations on carrying out deposit financial business "&amp;"with Hisense Group Finance Co., Ltd. and fulfilling relevant obligations to ensure the company's standardized and effective operation.")</f>
        <v>The shareholders' meeting exercises relevant rights in accordance with the law. In response to the risks of deposit financial business with Hisense Group Finance Co., Ltd., the Company has formulated regulations on carrying out deposit financial business with Hisense Group Finance Co., Ltd. and fulfilling relevant obligations to ensure the company's standardized and effective operation.</v>
      </c>
      <c r="B4052" s="1" t="str">
        <f ca="1">IFERROR(__xludf.DUMMYFUNCTION("GOOGLETRANSLATE(A4052, ""zh"", ""en"")"),"Shareholder and creditor rights")</f>
        <v>Shareholder and creditor rights</v>
      </c>
      <c r="C4052" s="1" t="str">
        <f ca="1">IFERROR(__xludf.DUMMYFUNCTION("GOOGLETRANSLATE(E4052, ""zh"", ""en"")"),"Qualitative text")</f>
        <v>Qualitative text</v>
      </c>
    </row>
    <row r="4053" spans="1:3" ht="13" x14ac:dyDescent="0.15">
      <c r="A4053" s="1" t="str">
        <f ca="1">IFERROR(__xludf.DUMMYFUNCTION("GOOGLETRANSLATE(A4053, ""zh"", ""en"")"),"Focusing on the research of key technologies for next-generation displays, we aim to become a world-class provider of multi-scenario system display solutions with ubiquitous service, ubiquitous connectivity, and low-blue light and flicker-free display cer"&amp;"tifications from TUV Rheinland China Quality Certification Center.")</f>
        <v>Focusing on the research of key technologies for next-generation displays, we aim to become a world-class provider of multi-scenario system display solutions with ubiquitous service, ubiquitous connectivity, and low-blue light and flicker-free display certifications from TUV Rheinland China Quality Certification Center.</v>
      </c>
      <c r="B4053" s="1" t="str">
        <f ca="1">IFERROR(__xludf.DUMMYFUNCTION("GOOGLETRANSLATE(A4053, ""zh"", ""en"")"),"Technological innovation")</f>
        <v>Technological innovation</v>
      </c>
      <c r="C4053" s="1" t="str">
        <f ca="1">IFERROR(__xludf.DUMMYFUNCTION("GOOGLETRANSLATE(E4053, ""zh"", ""en"")"),"Qualitative text")</f>
        <v>Qualitative text</v>
      </c>
    </row>
    <row r="4054" spans="1:3" ht="13" x14ac:dyDescent="0.15">
      <c r="A4054" s="1" t="str">
        <f ca="1">IFERROR(__xludf.DUMMYFUNCTION("GOOGLETRANSLATE(A4054, ""zh"", ""en"")"),"Currently, Tocilizumab Injection has been included in the 10th Trial Edition of the Diagnosis and Treatment Protocol for Novel Coronavirus Infection and the 4th Trial Edition of the Diagnosis and Treatment Protocol for Severe Cases of Novel Coronavirus In"&amp;"fection. It has a good therapeutic effect on severe patients with novel coronavirus infection who have symptoms such as white lung.")</f>
        <v>Currently, Tocilizumab Injection has been included in the 10th Trial Edition of the Diagnosis and Treatment Protocol for Novel Coronavirus Infection and the 4th Trial Edition of the Diagnosis and Treatment Protocol for Severe Cases of Novel Coronavirus Infection. It has a good therapeutic effect on severe patients with novel coronavirus infection who have symptoms such as white lung.</v>
      </c>
      <c r="B4054" s="1" t="str">
        <f ca="1">IFERROR(__xludf.DUMMYFUNCTION("GOOGLETRANSLATE(A4054, ""zh"", ""en"")"),"Fighting the epidemic")</f>
        <v>Fighting the epidemic</v>
      </c>
      <c r="C4054" s="1" t="str">
        <f ca="1">IFERROR(__xludf.DUMMYFUNCTION("GOOGLETRANSLATE(E4054, ""zh"", ""en"")"),"Qualitative text")</f>
        <v>Qualitative text</v>
      </c>
    </row>
    <row r="4055" spans="1:3" ht="13" x14ac:dyDescent="0.15">
      <c r="A4055" s="1" t="str">
        <f ca="1">IFERROR(__xludf.DUMMYFUNCTION("GOOGLETRANSLATE(A4055, ""zh"", ""en"")"),"At the same time, we are also continuously promoting international cooperation and outsourcing licensing of innovative products and pipelines, and are negotiating cooperation with multiple international parties. Among them, the improved new drug Tobramyci"&amp;"n Inhalation Solution is currently in negotiation with customers in Europe, Southeast Asia and other regions for outsourcing technology licensing.")</f>
        <v>At the same time, we are also continuously promoting international cooperation and outsourcing licensing of innovative products and pipelines, and are negotiating cooperation with multiple international parties. Among them, the improved new drug Tobramycin Inhalation Solution is currently in negotiation with customers in Europe, Southeast Asia and other regions for outsourcing technology licensing.</v>
      </c>
      <c r="B4055" s="1" t="str">
        <f ca="1">IFERROR(__xludf.DUMMYFUNCTION("GOOGLETRANSLATE(A4055, ""zh"", ""en"")"),"Technological innovation")</f>
        <v>Technological innovation</v>
      </c>
      <c r="C4055" s="1" t="str">
        <f ca="1">IFERROR(__xludf.DUMMYFUNCTION("GOOGLETRANSLATE(E4055, ""zh"", ""en"")"),"Qualitative text")</f>
        <v>Qualitative text</v>
      </c>
    </row>
    <row r="4056" spans="1:3" ht="13" x14ac:dyDescent="0.15">
      <c r="A4056" s="1" t="str">
        <f ca="1">IFERROR(__xludf.DUMMYFUNCTION("GOOGLETRANSLATE(A4056, ""zh"", ""en"")"),"54 Joincare Pharmaceutical Group Co., Ltd. Joincare's subsidiary, Livzon Group, conducts an annual employee satisfaction survey to collect all employees' opinions and suggestions, monitor changes in employee satisfaction, and develop targeted improvement "&amp;"and optimization plans.")</f>
        <v>54 Joincare Pharmaceutical Group Co., Ltd. Joincare's subsidiary, Livzon Group, conducts an annual employee satisfaction survey to collect all employees' opinions and suggestions, monitor changes in employee satisfaction, and develop targeted improvement and optimization plans.</v>
      </c>
      <c r="B4056" s="1" t="str">
        <f ca="1">IFERROR(__xludf.DUMMYFUNCTION("GOOGLETRANSLATE(A4056, ""zh"", ""en"")"),"staff")</f>
        <v>staff</v>
      </c>
      <c r="C4056" s="1" t="str">
        <f ca="1">IFERROR(__xludf.DUMMYFUNCTION("GOOGLETRANSLATE(E4056, ""zh"", ""en"")"),"Qualitative text")</f>
        <v>Qualitative text</v>
      </c>
    </row>
    <row r="4057" spans="1:3" ht="13" x14ac:dyDescent="0.15">
      <c r="A4057" s="1" t="str">
        <f ca="1">IFERROR(__xludf.DUMMYFUNCTION("GOOGLETRANSLATE(A4057, ""zh"", ""en"")"),"Through the digital transformation of the pollutant removal system and the implementation of various energy-saving and emission reduction technical transformation projects, significant results have been achieved in reducing waste gas emissions in 2022, es"&amp;"pecially the emissions of sulfur dioxide, nitrogen oxides and smoke and dust, which have been significantly reduced compared to 2021.")</f>
        <v>Through the digital transformation of the pollutant removal system and the implementation of various energy-saving and emission reduction technical transformation projects, significant results have been achieved in reducing waste gas emissions in 2022, especially the emissions of sulfur dioxide, nitrogen oxides and smoke and dust, which have been significantly reduced compared to 2021.</v>
      </c>
      <c r="B4057" s="1" t="str">
        <f ca="1">IFERROR(__xludf.DUMMYFUNCTION("GOOGLETRANSLATE(A4057, ""zh"", ""en"")"),"Waste Management")</f>
        <v>Waste Management</v>
      </c>
      <c r="C4057" s="1" t="str">
        <f ca="1">IFERROR(__xludf.DUMMYFUNCTION("GOOGLETRANSLATE(E4057, ""zh"", ""en"")"),"Quantitative Text")</f>
        <v>Quantitative Text</v>
      </c>
    </row>
    <row r="4058" spans="1:3" ht="13" x14ac:dyDescent="0.15">
      <c r="A4058" s="1" t="str">
        <f ca="1">IFERROR(__xludf.DUMMYFUNCTION("GOOGLETRANSLATE(A4058, ""zh"", ""en"")"),"The company regularly inspects hazardous exposures in the workplace, including air quality and noise, and conducts health monitoring and assessments of employees' working environments. The company continuously updates equipment, performs process improveme"&amp;"nts on traditional dust equipment, and reduces noise on noise-producing equipment to improve the working environment.")</f>
        <v>The company regularly inspects hazardous exposures in the workplace, including air quality and noise, and conducts health monitoring and assessments of employees' working environments. The company continuously updates equipment, performs process improvements on traditional dust equipment, and reduces noise on noise-producing equipment to improve the working environment.</v>
      </c>
      <c r="B4058" s="1" t="str">
        <f ca="1">IFERROR(__xludf.DUMMYFUNCTION("GOOGLETRANSLATE(A4058, ""zh"", ""en"")"),"staff")</f>
        <v>staff</v>
      </c>
      <c r="C4058" s="1" t="str">
        <f ca="1">IFERROR(__xludf.DUMMYFUNCTION("GOOGLETRANSLATE(E4058, ""zh"", ""en"")"),"Qualitative text")</f>
        <v>Qualitative text</v>
      </c>
    </row>
    <row r="4059" spans="1:3" ht="13" x14ac:dyDescent="0.15">
      <c r="A4059" s="1" t="str">
        <f ca="1">IFERROR(__xludf.DUMMYFUNCTION("GOOGLETRANSLATE(A4059, ""zh"", ""en"")"),"As of the end of 2022, Haier Smart Home has accumulated more than 92,000 patent applications worldwide, covering more than 30 countries, including more than 59,000 invention patents and more than 16,000 overseas invention patent applications. It is the Ch"&amp;"inese home appliance company with the most overseas patents.")</f>
        <v>As of the end of 2022, Haier Smart Home has accumulated more than 92,000 patent applications worldwide, covering more than 30 countries, including more than 59,000 invention patents and more than 16,000 overseas invention patent applications. It is the Chinese home appliance company with the most overseas patents.</v>
      </c>
      <c r="B4059" s="1" t="str">
        <f ca="1">IFERROR(__xludf.DUMMYFUNCTION("GOOGLETRANSLATE(A4059, ""zh"", ""en"")"),"Intellectual Property Protection")</f>
        <v>Intellectual Property Protection</v>
      </c>
      <c r="C4059" s="1" t="str">
        <f ca="1">IFERROR(__xludf.DUMMYFUNCTION("GOOGLETRANSLATE(E4059, ""zh"", ""en"")"),"Quantitative Text")</f>
        <v>Quantitative Text</v>
      </c>
    </row>
    <row r="4060" spans="1:3" ht="13" x14ac:dyDescent="0.15">
      <c r="A4060" s="1" t="str">
        <f ca="1">IFERROR(__xludf.DUMMYFUNCTION("GOOGLETRANSLATE(A4060, ""zh"", ""en"")"),"To create a full-process integrated smart service, Haier Smart Home has built an information service platform, established a reputation committee, and established a user-oriented service mechanism to optimize and sort out service scenarios, actively respo"&amp;"nd to user after-sales needs, and create the best service experience.")</f>
        <v>To create a full-process integrated smart service, Haier Smart Home has built an information service platform, established a reputation committee, and established a user-oriented service mechanism to optimize and sort out service scenarios, actively respond to user after-sales needs, and create the best service experience.</v>
      </c>
      <c r="B4060" s="1" t="str">
        <f ca="1">IFERROR(__xludf.DUMMYFUNCTION("GOOGLETRANSLATE(A4060, ""zh"", ""en"")"),"Customers and Consumers")</f>
        <v>Customers and Consumers</v>
      </c>
      <c r="C4060" s="1" t="str">
        <f ca="1">IFERROR(__xludf.DUMMYFUNCTION("GOOGLETRANSLATE(E4060, ""zh"", ""en"")"),"Qualitative text")</f>
        <v>Qualitative text</v>
      </c>
    </row>
    <row r="4061" spans="1:3" ht="13" x14ac:dyDescent="0.15">
      <c r="A4061" s="1" t="str">
        <f ca="1">IFERROR(__xludf.DUMMYFUNCTION("GOOGLETRANSLATE(A4061, ""zh"", ""en"")"),"Third-party safety management, production safety inspection, safety culture construction, and occupational health management. The company attaches great importance to the health of the environment and personnel, ensuring that the occupational safety and h"&amp;"ealth environment complies with national standards and regularly conducts environmental monitoring and personnel supervision to ensure that occupational health is implemented.")</f>
        <v>Third-party safety management, production safety inspection, safety culture construction, and occupational health management. The company attaches great importance to the health of the environment and personnel, ensuring that the occupational safety and health environment complies with national standards and regularly conducts environmental monitoring and personnel supervision to ensure that occupational health is implemented.</v>
      </c>
      <c r="B4061" s="1" t="str">
        <f ca="1">IFERROR(__xludf.DUMMYFUNCTION("GOOGLETRANSLATE(A4061, ""zh"", ""en"")"),"staff")</f>
        <v>staff</v>
      </c>
      <c r="C4061" s="1" t="str">
        <f ca="1">IFERROR(__xludf.DUMMYFUNCTION("GOOGLETRANSLATE(E4061, ""zh"", ""en"")"),"Qualitative text")</f>
        <v>Qualitative text</v>
      </c>
    </row>
    <row r="4062" spans="1:3" ht="13" x14ac:dyDescent="0.15">
      <c r="A4062" s="1" t="str">
        <f ca="1">IFERROR(__xludf.DUMMYFUNCTION("GOOGLETRANSLATE(A4062, ""zh"", ""en"")"),"3064 Hazardous Waste Transportation P35 3065 Water Bodies Affected by Drainage and/or Runoff P35 GRI 307 Environmental Compliance 3071 Violation of Environmental Laws and Regulations No major violations of environmental laws and regulations occurred in th"&amp;"e organization in 2022")</f>
        <v>3064 Hazardous Waste Transportation P35 3065 Water Bodies Affected by Drainage and/or Runoff P35 GRI 307 Environmental Compliance 3071 Violation of Environmental Laws and Regulations No major violations of environmental laws and regulations occurred in the organization in 2022</v>
      </c>
      <c r="B4062" s="1" t="str">
        <f ca="1">IFERROR(__xludf.DUMMYFUNCTION("GOOGLETRANSLATE(A4062, ""zh"", ""en"")"),"Waste Management")</f>
        <v>Waste Management</v>
      </c>
      <c r="C4062" s="1" t="str">
        <f ca="1">IFERROR(__xludf.DUMMYFUNCTION("GOOGLETRANSLATE(E4062, ""zh"", ""en"")"),"Quantitative Text")</f>
        <v>Quantitative Text</v>
      </c>
    </row>
    <row r="4063" spans="1:3" ht="13" x14ac:dyDescent="0.15">
      <c r="A4063" s="1" t="str">
        <f ca="1">IFERROR(__xludf.DUMMYFUNCTION("GOOGLETRANSLATE(A4063, ""zh"", ""en"")"),"Sinopec has always adhered to the rule of law in its corporate governance, continuously improving its compliance management policies and systems. It has successively formulated comprehensive corporate governance in accordance with laws and regulations, st"&amp;"rengthened management opinions, and other documents such as the Integrity and Compliance Management Manual and the Compliance Management Measures, integrating the concept of compliance into the management system and employee behavioral norms.")</f>
        <v>Sinopec has always adhered to the rule of law in its corporate governance, continuously improving its compliance management policies and systems. It has successively formulated comprehensive corporate governance in accordance with laws and regulations, strengthened management opinions, and other documents such as the Integrity and Compliance Management Manual and the Compliance Management Measures, integrating the concept of compliance into the management system and employee behavioral norms.</v>
      </c>
      <c r="B4063" s="1" t="str">
        <f ca="1">IFERROR(__xludf.DUMMYFUNCTION("GOOGLETRANSLATE(A4063, ""zh"", ""en"")"),"Legal proceedings and external sanctions")</f>
        <v>Legal proceedings and external sanctions</v>
      </c>
      <c r="C4063" s="1" t="str">
        <f ca="1">IFERROR(__xludf.DUMMYFUNCTION("GOOGLETRANSLATE(E4063, ""zh"", ""en"")"),"Qualitative text")</f>
        <v>Qualitative text</v>
      </c>
    </row>
    <row r="4064" spans="1:3" ht="13" x14ac:dyDescent="0.15">
      <c r="A4064" s="1" t="str">
        <f ca="1">IFERROR(__xludf.DUMMYFUNCTION("GOOGLETRANSLATE(A4064, ""zh"", ""en"")"),"Improve the compliance management system. Based on the pilot work of building a compliance management system in 14 units in 2021, the entire system has basically completed the construction of a compliance management system in 2022 and carried out complian"&amp;"ce self-inspection and rectification of related issues in the entire system.")</f>
        <v>Improve the compliance management system. Based on the pilot work of building a compliance management system in 14 units in 2021, the entire system has basically completed the construction of a compliance management system in 2022 and carried out compliance self-inspection and rectification of related issues in the entire system.</v>
      </c>
      <c r="B4064" s="1" t="str">
        <f ca="1">IFERROR(__xludf.DUMMYFUNCTION("GOOGLETRANSLATE(A4064, ""zh"", ""en"")"),"Legal proceedings and external sanctions")</f>
        <v>Legal proceedings and external sanctions</v>
      </c>
      <c r="C4064" s="1" t="str">
        <f ca="1">IFERROR(__xludf.DUMMYFUNCTION("GOOGLETRANSLATE(E4064, ""zh"", ""en"")"),"Quantitative Text")</f>
        <v>Quantitative Text</v>
      </c>
    </row>
    <row r="4065" spans="1:3" ht="13" x14ac:dyDescent="0.15">
      <c r="A4065" s="1" t="str">
        <f ca="1">IFERROR(__xludf.DUMMYFUNCTION("GOOGLETRANSLATE(A4065, ""zh"", ""en"")"),"Compile a risk list and compliance manual to promote the integration of compliance into comprehensive risk management. Develop a series of policies and regulations for overseas legal and compliant operations, clearly regulating overseas investment and bus"&amp;"iness operations, and strictly preventing foreign-related legal compliance risks with 58 specific provisions in 17 areas.")</f>
        <v>Compile a risk list and compliance manual to promote the integration of compliance into comprehensive risk management. Develop a series of policies and regulations for overseas legal and compliant operations, clearly regulating overseas investment and business operations, and strictly preventing foreign-related legal compliance risks with 58 specific provisions in 17 areas.</v>
      </c>
      <c r="B4065" s="1" t="str">
        <f ca="1">IFERROR(__xludf.DUMMYFUNCTION("GOOGLETRANSLATE(A4065, ""zh"", ""en"")"),"Legal proceedings and external sanctions")</f>
        <v>Legal proceedings and external sanctions</v>
      </c>
      <c r="C4065" s="1" t="str">
        <f ca="1">IFERROR(__xludf.DUMMYFUNCTION("GOOGLETRANSLATE(E4065, ""zh"", ""en"")"),"Quantitative Text")</f>
        <v>Quantitative Text</v>
      </c>
    </row>
    <row r="4066" spans="1:3" ht="13" x14ac:dyDescent="0.15">
      <c r="A4066" s="1" t="str">
        <f ca="1">IFERROR(__xludf.DUMMYFUNCTION("GOOGLETRANSLATE(A4066, ""zh"", ""en"")"),"Adhere to the principle of gender equality and establish a women's committee in the trade union to fully protect the rights and interests of female employees, eliminate gender discrimination in employment and promotion, and encourage female employees to p"&amp;"articipate in democratic management of the enterprise, protect the special rights of female employees such as pregnancy and childbirth, and pay attention to the physical and mental health of female employees.")</f>
        <v>Adhere to the principle of gender equality and establish a women's committee in the trade union to fully protect the rights and interests of female employees, eliminate gender discrimination in employment and promotion, and encourage female employees to participate in democratic management of the enterprise, protect the special rights of female employees such as pregnancy and childbirth, and pay attention to the physical and mental health of female employees.</v>
      </c>
      <c r="B4066" s="1" t="str">
        <f ca="1">IFERROR(__xludf.DUMMYFUNCTION("GOOGLETRANSLATE(A4066, ""zh"", ""en"")"),"Promoting employment")</f>
        <v>Promoting employment</v>
      </c>
      <c r="C4066" s="1" t="str">
        <f ca="1">IFERROR(__xludf.DUMMYFUNCTION("GOOGLETRANSLATE(E4066, ""zh"", ""en"")"),"Qualitative text")</f>
        <v>Qualitative text</v>
      </c>
    </row>
    <row r="4067" spans="1:3" ht="13" x14ac:dyDescent="0.15">
      <c r="A4067" s="1" t="str">
        <f ca="1">IFERROR(__xludf.DUMMYFUNCTION("GOOGLETRANSLATE(A4067, ""zh"", ""en"")"),"At the same time, we continue to expand diverse caring activities, hold various training lectures, and organize sports events, cultural and sports activities, calligraphy, painting, photography, and other activities to enrich and activate employees' cultu"&amp;"ral and entertainment life, help employees balance work and life, enhance their sense of belonging and happiness, and improve team cohesion.")</f>
        <v>At the same time, we continue to expand diverse caring activities, hold various training lectures, and organize sports events, cultural and sports activities, calligraphy, painting, photography, and other activities to enrich and activate employees' cultural and entertainment life, help employees balance work and life, enhance their sense of belonging and happiness, and improve team cohesion.</v>
      </c>
      <c r="B4067" s="1" t="str">
        <f ca="1">IFERROR(__xludf.DUMMYFUNCTION("GOOGLETRANSLATE(A4067, ""zh"", ""en"")"),"staff")</f>
        <v>staff</v>
      </c>
      <c r="C4067" s="1" t="str">
        <f ca="1">IFERROR(__xludf.DUMMYFUNCTION("GOOGLETRANSLATE(E4067, ""zh"", ""en"")"),"Qualitative text")</f>
        <v>Qualitative text</v>
      </c>
    </row>
    <row r="4068" spans="1:3" ht="13" x14ac:dyDescent="0.15">
      <c r="A4068" s="1" t="str">
        <f ca="1">IFERROR(__xludf.DUMMYFUNCTION("GOOGLETRANSLATE(A4068, ""zh"", ""en"")"),"The Five Eagles Training Program supports the entire career development cycle of employees. It helps new employees quickly integrate into the work team through training and competitions. It helps front-line managers quickly master management skills such a"&amp;"s role recognition, goal management, communication and coaching through workshops and master classes.")</f>
        <v>The Five Eagles Training Program supports the entire career development cycle of employees. It helps new employees quickly integrate into the work team through training and competitions. It helps front-line managers quickly master management skills such as role recognition, goal management, communication and coaching through workshops and master classes.</v>
      </c>
      <c r="B4068" s="1" t="str">
        <f ca="1">IFERROR(__xludf.DUMMYFUNCTION("GOOGLETRANSLATE(A4068, ""zh"", ""en"")"),"staff")</f>
        <v>staff</v>
      </c>
      <c r="C4068" s="1" t="str">
        <f ca="1">IFERROR(__xludf.DUMMYFUNCTION("GOOGLETRANSLATE(E4068, ""zh"", ""en"")"),"Qualitative text")</f>
        <v>Qualitative text</v>
      </c>
    </row>
    <row r="4069" spans="1:3" ht="13" x14ac:dyDescent="0.15">
      <c r="A4069" s="1" t="str">
        <f ca="1">IFERROR(__xludf.DUMMYFUNCTION("GOOGLETRANSLATE(A4069, ""zh"", ""en"")"),"The annual R&amp;D expenditure is RMB 287.18 billion. The number of R&amp;D personnel is 279.13. The annual R&amp;D expenditure accounts for 0.9% of the company's operating income. We regard innovation as our top strategy and place it at the core of our overall devel"&amp;"opment, and we are deeply promoting technological and digital innovation.")</f>
        <v>The annual R&amp;D expenditure is RMB 287.18 billion. The number of R&amp;D personnel is 279.13. The annual R&amp;D expenditure accounts for 0.9% of the company's operating income. We regard innovation as our top strategy and place it at the core of our overall development, and we are deeply promoting technological and digital innovation.</v>
      </c>
      <c r="B4069" s="1" t="str">
        <f ca="1">IFERROR(__xludf.DUMMYFUNCTION("GOOGLETRANSLATE(A4069, ""zh"", ""en"")"),"Technological innovation")</f>
        <v>Technological innovation</v>
      </c>
      <c r="C4069" s="1" t="str">
        <f ca="1">IFERROR(__xludf.DUMMYFUNCTION("GOOGLETRANSLATE(E4069, ""zh"", ""en"")"),"Quantitative Text")</f>
        <v>Quantitative Text</v>
      </c>
    </row>
    <row r="4070" spans="1:3" ht="13" x14ac:dyDescent="0.15">
      <c r="A4070" s="1" t="str">
        <f ca="1">IFERROR(__xludf.DUMMYFUNCTION("GOOGLETRANSLATE(A4070, ""zh"", ""en"")"),"In 2023, Renmin Pharmaceutical will continue its path of specialization, excellence, and innovation, and adhere to its development strategy of becoming a leader in the pharmaceutical market segment. By focusing on the three strategic paths of innovation a"&amp;"nd internationalization, it will continuously consolidate and enhance its core competitiveness, continuously strengthen its sustainable development capabilities, and achieve high-quality development.")</f>
        <v>In 2023, Renmin Pharmaceutical will continue its path of specialization, excellence, and innovation, and adhere to its development strategy of becoming a leader in the pharmaceutical market segment. By focusing on the three strategic paths of innovation and internationalization, it will continuously consolidate and enhance its core competitiveness, continuously strengthen its sustainable development capabilities, and achieve high-quality development.</v>
      </c>
      <c r="B4070" s="1" t="str">
        <f ca="1">IFERROR(__xludf.DUMMYFUNCTION("GOOGLETRANSLATE(A4070, ""zh"", ""en"")"),"Technological innovation")</f>
        <v>Technological innovation</v>
      </c>
      <c r="C4070" s="1" t="str">
        <f ca="1">IFERROR(__xludf.DUMMYFUNCTION("GOOGLETRANSLATE(E4070, ""zh"", ""en"")"),"Qualitative text")</f>
        <v>Qualitative text</v>
      </c>
    </row>
    <row r="4071" spans="1:3" ht="13" x14ac:dyDescent="0.15">
      <c r="A4071" s="1" t="str">
        <f ca="1">IFERROR(__xludf.DUMMYFUNCTION("GOOGLETRANSLATE(A4071, ""zh"", ""en"")"),"Over the past year, the company has continuously optimized the oil and gas industry chains, vigorously implemented measures to stabilize oil production and increase gas production, and achieved a four-year consecutive increase in crude oil production, wit"&amp;"h rapid growth in natural gas production. 207.096 billion cubic meters of natural gas were sold domestically throughout the year, making a positive contribution to optimizing my country's energy structure.")</f>
        <v>Over the past year, the company has continuously optimized the oil and gas industry chains, vigorously implemented measures to stabilize oil production and increase gas production, and achieved a four-year consecutive increase in crude oil production, with rapid growth in natural gas production. 207.096 billion cubic meters of natural gas were sold domestically throughout the year, making a positive contribution to optimizing my country's energy structure.</v>
      </c>
      <c r="B4071" s="1" t="str">
        <f ca="1">IFERROR(__xludf.DUMMYFUNCTION("GOOGLETRANSLATE(A4071, ""zh"", ""en"")"),"Energy and resource consumption")</f>
        <v>Energy and resource consumption</v>
      </c>
      <c r="C4071" s="1" t="str">
        <f ca="1">IFERROR(__xludf.DUMMYFUNCTION("GOOGLETRANSLATE(E4071, ""zh"", ""en"")"),"Quantitative Text")</f>
        <v>Quantitative Text</v>
      </c>
    </row>
    <row r="4072" spans="1:3" ht="13" x14ac:dyDescent="0.15">
      <c r="A4072" s="1" t="str">
        <f ca="1">IFERROR(__xludf.DUMMYFUNCTION("GOOGLETRANSLATE(A4072, ""zh"", ""en"")"),"Building independent R&amp;D capabilities: The world's first new Chinese medicine provides patients with new treatment options. The first domestic generic drug helps patients relieve pain. In September 2022, Yichang Renfuclobazam Tablets were approved for mar"&amp;"keting by the National Medical Products Administration, becoming the first approved drug in China.")</f>
        <v>Building independent R&amp;D capabilities: The world's first new Chinese medicine provides patients with new treatment options. The first domestic generic drug helps patients relieve pain. In September 2022, Yichang Renfuclobazam Tablets were approved for marketing by the National Medical Products Administration, becoming the first approved drug in China.</v>
      </c>
      <c r="B4072" s="1" t="str">
        <f ca="1">IFERROR(__xludf.DUMMYFUNCTION("GOOGLETRANSLATE(A4072, ""zh"", ""en"")"),"Technological innovation")</f>
        <v>Technological innovation</v>
      </c>
      <c r="C4072" s="1" t="str">
        <f ca="1">IFERROR(__xludf.DUMMYFUNCTION("GOOGLETRANSLATE(E4072, ""zh"", ""en"")"),"Quantitative Text")</f>
        <v>Quantitative Text</v>
      </c>
    </row>
    <row r="4073" spans="1:3" ht="13" x14ac:dyDescent="0.15">
      <c r="A4073" s="1" t="str">
        <f ca="1">IFERROR(__xludf.DUMMYFUNCTION("GOOGLETRANSLATE(A4073, ""zh"", ""en"")"),"14 new leading enterprises of various types were added, among which Yuantong Cable was successfully shortlisted for the third batch of enterprises cultivated by the Eagle Action in Zhejiang Province, Yuantong Special Cable was selected into the list of de"&amp;"monstration enterprises for scientific and technological reforms by the State Council, 1 future factory, 1 high-tech enterprise, 4 specialized and new enterprises, etc.")</f>
        <v>14 new leading enterprises of various types were added, among which Yuantong Cable was successfully shortlisted for the third batch of enterprises cultivated by the Eagle Action in Zhejiang Province, Yuantong Special Cable was selected into the list of demonstration enterprises for scientific and technological reforms by the State Council, 1 future factory, 1 high-tech enterprise, 4 specialized and new enterprises, etc.</v>
      </c>
      <c r="B4073" s="1" t="str">
        <f ca="1">IFERROR(__xludf.DUMMYFUNCTION("GOOGLETRANSLATE(A4073, ""zh"", ""en"")"),"Technological innovation")</f>
        <v>Technological innovation</v>
      </c>
      <c r="C4073" s="1" t="str">
        <f ca="1">IFERROR(__xludf.DUMMYFUNCTION("GOOGLETRANSLATE(E4073, ""zh"", ""en"")"),"Quantitative Text")</f>
        <v>Quantitative Text</v>
      </c>
    </row>
    <row r="4074" spans="1:3" ht="13" x14ac:dyDescent="0.15">
      <c r="A4074" s="1" t="str">
        <f ca="1">IFERROR(__xludf.DUMMYFUNCTION("GOOGLETRANSLATE(A4074, ""zh"", ""en"")"),"In addition to cultural cultivation, the union also organized a 120-kilometer walk to celebrate the 120th anniversary. The event attracted more than 4,000 employees to participate online. In the end, 2,037 people completed the race, enjoying the fun of th"&amp;"e event while also strengthening the physical fitness of the employees.")</f>
        <v>In addition to cultural cultivation, the union also organized a 120-kilometer walk to celebrate the 120th anniversary. The event attracted more than 4,000 employees to participate online. In the end, 2,037 people completed the race, enjoying the fun of the event while also strengthening the physical fitness of the employees.</v>
      </c>
      <c r="B4074" s="1" t="str">
        <f ca="1">IFERROR(__xludf.DUMMYFUNCTION("GOOGLETRANSLATE(A4074, ""zh"", ""en"")"),"staff")</f>
        <v>staff</v>
      </c>
      <c r="C4074" s="1" t="str">
        <f ca="1">IFERROR(__xludf.DUMMYFUNCTION("GOOGLETRANSLATE(E4074, ""zh"", ""en"")"),"Quantitative Text")</f>
        <v>Quantitative Text</v>
      </c>
    </row>
    <row r="4075" spans="1:3" ht="13" x14ac:dyDescent="0.15">
      <c r="A4075" s="1" t="str">
        <f ca="1">IFERROR(__xludf.DUMMYFUNCTION("GOOGLETRANSLATE(A4075, ""zh"", ""en"")"),"Shanghai Electric Group Co., Ltd. held a five-day induction ceremony for 667 new employees at the group's training base on August 2nd, with the theme of ""Intelligent Manufacturing, You Can Move the Future.""")</f>
        <v>Shanghai Electric Group Co., Ltd. held a five-day induction ceremony for 667 new employees at the group's training base on August 2nd, with the theme of "Intelligent Manufacturing, You Can Move the Future."</v>
      </c>
      <c r="B4075" s="1" t="str">
        <f ca="1">IFERROR(__xludf.DUMMYFUNCTION("GOOGLETRANSLATE(A4075, ""zh"", ""en"")"),"staff")</f>
        <v>staff</v>
      </c>
      <c r="C4075" s="1" t="str">
        <f ca="1">IFERROR(__xludf.DUMMYFUNCTION("GOOGLETRANSLATE(E4075, ""zh"", ""en"")"),"Quantitative Text")</f>
        <v>Quantitative Text</v>
      </c>
    </row>
    <row r="4076" spans="1:3" ht="13" x14ac:dyDescent="0.15">
      <c r="A4076" s="1" t="str">
        <f ca="1">IFERROR(__xludf.DUMMYFUNCTION("GOOGLETRANSLATE(A4076, ""zh"", ""en"")"),"Improve profitability and enhance core competitiveness to achieve an organic unity of serving national strategies and safeguarding the interests of all shareholders. Follow the path of manufacturing transformation and upgrading under the guidance of Chine"&amp;"se-style modernization and fully promote the construction of a zero-carbon society in China and the high-quality development of the power industry.")</f>
        <v>Improve profitability and enhance core competitiveness to achieve an organic unity of serving national strategies and safeguarding the interests of all shareholders. Follow the path of manufacturing transformation and upgrading under the guidance of Chinese-style modernization and fully promote the construction of a zero-carbon society in China and the high-quality development of the power industry.</v>
      </c>
      <c r="B4076" s="1" t="str">
        <f ca="1">IFERROR(__xludf.DUMMYFUNCTION("GOOGLETRANSLATE(A4076, ""zh"", ""en"")"),"carbon emissions")</f>
        <v>carbon emissions</v>
      </c>
      <c r="C4076" s="1" t="str">
        <f ca="1">IFERROR(__xludf.DUMMYFUNCTION("GOOGLETRANSLATE(E4076, ""zh"", ""en"")"),"Qualitative text")</f>
        <v>Qualitative text</v>
      </c>
    </row>
    <row r="4077" spans="1:3" ht="13" x14ac:dyDescent="0.15">
      <c r="A4077" s="1" t="str">
        <f ca="1">IFERROR(__xludf.DUMMYFUNCTION("GOOGLETRANSLATE(A4077, ""zh"", ""en"")"),"Innovative service evaluation methods. In 2022, the number of customers participating in the evaluation reached 133 million, the total number of customer evaluations reached 367 million, the satisfaction rate was 99.9, an increase of 0.3 percentage points"&amp;" year-on-year, and the customer negative review rate was 0.07, a decrease of more than 60% year-on-year.")</f>
        <v>Innovative service evaluation methods. In 2022, the number of customers participating in the evaluation reached 133 million, the total number of customer evaluations reached 367 million, the satisfaction rate was 99.9, an increase of 0.3 percentage points year-on-year, and the customer negative review rate was 0.07, a decrease of more than 60% year-on-year.</v>
      </c>
      <c r="B4077" s="1" t="str">
        <f ca="1">IFERROR(__xludf.DUMMYFUNCTION("GOOGLETRANSLATE(A4077, ""zh"", ""en"")"),"Customers and Consumers")</f>
        <v>Customers and Consumers</v>
      </c>
      <c r="C4077" s="1" t="str">
        <f ca="1">IFERROR(__xludf.DUMMYFUNCTION("GOOGLETRANSLATE(E4077, ""zh"", ""en"")"),"Quantitative Text")</f>
        <v>Quantitative Text</v>
      </c>
    </row>
    <row r="4078" spans="1:3" ht="13" x14ac:dyDescent="0.15">
      <c r="A4078" s="1" t="str">
        <f ca="1">IFERROR(__xludf.DUMMYFUNCTION("GOOGLETRANSLATE(A4078, ""zh"", ""en"")"),"2. Diversified Wealth Management 60 CITIC Securities 2022 Annual Social Responsibility Report IV. Carrying out Social Welfare CITIC Securities strives to be an excellent corporate citizen, enthusiastically supports social welfare undertakings, and activel"&amp;"y carries out various social welfare activities to fulfill its social responsibility mission.")</f>
        <v>2. Diversified Wealth Management 60 CITIC Securities 2022 Annual Social Responsibility Report IV. Carrying out Social Welfare CITIC Securities strives to be an excellent corporate citizen, enthusiastically supports social welfare undertakings, and actively carries out various social welfare activities to fulfill its social responsibility mission.</v>
      </c>
      <c r="B4078" s="1" t="str">
        <f ca="1">IFERROR(__xludf.DUMMYFUNCTION("GOOGLETRANSLATE(A4078, ""zh"", ""en"")"),"Public welfare and volunteer service")</f>
        <v>Public welfare and volunteer service</v>
      </c>
      <c r="C4078" s="1" t="str">
        <f ca="1">IFERROR(__xludf.DUMMYFUNCTION("GOOGLETRANSLATE(E4078, ""zh"", ""en"")"),"Qualitative text")</f>
        <v>Qualitative text</v>
      </c>
    </row>
    <row r="4079" spans="1:3" ht="13" x14ac:dyDescent="0.15">
      <c r="A4079" s="1" t="str">
        <f ca="1">IFERROR(__xludf.DUMMYFUNCTION("GOOGLETRANSLATE(A4079, ""zh"", ""en"")"),"At the same time, we actively implemented the country's 14th Five-Year Development Plan, closely following the dual carbon theme, and for the first time analyzed the Group's climate-related risks and opportunities, governance framework, and response measu"&amp;"res. This fully demonstrated the Group's climate change strategy and green transformation layout, enhancing investor confidence.")</f>
        <v>At the same time, we actively implemented the country's 14th Five-Year Development Plan, closely following the dual carbon theme, and for the first time analyzed the Group's climate-related risks and opportunities, governance framework, and response measures. This fully demonstrated the Group's climate change strategy and green transformation layout, enhancing investor confidence.</v>
      </c>
      <c r="B4079" s="1" t="str">
        <f ca="1">IFERROR(__xludf.DUMMYFUNCTION("GOOGLETRANSLATE(A4079, ""zh"", ""en"")"),"Addressing climate change")</f>
        <v>Addressing climate change</v>
      </c>
      <c r="C4079" s="1" t="str">
        <f ca="1">IFERROR(__xludf.DUMMYFUNCTION("GOOGLETRANSLATE(E4079, ""zh"", ""en"")"),"Qualitative text")</f>
        <v>Qualitative text</v>
      </c>
    </row>
    <row r="4080" spans="1:3" ht="13" x14ac:dyDescent="0.15">
      <c r="A4080" s="1" t="str">
        <f ca="1">IFERROR(__xludf.DUMMYFUNCTION("GOOGLETRANSLATE(A4080, ""zh"", ""en"")"),"Case Study: Campus Investment Star Simulated Trading Competition 0536 CITIC Securities 2022 Annual Social Responsibility Report 2. Employee Rights 3. Employee Compensation and Benefits The company strictly adheres to the Labor Law, Labor Contract Law, and"&amp;" other laws and regulations that have a significant impact on employee management.")</f>
        <v>Case Study: Campus Investment Star Simulated Trading Competition 0536 CITIC Securities 2022 Annual Social Responsibility Report 2. Employee Rights 3. Employee Compensation and Benefits The company strictly adheres to the Labor Law, Labor Contract Law, and other laws and regulations that have a significant impact on employee management.</v>
      </c>
      <c r="B4080" s="1" t="str">
        <f ca="1">IFERROR(__xludf.DUMMYFUNCTION("GOOGLETRANSLATE(A4080, ""zh"", ""en"")"),"staff")</f>
        <v>staff</v>
      </c>
      <c r="C4080" s="1" t="str">
        <f ca="1">IFERROR(__xludf.DUMMYFUNCTION("GOOGLETRANSLATE(E4080, ""zh"", ""en"")"),"Qualitative text")</f>
        <v>Qualitative text</v>
      </c>
    </row>
    <row r="4081" spans="1:3" ht="13" x14ac:dyDescent="0.15">
      <c r="A4081" s="1" t="str">
        <f ca="1">IFERROR(__xludf.DUMMYFUNCTION("GOOGLETRANSLATE(A4081, ""zh"", ""en"")"),"However, we must clearly recognize the problems existing in the group's work on building a clean and honest party style. We must have the courage to face up to the shortcomings in our work, thoroughly analyze the causes, and make real efforts to correct t"&amp;"hem. We must push the group's comprehensive and strict party governance work to a deeper level and unswervingly follow the path of high-quality development.")</f>
        <v>However, we must clearly recognize the problems existing in the group's work on building a clean and honest party style. We must have the courage to face up to the shortcomings in our work, thoroughly analyze the causes, and make real efforts to correct them. We must push the group's comprehensive and strict party governance work to a deeper level and unswervingly follow the path of high-quality development.</v>
      </c>
      <c r="B4081" s="1" t="str">
        <f ca="1">IFERROR(__xludf.DUMMYFUNCTION("GOOGLETRANSLATE(A4081, ""zh"", ""en"")"),"Anti-corruption and anti-money laundering")</f>
        <v>Anti-corruption and anti-money laundering</v>
      </c>
      <c r="C4081" s="1" t="str">
        <f ca="1">IFERROR(__xludf.DUMMYFUNCTION("GOOGLETRANSLATE(E4081, ""zh"", ""en"")"),"Qualitative text")</f>
        <v>Qualitative text</v>
      </c>
    </row>
    <row r="4082" spans="1:3" ht="13" x14ac:dyDescent="0.15">
      <c r="A4082" s="1" t="str">
        <f ca="1">IFERROR(__xludf.DUMMYFUNCTION("GOOGLETRANSLATE(A4082, ""zh"", ""en"")"),"Waste gas emission reduction The company strictly abides by environmental protection laws and regulations and regularly conducts greenhouse gas verification work. Emission sources include carbon dioxide emissions from the combustion of gasoline and diesel"&amp;" used in forklifts and logistics turnover vehicles, and carbon dioxide emissions from net purchased electricity and heat.")</f>
        <v>Waste gas emission reduction The company strictly abides by environmental protection laws and regulations and regularly conducts greenhouse gas verification work. Emission sources include carbon dioxide emissions from the combustion of gasoline and diesel used in forklifts and logistics turnover vehicles, and carbon dioxide emissions from net purchased electricity and heat.</v>
      </c>
      <c r="B4082" s="1" t="str">
        <f ca="1">IFERROR(__xludf.DUMMYFUNCTION("GOOGLETRANSLATE(A4082, ""zh"", ""en"")"),"carbon emissions")</f>
        <v>carbon emissions</v>
      </c>
      <c r="C4082" s="1" t="str">
        <f ca="1">IFERROR(__xludf.DUMMYFUNCTION("GOOGLETRANSLATE(E4082, ""zh"", ""en"")"),"Qualitative text")</f>
        <v>Qualitative text</v>
      </c>
    </row>
    <row r="4083" spans="1:3" ht="13" x14ac:dyDescent="0.15">
      <c r="A4083" s="1" t="str">
        <f ca="1">IFERROR(__xludf.DUMMYFUNCTION("GOOGLETRANSLATE(A4083, ""zh"", ""en"")"),"The company actively responded to the country's call for employment assistance to promote employment for college students in poverty-stricken areas and Tibet, Qinghai, and Xinjiang. In 2022, it completed special recruitment and hired a total of 17 college"&amp;" students. Through employment assistance, it helped the people achieve sustained income growth and promoted rural revitalization.")</f>
        <v>The company actively responded to the country's call for employment assistance to promote employment for college students in poverty-stricken areas and Tibet, Qinghai, and Xinjiang. In 2022, it completed special recruitment and hired a total of 17 college students. Through employment assistance, it helped the people achieve sustained income growth and promoted rural revitalization.</v>
      </c>
      <c r="B4083" s="1" t="str">
        <f ca="1">IFERROR(__xludf.DUMMYFUNCTION("GOOGLETRANSLATE(A4083, ""zh"", ""en"")"),"Promoting employment")</f>
        <v>Promoting employment</v>
      </c>
      <c r="C4083" s="1" t="str">
        <f ca="1">IFERROR(__xludf.DUMMYFUNCTION("GOOGLETRANSLATE(E4083, ""zh"", ""en"")"),"Quantitative Text")</f>
        <v>Quantitative Text</v>
      </c>
    </row>
    <row r="4084" spans="1:3" ht="13" x14ac:dyDescent="0.15">
      <c r="A4084" s="1" t="str">
        <f ca="1">IFERROR(__xludf.DUMMYFUNCTION("GOOGLETRANSLATE(A4084, ""zh"", ""en"")"),"International supply chain construction and logistics management: COSL's 2022 ESG Report 28. Dynamically adjust supplier management mechanisms, optimize supplier resource management, improve supplier effectiveness and competitiveness, promote the disclosu"&amp;"re of procurement information, and actively introduce market supplier resources.")</f>
        <v>International supply chain construction and logistics management: COSL's 2022 ESG Report 28. Dynamically adjust supplier management mechanisms, optimize supplier resource management, improve supplier effectiveness and competitiveness, promote the disclosure of procurement information, and actively introduce market supplier resources.</v>
      </c>
      <c r="B4084" s="1" t="str">
        <f ca="1">IFERROR(__xludf.DUMMYFUNCTION("GOOGLETRANSLATE(A4084, ""zh"", ""en"")"),"supply chain management")</f>
        <v>supply chain management</v>
      </c>
      <c r="C4084" s="1" t="str">
        <f ca="1">IFERROR(__xludf.DUMMYFUNCTION("GOOGLETRANSLATE(E4084, ""zh"", ""en"")"),"Qualitative text")</f>
        <v>Qualitative text</v>
      </c>
    </row>
    <row r="4085" spans="1:3" ht="13" x14ac:dyDescent="0.15">
      <c r="A4085" s="1" t="str">
        <f ca="1">IFERROR(__xludf.DUMMYFUNCTION("GOOGLETRANSLATE(A4085, ""zh"", ""en"")"),"High-end IPro7 series washing machine won the British Technology Innovation Award. On June 10, 2022, Haier IPro7 series washing machine won the British authoritative magazine IERDaily's Technology Innovation Award in the field of large appliances. It is t"&amp;"he only Chinese brand to win the award.")</f>
        <v>High-end IPro7 series washing machine won the British Technology Innovation Award. On June 10, 2022, Haier IPro7 series washing machine won the British authoritative magazine IERDaily's Technology Innovation Award in the field of large appliances. It is the only Chinese brand to win the award.</v>
      </c>
      <c r="B4085" s="1" t="str">
        <f ca="1">IFERROR(__xludf.DUMMYFUNCTION("GOOGLETRANSLATE(A4085, ""zh"", ""en"")"),"Technological innovation")</f>
        <v>Technological innovation</v>
      </c>
      <c r="C4085" s="1" t="str">
        <f ca="1">IFERROR(__xludf.DUMMYFUNCTION("GOOGLETRANSLATE(E4085, ""zh"", ""en"")"),"Quantitative Text")</f>
        <v>Quantitative Text</v>
      </c>
    </row>
    <row r="4086" spans="1:3" ht="13" x14ac:dyDescent="0.15">
      <c r="A4086" s="1" t="str">
        <f ca="1">IFERROR(__xludf.DUMMYFUNCTION("GOOGLETRANSLATE(A4086, ""zh"", ""en"")"),"The company attached great importance to information security and customer privacy protection, and completed a national-level cybersecurity attack and defense exercise with high quality, building a solid information security defense barrier, accelerating "&amp;"digital transformation, promoting the organic integration of financial technology, and achieving multiple breakthroughs in product and service innovation.")</f>
        <v>The company attached great importance to information security and customer privacy protection, and completed a national-level cybersecurity attack and defense exercise with high quality, building a solid information security defense barrier, accelerating digital transformation, promoting the organic integration of financial technology, and achieving multiple breakthroughs in product and service innovation.</v>
      </c>
      <c r="B4086" s="1" t="str">
        <f ca="1">IFERROR(__xludf.DUMMYFUNCTION("GOOGLETRANSLATE(A4086, ""zh"", ""en"")"),"Data security")</f>
        <v>Data security</v>
      </c>
      <c r="C4086" s="1" t="str">
        <f ca="1">IFERROR(__xludf.DUMMYFUNCTION("GOOGLETRANSLATE(E4086, ""zh"", ""en"")"),"Qualitative text")</f>
        <v>Qualitative text</v>
      </c>
    </row>
    <row r="4087" spans="1:3" ht="13" x14ac:dyDescent="0.15">
      <c r="A4087" s="1" t="str">
        <f ca="1">IFERROR(__xludf.DUMMYFUNCTION("GOOGLETRANSLATE(A4087, ""zh"", ""en"")"),"The company's Board of Directors and ESG Committee are actively preparing to lay the foundation for strictly adhering to the TCFD framework to disclose the company's climate-related financial information, including preparing to establish a climate change "&amp;"risk management organizational system, researching and learning scenario analysis methods.")</f>
        <v>The company's Board of Directors and ESG Committee are actively preparing to lay the foundation for strictly adhering to the TCFD framework to disclose the company's climate-related financial information, including preparing to establish a climate change risk management organizational system, researching and learning scenario analysis methods.</v>
      </c>
      <c r="B4087" s="1" t="str">
        <f ca="1">IFERROR(__xludf.DUMMYFUNCTION("GOOGLETRANSLATE(A4087, ""zh"", ""en"")"),"Addressing climate change")</f>
        <v>Addressing climate change</v>
      </c>
      <c r="C4087" s="1" t="str">
        <f ca="1">IFERROR(__xludf.DUMMYFUNCTION("GOOGLETRANSLATE(E4087, ""zh"", ""en"")"),"Qualitative text")</f>
        <v>Qualitative text</v>
      </c>
    </row>
    <row r="4088" spans="1:3" ht="13" x14ac:dyDescent="0.15">
      <c r="A4088" s="1" t="str">
        <f ca="1">IFERROR(__xludf.DUMMYFUNCTION("GOOGLETRANSLATE(A4088, ""zh"", ""en"")"),"The ESG Executive Leadership Team, composed of heads from different departments, regularly reports to the Environmental, Social and Governance Committee on ESG-related matters within the company. They are responsible for implementing the company's ESG pol"&amp;"icies and reporting to and providing advice to the Environmental, Social and Governance Committee.")</f>
        <v>The ESG Executive Leadership Team, composed of heads from different departments, regularly reports to the Environmental, Social and Governance Committee on ESG-related matters within the company. They are responsible for implementing the company's ESG policies and reporting to and providing advice to the Environmental, Social and Governance Committee.</v>
      </c>
      <c r="B4088" s="1" t="str">
        <f ca="1">IFERROR(__xludf.DUMMYFUNCTION("GOOGLETRANSLATE(A4088, ""zh"", ""en"")"),"Organizational structure and operations")</f>
        <v>Organizational structure and operations</v>
      </c>
      <c r="C4088" s="1" t="str">
        <f ca="1">IFERROR(__xludf.DUMMYFUNCTION("GOOGLETRANSLATE(E4088, ""zh"", ""en"")"),"Qualitative text")</f>
        <v>Qualitative text</v>
      </c>
    </row>
    <row r="4089" spans="1:3" ht="13" x14ac:dyDescent="0.15">
      <c r="A4089" s="1" t="str">
        <f ca="1">IFERROR(__xludf.DUMMYFUNCTION("GOOGLETRANSLATE(A4089, ""zh"", ""en"")"),"In addition, we continue to promote and apply new water-saving technologies and processes in areas such as water consumption statistics, analysis, and assessment. We actively publicize water-saving knowledge through multiple channels and set up correspond"&amp;"ing water-saving statistical reporting systems in major enterprises under the group to standardize water resource management.")</f>
        <v>In addition, we continue to promote and apply new water-saving technologies and processes in areas such as water consumption statistics, analysis, and assessment. We actively publicize water-saving knowledge through multiple channels and set up corresponding water-saving statistical reporting systems in major enterprises under the group to standardize water resource management.</v>
      </c>
      <c r="B4089" s="1" t="str">
        <f ca="1">IFERROR(__xludf.DUMMYFUNCTION("GOOGLETRANSLATE(A4089, ""zh"", ""en"")"),"Water resources")</f>
        <v>Water resources</v>
      </c>
      <c r="C4089" s="1" t="str">
        <f ca="1">IFERROR(__xludf.DUMMYFUNCTION("GOOGLETRANSLATE(E4089, ""zh"", ""en"")"),"Qualitative text")</f>
        <v>Qualitative text</v>
      </c>
    </row>
    <row r="4090" spans="1:3" ht="13" x14ac:dyDescent="0.15">
      <c r="A4090" s="1" t="str">
        <f ca="1">IFERROR(__xludf.DUMMYFUNCTION("GOOGLETRANSLATE(A4090, ""zh"", ""en"")"),"Second, we will deepen the synergy of cost reduction to boost savings and increase efficiency. The company will continue to vigorously promote automated, intelligent and lean production around the main business of LED lighting, improve per capita producti"&amp;"on capacity, actively reduce costs and increase efficiency, deeply tap the benefits of internal management, and further expand development space and profitability.")</f>
        <v>Second, we will deepen the synergy of cost reduction to boost savings and increase efficiency. The company will continue to vigorously promote automated, intelligent and lean production around the main business of LED lighting, improve per capita production capacity, actively reduce costs and increase efficiency, deeply tap the benefits of internal management, and further expand development space and profitability.</v>
      </c>
      <c r="B4090" s="1" t="str">
        <f ca="1">IFERROR(__xludf.DUMMYFUNCTION("GOOGLETRANSLATE(A4090, ""zh"", ""en"")"),"Energy and resource consumption")</f>
        <v>Energy and resource consumption</v>
      </c>
      <c r="C4090" s="1" t="str">
        <f ca="1">IFERROR(__xludf.DUMMYFUNCTION("GOOGLETRANSLATE(E4090, ""zh"", ""en"")"),"Qualitative text")</f>
        <v>Qualitative text</v>
      </c>
    </row>
    <row r="4091" spans="1:3" ht="13" x14ac:dyDescent="0.15">
      <c r="A4091" s="1" t="str">
        <f ca="1">IFERROR(__xludf.DUMMYFUNCTION("GOOGLETRANSLATE(A4091, ""zh"", ""en"")"),"The Strategy and Sustainability (ESG) Committee under the company's board of directors leads the company's production safety and related safety performance assessment work, ensuring that each mining area has a sound safety responsibility system with risk "&amp;"control as the core, and attaches importance to employee participation in process management and continuous improvement.")</f>
        <v>The Strategy and Sustainability (ESG) Committee under the company's board of directors leads the company's production safety and related safety performance assessment work, ensuring that each mining area has a sound safety responsibility system with risk control as the core, and attaches importance to employee participation in process management and continuous improvement.</v>
      </c>
      <c r="B4091" s="1" t="str">
        <f ca="1">IFERROR(__xludf.DUMMYFUNCTION("GOOGLETRANSLATE(A4091, ""zh"", ""en"")"),"staff")</f>
        <v>staff</v>
      </c>
      <c r="C4091" s="1" t="str">
        <f ca="1">IFERROR(__xludf.DUMMYFUNCTION("GOOGLETRANSLATE(E4091, ""zh"", ""en"")"),"Qualitative text")</f>
        <v>Qualitative text</v>
      </c>
    </row>
    <row r="4092" spans="1:3" ht="13" x14ac:dyDescent="0.15">
      <c r="A4092" s="1" t="str">
        <f ca="1">IFERROR(__xludf.DUMMYFUNCTION("GOOGLETRANSLATE(A4092, ""zh"", ""en"")"),"If we find any deficiencies in the supplier's production quality management and production material usage during the audit process, we will inform the supplier in the form of a quality feedback notice and require them to make corrections and issue a corre"&amp;"ction report to help improve the overall quality management level of the supply chain.")</f>
        <v>If we find any deficiencies in the supplier's production quality management and production material usage during the audit process, we will inform the supplier in the form of a quality feedback notice and require them to make corrections and issue a correction report to help improve the overall quality management level of the supply chain.</v>
      </c>
      <c r="B4092" s="1" t="str">
        <f ca="1">IFERROR(__xludf.DUMMYFUNCTION("GOOGLETRANSLATE(A4092, ""zh"", ""en"")"),"supply chain management")</f>
        <v>supply chain management</v>
      </c>
      <c r="C4092" s="1" t="str">
        <f ca="1">IFERROR(__xludf.DUMMYFUNCTION("GOOGLETRANSLATE(E4092, ""zh"", ""en"")"),"Qualitative text")</f>
        <v>Qualitative text</v>
      </c>
    </row>
    <row r="4093" spans="1:3" ht="13" x14ac:dyDescent="0.15">
      <c r="A4093" s="1" t="str">
        <f ca="1">IFERROR(__xludf.DUMMYFUNCTION("GOOGLETRANSLATE(A4093, ""zh"", ""en"")"),"Tocilizumab is a recombinant humanized anti-human interleukin-6 IL6 receptor monoclonal antibody that can specifically block the binding of IL6 to the IL6 receptor, thereby inhibiting the inflammatory response caused by the IL6 receptor, including the lun"&amp;"g cytokine storm caused by the new coronavirus infection.")</f>
        <v>Tocilizumab is a recombinant humanized anti-human interleukin-6 IL6 receptor monoclonal antibody that can specifically block the binding of IL6 to the IL6 receptor, thereby inhibiting the inflammatory response caused by the IL6 receptor, including the lung cytokine storm caused by the new coronavirus infection.</v>
      </c>
      <c r="B4093" s="1" t="str">
        <f ca="1">IFERROR(__xludf.DUMMYFUNCTION("GOOGLETRANSLATE(A4093, ""zh"", ""en"")"),"Fighting the epidemic")</f>
        <v>Fighting the epidemic</v>
      </c>
      <c r="C4093" s="1" t="str">
        <f ca="1">IFERROR(__xludf.DUMMYFUNCTION("GOOGLETRANSLATE(E4093, ""zh"", ""en"")"),"Qualitative text")</f>
        <v>Qualitative text</v>
      </c>
    </row>
    <row r="4094" spans="1:3" ht="13" x14ac:dyDescent="0.15">
      <c r="A4094" s="1" t="str">
        <f ca="1">IFERROR(__xludf.DUMMYFUNCTION("GOOGLETRANSLATE(A4094, ""zh"", ""en"")"),"In addition, we use the joint training method to cooperate with key medical universities to explore the possibility of more talent training between schools and enterprises, and work closely with key technical colleges to provide a steady stream of new for"&amp;"ces for the production line, and continuously consolidate the construction of the group's talent team.")</f>
        <v>In addition, we use the joint training method to cooperate with key medical universities to explore the possibility of more talent training between schools and enterprises, and work closely with key technical colleges to provide a steady stream of new forces for the production line, and continuously consolidate the construction of the group's talent team.</v>
      </c>
      <c r="B4094" s="1" t="str">
        <f ca="1">IFERROR(__xludf.DUMMYFUNCTION("GOOGLETRANSLATE(A4094, ""zh"", ""en"")"),"Promoting employment")</f>
        <v>Promoting employment</v>
      </c>
      <c r="C4094" s="1" t="str">
        <f ca="1">IFERROR(__xludf.DUMMYFUNCTION("GOOGLETRANSLATE(E4094, ""zh"", ""en"")"),"Qualitative text")</f>
        <v>Qualitative text</v>
      </c>
    </row>
    <row r="4095" spans="1:3" ht="13" x14ac:dyDescent="0.15">
      <c r="A4095" s="1" t="str">
        <f ca="1">IFERROR(__xludf.DUMMYFUNCTION("GOOGLETRANSLATE(A4095, ""zh"", ""en"")"),"Joincare Fresh Graduate Training Program 57 2022 Social Responsibility Report Educational and Professional Qualification Enhancement To encourage employees to continuously improve their professional skills, Joincare supports all employees of the Group, in"&amp;"cluding part-time and contract staff, in upgrading their academic and professional qualifications.")</f>
        <v>Joincare Fresh Graduate Training Program 57 2022 Social Responsibility Report Educational and Professional Qualification Enhancement To encourage employees to continuously improve their professional skills, Joincare supports all employees of the Group, including part-time and contract staff, in upgrading their academic and professional qualifications.</v>
      </c>
      <c r="B4095" s="1" t="str">
        <f ca="1">IFERROR(__xludf.DUMMYFUNCTION("GOOGLETRANSLATE(A4095, ""zh"", ""en"")"),"staff")</f>
        <v>staff</v>
      </c>
      <c r="C4095" s="1" t="str">
        <f ca="1">IFERROR(__xludf.DUMMYFUNCTION("GOOGLETRANSLATE(E4095, ""zh"", ""en"")"),"Qualitative text")</f>
        <v>Qualitative text</v>
      </c>
    </row>
    <row r="4096" spans="1:3" ht="13" x14ac:dyDescent="0.15">
      <c r="A4096" s="1" t="str">
        <f ca="1">IFERROR(__xludf.DUMMYFUNCTION("GOOGLETRANSLATE(A4096, ""zh"", ""en"")"),"The general manager of each subsidiary is the first person responsible for the company's carbon emissions. He is responsible for reasonably dividing the carbon emission targets based on the company's actual situation, formulating effective carbon emission"&amp;" reduction measures, assigning relevant responsibilities, and analyzing the target completion status every quarter and reporting to the group's EHS department.")</f>
        <v>The general manager of each subsidiary is the first person responsible for the company's carbon emissions. He is responsible for reasonably dividing the carbon emission targets based on the company's actual situation, formulating effective carbon emission reduction measures, assigning relevant responsibilities, and analyzing the target completion status every quarter and reporting to the group's EHS department.</v>
      </c>
      <c r="B4096" s="1" t="str">
        <f ca="1">IFERROR(__xludf.DUMMYFUNCTION("GOOGLETRANSLATE(A4096, ""zh"", ""en"")"),"carbon emissions")</f>
        <v>carbon emissions</v>
      </c>
      <c r="C4096" s="1" t="str">
        <f ca="1">IFERROR(__xludf.DUMMYFUNCTION("GOOGLETRANSLATE(E4096, ""zh"", ""en"")"),"Qualitative text")</f>
        <v>Qualitative text</v>
      </c>
    </row>
    <row r="4097" spans="1:3" ht="13" x14ac:dyDescent="0.15">
      <c r="A4097" s="1" t="str">
        <f ca="1">IFERROR(__xludf.DUMMYFUNCTION("GOOGLETRANSLATE(A4097, ""zh"", ""en"")"),"After meeting the emission concentration limit standards, the new source COD and ammonia emissions will be included in the designated municipal management network and then discharged into the environment by the regional sewage treatment unit. The depth ad"&amp;"justment is the largest source of this increase.")</f>
        <v>After meeting the emission concentration limit standards, the new source COD and ammonia emissions will be included in the designated municipal management network and then discharged into the environment by the regional sewage treatment unit. The depth adjustment is the largest source of this increase.</v>
      </c>
      <c r="B4097" s="1" t="str">
        <f ca="1">IFERROR(__xludf.DUMMYFUNCTION("GOOGLETRANSLATE(A4097, ""zh"", ""en"")"),"Waste Management")</f>
        <v>Waste Management</v>
      </c>
      <c r="C4097" s="1" t="str">
        <f ca="1">IFERROR(__xludf.DUMMYFUNCTION("GOOGLETRANSLATE(E4097, ""zh"", ""en"")"),"Qualitative text")</f>
        <v>Qualitative text</v>
      </c>
    </row>
    <row r="4098" spans="1:3" ht="13" x14ac:dyDescent="0.15">
      <c r="A4098" s="1" t="str">
        <f ca="1">IFERROR(__xludf.DUMMYFUNCTION("GOOGLETRANSLATE(A4098, ""zh"", ""en"")"),"We have issued a notice regarding the implementation of energy conservation and emission reduction work in all subsidiaries of Fosun Pharma, clarifying emission reduction targets, incorporating energy management results into the professional development o"&amp;"f corporate management personnel, and continuously promoting the recognition and effectiveness assessment of the energy management system.")</f>
        <v>We have issued a notice regarding the implementation of energy conservation and emission reduction work in all subsidiaries of Fosun Pharma, clarifying emission reduction targets, incorporating energy management results into the professional development of corporate management personnel, and continuously promoting the recognition and effectiveness assessment of the energy management system.</v>
      </c>
      <c r="B4098" s="1" t="str">
        <f ca="1">IFERROR(__xludf.DUMMYFUNCTION("GOOGLETRANSLATE(A4098, ""zh"", ""en"")"),"Energy and resource consumption")</f>
        <v>Energy and resource consumption</v>
      </c>
      <c r="C4098" s="1" t="str">
        <f ca="1">IFERROR(__xludf.DUMMYFUNCTION("GOOGLETRANSLATE(E4098, ""zh"", ""en"")"),"Qualitative text")</f>
        <v>Qualitative text</v>
      </c>
    </row>
    <row r="4099" spans="1:3" ht="13" x14ac:dyDescent="0.15">
      <c r="A4099" s="1" t="str">
        <f ca="1">IFERROR(__xludf.DUMMYFUNCTION("GOOGLETRANSLATE(A4099, ""zh"", ""en"")"),"As of 2022, the number of employees under the age of 40 in the Group reached 27,654, accounting for 72.02% of the total number of employees.")</f>
        <v>As of 2022, the number of employees under the age of 40 in the Group reached 27,654, accounting for 72.02% of the total number of employees.</v>
      </c>
      <c r="B4099" s="1" t="str">
        <f ca="1">IFERROR(__xludf.DUMMYFUNCTION("GOOGLETRANSLATE(A4099, ""zh"", ""en"")"),"staff")</f>
        <v>staff</v>
      </c>
      <c r="C4099" s="1" t="str">
        <f ca="1">IFERROR(__xludf.DUMMYFUNCTION("GOOGLETRANSLATE(E4099, ""zh"", ""en"")"),"Quantitative Text")</f>
        <v>Quantitative Text</v>
      </c>
    </row>
    <row r="4100" spans="1:3" ht="13" x14ac:dyDescent="0.15">
      <c r="A4100" s="1" t="str">
        <f ca="1">IFERROR(__xludf.DUMMYFUNCTION("GOOGLETRANSLATE(A4100, ""zh"", ""en"")"),"The internal audit team conducted comprehensive audits on three new companies, focusing on key areas such as weak R&amp;D efficiency, sales compliance, procurement risks, and cost control, to help them quickly adopt the company's solid management system while"&amp;" effectively conveying Fosun Pharma Group's corporate culture and values.")</f>
        <v>The internal audit team conducted comprehensive audits on three new companies, focusing on key areas such as weak R&amp;D efficiency, sales compliance, procurement risks, and cost control, to help them quickly adopt the company's solid management system while effectively conveying Fosun Pharma Group's corporate culture and values.</v>
      </c>
      <c r="B4100" s="1" t="str">
        <f ca="1">IFERROR(__xludf.DUMMYFUNCTION("GOOGLETRANSLATE(A4100, ""zh"", ""en"")"),"Audit work")</f>
        <v>Audit work</v>
      </c>
      <c r="C4100" s="1" t="str">
        <f ca="1">IFERROR(__xludf.DUMMYFUNCTION("GOOGLETRANSLATE(E4100, ""zh"", ""en"")"),"Qualitative text")</f>
        <v>Qualitative text</v>
      </c>
    </row>
    <row r="4101" spans="1:3" ht="13" x14ac:dyDescent="0.15">
      <c r="A4101" s="1" t="str">
        <f ca="1">IFERROR(__xludf.DUMMYFUNCTION("GOOGLETRANSLATE(A4101, ""zh"", ""en"")"),"Fosun Pharma's audit is to independently carry out work and exercise internal supervision rights in accordance with the requirements of the internal audit system, national laws, regulations and relevant policies, and the company's rules and regulations to"&amp;" play the role of supervision, evaluation and supervision. It is an important member enterprise of the business segment in 2022.")</f>
        <v>Fosun Pharma's audit is to independently carry out work and exercise internal supervision rights in accordance with the requirements of the internal audit system, national laws, regulations and relevant policies, and the company's rules and regulations to play the role of supervision, evaluation and supervision. It is an important member enterprise of the business segment in 2022.</v>
      </c>
      <c r="B4101" s="1" t="str">
        <f ca="1">IFERROR(__xludf.DUMMYFUNCTION("GOOGLETRANSLATE(A4101, ""zh"", ""en"")"),"Audit work")</f>
        <v>Audit work</v>
      </c>
      <c r="C4101" s="1" t="str">
        <f ca="1">IFERROR(__xludf.DUMMYFUNCTION("GOOGLETRANSLATE(E4101, ""zh"", ""en"")"),"Qualitative text")</f>
        <v>Qualitative text</v>
      </c>
    </row>
    <row r="4102" spans="1:3" ht="13" x14ac:dyDescent="0.15">
      <c r="A4102" s="1" t="str">
        <f ca="1">IFERROR(__xludf.DUMMYFUNCTION("GOOGLETRANSLATE(A4102, ""zh"", ""en"")"),"The allowances for independent non-executive directors are as follows: Environmental, Social and Governance Committee The main functions of the Environmental, Social and Governance Committee include: formulating environmental, social and governance polici"&amp;"es; During the reporting period, the Company organized and convened two meetings of the Environmental, Social and Governance Committee.")</f>
        <v>The allowances for independent non-executive directors are as follows: Environmental, Social and Governance Committee The main functions of the Environmental, Social and Governance Committee include: formulating environmental, social and governance policies; During the reporting period, the Company organized and convened two meetings of the Environmental, Social and Governance Committee.</v>
      </c>
      <c r="B4102" s="1" t="str">
        <f ca="1">IFERROR(__xludf.DUMMYFUNCTION("GOOGLETRANSLATE(A4102, ""zh"", ""en"")"),"Organizational structure and operations")</f>
        <v>Organizational structure and operations</v>
      </c>
      <c r="C4102" s="1" t="str">
        <f ca="1">IFERROR(__xludf.DUMMYFUNCTION("GOOGLETRANSLATE(E4102, ""zh"", ""en"")"),"Quantitative Text")</f>
        <v>Quantitative Text</v>
      </c>
    </row>
    <row r="4103" spans="1:3" ht="13" x14ac:dyDescent="0.15">
      <c r="A4103" s="1" t="str">
        <f ca="1">IFERROR(__xludf.DUMMYFUNCTION("GOOGLETRANSLATE(A4103, ""zh"", ""en"")"),"The company has established a governance structure consisting of the general meeting of shareholders, the board of directors, the supervisory board, senior management, professional committees, and other professional personnel.")</f>
        <v>The company has established a governance structure consisting of the general meeting of shareholders, the board of directors, the supervisory board, senior management, professional committees, and other professional personnel.</v>
      </c>
      <c r="B4103" s="1" t="str">
        <f ca="1">IFERROR(__xludf.DUMMYFUNCTION("GOOGLETRANSLATE(A4103, ""zh"", ""en"")"),"Organizational structure and operations")</f>
        <v>Organizational structure and operations</v>
      </c>
      <c r="C4103" s="1" t="str">
        <f ca="1">IFERROR(__xludf.DUMMYFUNCTION("GOOGLETRANSLATE(E4103, ""zh"", ""en"")"),"Qualitative text")</f>
        <v>Qualitative text</v>
      </c>
    </row>
    <row r="4104" spans="1:3" ht="13" x14ac:dyDescent="0.15">
      <c r="A4104" s="1" t="str">
        <f ca="1">IFERROR(__xludf.DUMMYFUNCTION("GOOGLETRANSLATE(A4104, ""zh"", ""en"")"),"One educational project was awarded, 11 patents were approved, and all member medical institutions of the Chinese Medical Association completed and launched a national and provincial medical insurance management beauty training project, which was successf"&amp;"ully launched and operated. No major defects were found during the flight inspection. A national academic conference on the operation of medical insurance was held.")</f>
        <v>One educational project was awarded, 11 patents were approved, and all member medical institutions of the Chinese Medical Association completed and launched a national and provincial medical insurance management beauty training project, which was successfully launched and operated. No major defects were found during the flight inspection. A national academic conference on the operation of medical insurance was held.</v>
      </c>
      <c r="B4104" s="1" t="str">
        <f ca="1">IFERROR(__xludf.DUMMYFUNCTION("GOOGLETRANSLATE(A4104, ""zh"", ""en"")"),"Technological innovation")</f>
        <v>Technological innovation</v>
      </c>
      <c r="C4104" s="1" t="str">
        <f ca="1">IFERROR(__xludf.DUMMYFUNCTION("GOOGLETRANSLATE(E4104, ""zh"", ""en"")"),"Quantitative Text")</f>
        <v>Quantitative Text</v>
      </c>
    </row>
    <row r="4105" spans="1:3" ht="13" x14ac:dyDescent="0.15">
      <c r="A4105" s="1" t="str">
        <f ca="1">IFERROR(__xludf.DUMMYFUNCTION("GOOGLETRANSLATE(A4105, ""zh"", ""en"")"),"FOPEX is the Fosun training class. Wanbang Pharmaceutical, Yaoyou Pharmaceutical, Guilin Nanyao, and Er Pharmaceutical are committed to unifying internal operations management. Member companies such as Ye Pharmaceutical and Fosun Diagnostics independently"&amp;" carry out Green Belt language training to promote enterprise management capabilities and enhance enterprise operations.")</f>
        <v>FOPEX is the Fosun training class. Wanbang Pharmaceutical, Yaoyou Pharmaceutical, Guilin Nanyao, and Er Pharmaceutical are committed to unifying internal operations management. Member companies such as Ye Pharmaceutical and Fosun Diagnostics independently carry out Green Belt language training to promote enterprise management capabilities and enhance enterprise operations.</v>
      </c>
      <c r="B4105" s="1" t="str">
        <f ca="1">IFERROR(__xludf.DUMMYFUNCTION("GOOGLETRANSLATE(A4105, ""zh"", ""en"")"),"Organizational structure and operations")</f>
        <v>Organizational structure and operations</v>
      </c>
      <c r="C4105" s="1" t="str">
        <f ca="1">IFERROR(__xludf.DUMMYFUNCTION("GOOGLETRANSLATE(E4105, ""zh"", ""en"")"),"Qualitative text")</f>
        <v>Qualitative text</v>
      </c>
    </row>
    <row r="4106" spans="1:3" ht="13" x14ac:dyDescent="0.15">
      <c r="A4106" s="1" t="str">
        <f ca="1">IFERROR(__xludf.DUMMYFUNCTION("GOOGLETRANSLATE(A4106, ""zh"", ""en"")"),"Protection of the Rights and Interests of Female Employees The Bank pays close attention to the protection of the rights and interests of female employees and actively promotes the implementation of the rights and interests of female employees in terms of"&amp;" salary distribution, rest and leave, education and training, growth and development, etc., including maternity insurance, gynecological examinations, welfare benefits, etc., and implements the signing of special collective contracts for female employees.")</f>
        <v>Protection of the Rights and Interests of Female Employees The Bank pays close attention to the protection of the rights and interests of female employees and actively promotes the implementation of the rights and interests of female employees in terms of salary distribution, rest and leave, education and training, growth and development, etc., including maternity insurance, gynecological examinations, welfare benefits, etc., and implements the signing of special collective contracts for female employees.</v>
      </c>
      <c r="B4106" s="1" t="str">
        <f ca="1">IFERROR(__xludf.DUMMYFUNCTION("GOOGLETRANSLATE(A4106, ""zh"", ""en"")"),"staff")</f>
        <v>staff</v>
      </c>
      <c r="C4106" s="1" t="str">
        <f ca="1">IFERROR(__xludf.DUMMYFUNCTION("GOOGLETRANSLATE(E4106, ""zh"", ""en"")"),"Qualitative text")</f>
        <v>Qualitative text</v>
      </c>
    </row>
    <row r="4107" spans="1:3" ht="13" x14ac:dyDescent="0.15">
      <c r="A4107" s="1" t="str">
        <f ca="1">IFERROR(__xludf.DUMMYFUNCTION("GOOGLETRANSLATE(A4107, ""zh"", ""en"")"),"By the end of 2022, China Construction Bank had paid in RMB 1.8 billion in funds and held four green industry exchange meetings with subsidiaries of green fund shareholders and groups, promoting innovative models of green project investment and lending li"&amp;"nkage to build differentiated competitive advantages for green funds.")</f>
        <v>By the end of 2022, China Construction Bank had paid in RMB 1.8 billion in funds and held four green industry exchange meetings with subsidiaries of green fund shareholders and groups, promoting innovative models of green project investment and lending linkage to build differentiated competitive advantages for green funds.</v>
      </c>
      <c r="B4107" s="1" t="str">
        <f ca="1">IFERROR(__xludf.DUMMYFUNCTION("GOOGLETRANSLATE(A4107, ""zh"", ""en"")"),"Green Finance")</f>
        <v>Green Finance</v>
      </c>
      <c r="C4107" s="1" t="str">
        <f ca="1">IFERROR(__xludf.DUMMYFUNCTION("GOOGLETRANSLATE(E4107, ""zh"", ""en"")"),"Quantitative Text")</f>
        <v>Quantitative Text</v>
      </c>
    </row>
    <row r="4108" spans="1:3" ht="13" x14ac:dyDescent="0.15">
      <c r="A4108" s="1" t="str">
        <f ca="1">IFERROR(__xludf.DUMMYFUNCTION("GOOGLETRANSLATE(A4108, ""zh"", ""en"")"),"Focusing on key areas of reform and development across the bank, such as financial technology, wealth management, risk compliance, digital business platform operations, green finance, rural revitalization, and funding, we will implement major talent proje"&amp;"cts and special talent plans to increase the training and introduction of urgently needed professional personnel.")</f>
        <v>Focusing on key areas of reform and development across the bank, such as financial technology, wealth management, risk compliance, digital business platform operations, green finance, rural revitalization, and funding, we will implement major talent projects and special talent plans to increase the training and introduction of urgently needed professional personnel.</v>
      </c>
      <c r="B4108" s="1" t="str">
        <f ca="1">IFERROR(__xludf.DUMMYFUNCTION("GOOGLETRANSLATE(A4108, ""zh"", ""en"")"),"staff")</f>
        <v>staff</v>
      </c>
      <c r="C4108" s="1" t="str">
        <f ca="1">IFERROR(__xludf.DUMMYFUNCTION("GOOGLETRANSLATE(E4108, ""zh"", ""en"")"),"Qualitative text")</f>
        <v>Qualitative text</v>
      </c>
    </row>
    <row r="4109" spans="1:3" ht="13" x14ac:dyDescent="0.15">
      <c r="A4109" s="1" t="str">
        <f ca="1">IFERROR(__xludf.DUMMYFUNCTION("GOOGLETRANSLATE(A4109, ""zh"", ""en"")"),"The number of supplier social responsibility trainings conducted, including interviews and business exchanges, disclosed in China Construction Bank's Social Responsibility Report refers to the number of interviews with suppliers or business exchanges cond"&amp;"ucted by China Construction Bank's head office as of the end of the reporting period.")</f>
        <v>The number of supplier social responsibility trainings conducted, including interviews and business exchanges, disclosed in China Construction Bank's Social Responsibility Report refers to the number of interviews with suppliers or business exchanges conducted by China Construction Bank's head office as of the end of the reporting period.</v>
      </c>
      <c r="B4109" s="1" t="str">
        <f ca="1">IFERROR(__xludf.DUMMYFUNCTION("GOOGLETRANSLATE(A4109, ""zh"", ""en"")"),"supply chain management")</f>
        <v>supply chain management</v>
      </c>
      <c r="C4109" s="1" t="str">
        <f ca="1">IFERROR(__xludf.DUMMYFUNCTION("GOOGLETRANSLATE(E4109, ""zh"", ""en"")"),"Quantitative Text")</f>
        <v>Quantitative Text</v>
      </c>
    </row>
    <row r="4110" spans="1:3" ht="13" x14ac:dyDescent="0.15">
      <c r="A4110" s="1" t="str">
        <f ca="1">IFERROR(__xludf.DUMMYFUNCTION("GOOGLETRANSLATE(A4110, ""zh"", ""en"")"),"The total amount of non-hazardous waste consumed per employee in the whole year is 10,000 tons. The total amount of non-hazardous waste consumed per employee in the whole year disclosed in the China Construction Bank Social Responsibility Report refers to"&amp;" the per capita consumption of non-hazardous waste by the China Construction Bank Head Office and 37 branches during the reporting period.")</f>
        <v>The total amount of non-hazardous waste consumed per employee in the whole year is 10,000 tons. The total amount of non-hazardous waste consumed per employee in the whole year disclosed in the China Construction Bank Social Responsibility Report refers to the per capita consumption of non-hazardous waste by the China Construction Bank Head Office and 37 branches during the reporting period.</v>
      </c>
      <c r="B4110" s="1" t="str">
        <f ca="1">IFERROR(__xludf.DUMMYFUNCTION("GOOGLETRANSLATE(A4110, ""zh"", ""en"")"),"Waste Management")</f>
        <v>Waste Management</v>
      </c>
      <c r="C4110" s="1" t="str">
        <f ca="1">IFERROR(__xludf.DUMMYFUNCTION("GOOGLETRANSLATE(E4110, ""zh"", ""en"")"),"Quantitative Text")</f>
        <v>Quantitative Text</v>
      </c>
    </row>
    <row r="4111" spans="1:3" ht="13" x14ac:dyDescent="0.15">
      <c r="A4111" s="1" t="str">
        <f ca="1">IFERROR(__xludf.DUMMYFUNCTION("GOOGLETRANSLATE(A4111, ""zh"", ""en"")"),"The company has adjusted the members of the board of directors' strategy committee, audit committee, nomination committee, compensation and assessment committee, and the four supervisory committee meetings so that the new independent directors can play th"&amp;"eir professional expertise in the professional committees to serve the company's development.")</f>
        <v>The company has adjusted the members of the board of directors' strategy committee, audit committee, nomination committee, compensation and assessment committee, and the four supervisory committee meetings so that the new independent directors can play their professional expertise in the professional committees to serve the company's development.</v>
      </c>
      <c r="B4111" s="1" t="str">
        <f ca="1">IFERROR(__xludf.DUMMYFUNCTION("GOOGLETRANSLATE(A4111, ""zh"", ""en"")"),"Organizational structure and operations")</f>
        <v>Organizational structure and operations</v>
      </c>
      <c r="C4111" s="1" t="str">
        <f ca="1">IFERROR(__xludf.DUMMYFUNCTION("GOOGLETRANSLATE(E4111, ""zh"", ""en"")"),"Quantitative Text")</f>
        <v>Quantitative Text</v>
      </c>
    </row>
    <row r="4112" spans="1:3" ht="13" x14ac:dyDescent="0.15">
      <c r="A4112" s="1" t="str">
        <f ca="1">IFERROR(__xludf.DUMMYFUNCTION("GOOGLETRANSLATE(A4112, ""zh"", ""en"")"),"The company's Discipline Inspection Commission held a case study on the integrity warning and education meeting for key personnel in key positions. The company's Sixth Supervision Group led the meeting. The Chemical Fiber Shenma Emperor's Fabric held a me"&amp;"eting on integrity warning and education for key personnel in key positions in the Weaving Engineering Plastics Company's Exploration Engineering Department.")</f>
        <v>The company's Discipline Inspection Commission held a case study on the integrity warning and education meeting for key personnel in key positions. The company's Sixth Supervision Group led the meeting. The Chemical Fiber Shenma Emperor's Fabric held a meeting on integrity warning and education for key personnel in key positions in the Weaving Engineering Plastics Company's Exploration Engineering Department.</v>
      </c>
      <c r="B4112" s="1" t="str">
        <f ca="1">IFERROR(__xludf.DUMMYFUNCTION("GOOGLETRANSLATE(A4112, ""zh"", ""en"")"),"Anti-corruption and anti-money laundering")</f>
        <v>Anti-corruption and anti-money laundering</v>
      </c>
      <c r="C4112" s="1" t="str">
        <f ca="1">IFERROR(__xludf.DUMMYFUNCTION("GOOGLETRANSLATE(E4112, ""zh"", ""en"")"),"Qualitative text")</f>
        <v>Qualitative text</v>
      </c>
    </row>
    <row r="4113" spans="1:3" ht="13" x14ac:dyDescent="0.15">
      <c r="A4113" s="1" t="str">
        <f ca="1">IFERROR(__xludf.DUMMYFUNCTION("GOOGLETRANSLATE(A4113, ""zh"", ""en"")"),"Adhere to the integration of disciplinary inspection and supervision work with the central work of the Party Committee, grasp the key point of the responsibility system for building a clean and honest Party conduct, strengthen training on efficiency super"&amp;"vision, prevent duty crimes, and work on a clean and honest Party conduct, and earnestly fulfill duties and responsibilities to provide a strong disciplinary guarantee for improving quality and efficiency.")</f>
        <v>Adhere to the integration of disciplinary inspection and supervision work with the central work of the Party Committee, grasp the key point of the responsibility system for building a clean and honest Party conduct, strengthen training on efficiency supervision, prevent duty crimes, and work on a clean and honest Party conduct, and earnestly fulfill duties and responsibilities to provide a strong disciplinary guarantee for improving quality and efficiency.</v>
      </c>
      <c r="B4113" s="1" t="str">
        <f ca="1">IFERROR(__xludf.DUMMYFUNCTION("GOOGLETRANSLATE(A4113, ""zh"", ""en"")"),"Anti-corruption and anti-money laundering")</f>
        <v>Anti-corruption and anti-money laundering</v>
      </c>
      <c r="C4113" s="1" t="str">
        <f ca="1">IFERROR(__xludf.DUMMYFUNCTION("GOOGLETRANSLATE(E4113, ""zh"", ""en"")"),"Qualitative text")</f>
        <v>Qualitative text</v>
      </c>
    </row>
    <row r="4114" spans="1:3" ht="13" x14ac:dyDescent="0.15">
      <c r="A4114" s="1" t="str">
        <f ca="1">IFERROR(__xludf.DUMMYFUNCTION("GOOGLETRANSLATE(A4114, ""zh"", ""en"")"),"We improved corporate governance and operated in compliance with laws and regulations. This year, we upheld business ethics and integrity, adhered to the Party's overall leadership, carried out comprehensive internal control management, strengthened anti-"&amp;"fraud and anti-corruption efforts, continuously improved intellectual property protection mechanisms, and deepened investor relations management.")</f>
        <v>We improved corporate governance and operated in compliance with laws and regulations. This year, we upheld business ethics and integrity, adhered to the Party's overall leadership, carried out comprehensive internal control management, strengthened anti-fraud and anti-corruption efforts, continuously improved intellectual property protection mechanisms, and deepened investor relations management.</v>
      </c>
      <c r="B4114" s="1" t="str">
        <f ca="1">IFERROR(__xludf.DUMMYFUNCTION("GOOGLETRANSLATE(A4114, ""zh"", ""en"")"),"Legal proceedings and external sanctions")</f>
        <v>Legal proceedings and external sanctions</v>
      </c>
      <c r="C4114" s="1" t="str">
        <f ca="1">IFERROR(__xludf.DUMMYFUNCTION("GOOGLETRANSLATE(E4114, ""zh"", ""en"")"),"Qualitative text")</f>
        <v>Qualitative text</v>
      </c>
    </row>
    <row r="4115" spans="1:3" ht="13" x14ac:dyDescent="0.15">
      <c r="A4115" s="1" t="str">
        <f ca="1">IFERROR(__xludf.DUMMYFUNCTION("GOOGLETRANSLATE(A4115, ""zh"", ""en"")"),"To provide you and other stakeholders with more comprehensive, professional, and valuable ESG development information and enhance the quality of our ESG reporting, we sincerely invite you to assist us in completing the relevant questions in the feedback f"&amp;"orm. We appreciate your feedback.")</f>
        <v>To provide you and other stakeholders with more comprehensive, professional, and valuable ESG development information and enhance the quality of our ESG reporting, we sincerely invite you to assist us in completing the relevant questions in the feedback form. We appreciate your feedback.</v>
      </c>
      <c r="B4115" s="1" t="str">
        <f ca="1">IFERROR(__xludf.DUMMYFUNCTION("GOOGLETRANSLATE(A4115, ""zh"", ""en"")"),"irrelevant text")</f>
        <v>irrelevant text</v>
      </c>
      <c r="C4115" s="1" t="str">
        <f ca="1">IFERROR(__xludf.DUMMYFUNCTION("GOOGLETRANSLATE(E4115, ""zh"", ""en"")"),"irrelevant text")</f>
        <v>irrelevant text</v>
      </c>
    </row>
    <row r="4116" spans="1:3" ht="13" x14ac:dyDescent="0.15">
      <c r="A4116" s="1" t="str">
        <f ca="1">IFERROR(__xludf.DUMMYFUNCTION("GOOGLETRANSLATE(A4116, ""zh"", ""en"")"),"Strengthen exchanges with associations. By the end of the year, it and its subsidiaries have participated in well-known domestic and foreign associations and actively participated in and organized technical exchange activities within the industry. Strengt"&amp;"hen exchanges and interactions with relevant domestic and foreign enterprises and research institutes. Gain wide recognition in the industry and achieve win-win development for the industry.")</f>
        <v>Strengthen exchanges with associations. By the end of the year, it and its subsidiaries have participated in well-known domestic and foreign associations and actively participated in and organized technical exchange activities within the industry. Strengthen exchanges and interactions with relevant domestic and foreign enterprises and research institutes. Gain wide recognition in the industry and achieve win-win development for the industry.</v>
      </c>
      <c r="B4116" s="1" t="str">
        <f ca="1">IFERROR(__xludf.DUMMYFUNCTION("GOOGLETRANSLATE(A4116, ""zh"", ""en"")"),"Organizational structure and operations")</f>
        <v>Organizational structure and operations</v>
      </c>
      <c r="C4116" s="1" t="str">
        <f ca="1">IFERROR(__xludf.DUMMYFUNCTION("GOOGLETRANSLATE(E4116, ""zh"", ""en"")"),"Qualitative text")</f>
        <v>Qualitative text</v>
      </c>
    </row>
    <row r="4117" spans="1:3" ht="13" x14ac:dyDescent="0.15">
      <c r="A4117" s="1" t="str">
        <f ca="1">IFERROR(__xludf.DUMMYFUNCTION("GOOGLETRANSLATE(A4117, ""zh"", ""en"")"),"In 2022, the company established a solid waste management system to guide the solid waste management of each unit, ensure the compliance and legal disposal of solid waste, strengthen recycling and reuse management, achieve an annual waste reduction of 26,"&amp;"125 tons, and generate a circular economy value of 16.78 million yuan.")</f>
        <v>In 2022, the company established a solid waste management system to guide the solid waste management of each unit, ensure the compliance and legal disposal of solid waste, strengthen recycling and reuse management, achieve an annual waste reduction of 26,125 tons, and generate a circular economy value of 16.78 million yuan.</v>
      </c>
      <c r="B4117" s="1" t="str">
        <f ca="1">IFERROR(__xludf.DUMMYFUNCTION("GOOGLETRANSLATE(A4117, ""zh"", ""en"")"),"Waste Management")</f>
        <v>Waste Management</v>
      </c>
      <c r="C4117" s="1" t="str">
        <f ca="1">IFERROR(__xludf.DUMMYFUNCTION("GOOGLETRANSLATE(E4117, ""zh"", ""en"")"),"Quantitative Text")</f>
        <v>Quantitative Text</v>
      </c>
    </row>
    <row r="4118" spans="1:3" ht="13" x14ac:dyDescent="0.15">
      <c r="A4118" s="1" t="str">
        <f ca="1">IFERROR(__xludf.DUMMYFUNCTION("GOOGLETRANSLATE(A4118, ""zh"", ""en"")"),"In line with the needs of strategic development and employee capacity building, the company continuously strengthens its investment in talent training, conducts extensive skills training, and holds skills competitions to encourage employees to increase th"&amp;"eir knowledge, consolidate their skills, improve their quality, and comprehensively enhance their competitive advantages in their positions and their comprehensive business capabilities.")</f>
        <v>In line with the needs of strategic development and employee capacity building, the company continuously strengthens its investment in talent training, conducts extensive skills training, and holds skills competitions to encourage employees to increase their knowledge, consolidate their skills, improve their quality, and comprehensively enhance their competitive advantages in their positions and their comprehensive business capabilities.</v>
      </c>
      <c r="B4118" s="1" t="str">
        <f ca="1">IFERROR(__xludf.DUMMYFUNCTION("GOOGLETRANSLATE(A4118, ""zh"", ""en"")"),"staff")</f>
        <v>staff</v>
      </c>
      <c r="C4118" s="1" t="str">
        <f ca="1">IFERROR(__xludf.DUMMYFUNCTION("GOOGLETRANSLATE(E4118, ""zh"", ""en"")"),"Qualitative text")</f>
        <v>Qualitative text</v>
      </c>
    </row>
    <row r="4119" spans="1:3" ht="13" x14ac:dyDescent="0.15">
      <c r="A4119" s="1" t="str">
        <f ca="1">IFERROR(__xludf.DUMMYFUNCTION("GOOGLETRANSLATE(A4119, ""zh"", ""en"")"),"Internal Control and Risk Management 10. Report Data Description and Reliability Assurance Compliance Operation 10. Fair Competition 11. The textual materials and cases in this report are derived from the company's statistical data, internal official docu"&amp;"ments, internal and external communication documents, and the summary and statistics of responsibility performance.")</f>
        <v>Internal Control and Risk Management 10. Report Data Description and Reliability Assurance Compliance Operation 10. Fair Competition 11. The textual materials and cases in this report are derived from the company's statistical data, internal official documents, internal and external communication documents, and the summary and statistics of responsibility performance.</v>
      </c>
      <c r="B4119" s="1" t="str">
        <f ca="1">IFERROR(__xludf.DUMMYFUNCTION("GOOGLETRANSLATE(A4119, ""zh"", ""en"")"),"Legal proceedings and external sanctions")</f>
        <v>Legal proceedings and external sanctions</v>
      </c>
      <c r="C4119" s="1" t="str">
        <f ca="1">IFERROR(__xludf.DUMMYFUNCTION("GOOGLETRANSLATE(E4119, ""zh"", ""en"")"),"Qualitative text")</f>
        <v>Qualitative text</v>
      </c>
    </row>
    <row r="4120" spans="1:3" ht="13" x14ac:dyDescent="0.15">
      <c r="A4120" s="1" t="str">
        <f ca="1">IFERROR(__xludf.DUMMYFUNCTION("GOOGLETRANSLATE(A4120, ""zh"", ""en"")"),"Select and strengthen overseas compliance supervision teams; dispatch compliance supervision teams to overseas institutions in the Americas, Asia-Pacific, and the Middle East; select ethics and compliance supervisors; streamline the management relationshi"&amp;"ps of overseas compliance supervision teams; improve the supervisory and management interfaces of overseas compliance supervision teams; and continuously deepen the overseas supervision system and mechanism.")</f>
        <v>Select and strengthen overseas compliance supervision teams; dispatch compliance supervision teams to overseas institutions in the Americas, Asia-Pacific, and the Middle East; select ethics and compliance supervisors; streamline the management relationships of overseas compliance supervision teams; improve the supervisory and management interfaces of overseas compliance supervision teams; and continuously deepen the overseas supervision system and mechanism.</v>
      </c>
      <c r="B4120" s="1" t="str">
        <f ca="1">IFERROR(__xludf.DUMMYFUNCTION("GOOGLETRANSLATE(A4120, ""zh"", ""en"")"),"Legal proceedings and external sanctions")</f>
        <v>Legal proceedings and external sanctions</v>
      </c>
      <c r="C4120" s="1" t="str">
        <f ca="1">IFERROR(__xludf.DUMMYFUNCTION("GOOGLETRANSLATE(E4120, ""zh"", ""en"")"),"Qualitative text")</f>
        <v>Qualitative text</v>
      </c>
    </row>
    <row r="4121" spans="1:3" ht="13" x14ac:dyDescent="0.15">
      <c r="A4121" s="1" t="str">
        <f ca="1">IFERROR(__xludf.DUMMYFUNCTION("GOOGLETRANSLATE(A4121, ""zh"", ""en"")"),"The company strictly follows the election procedures and appointment requirements stipulated in the company's articles of association to select and appoint independent directors. The board of directors currently has three independent directors, all of who"&amp;"m have extensive professional experience in the fields of finance, law, and energy and are familiar with the operation of the board of directors of listed companies and the responsibilities of independent directors.")</f>
        <v>The company strictly follows the election procedures and appointment requirements stipulated in the company's articles of association to select and appoint independent directors. The board of directors currently has three independent directors, all of whom have extensive professional experience in the fields of finance, law, and energy and are familiar with the operation of the board of directors of listed companies and the responsibilities of independent directors.</v>
      </c>
      <c r="B4121" s="1" t="str">
        <f ca="1">IFERROR(__xludf.DUMMYFUNCTION("GOOGLETRANSLATE(A4121, ""zh"", ""en"")"),"Organizational structure and operations")</f>
        <v>Organizational structure and operations</v>
      </c>
      <c r="C4121" s="1" t="str">
        <f ca="1">IFERROR(__xludf.DUMMYFUNCTION("GOOGLETRANSLATE(E4121, ""zh"", ""en"")"),"Qualitative text")</f>
        <v>Qualitative text</v>
      </c>
    </row>
    <row r="4122" spans="1:3" ht="13" x14ac:dyDescent="0.15">
      <c r="A4122" s="1" t="str">
        <f ca="1">IFERROR(__xludf.DUMMYFUNCTION("GOOGLETRANSLATE(A4122, ""zh"", ""en"")"),"COSL Indonesia wins HCML Gold Safety Award. COSL Promoter is featured in the Drilling Contractors Association magazine. Case Studies: Americas Canada provides integrated drilling and completion services for CNOOC International Limited (CNOOC International"&amp;").")</f>
        <v>COSL Indonesia wins HCML Gold Safety Award. COSL Promoter is featured in the Drilling Contractors Association magazine. Case Studies: Americas Canada provides integrated drilling and completion services for CNOOC International Limited (CNOOC International).</v>
      </c>
      <c r="B4122" s="1" t="str">
        <f ca="1">IFERROR(__xludf.DUMMYFUNCTION("GOOGLETRANSLATE(A4122, ""zh"", ""en"")"),"staff")</f>
        <v>staff</v>
      </c>
      <c r="C4122" s="1" t="str">
        <f ca="1">IFERROR(__xludf.DUMMYFUNCTION("GOOGLETRANSLATE(E4122, ""zh"", ""en"")"),"Qualitative text")</f>
        <v>Qualitative text</v>
      </c>
    </row>
    <row r="4123" spans="1:3" ht="13" x14ac:dyDescent="0.15">
      <c r="A4123" s="1" t="str">
        <f ca="1">IFERROR(__xludf.DUMMYFUNCTION("GOOGLETRANSLATE(A4123, ""zh"", ""en"")"),"Essence Securities has carried out financial knowledge publicity and education activities in the form of visiting community college investment education bases, and carried out 33 investor education activities in 100 schools in accordance with the special "&amp;"evaluation requirements for securities companies to fulfill their social responsibilities. The evaluation result for 2021-2022 was A.")</f>
        <v>Essence Securities has carried out financial knowledge publicity and education activities in the form of visiting community college investment education bases, and carried out 33 investor education activities in 100 schools in accordance with the special evaluation requirements for securities companies to fulfill their social responsibilities. The evaluation result for 2021-2022 was A.</v>
      </c>
      <c r="B4123" s="1" t="str">
        <f ca="1">IFERROR(__xludf.DUMMYFUNCTION("GOOGLETRANSLATE(A4123, ""zh"", ""en"")"),"Public welfare and volunteer service")</f>
        <v>Public welfare and volunteer service</v>
      </c>
      <c r="C4123" s="1" t="str">
        <f ca="1">IFERROR(__xludf.DUMMYFUNCTION("GOOGLETRANSLATE(E4123, ""zh"", ""en"")"),"Quantitative Text")</f>
        <v>Quantitative Text</v>
      </c>
    </row>
    <row r="4124" spans="1:3" ht="13" x14ac:dyDescent="0.15">
      <c r="A4124" s="1" t="str">
        <f ca="1">IFERROR(__xludf.DUMMYFUNCTION("GOOGLETRANSLATE(A4124, ""zh"", ""en"")"),"The company strictly abides by the Regulations on Paid Annual Leave for Employees and the Implementation Measures for Paid Annual Leave for Enterprise Employees, and strictly implements the relevant national regulations on working hours. For employees age"&amp;"d 50 and above, 756 has formulated leave management measures to ensure that there are rules to follow and to protect employees' rights to rest and leave.")</f>
        <v>The company strictly abides by the Regulations on Paid Annual Leave for Employees and the Implementation Measures for Paid Annual Leave for Enterprise Employees, and strictly implements the relevant national regulations on working hours. For employees aged 50 and above, 756 has formulated leave management measures to ensure that there are rules to follow and to protect employees' rights to rest and leave.</v>
      </c>
      <c r="B4124" s="1" t="str">
        <f ca="1">IFERROR(__xludf.DUMMYFUNCTION("GOOGLETRANSLATE(A4124, ""zh"", ""en"")"),"staff")</f>
        <v>staff</v>
      </c>
      <c r="C4124" s="1" t="str">
        <f ca="1">IFERROR(__xludf.DUMMYFUNCTION("GOOGLETRANSLATE(E4124, ""zh"", ""en"")"),"Qualitative text")</f>
        <v>Qualitative text</v>
      </c>
    </row>
    <row r="4125" spans="1:3" ht="13" x14ac:dyDescent="0.15">
      <c r="A4125" s="1" t="str">
        <f ca="1">IFERROR(__xludf.DUMMYFUNCTION("GOOGLETRANSLATE(A4125, ""zh"", ""en"")"),"Free legal consultation: In 2022, Shanghai Electric provided free legal consultation services to its employees. The services covered include company rules and regulations, personal injury compensation, work-related injury determination, employee directors"&amp;" and supervisors' issues, the retirement age for female employees, labor contracts, and the statute of limitations for professional union workers.")</f>
        <v>Free legal consultation: In 2022, Shanghai Electric provided free legal consultation services to its employees. The services covered include company rules and regulations, personal injury compensation, work-related injury determination, employee directors and supervisors' issues, the retirement age for female employees, labor contracts, and the statute of limitations for professional union workers.</v>
      </c>
      <c r="B4125" s="1" t="str">
        <f ca="1">IFERROR(__xludf.DUMMYFUNCTION("GOOGLETRANSLATE(A4125, ""zh"", ""en"")"),"staff")</f>
        <v>staff</v>
      </c>
      <c r="C4125" s="1" t="str">
        <f ca="1">IFERROR(__xludf.DUMMYFUNCTION("GOOGLETRANSLATE(E4125, ""zh"", ""en"")"),"Qualitative text")</f>
        <v>Qualitative text</v>
      </c>
    </row>
    <row r="4126" spans="1:3" ht="13" x14ac:dyDescent="0.15">
      <c r="A4126" s="1" t="str">
        <f ca="1">IFERROR(__xludf.DUMMYFUNCTION("GOOGLETRANSLATE(A4126, ""zh"", ""en"")"),"In addition, the company's labor union committee insists on carrying out the activity of visiting thousands of families at the grassroots level, establishing and improving the long-term mechanism of visiting, mobilizing cadres at all levels to conduct ful"&amp;"l coverage of family visits to grassroots team employees, listening to employees' demands, collecting opinions and suggestions, and solving the urgent problems of employees to the best of their ability.")</f>
        <v>In addition, the company's labor union committee insists on carrying out the activity of visiting thousands of families at the grassroots level, establishing and improving the long-term mechanism of visiting, mobilizing cadres at all levels to conduct full coverage of family visits to grassroots team employees, listening to employees' demands, collecting opinions and suggestions, and solving the urgent problems of employees to the best of their ability.</v>
      </c>
      <c r="B4126" s="1" t="str">
        <f ca="1">IFERROR(__xludf.DUMMYFUNCTION("GOOGLETRANSLATE(A4126, ""zh"", ""en"")"),"staff")</f>
        <v>staff</v>
      </c>
      <c r="C4126" s="1" t="str">
        <f ca="1">IFERROR(__xludf.DUMMYFUNCTION("GOOGLETRANSLATE(E4126, ""zh"", ""en"")"),"Qualitative text")</f>
        <v>Qualitative text</v>
      </c>
    </row>
    <row r="4127" spans="1:3" ht="13" x14ac:dyDescent="0.15">
      <c r="A4127" s="1" t="str">
        <f ca="1">IFERROR(__xludf.DUMMYFUNCTION("GOOGLETRANSLATE(A4127, ""zh"", ""en"")"),"Improve the level of intelligent production safety. In accordance with relevant national laws, regulations and standards, organize special training on topics such as flood season, natural disaster safety, maritime production safety knowledge and managemen"&amp;"t capabilities to comprehensively improve employees' safety risk identification, control and hidden danger investigation and treatment capabilities.")</f>
        <v>Improve the level of intelligent production safety. In accordance with relevant national laws, regulations and standards, organize special training on topics such as flood season, natural disaster safety, maritime production safety knowledge and management capabilities to comprehensively improve employees' safety risk identification, control and hidden danger investigation and treatment capabilities.</v>
      </c>
      <c r="B4127" s="1" t="str">
        <f ca="1">IFERROR(__xludf.DUMMYFUNCTION("GOOGLETRANSLATE(A4127, ""zh"", ""en"")"),"staff")</f>
        <v>staff</v>
      </c>
      <c r="C4127" s="1" t="str">
        <f ca="1">IFERROR(__xludf.DUMMYFUNCTION("GOOGLETRANSLATE(E4127, ""zh"", ""en"")"),"Qualitative text")</f>
        <v>Qualitative text</v>
      </c>
    </row>
    <row r="4128" spans="1:3" ht="13" x14ac:dyDescent="0.15">
      <c r="A4128" s="1" t="str">
        <f ca="1">IFERROR(__xludf.DUMMYFUNCTION("GOOGLETRANSLATE(A4128, ""zh"", ""en"")"),"Soil and groundwater management: In 2022, the company will complete the review of the technical specifications for the environmental investigation of soil and groundwater on corporate lands using corporate standards. All companies will continue to carry o"&amp;"ut self-monitoring of soil and groundwater, and strictly implement the soil pollution hazard investigation system and corporate self-monitoring requirements.")</f>
        <v>Soil and groundwater management: In 2022, the company will complete the review of the technical specifications for the environmental investigation of soil and groundwater on corporate lands using corporate standards. All companies will continue to carry out self-monitoring of soil and groundwater, and strictly implement the soil pollution hazard investigation system and corporate self-monitoring requirements.</v>
      </c>
      <c r="B4128" s="1" t="str">
        <f ca="1">IFERROR(__xludf.DUMMYFUNCTION("GOOGLETRANSLATE(A4128, ""zh"", ""en"")"),"Land use")</f>
        <v>Land use</v>
      </c>
      <c r="C4128" s="1" t="str">
        <f ca="1">IFERROR(__xludf.DUMMYFUNCTION("GOOGLETRANSLATE(E4128, ""zh"", ""en"")"),"Qualitative text")</f>
        <v>Qualitative text</v>
      </c>
    </row>
    <row r="4129" spans="1:3" ht="13" x14ac:dyDescent="0.15">
      <c r="A4129" s="1" t="str">
        <f ca="1">IFERROR(__xludf.DUMMYFUNCTION("GOOGLETRANSLATE(A4129, ""zh"", ""en"")"),"06 Stable Operations - Standardized Operations B6 Product Liability General Disclosure Information on 1. Policies and 2. Compliance with relevant laws and regulations that have a significant impact on the issuer regarding health and safety, advertising, l"&amp;"abelling and privacy matters of products and services provided, and methods of redress.")</f>
        <v>06 Stable Operations - Standardized Operations B6 Product Liability General Disclosure Information on 1. Policies and 2. Compliance with relevant laws and regulations that have a significant impact on the issuer regarding health and safety, advertising, labelling and privacy matters of products and services provided, and methods of redress.</v>
      </c>
      <c r="B4129" s="1" t="str">
        <f ca="1">IFERROR(__xludf.DUMMYFUNCTION("GOOGLETRANSLATE(A4129, ""zh"", ""en"")"),"Product quality")</f>
        <v>Product quality</v>
      </c>
      <c r="C4129" s="1" t="str">
        <f ca="1">IFERROR(__xludf.DUMMYFUNCTION("GOOGLETRANSLATE(E4129, ""zh"", ""en"")"),"Qualitative text")</f>
        <v>Qualitative text</v>
      </c>
    </row>
    <row r="4130" spans="1:3" ht="13" x14ac:dyDescent="0.15">
      <c r="A4130" s="1" t="str">
        <f ca="1">IFERROR(__xludf.DUMMYFUNCTION("GOOGLETRANSLATE(A4130, ""zh"", ""en"")"),"In 2022, Shanghai Electric will focus on the Group's strategic positioning and management improvement year deployment to improve the audit and risk control governance structure, enhance the risk control and internal control operating mechanism, and contin"&amp;"uously improve the effectiveness of risk prevention, control, internal control, audit and supervision by overcoming difficulties, ensuring key areas, preventing risks and promoting development.")</f>
        <v>In 2022, Shanghai Electric will focus on the Group's strategic positioning and management improvement year deployment to improve the audit and risk control governance structure, enhance the risk control and internal control operating mechanism, and continuously improve the effectiveness of risk prevention, control, internal control, audit and supervision by overcoming difficulties, ensuring key areas, preventing risks and promoting development.</v>
      </c>
      <c r="B4130" s="1" t="str">
        <f ca="1">IFERROR(__xludf.DUMMYFUNCTION("GOOGLETRANSLATE(A4130, ""zh"", ""en"")"),"Audit work")</f>
        <v>Audit work</v>
      </c>
      <c r="C4130" s="1" t="str">
        <f ca="1">IFERROR(__xludf.DUMMYFUNCTION("GOOGLETRANSLATE(E4130, ""zh"", ""en"")"),"Qualitative text")</f>
        <v>Qualitative text</v>
      </c>
    </row>
    <row r="4131" spans="1:3" ht="13" x14ac:dyDescent="0.15">
      <c r="A4131" s="1" t="str">
        <f ca="1">IFERROR(__xludf.DUMMYFUNCTION("GOOGLETRANSLATE(A4131, ""zh"", ""en"")"),"This year, the company hired external lawyers to conduct training on common intellectual property risks and responses for all employees. They presented common intellectual property issues such as trademark registration and rights protection, computer soft"&amp;"ware infringement risks, and other matters to enhance employees' intellectual property awareness.")</f>
        <v>This year, the company hired external lawyers to conduct training on common intellectual property risks and responses for all employees. They presented common intellectual property issues such as trademark registration and rights protection, computer software infringement risks, and other matters to enhance employees' intellectual property awareness.</v>
      </c>
      <c r="B4131" s="1" t="str">
        <f ca="1">IFERROR(__xludf.DUMMYFUNCTION("GOOGLETRANSLATE(A4131, ""zh"", ""en"")"),"Intellectual Property Protection")</f>
        <v>Intellectual Property Protection</v>
      </c>
      <c r="C4131" s="1" t="str">
        <f ca="1">IFERROR(__xludf.DUMMYFUNCTION("GOOGLETRANSLATE(E4131, ""zh"", ""en"")"),"Qualitative text")</f>
        <v>Qualitative text</v>
      </c>
    </row>
    <row r="4132" spans="1:3" ht="13" x14ac:dyDescent="0.15">
      <c r="A4132" s="1" t="str">
        <f ca="1">IFERROR(__xludf.DUMMYFUNCTION("GOOGLETRANSLATE(A4132, ""zh"", ""en"")"),"The company monitors, evaluates and manages the financial operations, compliance and legal risks in its business activities through the implementation of a comprehensive risk management mechanism and internal control process. It also conducts vertical ris"&amp;"k management for its subsidiaries through different models such as business guidance, operation support, decision-making and management.")</f>
        <v>The company monitors, evaluates and manages the financial operations, compliance and legal risks in its business activities through the implementation of a comprehensive risk management mechanism and internal control process. It also conducts vertical risk management for its subsidiaries through different models such as business guidance, operation support, decision-making and management.</v>
      </c>
      <c r="B4132" s="1" t="str">
        <f ca="1">IFERROR(__xludf.DUMMYFUNCTION("GOOGLETRANSLATE(A4132, ""zh"", ""en"")"),"Legal proceedings and external sanctions")</f>
        <v>Legal proceedings and external sanctions</v>
      </c>
      <c r="C4132" s="1" t="str">
        <f ca="1">IFERROR(__xludf.DUMMYFUNCTION("GOOGLETRANSLATE(E4132, ""zh"", ""en"")"),"Qualitative text")</f>
        <v>Qualitative text</v>
      </c>
    </row>
    <row r="4133" spans="1:3" ht="13" x14ac:dyDescent="0.15">
      <c r="A4133" s="1" t="str">
        <f ca="1">IFERROR(__xludf.DUMMYFUNCTION("GOOGLETRANSLATE(A4133, ""zh"", ""en"")"),"The company launched the 2022 Sailing Plan training. The company launched the 2022 Sailing Plan training. 41 CITIC Securities 2022 Social Responsibility Report Professional Talent Training and Cooperation with Professional Institutions The company attache"&amp;"s great importance to the establishment of a professional talent training system.")</f>
        <v>The company launched the 2022 Sailing Plan training. The company launched the 2022 Sailing Plan training. 41 CITIC Securities 2022 Social Responsibility Report Professional Talent Training and Cooperation with Professional Institutions The company attaches great importance to the establishment of a professional talent training system.</v>
      </c>
      <c r="B4133" s="1" t="str">
        <f ca="1">IFERROR(__xludf.DUMMYFUNCTION("GOOGLETRANSLATE(A4133, ""zh"", ""en"")"),"staff")</f>
        <v>staff</v>
      </c>
      <c r="C4133" s="1" t="str">
        <f ca="1">IFERROR(__xludf.DUMMYFUNCTION("GOOGLETRANSLATE(E4133, ""zh"", ""en"")"),"Qualitative text")</f>
        <v>Qualitative text</v>
      </c>
    </row>
    <row r="4134" spans="1:3" ht="13" x14ac:dyDescent="0.15">
      <c r="A4134" s="1" t="str">
        <f ca="1">IFERROR(__xludf.DUMMYFUNCTION("GOOGLETRANSLATE(A4134, ""zh"", ""en"")"),"About this Report: Reporting Area A: Environment A1: Emissions General Disclosure: Information on waste gas and greenhouse gas emissions, discharges to water and land, generation of hazardous and non-hazardous wastes, etc. 1. Policies and 2. Compliance wi"&amp;"th relevant laws and regulations that have a significant impact on the issuer")</f>
        <v>About this Report: Reporting Area A: Environment A1: Emissions General Disclosure: Information on waste gas and greenhouse gas emissions, discharges to water and land, generation of hazardous and non-hazardous wastes, etc. 1. Policies and 2. Compliance with relevant laws and regulations that have a significant impact on the issuer</v>
      </c>
      <c r="B4134" s="1" t="str">
        <f ca="1">IFERROR(__xludf.DUMMYFUNCTION("GOOGLETRANSLATE(A4134, ""zh"", ""en"")"),"Waste Management")</f>
        <v>Waste Management</v>
      </c>
      <c r="C4134" s="1" t="str">
        <f ca="1">IFERROR(__xludf.DUMMYFUNCTION("GOOGLETRANSLATE(E4134, ""zh"", ""en"")"),"Qualitative text")</f>
        <v>Qualitative text</v>
      </c>
    </row>
    <row r="4135" spans="1:3" ht="13" x14ac:dyDescent="0.15">
      <c r="A4135" s="1" t="str">
        <f ca="1">IFERROR(__xludf.DUMMYFUNCTION("GOOGLETRANSLATE(A4135, ""zh"", ""en"")"),"In June 2022, we participated as a drafting unit in the release of two group standards, namely TCAQP0272022 General Principles for Enterprise ESG Information Disclosure and TCAQP0262022 General Principles for Enterprise ESG Evaluation, led by the China Qu"&amp;"ality Promotion Association.")</f>
        <v>In June 2022, we participated as a drafting unit in the release of two group standards, namely TCAQP0272022 General Principles for Enterprise ESG Information Disclosure and TCAQP0262022 General Principles for Enterprise ESG Evaluation, led by the China Quality Promotion Association.</v>
      </c>
      <c r="B4135" s="1" t="str">
        <f ca="1">IFERROR(__xludf.DUMMYFUNCTION("GOOGLETRANSLATE(A4135, ""zh"", ""en"")"),"Product quality")</f>
        <v>Product quality</v>
      </c>
      <c r="C4135" s="1" t="str">
        <f ca="1">IFERROR(__xludf.DUMMYFUNCTION("GOOGLETRANSLATE(E4135, ""zh"", ""en"")"),"Qualitative text")</f>
        <v>Qualitative text</v>
      </c>
    </row>
    <row r="4136" spans="1:3" ht="13" x14ac:dyDescent="0.15">
      <c r="A4136" s="1" t="str">
        <f ca="1">IFERROR(__xludf.DUMMYFUNCTION("GOOGLETRANSLATE(A4136, ""zh"", ""en"")"),"Solar Storage 182022 Social Responsibility Report: Achieving the national dual carbon goals has become a core issue for high-quality economic development in the new era. Shanghai Electric is keeping pace with the times, focusing on the industry's low-carb"&amp;"onization and digital transformation, and driving development through technological innovation.")</f>
        <v>Solar Storage 182022 Social Responsibility Report: Achieving the national dual carbon goals has become a core issue for high-quality economic development in the new era. Shanghai Electric is keeping pace with the times, focusing on the industry's low-carbonization and digital transformation, and driving development through technological innovation.</v>
      </c>
      <c r="B4136" s="1" t="str">
        <f ca="1">IFERROR(__xludf.DUMMYFUNCTION("GOOGLETRANSLATE(A4136, ""zh"", ""en"")"),"carbon emissions")</f>
        <v>carbon emissions</v>
      </c>
      <c r="C4136" s="1" t="str">
        <f ca="1">IFERROR(__xludf.DUMMYFUNCTION("GOOGLETRANSLATE(E4136, ""zh"", ""en"")"),"Qualitative text")</f>
        <v>Qualitative text</v>
      </c>
    </row>
    <row r="4137" spans="1:3" ht="13" x14ac:dyDescent="0.15">
      <c r="A4137" s="1" t="str">
        <f ca="1">IFERROR(__xludf.DUMMYFUNCTION("GOOGLETRANSLATE(A4137, ""zh"", ""en"")"),"As one of the key construction units, Shanghai Electric provided a number of core equipment for the nuclear island and conventional island. After more than ten years of independent research and development and manufacturing, it has overcome a number of ke"&amp;"y technologies that have been bottlenecks in the global industry, helping the localization rate of the entire project equipment reach 93.4%.")</f>
        <v>As one of the key construction units, Shanghai Electric provided a number of core equipment for the nuclear island and conventional island. After more than ten years of independent research and development and manufacturing, it has overcome a number of key technologies that have been bottlenecks in the global industry, helping the localization rate of the entire project equipment reach 93.4%.</v>
      </c>
      <c r="B4137" s="1" t="str">
        <f ca="1">IFERROR(__xludf.DUMMYFUNCTION("GOOGLETRANSLATE(A4137, ""zh"", ""en"")"),"Technological innovation")</f>
        <v>Technological innovation</v>
      </c>
      <c r="C4137" s="1" t="str">
        <f ca="1">IFERROR(__xludf.DUMMYFUNCTION("GOOGLETRANSLATE(E4137, ""zh"", ""en"")"),"Quantitative Text")</f>
        <v>Quantitative Text</v>
      </c>
    </row>
    <row r="4138" spans="1:3" ht="13" x14ac:dyDescent="0.15">
      <c r="A4138" s="1" t="str">
        <f ca="1">IFERROR(__xludf.DUMMYFUNCTION("GOOGLETRANSLATE(A4138, ""zh"", ""en"")"),"The digital procurement supervision platform supplier training focuses on 26 key areas of material procurement, including tendering and tendering framework agreement procurement, to build a full-process procurement management and supervision platform to a"&amp;"chieve standardized risk prevention and control, tool automation, and promote the construction of a digital procurement business supervision system.")</f>
        <v>The digital procurement supervision platform supplier training focuses on 26 key areas of material procurement, including tendering and tendering framework agreement procurement, to build a full-process procurement management and supervision platform to achieve standardized risk prevention and control, tool automation, and promote the construction of a digital procurement business supervision system.</v>
      </c>
      <c r="B4138" s="1" t="str">
        <f ca="1">IFERROR(__xludf.DUMMYFUNCTION("GOOGLETRANSLATE(A4138, ""zh"", ""en"")"),"supply chain management")</f>
        <v>supply chain management</v>
      </c>
      <c r="C4138" s="1" t="str">
        <f ca="1">IFERROR(__xludf.DUMMYFUNCTION("GOOGLETRANSLATE(E4138, ""zh"", ""en"")"),"Qualitative text")</f>
        <v>Qualitative text</v>
      </c>
    </row>
    <row r="4139" spans="1:3" ht="13" x14ac:dyDescent="0.15">
      <c r="A4139" s="1" t="str">
        <f ca="1">IFERROR(__xludf.DUMMYFUNCTION("GOOGLETRANSLATE(A4139, ""zh"", ""en"")"),"4 national key laboratories, 5 national engineering research centers, 1 national-local joint engineering research center, 1 national engineering laboratory, 4 national energy R&amp;D experimental centers, 1 national testing and evaluation platform, and 2 nati"&amp;"onally recognized enterprise technology centers have been built.")</f>
        <v>4 national key laboratories, 5 national engineering research centers, 1 national-local joint engineering research center, 1 national engineering laboratory, 4 national energy R&amp;D experimental centers, 1 national testing and evaluation platform, and 2 nationally recognized enterprise technology centers have been built.</v>
      </c>
      <c r="B4139" s="1" t="str">
        <f ca="1">IFERROR(__xludf.DUMMYFUNCTION("GOOGLETRANSLATE(A4139, ""zh"", ""en"")"),"Technological innovation")</f>
        <v>Technological innovation</v>
      </c>
      <c r="C4139" s="1" t="str">
        <f ca="1">IFERROR(__xludf.DUMMYFUNCTION("GOOGLETRANSLATE(E4139, ""zh"", ""en"")"),"Quantitative Text")</f>
        <v>Quantitative Text</v>
      </c>
    </row>
    <row r="4140" spans="1:3" ht="13" x14ac:dyDescent="0.15">
      <c r="A4140" s="1" t="str">
        <f ca="1">IFERROR(__xludf.DUMMYFUNCTION("GOOGLETRANSLATE(A4140, ""zh"", ""en"")"),"Looking ahead to 2023, Sinopec will accelerate its development into a world-class enterprise, further integrate ESG into all aspects of the company's strategic planning and production operations, strengthen the top-level design of ESG governance, consolid"&amp;"ate the management foundation, and actively participate in the development of China's ESG ecosystem.")</f>
        <v>Looking ahead to 2023, Sinopec will accelerate its development into a world-class enterprise, further integrate ESG into all aspects of the company's strategic planning and production operations, strengthen the top-level design of ESG governance, consolidate the management foundation, and actively participate in the development of China's ESG ecosystem.</v>
      </c>
      <c r="B4140" s="1" t="str">
        <f ca="1">IFERROR(__xludf.DUMMYFUNCTION("GOOGLETRANSLATE(A4140, ""zh"", ""en"")"),"irrelevant text")</f>
        <v>irrelevant text</v>
      </c>
      <c r="C4140" s="1" t="str">
        <f ca="1">IFERROR(__xludf.DUMMYFUNCTION("GOOGLETRANSLATE(E4140, ""zh"", ""en"")"),"irrelevant text")</f>
        <v>irrelevant text</v>
      </c>
    </row>
    <row r="4141" spans="1:3" ht="13" x14ac:dyDescent="0.15">
      <c r="A4141" s="1" t="str">
        <f ca="1">IFERROR(__xludf.DUMMYFUNCTION("GOOGLETRANSLATE(A4141, ""zh"", ""en"")"),"This report is the fifteenth consecutive social responsibility report released by the company to the public since 2008. The report covers the period from January 1, 2022 to December 31, 2022. Some contents of the 2022 Social Responsibility Report are retr"&amp;"ospective.")</f>
        <v>This report is the fifteenth consecutive social responsibility report released by the company to the public since 2008. The report covers the period from January 1, 2022 to December 31, 2022. Some contents of the 2022 Social Responsibility Report are retrospective.</v>
      </c>
      <c r="B4141" s="1" t="str">
        <f ca="1">IFERROR(__xludf.DUMMYFUNCTION("GOOGLETRANSLATE(A4141, ""zh"", ""en"")"),"irrelevant text")</f>
        <v>irrelevant text</v>
      </c>
      <c r="C4141" s="1" t="str">
        <f ca="1">IFERROR(__xludf.DUMMYFUNCTION("GOOGLETRANSLATE(E4141, ""zh"", ""en"")"),"irrelevant text")</f>
        <v>irrelevant text</v>
      </c>
    </row>
    <row r="4142" spans="1:3" ht="13" x14ac:dyDescent="0.15">
      <c r="A4142" s="1" t="str">
        <f ca="1">IFERROR(__xludf.DUMMYFUNCTION("GOOGLETRANSLATE(A4142, ""zh"", ""en"")"),"Wanghu Village, Hetan Town, Dongxiang County, Gansu Province, is participating in the Rural Warm Winter Plan for Azvudine tablets. Fosun Pharma and the Shanghai Fosun Charity Foundation jointly donated Azvudine, an oral COVID-19 medication, worth 100 mill"&amp;"ion yuan to ensure access to medication for the elderly in rural areas.")</f>
        <v>Wanghu Village, Hetan Town, Dongxiang County, Gansu Province, is participating in the Rural Warm Winter Plan for Azvudine tablets. Fosun Pharma and the Shanghai Fosun Charity Foundation jointly donated Azvudine, an oral COVID-19 medication, worth 100 million yuan to ensure access to medication for the elderly in rural areas.</v>
      </c>
      <c r="B4142" s="1" t="str">
        <f ca="1">IFERROR(__xludf.DUMMYFUNCTION("GOOGLETRANSLATE(A4142, ""zh"", ""en"")"),"Fighting the epidemic")</f>
        <v>Fighting the epidemic</v>
      </c>
      <c r="C4142" s="1" t="str">
        <f ca="1">IFERROR(__xludf.DUMMYFUNCTION("GOOGLETRANSLATE(E4142, ""zh"", ""en"")"),"Quantitative Text")</f>
        <v>Quantitative Text</v>
      </c>
    </row>
    <row r="4143" spans="1:3" ht="13" x14ac:dyDescent="0.15">
      <c r="A4143" s="1" t="str">
        <f ca="1">IFERROR(__xludf.DUMMYFUNCTION("GOOGLETRANSLATE(A4143, ""zh"", ""en"")"),"The participants exchanged views on the highlights and outstanding cases of Fosun's CSR leaders' active participation in external pharmaceutical social responsibility training in 2022 and made plans and prospects for the future development direction of so"&amp;"cial responsibility training and social responsibility policies and dynamics.")</f>
        <v>The participants exchanged views on the highlights and outstanding cases of Fosun's CSR leaders' active participation in external pharmaceutical social responsibility training in 2022 and made plans and prospects for the future development direction of social responsibility training and social responsibility policies and dynamics.</v>
      </c>
      <c r="B4143" s="1" t="str">
        <f ca="1">IFERROR(__xludf.DUMMYFUNCTION("GOOGLETRANSLATE(A4143, ""zh"", ""en"")"),"irrelevant text")</f>
        <v>irrelevant text</v>
      </c>
      <c r="C4143" s="1" t="str">
        <f ca="1">IFERROR(__xludf.DUMMYFUNCTION("GOOGLETRANSLATE(E4143, ""zh"", ""en"")"),"irrelevant text")</f>
        <v>irrelevant text</v>
      </c>
    </row>
    <row r="4144" spans="1:3" ht="13" x14ac:dyDescent="0.15">
      <c r="A4144" s="1" t="str">
        <f ca="1">IFERROR(__xludf.DUMMYFUNCTION("GOOGLETRANSLATE(A4144, ""zh"", ""en"")"),"Through development as one of the most important responsibilities of the enterprise and continuous open and win-win innovation mechanism, directly introduce outstanding scientific talents to provide employees with more and better career development opport"&amp;"unities or internally incubate technical teams to encourage and support the team and work environment.")</f>
        <v>Through development as one of the most important responsibilities of the enterprise and continuous open and win-win innovation mechanism, directly introduce outstanding scientific talents to provide employees with more and better career development opportunities or internally incubate technical teams to encourage and support the team and work environment.</v>
      </c>
      <c r="B4144" s="1" t="str">
        <f ca="1">IFERROR(__xludf.DUMMYFUNCTION("GOOGLETRANSLATE(A4144, ""zh"", ""en"")"),"staff")</f>
        <v>staff</v>
      </c>
      <c r="C4144" s="1" t="str">
        <f ca="1">IFERROR(__xludf.DUMMYFUNCTION("GOOGLETRANSLATE(E4144, ""zh"", ""en"")"),"Qualitative text")</f>
        <v>Qualitative text</v>
      </c>
    </row>
    <row r="4145" spans="1:3" ht="13" x14ac:dyDescent="0.15">
      <c r="A4145" s="1" t="str">
        <f ca="1">IFERROR(__xludf.DUMMYFUNCTION("GOOGLETRANSLATE(A4145, ""zh"", ""en"")"),"Hongqi Pharmaceuticals and the local fire protection association conducted a fire evacuation drill in an escape tent. The tent was equipped with maze-like partition walls to simulate the dark, smoke-filled, and barricaded conditions of a fire, allowing em"&amp;"ployees to experience a real fire scene and master the correct escape methods.")</f>
        <v>Hongqi Pharmaceuticals and the local fire protection association conducted a fire evacuation drill in an escape tent. The tent was equipped with maze-like partition walls to simulate the dark, smoke-filled, and barricaded conditions of a fire, allowing employees to experience a real fire scene and master the correct escape methods.</v>
      </c>
      <c r="B4145" s="1" t="str">
        <f ca="1">IFERROR(__xludf.DUMMYFUNCTION("GOOGLETRANSLATE(A4145, ""zh"", ""en"")"),"staff")</f>
        <v>staff</v>
      </c>
      <c r="C4145" s="1" t="str">
        <f ca="1">IFERROR(__xludf.DUMMYFUNCTION("GOOGLETRANSLATE(E4145, ""zh"", ""en"")"),"Qualitative text")</f>
        <v>Qualitative text</v>
      </c>
    </row>
    <row r="4146" spans="1:3" ht="13" x14ac:dyDescent="0.15">
      <c r="A4146" s="1" t="str">
        <f ca="1">IFERROR(__xludf.DUMMYFUNCTION("GOOGLETRANSLATE(A4146, ""zh"", ""en"")"),"Conducted a 2022 grassroots branch employee satisfaction survey covering all 135,000 branch employees across all business outlets. The average employee satisfaction score was 4.48 out of 5, an increase of 0.15 points from the end of 2021, marking three co"&amp;"nsecutive years of improved satisfaction.")</f>
        <v>Conducted a 2022 grassroots branch employee satisfaction survey covering all 135,000 branch employees across all business outlets. The average employee satisfaction score was 4.48 out of 5, an increase of 0.15 points from the end of 2021, marking three consecutive years of improved satisfaction.</v>
      </c>
      <c r="B4146" s="1" t="str">
        <f ca="1">IFERROR(__xludf.DUMMYFUNCTION("GOOGLETRANSLATE(A4146, ""zh"", ""en"")"),"staff")</f>
        <v>staff</v>
      </c>
      <c r="C4146" s="1" t="str">
        <f ca="1">IFERROR(__xludf.DUMMYFUNCTION("GOOGLETRANSLATE(E4146, ""zh"", ""en"")"),"Quantitative Text")</f>
        <v>Quantitative Text</v>
      </c>
    </row>
    <row r="4147" spans="1:3" ht="13" x14ac:dyDescent="0.15">
      <c r="A4147" s="1" t="str">
        <f ca="1">IFERROR(__xludf.DUMMYFUNCTION("GOOGLETRANSLATE(A4147, ""zh"", ""en"")"),"Case Study: In July 2016, the Public Welfare and Guanghua Science and Technology Foundation used the Child Heart Harbor Project to install small water drop cameras in rural families in Jiangxi. With the power of technology, parents working in cities and c"&amp;"hildren left behind in rural areas can interact in real time, making technology a portal to family affection.")</f>
        <v>Case Study: In July 2016, the Public Welfare and Guanghua Science and Technology Foundation used the Child Heart Harbor Project to install small water drop cameras in rural families in Jiangxi. With the power of technology, parents working in cities and children left behind in rural areas can interact in real time, making technology a portal to family affection.</v>
      </c>
      <c r="B4147" s="1" t="str">
        <f ca="1">IFERROR(__xludf.DUMMYFUNCTION("GOOGLETRANSLATE(A4147, ""zh"", ""en"")"),"Public welfare and volunteer service")</f>
        <v>Public welfare and volunteer service</v>
      </c>
      <c r="C4147" s="1" t="str">
        <f ca="1">IFERROR(__xludf.DUMMYFUNCTION("GOOGLETRANSLATE(E4147, ""zh"", ""en"")"),"Qualitative text")</f>
        <v>Qualitative text</v>
      </c>
    </row>
    <row r="4148" spans="1:3" ht="13" x14ac:dyDescent="0.15">
      <c r="A4148" s="1" t="str">
        <f ca="1">IFERROR(__xludf.DUMMYFUNCTION("GOOGLETRANSLATE(A4148, ""zh"", ""en"")"),"CCB Asia and the Boys' and Girls' Clubs Association of Hong Kong have been collaborating on the ""Building the Future"" initiative since 2011. The ""Building the Future"" initiative donates HK$180,000 annually to provide learning and development opportuni"&amp;"ties for young people and children from all walks of life, especially those from underprivileged families.")</f>
        <v>CCB Asia and the Boys' and Girls' Clubs Association of Hong Kong have been collaborating on the "Building the Future" initiative since 2011. The "Building the Future" initiative donates HK$180,000 annually to provide learning and development opportunities for young people and children from all walks of life, especially those from underprivileged families.</v>
      </c>
      <c r="B4148" s="1" t="str">
        <f ca="1">IFERROR(__xludf.DUMMYFUNCTION("GOOGLETRANSLATE(A4148, ""zh"", ""en"")"),"Public welfare and volunteer service")</f>
        <v>Public welfare and volunteer service</v>
      </c>
      <c r="C4148" s="1" t="str">
        <f ca="1">IFERROR(__xludf.DUMMYFUNCTION("GOOGLETRANSLATE(E4148, ""zh"", ""en"")"),"Quantitative Text")</f>
        <v>Quantitative Text</v>
      </c>
    </row>
    <row r="4149" spans="1:3" ht="13" x14ac:dyDescent="0.15">
      <c r="A4149" s="1" t="str">
        <f ca="1">IFERROR(__xludf.DUMMYFUNCTION("GOOGLETRANSLATE(A4149, ""zh"", ""en"")"),"Case Study: Employee Badminton Tournament 4950. Strengthening the organizational foundation for employee rights protection. The Renfu Pharmaceutical Union adheres to the organizational development goal of establishing a union wherever employees are, guidi"&amp;"ng each operating company in establishing union organizations and conducting union elections.")</f>
        <v>Case Study: Employee Badminton Tournament 4950. Strengthening the organizational foundation for employee rights protection. The Renfu Pharmaceutical Union adheres to the organizational development goal of establishing a union wherever employees are, guiding each operating company in establishing union organizations and conducting union elections.</v>
      </c>
      <c r="B4149" s="1" t="str">
        <f ca="1">IFERROR(__xludf.DUMMYFUNCTION("GOOGLETRANSLATE(A4149, ""zh"", ""en"")"),"staff")</f>
        <v>staff</v>
      </c>
      <c r="C4149" s="1" t="str">
        <f ca="1">IFERROR(__xludf.DUMMYFUNCTION("GOOGLETRANSLATE(E4149, ""zh"", ""en"")"),"Quantitative Text")</f>
        <v>Quantitative Text</v>
      </c>
    </row>
    <row r="4150" spans="1:3" ht="13" x14ac:dyDescent="0.15">
      <c r="A4150" s="1" t="str">
        <f ca="1">IFERROR(__xludf.DUMMYFUNCTION("GOOGLETRANSLATE(A4150, ""zh"", ""en"")"),"46472022 Multi-project professional diagnosis and treatment venues actively promote inclusive education in the community. In the original gathering spaces such as Puyue Qicheng, professional diagnosis and treatment are provided, including pulse measuremen"&amp;"t, blood pressure, cervical spine, lumbar spine, and knee joint examinations and treatments, as well as traditional Chinese medicine physiotherapy such as scraping, cupping, and blood viscosity reduction to remove dampness.")</f>
        <v>46472022 Multi-project professional diagnosis and treatment venues actively promote inclusive education in the community. In the original gathering spaces such as Puyue Qicheng, professional diagnosis and treatment are provided, including pulse measurement, blood pressure, cervical spine, lumbar spine, and knee joint examinations and treatments, as well as traditional Chinese medicine physiotherapy such as scraping, cupping, and blood viscosity reduction to remove dampness.</v>
      </c>
      <c r="B4150" s="1" t="str">
        <f ca="1">IFERROR(__xludf.DUMMYFUNCTION("GOOGLETRANSLATE(A4150, ""zh"", ""en"")"),"Public welfare and volunteer service")</f>
        <v>Public welfare and volunteer service</v>
      </c>
      <c r="C4150" s="1" t="str">
        <f ca="1">IFERROR(__xludf.DUMMYFUNCTION("GOOGLETRANSLATE(E4150, ""zh"", ""en"")"),"Qualitative text")</f>
        <v>Qualitative text</v>
      </c>
    </row>
    <row r="4151" spans="1:3" ht="13" x14ac:dyDescent="0.15">
      <c r="A4151" s="1" t="str">
        <f ca="1">IFERROR(__xludf.DUMMYFUNCTION("GOOGLETRANSLATE(A4151, ""zh"", ""en"")"),"On March 7, Yuanjuchang, together with Yishujia Qinglan Project Fund, Yida Public Welfare, Qixin Public Welfare, Guangming Express Public Welfare Foundation, and others, held a public welfare event for women to speak freely. Women from different fields di"&amp;"scussed topics such as women's public welfare and social positive energy.")</f>
        <v>On March 7, Yuanjuchang, together with Yishujia Qinglan Project Fund, Yida Public Welfare, Qixin Public Welfare, Guangming Express Public Welfare Foundation, and others, held a public welfare event for women to speak freely. Women from different fields discussed topics such as women's public welfare and social positive energy.</v>
      </c>
      <c r="B4151" s="1" t="str">
        <f ca="1">IFERROR(__xludf.DUMMYFUNCTION("GOOGLETRANSLATE(A4151, ""zh"", ""en"")"),"Public welfare and volunteer service")</f>
        <v>Public welfare and volunteer service</v>
      </c>
      <c r="C4151" s="1" t="str">
        <f ca="1">IFERROR(__xludf.DUMMYFUNCTION("GOOGLETRANSLATE(E4151, ""zh"", ""en"")"),"Qualitative text")</f>
        <v>Qualitative text</v>
      </c>
    </row>
    <row r="4152" spans="1:3" ht="13" x14ac:dyDescent="0.15">
      <c r="A4152" s="1" t="str">
        <f ca="1">IFERROR(__xludf.DUMMYFUNCTION("GOOGLETRANSLATE(A4152, ""zh"", ""en"")"),"Xuanhai Technology, a smart space solution provider and IoT smart hardware supplier, effectively uses 3DAI panoramic internet interaction and other technologies to integrate party history learning and education with new technologies, allowing users to exp"&amp;"erience the party building digital exhibition hall online without leaving home.")</f>
        <v>Xuanhai Technology, a smart space solution provider and IoT smart hardware supplier, effectively uses 3DAI panoramic internet interaction and other technologies to integrate party history learning and education with new technologies, allowing users to experience the party building digital exhibition hall online without leaving home.</v>
      </c>
      <c r="B4152" s="1" t="str">
        <f ca="1">IFERROR(__xludf.DUMMYFUNCTION("GOOGLETRANSLATE(A4152, ""zh"", ""en"")"),"Organizational structure and operations")</f>
        <v>Organizational structure and operations</v>
      </c>
      <c r="C4152" s="1" t="str">
        <f ca="1">IFERROR(__xludf.DUMMYFUNCTION("GOOGLETRANSLATE(E4152, ""zh"", ""en"")"),"Qualitative text")</f>
        <v>Qualitative text</v>
      </c>
    </row>
    <row r="4153" spans="1:3" ht="13" x14ac:dyDescent="0.15">
      <c r="A4153" s="1" t="str">
        <f ca="1">IFERROR(__xludf.DUMMYFUNCTION("GOOGLETRANSLATE(A4153, ""zh"", ""en"")"),"The company continued to upgrade and promote the plasticized steel, nonferrous metals, and fast-moving consumer goods warehouse management system, strengthened the application of PDA logistics network equipment, improved customer online service functions,"&amp;" promoted the process of information management of warehouse business, improved business management level, and increased operational efficiency.")</f>
        <v>The company continued to upgrade and promote the plasticized steel, nonferrous metals, and fast-moving consumer goods warehouse management system, strengthened the application of PDA logistics network equipment, improved customer online service functions, promoted the process of information management of warehouse business, improved business management level, and increased operational efficiency.</v>
      </c>
      <c r="B4153" s="1" t="str">
        <f ca="1">IFERROR(__xludf.DUMMYFUNCTION("GOOGLETRANSLATE(A4153, ""zh"", ""en"")"),"Customers and Consumers")</f>
        <v>Customers and Consumers</v>
      </c>
      <c r="C4153" s="1" t="str">
        <f ca="1">IFERROR(__xludf.DUMMYFUNCTION("GOOGLETRANSLATE(E4153, ""zh"", ""en"")"),"Qualitative text")</f>
        <v>Qualitative text</v>
      </c>
    </row>
    <row r="4154" spans="1:3" ht="13" x14ac:dyDescent="0.15">
      <c r="A4154" s="1" t="str">
        <f ca="1">IFERROR(__xludf.DUMMYFUNCTION("GOOGLETRANSLATE(A4154, ""zh"", ""en"")"),"Identification of risks and opportunities The Group continues to monitor the impact of climate change on its short-term and long-term production and operations, identifying and analysing the physical and transition risks associated with its businesses and"&amp;" developing targeted response measures to enhance its overall climate risk response capabilities.")</f>
        <v>Identification of risks and opportunities The Group continues to monitor the impact of climate change on its short-term and long-term production and operations, identifying and analysing the physical and transition risks associated with its businesses and developing targeted response measures to enhance its overall climate risk response capabilities.</v>
      </c>
      <c r="B4154" s="1" t="str">
        <f ca="1">IFERROR(__xludf.DUMMYFUNCTION("GOOGLETRANSLATE(A4154, ""zh"", ""en"")"),"Addressing climate change")</f>
        <v>Addressing climate change</v>
      </c>
      <c r="C4154" s="1" t="str">
        <f ca="1">IFERROR(__xludf.DUMMYFUNCTION("GOOGLETRANSLATE(E4154, ""zh"", ""en"")"),"Qualitative text")</f>
        <v>Qualitative text</v>
      </c>
    </row>
    <row r="4155" spans="1:3" ht="13" x14ac:dyDescent="0.15">
      <c r="A4155" s="1" t="str">
        <f ca="1">IFERROR(__xludf.DUMMYFUNCTION("GOOGLETRANSLATE(A4155, ""zh"", ""en"")"),"In 2022, FPA will complete the 2020 base year greenhouse gas emissions inventory covering Scope 1, Scope 2, and Scope 3, as well as the lifecycle carbon footprint analysis of 14 products. Carbon reduction actions will continue to be implemented to achieve"&amp;" the goal of net zero carbon emissions by 2050.")</f>
        <v>In 2022, FPA will complete the 2020 base year greenhouse gas emissions inventory covering Scope 1, Scope 2, and Scope 3, as well as the lifecycle carbon footprint analysis of 14 products. Carbon reduction actions will continue to be implemented to achieve the goal of net zero carbon emissions by 2050.</v>
      </c>
      <c r="B4155" s="1" t="str">
        <f ca="1">IFERROR(__xludf.DUMMYFUNCTION("GOOGLETRANSLATE(A4155, ""zh"", ""en"")"),"carbon emissions")</f>
        <v>carbon emissions</v>
      </c>
      <c r="C4155" s="1" t="str">
        <f ca="1">IFERROR(__xludf.DUMMYFUNCTION("GOOGLETRANSLATE(E4155, ""zh"", ""en"")"),"Qualitative text")</f>
        <v>Qualitative text</v>
      </c>
    </row>
    <row r="4156" spans="1:3" ht="13" x14ac:dyDescent="0.15">
      <c r="A4156" s="1" t="str">
        <f ca="1">IFERROR(__xludf.DUMMYFUNCTION("GOOGLETRANSLATE(A4156, ""zh"", ""en"")"),"We will fully grasp the new development pattern of dual circulation, fully grasp the trend of consumption upgrading and expansion, deeply cultivate new consumption areas, continuously explore and serve high-quality brands, gather high-quality users, and u"&amp;"tilize high-quality channel capabilities and service capabilities to gather mid-to-high-end consumer brands to serve the better life of all people.")</f>
        <v>We will fully grasp the new development pattern of dual circulation, fully grasp the trend of consumption upgrading and expansion, deeply cultivate new consumption areas, continuously explore and serve high-quality brands, gather high-quality users, and utilize high-quality channel capabilities and service capabilities to gather mid-to-high-end consumer brands to serve the better life of all people.</v>
      </c>
      <c r="B4156" s="1" t="str">
        <f ca="1">IFERROR(__xludf.DUMMYFUNCTION("GOOGLETRANSLATE(A4156, ""zh"", ""en"")"),"Customers and Consumers")</f>
        <v>Customers and Consumers</v>
      </c>
      <c r="C4156" s="1" t="str">
        <f ca="1">IFERROR(__xludf.DUMMYFUNCTION("GOOGLETRANSLATE(E4156, ""zh"", ""en"")"),"Qualitative text")</f>
        <v>Qualitative text</v>
      </c>
    </row>
    <row r="4157" spans="1:3" ht="13" x14ac:dyDescent="0.15">
      <c r="A4157" s="1" t="str">
        <f ca="1">IFERROR(__xludf.DUMMYFUNCTION("GOOGLETRANSLATE(A4157, ""zh"", ""en"")"),"Hongyuan Pharmaceuticals won the third prize of Zhejiang Provincial Science and Technology Progress Award. Wang Haibo's Skill Master Studio was named the Provincial Young Worker Innovation and Creativity Studio. The company achieved integrated operation o"&amp;"f intermediates, APIs and preparations and successfully produced atorvastatin calcium preparations, selling 250,000 boxes online in 19 provinces.")</f>
        <v>Hongyuan Pharmaceuticals won the third prize of Zhejiang Provincial Science and Technology Progress Award. Wang Haibo's Skill Master Studio was named the Provincial Young Worker Innovation and Creativity Studio. The company achieved integrated operation of intermediates, APIs and preparations and successfully produced atorvastatin calcium preparations, selling 250,000 boxes online in 19 provinces.</v>
      </c>
      <c r="B4157" s="1" t="str">
        <f ca="1">IFERROR(__xludf.DUMMYFUNCTION("GOOGLETRANSLATE(A4157, ""zh"", ""en"")"),"Technological innovation")</f>
        <v>Technological innovation</v>
      </c>
      <c r="C4157" s="1" t="str">
        <f ca="1">IFERROR(__xludf.DUMMYFUNCTION("GOOGLETRANSLATE(E4157, ""zh"", ""en"")"),"Quantitative Text")</f>
        <v>Quantitative Text</v>
      </c>
    </row>
    <row r="4158" spans="1:3" ht="13" x14ac:dyDescent="0.15">
      <c r="A4158" s="1" t="str">
        <f ca="1">IFERROR(__xludf.DUMMYFUNCTION("GOOGLETRANSLATE(A4158, ""zh"", ""en"")"),"In 2022, Zhejiang Province's first set of product engineering research project, rubber-sheathed cable one-out-two continuous vulcanization production line, Industrial Company, Environmental Company, Environmental Energy Company, Yuantong Company, Chemical"&amp;" Company, 0227, 11 new invention patents and 132 utility model patents were added throughout the year.")</f>
        <v>In 2022, Zhejiang Province's first set of product engineering research project, rubber-sheathed cable one-out-two continuous vulcanization production line, Industrial Company, Environmental Company, Environmental Energy Company, Yuantong Company, Chemical Company, 0227, 11 new invention patents and 132 utility model patents were added throughout the year.</v>
      </c>
      <c r="B4158" s="1" t="str">
        <f ca="1">IFERROR(__xludf.DUMMYFUNCTION("GOOGLETRANSLATE(A4158, ""zh"", ""en"")"),"Technological innovation")</f>
        <v>Technological innovation</v>
      </c>
      <c r="C4158" s="1" t="str">
        <f ca="1">IFERROR(__xludf.DUMMYFUNCTION("GOOGLETRANSLATE(E4158, ""zh"", ""en"")"),"Quantitative Text")</f>
        <v>Quantitative Text</v>
      </c>
    </row>
    <row r="4159" spans="1:3" ht="13" x14ac:dyDescent="0.15">
      <c r="A4159" s="1" t="str">
        <f ca="1">IFERROR(__xludf.DUMMYFUNCTION("GOOGLETRANSLATE(A4159, ""zh"", ""en"")"),"According to the evaluation results of supplier performance, we divide suppliers into five levels: sharing level, development level, acceleration level, warning level and elimination level. We combine the results of module strategy analysis and supplier r"&amp;"elationship analysis to form a differentiated supplier strategy that meets the strategy and user needs.")</f>
        <v>According to the evaluation results of supplier performance, we divide suppliers into five levels: sharing level, development level, acceleration level, warning level and elimination level. We combine the results of module strategy analysis and supplier relationship analysis to form a differentiated supplier strategy that meets the strategy and user needs.</v>
      </c>
      <c r="B4159" s="1" t="str">
        <f ca="1">IFERROR(__xludf.DUMMYFUNCTION("GOOGLETRANSLATE(A4159, ""zh"", ""en"")"),"supply chain management")</f>
        <v>supply chain management</v>
      </c>
      <c r="C4159" s="1" t="str">
        <f ca="1">IFERROR(__xludf.DUMMYFUNCTION("GOOGLETRANSLATE(E4159, ""zh"", ""en"")"),"Qualitative text")</f>
        <v>Qualitative text</v>
      </c>
    </row>
    <row r="4160" spans="1:3" ht="13" x14ac:dyDescent="0.15">
      <c r="A4160" s="1" t="str">
        <f ca="1">IFERROR(__xludf.DUMMYFUNCTION("GOOGLETRANSLATE(A4160, ""zh"", ""en"")"),"P4243 Social B1 Employment General Disclosure Information on compensation and dismissal, recruitment and promotion, working hours and holidays, equal opportunities, diversity, anti-discrimination, and other benefits and benefits 1. Policies and 2. Complia"&amp;"nce with relevant laws and regulations that have a significant impact on the issuer")</f>
        <v>P4243 Social B1 Employment General Disclosure Information on compensation and dismissal, recruitment and promotion, working hours and holidays, equal opportunities, diversity, anti-discrimination, and other benefits and benefits 1. Policies and 2. Compliance with relevant laws and regulations that have a significant impact on the issuer</v>
      </c>
      <c r="B4160" s="1" t="str">
        <f ca="1">IFERROR(__xludf.DUMMYFUNCTION("GOOGLETRANSLATE(A4160, ""zh"", ""en"")"),"staff")</f>
        <v>staff</v>
      </c>
      <c r="C4160" s="1" t="str">
        <f ca="1">IFERROR(__xludf.DUMMYFUNCTION("GOOGLETRANSLATE(E4160, ""zh"", ""en"")"),"Qualitative text")</f>
        <v>Qualitative text</v>
      </c>
    </row>
    <row r="4161" spans="1:3" ht="13" x14ac:dyDescent="0.15">
      <c r="A4161" s="1" t="str">
        <f ca="1">IFERROR(__xludf.DUMMYFUNCTION("GOOGLETRANSLATE(A4161, ""zh"", ""en"")"),"Haier Smart Home aims to become a century-old enterprise. Our next step will be to focus on how to enable Generation Z young people to come to Haier with their dreams, not to deal with red tape and internal management processes every day and lose their pa"&amp;"ssion and motivation, but to create huge user value and be proud of it.")</f>
        <v>Haier Smart Home aims to become a century-old enterprise. Our next step will be to focus on how to enable Generation Z young people to come to Haier with their dreams, not to deal with red tape and internal management processes every day and lose their passion and motivation, but to create huge user value and be proud of it.</v>
      </c>
      <c r="B4161" s="1" t="str">
        <f ca="1">IFERROR(__xludf.DUMMYFUNCTION("GOOGLETRANSLATE(A4161, ""zh"", ""en"")"),"staff")</f>
        <v>staff</v>
      </c>
      <c r="C4161" s="1" t="str">
        <f ca="1">IFERROR(__xludf.DUMMYFUNCTION("GOOGLETRANSLATE(E4161, ""zh"", ""en"")"),"Qualitative text")</f>
        <v>Qualitative text</v>
      </c>
    </row>
    <row r="4162" spans="1:3" ht="13" x14ac:dyDescent="0.15">
      <c r="A4162" s="1" t="str">
        <f ca="1">IFERROR(__xludf.DUMMYFUNCTION("GOOGLETRANSLATE(A4162, ""zh"", ""en"")"),"Huanneng independently developed a smart environmental protection cloud platform. Huanneng 68 Company has established in-depth cooperation with Ouye Chain Gold, a leading enterprise in the scrap steel industry, to vigorously develop scrap steel business, "&amp;"develop circular economy, and devote itself to the steel recycling industry, thus promoting the green and sustainable development of the steel industry.")</f>
        <v>Huanneng independently developed a smart environmental protection cloud platform. Huanneng 68 Company has established in-depth cooperation with Ouye Chain Gold, a leading enterprise in the scrap steel industry, to vigorously develop scrap steel business, develop circular economy, and devote itself to the steel recycling industry, thus promoting the green and sustainable development of the steel industry.</v>
      </c>
      <c r="B4162" s="1" t="str">
        <f ca="1">IFERROR(__xludf.DUMMYFUNCTION("GOOGLETRANSLATE(A4162, ""zh"", ""en"")"),"Waste Management")</f>
        <v>Waste Management</v>
      </c>
      <c r="C4162" s="1" t="str">
        <f ca="1">IFERROR(__xludf.DUMMYFUNCTION("GOOGLETRANSLATE(E4162, ""zh"", ""en"")"),"Qualitative text")</f>
        <v>Qualitative text</v>
      </c>
    </row>
    <row r="4163" spans="1:3" ht="13" x14ac:dyDescent="0.15">
      <c r="A4163" s="1" t="str">
        <f ca="1">IFERROR(__xludf.DUMMYFUNCTION("GOOGLETRANSLATE(A4163, ""zh"", ""en"")"),"Establish an income distribution system based on quality, efficiency and benefits, improve the incentive and constraint distribution mechanism, realize more work, more pay, no work, no pay, and tilt income towards frontline workers, hard, dirty, tiring an"&amp;"d dangerous positions, and highly skilled personnel; regularly strengthen safety and health control in the workplace")</f>
        <v>Establish an income distribution system based on quality, efficiency and benefits, improve the incentive and constraint distribution mechanism, realize more work, more pay, no work, no pay, and tilt income towards frontline workers, hard, dirty, tiring and dangerous positions, and highly skilled personnel; regularly strengthen safety and health control in the workplace</v>
      </c>
      <c r="B4163" s="1" t="str">
        <f ca="1">IFERROR(__xludf.DUMMYFUNCTION("GOOGLETRANSLATE(A4163, ""zh"", ""en"")"),"staff")</f>
        <v>staff</v>
      </c>
      <c r="C4163" s="1" t="str">
        <f ca="1">IFERROR(__xludf.DUMMYFUNCTION("GOOGLETRANSLATE(E4163, ""zh"", ""en"")"),"Qualitative text")</f>
        <v>Qualitative text</v>
      </c>
    </row>
    <row r="4164" spans="1:3" ht="13" x14ac:dyDescent="0.15">
      <c r="A4164" s="1" t="str">
        <f ca="1">IFERROR(__xludf.DUMMYFUNCTION("GOOGLETRANSLATE(A4164, ""zh"", ""en"")"),"The Group continued to increase its efforts to promote consumption, purchasing and selling over 4.5 million yuan worth of agricultural and specialty products from the paired regions throughout the year, increasing the collective economic operating income "&amp;"of the paired villages by over 1.1 million yuan. It also visited 95 families in need in the paired village of Longquan and distributed 100,000 yuan in condolence money and student aid.")</f>
        <v>The Group continued to increase its efforts to promote consumption, purchasing and selling over 4.5 million yuan worth of agricultural and specialty products from the paired regions throughout the year, increasing the collective economic operating income of the paired villages by over 1.1 million yuan. It also visited 95 families in need in the paired village of Longquan and distributed 100,000 yuan in condolence money and student aid.</v>
      </c>
      <c r="B4164" s="1" t="str">
        <f ca="1">IFERROR(__xludf.DUMMYFUNCTION("GOOGLETRANSLATE(A4164, ""zh"", ""en"")"),"Rural assistance")</f>
        <v>Rural assistance</v>
      </c>
      <c r="C4164" s="1" t="str">
        <f ca="1">IFERROR(__xludf.DUMMYFUNCTION("GOOGLETRANSLATE(E4164, ""zh"", ""en"")"),"Quantitative Text")</f>
        <v>Quantitative Text</v>
      </c>
    </row>
    <row r="4165" spans="1:3" ht="13" x14ac:dyDescent="0.15">
      <c r="A4165" s="1" t="str">
        <f ca="1">IFERROR(__xludf.DUMMYFUNCTION("GOOGLETRANSLATE(A4165, ""zh"", ""en"")"),"In 2022, the company organized and carried out a number of training programs covering corporate culture, office management, professional skills, etc., and adopted learning methods such as live broadcasts and community forums to achieve a training coverage"&amp;" rate of 100 domestic employees, with an average training time of 70.5 hours per person.")</f>
        <v>In 2022, the company organized and carried out a number of training programs covering corporate culture, office management, professional skills, etc., and adopted learning methods such as live broadcasts and community forums to achieve a training coverage rate of 100 domestic employees, with an average training time of 70.5 hours per person.</v>
      </c>
      <c r="B4165" s="1" t="str">
        <f ca="1">IFERROR(__xludf.DUMMYFUNCTION("GOOGLETRANSLATE(A4165, ""zh"", ""en"")"),"staff")</f>
        <v>staff</v>
      </c>
      <c r="C4165" s="1" t="str">
        <f ca="1">IFERROR(__xludf.DUMMYFUNCTION("GOOGLETRANSLATE(E4165, ""zh"", ""en"")"),"Quantitative Text")</f>
        <v>Quantitative Text</v>
      </c>
    </row>
    <row r="4166" spans="1:3" ht="13" x14ac:dyDescent="0.15">
      <c r="A4166" s="1" t="str">
        <f ca="1">IFERROR(__xludf.DUMMYFUNCTION("GOOGLETRANSLATE(A4166, ""zh"", ""en"")"),"The 22nd meeting of the 8th Board of Directors of the Group approved the Anti-Corruption, Anti-Commercial Bribery and Anti-Fraud Systems, which were published on the Group's official website for all employees to learn from. By clarifying the ethical stand"&amp;"ards of employees, the Group aims to regulate the behavior of employees and partners and promote the Group's steady development.")</f>
        <v>The 22nd meeting of the 8th Board of Directors of the Group approved the Anti-Corruption, Anti-Commercial Bribery and Anti-Fraud Systems, which were published on the Group's official website for all employees to learn from. By clarifying the ethical standards of employees, the Group aims to regulate the behavior of employees and partners and promote the Group's steady development.</v>
      </c>
      <c r="B4166" s="1" t="str">
        <f ca="1">IFERROR(__xludf.DUMMYFUNCTION("GOOGLETRANSLATE(A4166, ""zh"", ""en"")"),"Anti-corruption and anti-money laundering")</f>
        <v>Anti-corruption and anti-money laundering</v>
      </c>
      <c r="C4166" s="1" t="str">
        <f ca="1">IFERROR(__xludf.DUMMYFUNCTION("GOOGLETRANSLATE(E4166, ""zh"", ""en"")"),"Qualitative text")</f>
        <v>Qualitative text</v>
      </c>
    </row>
    <row r="4167" spans="1:3" ht="13" x14ac:dyDescent="0.15">
      <c r="A4167" s="1" t="str">
        <f ca="1">IFERROR(__xludf.DUMMYFUNCTION("GOOGLETRANSLATE(A4167, ""zh"", ""en"")"),"The Social Responsibility Working Group consists of 30 people, led by the President. Heads of important functional departments such as the Board Office, Quality Management Department, EHS Department, and Human Resources Department participate in the group"&amp;" and are responsible for daily work liaison, reporting, and meeting organization.")</f>
        <v>The Social Responsibility Working Group consists of 30 people, led by the President. Heads of important functional departments such as the Board Office, Quality Management Department, EHS Department, and Human Resources Department participate in the group and are responsible for daily work liaison, reporting, and meeting organization.</v>
      </c>
      <c r="B4167" s="1" t="str">
        <f ca="1">IFERROR(__xludf.DUMMYFUNCTION("GOOGLETRANSLATE(A4167, ""zh"", ""en"")"),"Organizational structure and operations")</f>
        <v>Organizational structure and operations</v>
      </c>
      <c r="C4167" s="1" t="str">
        <f ca="1">IFERROR(__xludf.DUMMYFUNCTION("GOOGLETRANSLATE(E4167, ""zh"", ""en"")"),"Quantitative Text")</f>
        <v>Quantitative Text</v>
      </c>
    </row>
    <row r="4168" spans="1:3" ht="13" x14ac:dyDescent="0.15">
      <c r="A4168" s="1" t="str">
        <f ca="1">IFERROR(__xludf.DUMMYFUNCTION("GOOGLETRANSLATE(A4168, ""zh"", ""en"")"),"New ceramic materials have great potential for development in the future in areas such as chemical and new energy. The company participated in the investment in Zhejiang Longyou Jicheng New Materials, a leading domestic enterprise in special ceramic mater"&amp;"ials, to deepen its investment layout in the new materials industry and help the transformation and upgrading of the local economy in the mountainous areas of Zhejiang Province.")</f>
        <v>New ceramic materials have great potential for development in the future in areas such as chemical and new energy. The company participated in the investment in Zhejiang Longyou Jicheng New Materials, a leading domestic enterprise in special ceramic materials, to deepen its investment layout in the new materials industry and help the transformation and upgrading of the local economy in the mountainous areas of Zhejiang Province.</v>
      </c>
      <c r="B4168" s="1" t="str">
        <f ca="1">IFERROR(__xludf.DUMMYFUNCTION("GOOGLETRANSLATE(A4168, ""zh"", ""en"")"),"raw materials")</f>
        <v>raw materials</v>
      </c>
      <c r="C4168" s="1" t="str">
        <f ca="1">IFERROR(__xludf.DUMMYFUNCTION("GOOGLETRANSLATE(E4168, ""zh"", ""en"")"),"Qualitative text")</f>
        <v>Qualitative text</v>
      </c>
    </row>
    <row r="4169" spans="1:3" ht="13" x14ac:dyDescent="0.15">
      <c r="A4169" s="1" t="str">
        <f ca="1">IFERROR(__xludf.DUMMYFUNCTION("GOOGLETRANSLATE(A4169, ""zh"", ""en"")"),"Occupational Health Management Occupational Health and Safety Production Social Risk Management S01 also owns two medical device and pharmaceutical supply chain companies")</f>
        <v>Occupational Health Management Occupational Health and Safety Production Social Risk Management S01 also owns two medical device and pharmaceutical supply chain companies</v>
      </c>
      <c r="B4169" s="1" t="str">
        <f ca="1">IFERROR(__xludf.DUMMYFUNCTION("GOOGLETRANSLATE(A4169, ""zh"", ""en"")"),"staff")</f>
        <v>staff</v>
      </c>
      <c r="C4169" s="1" t="str">
        <f ca="1">IFERROR(__xludf.DUMMYFUNCTION("GOOGLETRANSLATE(E4169, ""zh"", ""en"")"),"Qualitative text")</f>
        <v>Qualitative text</v>
      </c>
    </row>
    <row r="4170" spans="1:3" ht="13" x14ac:dyDescent="0.15">
      <c r="A4170" s="1" t="str">
        <f ca="1">IFERROR(__xludf.DUMMYFUNCTION("GOOGLETRANSLATE(A4170, ""zh"", ""en"")"),"""Forty is not confused, listen to her calmly and talk about health public welfare science popularization"" jointly launched the theme of ""Forty is not confused, listen to her calmly and talk about health public welfare science popularization live broadc"&amp;"ast event"" in conjunction with the official media of China Women's News and well-known experts, calling on the general public to correctly understand menopause and pay attention to the physical and mental health of menopausal women.")</f>
        <v>"Forty is not confused, listen to her calmly and talk about health public welfare science popularization" jointly launched the theme of "Forty is not confused, listen to her calmly and talk about health public welfare science popularization live broadcast event" in conjunction with the official media of China Women's News and well-known experts, calling on the general public to correctly understand menopause and pay attention to the physical and mental health of menopausal women.</v>
      </c>
      <c r="B4170" s="1" t="str">
        <f ca="1">IFERROR(__xludf.DUMMYFUNCTION("GOOGLETRANSLATE(A4170, ""zh"", ""en"")"),"Public welfare and volunteer service")</f>
        <v>Public welfare and volunteer service</v>
      </c>
      <c r="C4170" s="1" t="str">
        <f ca="1">IFERROR(__xludf.DUMMYFUNCTION("GOOGLETRANSLATE(E4170, ""zh"", ""en"")"),"Qualitative text")</f>
        <v>Qualitative text</v>
      </c>
    </row>
    <row r="4171" spans="1:3" ht="13" x14ac:dyDescent="0.15">
      <c r="A4171" s="1" t="str">
        <f ca="1">IFERROR(__xludf.DUMMYFUNCTION("GOOGLETRANSLATE(A4171, ""zh"", ""en"")"),"As an important part of the project, the art collection for cancer patients is themed ""Good Life"" and is open to all cancer patients in Shanghai. The activity will be launched in mid-July 2022. Original art works that reflect the optimistic and positive"&amp;" anti-cancer spirit are created with a positive anti-cancer spirit.")</f>
        <v>As an important part of the project, the art collection for cancer patients is themed "Good Life" and is open to all cancer patients in Shanghai. The activity will be launched in mid-July 2022. Original art works that reflect the optimistic and positive anti-cancer spirit are created with a positive anti-cancer spirit.</v>
      </c>
      <c r="B4171" s="1" t="str">
        <f ca="1">IFERROR(__xludf.DUMMYFUNCTION("GOOGLETRANSLATE(A4171, ""zh"", ""en"")"),"Public welfare and volunteer service")</f>
        <v>Public welfare and volunteer service</v>
      </c>
      <c r="C4171" s="1" t="str">
        <f ca="1">IFERROR(__xludf.DUMMYFUNCTION("GOOGLETRANSLATE(E4171, ""zh"", ""en"")"),"Qualitative text")</f>
        <v>Qualitative text</v>
      </c>
    </row>
    <row r="4172" spans="1:3" ht="13" x14ac:dyDescent="0.15">
      <c r="A4172" s="1" t="str">
        <f ca="1">IFERROR(__xludf.DUMMYFUNCTION("GOOGLETRANSLATE(A4172, ""zh"", ""en"")"),"It undertakes the functions of four major platforms: leadership development series, professional development series, and communication series, including headquarters leadership and capability training, platform member vocational skills series, enterprise "&amp;"professional skills training base, platform knowledge and experience inheritance, platform cultural concept transmission platform")</f>
        <v>It undertakes the functions of four major platforms: leadership development series, professional development series, and communication series, including headquarters leadership and capability training, platform member vocational skills series, enterprise professional skills training base, platform knowledge and experience inheritance, platform cultural concept transmission platform</v>
      </c>
      <c r="B4172" s="1" t="str">
        <f ca="1">IFERROR(__xludf.DUMMYFUNCTION("GOOGLETRANSLATE(A4172, ""zh"", ""en"")"),"staff")</f>
        <v>staff</v>
      </c>
      <c r="C4172" s="1" t="str">
        <f ca="1">IFERROR(__xludf.DUMMYFUNCTION("GOOGLETRANSLATE(E4172, ""zh"", ""en"")"),"Qualitative text")</f>
        <v>Qualitative text</v>
      </c>
    </row>
    <row r="4173" spans="1:3" ht="13" x14ac:dyDescent="0.15">
      <c r="A4173" s="1" t="str">
        <f ca="1">IFERROR(__xludf.DUMMYFUNCTION("GOOGLETRANSLATE(A4173, ""zh"", ""en"")"),"The total consumption of purchased steam in 2022 will increase by approximately 94,000 tons. The Group focuses on improving energy efficiency in relation to energy management in various sectors. The increase will mainly come from the new expansion and ren"&amp;"ovation of Xinshengyuan and Erye Pharmaceutical's Shandong base, which will help reduce carbon emissions throughout the entire life cycle of operations and products.")</f>
        <v>The total consumption of purchased steam in 2022 will increase by approximately 94,000 tons. The Group focuses on improving energy efficiency in relation to energy management in various sectors. The increase will mainly come from the new expansion and renovation of Xinshengyuan and Erye Pharmaceutical's Shandong base, which will help reduce carbon emissions throughout the entire life cycle of operations and products.</v>
      </c>
      <c r="B4173" s="1" t="str">
        <f ca="1">IFERROR(__xludf.DUMMYFUNCTION("GOOGLETRANSLATE(A4173, ""zh"", ""en"")"),"Energy and resource consumption")</f>
        <v>Energy and resource consumption</v>
      </c>
      <c r="C4173" s="1" t="str">
        <f ca="1">IFERROR(__xludf.DUMMYFUNCTION("GOOGLETRANSLATE(E4173, ""zh"", ""en"")"),"Quantitative Text")</f>
        <v>Quantitative Text</v>
      </c>
    </row>
    <row r="4174" spans="1:3" ht="13" x14ac:dyDescent="0.15">
      <c r="A4174" s="1" t="str">
        <f ca="1">IFERROR(__xludf.DUMMYFUNCTION("GOOGLETRANSLATE(A4174, ""zh"", ""en"")"),"In 2022, the Zheng Er Ba Jing Xin Entertainment Business has designed incentive plans based on the guidelines for key business backbones, core management teams, upstream and downstream stakeholders, and core management teams of shareholders, and has recei"&amp;"ved positive feedback internally.")</f>
        <v>In 2022, the Zheng Er Ba Jing Xin Entertainment Business has designed incentive plans based on the guidelines for key business backbones, core management teams, upstream and downstream stakeholders, and core management teams of shareholders, and has received positive feedback internally.</v>
      </c>
      <c r="B4174" s="1" t="str">
        <f ca="1">IFERROR(__xludf.DUMMYFUNCTION("GOOGLETRANSLATE(A4174, ""zh"", ""en"")"),"Organizational structure and operations")</f>
        <v>Organizational structure and operations</v>
      </c>
      <c r="C4174" s="1" t="str">
        <f ca="1">IFERROR(__xludf.DUMMYFUNCTION("GOOGLETRANSLATE(E4174, ""zh"", ""en"")"),"Qualitative text")</f>
        <v>Qualitative text</v>
      </c>
    </row>
    <row r="4175" spans="1:3" ht="13" x14ac:dyDescent="0.15">
      <c r="A4175" s="1" t="str">
        <f ca="1">IFERROR(__xludf.DUMMYFUNCTION("GOOGLETRANSLATE(A4175, ""zh"", ""en"")"),"Haier Smart Home will leverage China's efficient supply chain and engineering resources, leveraging the world's largest home appliance market, to strengthen its advantages in global competition. This is premised on adhering to three strategic initiatives:"&amp;" technology-driven innovation, digitalization, experience redesign, and organizational management with an entrepreneurial mindset.")</f>
        <v>Haier Smart Home will leverage China's efficient supply chain and engineering resources, leveraging the world's largest home appliance market, to strengthen its advantages in global competition. This is premised on adhering to three strategic initiatives: technology-driven innovation, digitalization, experience redesign, and organizational management with an entrepreneurial mindset.</v>
      </c>
      <c r="B4175" s="1" t="str">
        <f ca="1">IFERROR(__xludf.DUMMYFUNCTION("GOOGLETRANSLATE(A4175, ""zh"", ""en"")"),"Technological innovation")</f>
        <v>Technological innovation</v>
      </c>
      <c r="C4175" s="1" t="str">
        <f ca="1">IFERROR(__xludf.DUMMYFUNCTION("GOOGLETRANSLATE(E4175, ""zh"", ""en"")"),"Qualitative text")</f>
        <v>Qualitative text</v>
      </c>
    </row>
    <row r="4176" spans="1:3" ht="13" x14ac:dyDescent="0.15">
      <c r="A4176" s="1" t="str">
        <f ca="1">IFERROR(__xludf.DUMMYFUNCTION("GOOGLETRANSLATE(A4176, ""zh"", ""en"")"),"Adapting to the needs of the elderly 32332022 Green development and nature integrate to build a sustainable future. In 2020, China formally proposed the dual carbon goals. In 2021, the dual carbon goals were formally written into the government work repor"&amp;"t of the Two Sessions. Green development has become a hot topic.")</f>
        <v>Adapting to the needs of the elderly 32332022 Green development and nature integrate to build a sustainable future. In 2020, China formally proposed the dual carbon goals. In 2021, the dual carbon goals were formally written into the government work report of the Two Sessions. Green development has become a hot topic.</v>
      </c>
      <c r="B4176" s="1" t="str">
        <f ca="1">IFERROR(__xludf.DUMMYFUNCTION("GOOGLETRANSLATE(A4176, ""zh"", ""en"")"),"carbon emissions")</f>
        <v>carbon emissions</v>
      </c>
      <c r="C4176" s="1" t="str">
        <f ca="1">IFERROR(__xludf.DUMMYFUNCTION("GOOGLETRANSLATE(E4176, ""zh"", ""en"")"),"Qualitative text")</f>
        <v>Qualitative text</v>
      </c>
    </row>
    <row r="4177" spans="1:3" ht="13" x14ac:dyDescent="0.15">
      <c r="A4177" s="1" t="str">
        <f ca="1">IFERROR(__xludf.DUMMYFUNCTION("GOOGLETRANSLATE(A4177, ""zh"", ""en"")"),"Delivery guarantee, quality and quantity, fulfillment of commitments, customer service response to concerns, proactive communication. In 2022, Dongyuan Group completed the delivery of 34 projects, 48 ​​groups and a total of 24,887 units. The number of uni"&amp;"ts delivered increased by 72.17% compared with 14,455 units in 2021.")</f>
        <v>Delivery guarantee, quality and quantity, fulfillment of commitments, customer service response to concerns, proactive communication. In 2022, Dongyuan Group completed the delivery of 34 projects, 48 ​​groups and a total of 24,887 units. The number of units delivered increased by 72.17% compared with 14,455 units in 2021.</v>
      </c>
      <c r="B4177" s="1" t="str">
        <f ca="1">IFERROR(__xludf.DUMMYFUNCTION("GOOGLETRANSLATE(A4177, ""zh"", ""en"")"),"Customers and Consumers")</f>
        <v>Customers and Consumers</v>
      </c>
      <c r="C4177" s="1" t="str">
        <f ca="1">IFERROR(__xludf.DUMMYFUNCTION("GOOGLETRANSLATE(E4177, ""zh"", ""en"")"),"Quantitative Text")</f>
        <v>Quantitative Text</v>
      </c>
    </row>
    <row r="4178" spans="1:3" ht="13" x14ac:dyDescent="0.15">
      <c r="A4178" s="1" t="str">
        <f ca="1">IFERROR(__xludf.DUMMYFUNCTION("GOOGLETRANSLATE(A4178, ""zh"", ""en"")"),"The company regularly assesses ESG-related matters, including the importance of risks to the company's business, prioritizes and manages them. The board of directors regularly reviews the assessment results, identifies ESG issues that are of significance "&amp;"to the company's development, understands the management measures taken, and makes recommendations.")</f>
        <v>The company regularly assesses ESG-related matters, including the importance of risks to the company's business, prioritizes and manages them. The board of directors regularly reviews the assessment results, identifies ESG issues that are of significance to the company's development, understands the management measures taken, and makes recommendations.</v>
      </c>
      <c r="B4178" s="1" t="str">
        <f ca="1">IFERROR(__xludf.DUMMYFUNCTION("GOOGLETRANSLATE(A4178, ""zh"", ""en"")"),"Organizational structure and operations")</f>
        <v>Organizational structure and operations</v>
      </c>
      <c r="C4178" s="1" t="str">
        <f ca="1">IFERROR(__xludf.DUMMYFUNCTION("GOOGLETRANSLATE(E4178, ""zh"", ""en"")"),"Qualitative text")</f>
        <v>Qualitative text</v>
      </c>
    </row>
    <row r="4179" spans="1:3" ht="13" x14ac:dyDescent="0.15">
      <c r="A4179" s="1" t="str">
        <f ca="1">IFERROR(__xludf.DUMMYFUNCTION("GOOGLETRANSLATE(A4179, ""zh"", ""en"")"),"3853 Social Aspects B1 Employment General Disclosures: Information on a) policies regarding remuneration and dismissal, recruitment and promotion, working hours, holidays, equal opportunities, diversity, anti-discrimination, and other benefits and benefit"&amp;"s; and b) compliance with relevant laws and regulations that have a significant impact on the issuer.")</f>
        <v>3853 Social Aspects B1 Employment General Disclosures: Information on a) policies regarding remuneration and dismissal, recruitment and promotion, working hours, holidays, equal opportunities, diversity, anti-discrimination, and other benefits and benefits; and b) compliance with relevant laws and regulations that have a significant impact on the issuer.</v>
      </c>
      <c r="B4179" s="1" t="str">
        <f ca="1">IFERROR(__xludf.DUMMYFUNCTION("GOOGLETRANSLATE(A4179, ""zh"", ""en"")"),"staff")</f>
        <v>staff</v>
      </c>
      <c r="C4179" s="1" t="str">
        <f ca="1">IFERROR(__xludf.DUMMYFUNCTION("GOOGLETRANSLATE(E4179, ""zh"", ""en"")"),"Qualitative text")</f>
        <v>Qualitative text</v>
      </c>
    </row>
    <row r="4180" spans="1:3" ht="13" x14ac:dyDescent="0.15">
      <c r="A4180" s="1" t="str">
        <f ca="1">IFERROR(__xludf.DUMMYFUNCTION("GOOGLETRANSLATE(A4180, ""zh"", ""en"")"),"In July 2022, according to the notice on the announcement of the results of the national centralized drug procurement issued by the National Drug Procurement Office, two products under Kangyuan won the bid for the seventh batch of national procurement, wh"&amp;"ich will enable patients to use high-quality drugs at a relatively low price in the future.")</f>
        <v>In July 2022, according to the notice on the announcement of the results of the national centralized drug procurement issued by the National Drug Procurement Office, two products under Kangyuan won the bid for the seventh batch of national procurement, which will enable patients to use high-quality drugs at a relatively low price in the future.</v>
      </c>
      <c r="B4180" s="1" t="str">
        <f ca="1">IFERROR(__xludf.DUMMYFUNCTION("GOOGLETRANSLATE(A4180, ""zh"", ""en"")"),"Product quality")</f>
        <v>Product quality</v>
      </c>
      <c r="C4180" s="1" t="str">
        <f ca="1">IFERROR(__xludf.DUMMYFUNCTION("GOOGLETRANSLATE(E4180, ""zh"", ""en"")"),"Qualitative text")</f>
        <v>Qualitative text</v>
      </c>
    </row>
    <row r="4181" spans="1:3" ht="13" x14ac:dyDescent="0.15">
      <c r="A4181" s="1" t="str">
        <f ca="1">IFERROR(__xludf.DUMMYFUNCTION("GOOGLETRANSLATE(A4181, ""zh"", ""en"")"),"In October 2022, Xinjiang Uyghur Medicine established the Xinjiang Uyghur Pharmaceutical Co., Ltd. Education Development Fund in Hubei University of Chinese Medicine with a total amount of RMB 250,000 to support scientific research and discipline construc"&amp;"tion in the field of Chinese medicine pharmacology at the School of Basic Medical Sciences.")</f>
        <v>In October 2022, Xinjiang Uyghur Medicine established the Xinjiang Uyghur Pharmaceutical Co., Ltd. Education Development Fund in Hubei University of Chinese Medicine with a total amount of RMB 250,000 to support scientific research and discipline construction in the field of Chinese medicine pharmacology at the School of Basic Medical Sciences.</v>
      </c>
      <c r="B4181" s="1" t="str">
        <f ca="1">IFERROR(__xludf.DUMMYFUNCTION("GOOGLETRANSLATE(A4181, ""zh"", ""en"")"),"Public welfare and volunteer service")</f>
        <v>Public welfare and volunteer service</v>
      </c>
      <c r="C4181" s="1" t="str">
        <f ca="1">IFERROR(__xludf.DUMMYFUNCTION("GOOGLETRANSLATE(E4181, ""zh"", ""en"")"),"Quantitative Text")</f>
        <v>Quantitative Text</v>
      </c>
    </row>
    <row r="4182" spans="1:3" ht="13" x14ac:dyDescent="0.15">
      <c r="A4182" s="1" t="str">
        <f ca="1">IFERROR(__xludf.DUMMYFUNCTION("GOOGLETRANSLATE(A4182, ""zh"", ""en"")"),"In 2022, we will incorporate indicators such as energy consumption, greenhouse gas emissions, and pollutant control into the annual performance appraisal of heads of relevant departments and subsidiaries, and implement performance appraisal and rewards fo"&amp;"r new energy and new materials business development to further promote the company's green and low-carbon transformation.")</f>
        <v>In 2022, we will incorporate indicators such as energy consumption, greenhouse gas emissions, and pollutant control into the annual performance appraisal of heads of relevant departments and subsidiaries, and implement performance appraisal and rewards for new energy and new materials business development to further promote the company's green and low-carbon transformation.</v>
      </c>
      <c r="B4182" s="1" t="str">
        <f ca="1">IFERROR(__xludf.DUMMYFUNCTION("GOOGLETRANSLATE(A4182, ""zh"", ""en"")"),"Energy and resource consumption")</f>
        <v>Energy and resource consumption</v>
      </c>
      <c r="C4182" s="1" t="str">
        <f ca="1">IFERROR(__xludf.DUMMYFUNCTION("GOOGLETRANSLATE(E4182, ""zh"", ""en"")"),"Qualitative text")</f>
        <v>Qualitative text</v>
      </c>
    </row>
    <row r="4183" spans="1:3" ht="13" x14ac:dyDescent="0.15">
      <c r="A4183" s="1" t="str">
        <f ca="1">IFERROR(__xludf.DUMMYFUNCTION("GOOGLETRANSLATE(A4183, ""zh"", ""en"")"),"On this basis, we have thoroughly implemented the comprehensive management of tailings dams, further improved the life cycle management process of tailings dams, and committed to creating high-standard and low-risk management standards to comprehensively "&amp;"enhance the management capabilities of tailings dams and minimize the risks of tailings to the environment and communities.")</f>
        <v>On this basis, we have thoroughly implemented the comprehensive management of tailings dams, further improved the life cycle management process of tailings dams, and committed to creating high-standard and low-risk management standards to comprehensively enhance the management capabilities of tailings dams and minimize the risks of tailings to the environment and communities.</v>
      </c>
      <c r="B4183" s="1" t="str">
        <f ca="1">IFERROR(__xludf.DUMMYFUNCTION("GOOGLETRANSLATE(A4183, ""zh"", ""en"")"),"Waste Management")</f>
        <v>Waste Management</v>
      </c>
      <c r="C4183" s="1" t="str">
        <f ca="1">IFERROR(__xludf.DUMMYFUNCTION("GOOGLETRANSLATE(E4183, ""zh"", ""en"")"),"Qualitative text")</f>
        <v>Qualitative text</v>
      </c>
    </row>
    <row r="4184" spans="1:3" ht="13" x14ac:dyDescent="0.15">
      <c r="A4184" s="1" t="str">
        <f ca="1">IFERROR(__xludf.DUMMYFUNCTION("GOOGLETRANSLATE(A4184, ""zh"", ""en"")"),"In 2022, the company included Guowu Lake in the list of self-contribution biodiversity conservation areas. With the innovative concept of cultivating trees at high altitudes and storing water at low altitudes, the company carried out plant cultivation, pl"&amp;"ant diversity protection and monitoring, and built a rich and stable ecosystem with rich biodiversity.")</f>
        <v>In 2022, the company included Guowu Lake in the list of self-contribution biodiversity conservation areas. With the innovative concept of cultivating trees at high altitudes and storing water at low altitudes, the company carried out plant cultivation, plant diversity protection and monitoring, and built a rich and stable ecosystem with rich biodiversity.</v>
      </c>
      <c r="B4184" s="1" t="str">
        <f ca="1">IFERROR(__xludf.DUMMYFUNCTION("GOOGLETRANSLATE(A4184, ""zh"", ""en"")"),"biodiversity")</f>
        <v>biodiversity</v>
      </c>
      <c r="C4184" s="1" t="str">
        <f ca="1">IFERROR(__xludf.DUMMYFUNCTION("GOOGLETRANSLATE(E4184, ""zh"", ""en"")"),"Qualitative text")</f>
        <v>Qualitative text</v>
      </c>
    </row>
    <row r="4185" spans="1:3" ht="13" x14ac:dyDescent="0.15">
      <c r="A4185" s="1" t="str">
        <f ca="1">IFERROR(__xludf.DUMMYFUNCTION("GOOGLETRANSLATE(A4185, ""zh"", ""en"")"),"5.1.3 Operation System: Joincare strictly abides by the Good Pharmaceutical Practice (GSP) and establishes a drug traceability management system, drug insert and label management regulations, and other management systems to conduct comprehensive product q"&amp;"uality control in drug procurement, storage, sales, and transportation.")</f>
        <v>5.1.3 Operation System: Joincare strictly abides by the Good Pharmaceutical Practice (GSP) and establishes a drug traceability management system, drug insert and label management regulations, and other management systems to conduct comprehensive product quality control in drug procurement, storage, sales, and transportation.</v>
      </c>
      <c r="B4185" s="1" t="str">
        <f ca="1">IFERROR(__xludf.DUMMYFUNCTION("GOOGLETRANSLATE(A4185, ""zh"", ""en"")"),"Product quality")</f>
        <v>Product quality</v>
      </c>
      <c r="C4185" s="1" t="str">
        <f ca="1">IFERROR(__xludf.DUMMYFUNCTION("GOOGLETRANSLATE(E4185, ""zh"", ""en"")"),"Qualitative text")</f>
        <v>Qualitative text</v>
      </c>
    </row>
    <row r="4186" spans="1:3" ht="13" x14ac:dyDescent="0.15">
      <c r="A4186" s="1" t="str">
        <f ca="1">IFERROR(__xludf.DUMMYFUNCTION("GOOGLETRANSLATE(A4186, ""zh"", ""en"")"),"Establish a new supplier quality-related personnel information management system, select a third-party training and qualification certification information system, open the supplier general manager, engineering manager, and quality manager personnel accou"&amp;"nt permissions, complete the qualification certification examination question update and upload, and realize the initial management of personnel qualification information.")</f>
        <v>Establish a new supplier quality-related personnel information management system, select a third-party training and qualification certification information system, open the supplier general manager, engineering manager, and quality manager personnel account permissions, complete the qualification certification examination question update and upload, and realize the initial management of personnel qualification information.</v>
      </c>
      <c r="B4186" s="1" t="str">
        <f ca="1">IFERROR(__xludf.DUMMYFUNCTION("GOOGLETRANSLATE(A4186, ""zh"", ""en"")"),"supply chain management")</f>
        <v>supply chain management</v>
      </c>
      <c r="C4186" s="1" t="str">
        <f ca="1">IFERROR(__xludf.DUMMYFUNCTION("GOOGLETRANSLATE(E4186, ""zh"", ""en"")"),"Qualitative text")</f>
        <v>Qualitative text</v>
      </c>
    </row>
    <row r="4187" spans="1:3" ht="13" x14ac:dyDescent="0.15">
      <c r="A4187" s="1" t="str">
        <f ca="1">IFERROR(__xludf.DUMMYFUNCTION("GOOGLETRANSLATE(A4187, ""zh"", ""en"")"),"In addition, to continuously improve the overall management level of the group and strengthen team performance management, the Social Responsibility Committee of the Health Care Board of Directors has incorporated sustainable development assessment indica"&amp;"tors such as occupational health and safety, environmental protection, and employment risk management into the performance appraisal system for employees in corresponding positions.")</f>
        <v>In addition, to continuously improve the overall management level of the group and strengthen team performance management, the Social Responsibility Committee of the Health Care Board of Directors has incorporated sustainable development assessment indicators such as occupational health and safety, environmental protection, and employment risk management into the performance appraisal system for employees in corresponding positions.</v>
      </c>
      <c r="B4187" s="1" t="str">
        <f ca="1">IFERROR(__xludf.DUMMYFUNCTION("GOOGLETRANSLATE(A4187, ""zh"", ""en"")"),"staff")</f>
        <v>staff</v>
      </c>
      <c r="C4187" s="1" t="str">
        <f ca="1">IFERROR(__xludf.DUMMYFUNCTION("GOOGLETRANSLATE(E4187, ""zh"", ""en"")"),"Qualitative text")</f>
        <v>Qualitative text</v>
      </c>
    </row>
    <row r="4188" spans="1:3" ht="13" x14ac:dyDescent="0.15">
      <c r="A4188" s="1" t="str">
        <f ca="1">IFERROR(__xludf.DUMMYFUNCTION("GOOGLETRANSLATE(A4188, ""zh"", ""en"")"),"As an innovative financing method, small and micro enterprise credit enhancement collective bonds are issued by local state-owned enterprises. The funds raised are mainly used for on-lending to small and micro enterprises. Under the premise of controlling"&amp;" risks, it can better meet the direct financing needs of small and medium-sized enterprises and reduce their financing costs.")</f>
        <v>As an innovative financing method, small and micro enterprise credit enhancement collective bonds are issued by local state-owned enterprises. The funds raised are mainly used for on-lending to small and micro enterprises. Under the premise of controlling risks, it can better meet the direct financing needs of small and medium-sized enterprises and reduce their financing costs.</v>
      </c>
      <c r="B4188" s="1" t="str">
        <f ca="1">IFERROR(__xludf.DUMMYFUNCTION("GOOGLETRANSLATE(A4188, ""zh"", ""en"")"),"Green Finance")</f>
        <v>Green Finance</v>
      </c>
      <c r="C4188" s="1" t="str">
        <f ca="1">IFERROR(__xludf.DUMMYFUNCTION("GOOGLETRANSLATE(E4188, ""zh"", ""en"")"),"Qualitative text")</f>
        <v>Qualitative text</v>
      </c>
    </row>
    <row r="4189" spans="1:3" ht="13" x14ac:dyDescent="0.15">
      <c r="A4189" s="1" t="str">
        <f ca="1">IFERROR(__xludf.DUMMYFUNCTION("GOOGLETRANSLATE(A4189, ""zh"", ""en"")"),"The company actively benchmarks industry-leading risk control practices and comprehensively optimizes its risk management system based on the characteristics of a listed central enterprise financial holding platform. It continuously enriches risk manageme"&amp;"nt tools and effectively promotes the implementation of a comprehensive risk management system through risk assessment, risk training, and publicity.")</f>
        <v>The company actively benchmarks industry-leading risk control practices and comprehensively optimizes its risk management system based on the characteristics of a listed central enterprise financial holding platform. It continuously enriches risk management tools and effectively promotes the implementation of a comprehensive risk management system through risk assessment, risk training, and publicity.</v>
      </c>
      <c r="B4189" s="1" t="str">
        <f ca="1">IFERROR(__xludf.DUMMYFUNCTION("GOOGLETRANSLATE(A4189, ""zh"", ""en"")"),"Legal proceedings and external sanctions")</f>
        <v>Legal proceedings and external sanctions</v>
      </c>
      <c r="C4189" s="1" t="str">
        <f ca="1">IFERROR(__xludf.DUMMYFUNCTION("GOOGLETRANSLATE(E4189, ""zh"", ""en"")"),"Qualitative text")</f>
        <v>Qualitative text</v>
      </c>
    </row>
    <row r="4190" spans="1:3" ht="13" x14ac:dyDescent="0.15">
      <c r="A4190" s="1" t="str">
        <f ca="1">IFERROR(__xludf.DUMMYFUNCTION("GOOGLETRANSLATE(A4190, ""zh"", ""en"")"),"2. Directors and the Board of Directors The company strictly follows the selection and appointment procedures stipulated in the Company Law and the Articles of Association to elect directors. The number and composition of the company's board of directors "&amp;"meet the requirements of laws and regulations. All directors of the company can conscientiously attend board meetings in accordance with the board meeting rules and other systems.")</f>
        <v>2. Directors and the Board of Directors The company strictly follows the selection and appointment procedures stipulated in the Company Law and the Articles of Association to elect directors. The number and composition of the company's board of directors meet the requirements of laws and regulations. All directors of the company can conscientiously attend board meetings in accordance with the board meeting rules and other systems.</v>
      </c>
      <c r="B4190" s="1" t="str">
        <f ca="1">IFERROR(__xludf.DUMMYFUNCTION("GOOGLETRANSLATE(A4190, ""zh"", ""en"")"),"Organizational structure and operations")</f>
        <v>Organizational structure and operations</v>
      </c>
      <c r="C4190" s="1" t="str">
        <f ca="1">IFERROR(__xludf.DUMMYFUNCTION("GOOGLETRANSLATE(E4190, ""zh"", ""en"")"),"Qualitative text")</f>
        <v>Qualitative text</v>
      </c>
    </row>
    <row r="4191" spans="1:3" ht="13" x14ac:dyDescent="0.15">
      <c r="A4191" s="1" t="str">
        <f ca="1">IFERROR(__xludf.DUMMYFUNCTION("GOOGLETRANSLATE(A4191, ""zh"", ""en"")"),"The Party Committee of the Group has taken measures such as establishing Party member demonstration posts and posting Party member post commitments on the wall as a manifestation of the essence and specific carrier of the advanced nature of Party members,"&amp;" highlighting the dual role of Party members in taking the lead and setting an example, and fully demonstrating the pioneering and exemplary role of Party members in wanting to be at the forefront and doing things at the forefront.")</f>
        <v>The Party Committee of the Group has taken measures such as establishing Party member demonstration posts and posting Party member post commitments on the wall as a manifestation of the essence and specific carrier of the advanced nature of Party members, highlighting the dual role of Party members in taking the lead and setting an example, and fully demonstrating the pioneering and exemplary role of Party members in wanting to be at the forefront and doing things at the forefront.</v>
      </c>
      <c r="B4191" s="1" t="str">
        <f ca="1">IFERROR(__xludf.DUMMYFUNCTION("GOOGLETRANSLATE(A4191, ""zh"", ""en"")"),"Organizational structure and operations")</f>
        <v>Organizational structure and operations</v>
      </c>
      <c r="C4191" s="1" t="str">
        <f ca="1">IFERROR(__xludf.DUMMYFUNCTION("GOOGLETRANSLATE(E4191, ""zh"", ""en"")"),"Qualitative text")</f>
        <v>Qualitative text</v>
      </c>
    </row>
    <row r="4192" spans="1:3" ht="13" x14ac:dyDescent="0.15">
      <c r="A4192" s="1" t="str">
        <f ca="1">IFERROR(__xludf.DUMMYFUNCTION("GOOGLETRANSLATE(A4192, ""zh"", ""en"")"),"The subsidiaries covered in this report include: 360 Technology refers to 360 Technology Group Co., Ltd. Qihoo refers to Qihoo Technology Co., Ltd. This report has both simplified Chinese and English versions. In case of any discrepancy, the simplified Ch"&amp;"inese version shall prevail.")</f>
        <v>The subsidiaries covered in this report include: 360 Technology refers to 360 Technology Group Co., Ltd. Qihoo refers to Qihoo Technology Co., Ltd. This report has both simplified Chinese and English versions. In case of any discrepancy, the simplified Chinese version shall prevail.</v>
      </c>
      <c r="B4192" s="1" t="str">
        <f ca="1">IFERROR(__xludf.DUMMYFUNCTION("GOOGLETRANSLATE(A4192, ""zh"", ""en"")"),"irrelevant text")</f>
        <v>irrelevant text</v>
      </c>
      <c r="C4192" s="1" t="str">
        <f ca="1">IFERROR(__xludf.DUMMYFUNCTION("GOOGLETRANSLATE(E4192, ""zh"", ""en"")"),"irrelevant text")</f>
        <v>irrelevant text</v>
      </c>
    </row>
    <row r="4193" spans="1:3" ht="13" x14ac:dyDescent="0.15">
      <c r="A4193" s="1" t="str">
        <f ca="1">IFERROR(__xludf.DUMMYFUNCTION("GOOGLETRANSLATE(A4193, ""zh"", ""en"")"),"Shanghai Electric has actively laid out its international market strategy. In the process of bringing technology abroad, it has continuously promoted the development of Chinese manufacturing in the international market. Through high-quality products and s"&amp;"ervices, it has brought the benefits of technology to people in different parts of the world and made the business card of Chinese intelligent manufacturing shine in the world.")</f>
        <v>Shanghai Electric has actively laid out its international market strategy. In the process of bringing technology abroad, it has continuously promoted the development of Chinese manufacturing in the international market. Through high-quality products and services, it has brought the benefits of technology to people in different parts of the world and made the business card of Chinese intelligent manufacturing shine in the world.</v>
      </c>
      <c r="B4193" s="1" t="str">
        <f ca="1">IFERROR(__xludf.DUMMYFUNCTION("GOOGLETRANSLATE(A4193, ""zh"", ""en"")"),"Technological innovation")</f>
        <v>Technological innovation</v>
      </c>
      <c r="C4193" s="1" t="str">
        <f ca="1">IFERROR(__xludf.DUMMYFUNCTION("GOOGLETRANSLATE(E4193, ""zh"", ""en"")"),"Qualitative text")</f>
        <v>Qualitative text</v>
      </c>
    </row>
    <row r="4194" spans="1:3" ht="13" x14ac:dyDescent="0.15">
      <c r="A4194" s="1" t="str">
        <f ca="1">IFERROR(__xludf.DUMMYFUNCTION("GOOGLETRANSLATE(A4194, ""zh"", ""en"")"),"In 2022, we continued to optimize the functions of the smart supply chain platform, expanded the scope of enterprises and categories covered by the platform, completed the optimization and launch of the supplier life cycle module, and promoted the optimiz"&amp;"ation of online bidding and procurement e-commerce as planned, and continued to improve the platform user experience.")</f>
        <v>In 2022, we continued to optimize the functions of the smart supply chain platform, expanded the scope of enterprises and categories covered by the platform, completed the optimization and launch of the supplier life cycle module, and promoted the optimization of online bidding and procurement e-commerce as planned, and continued to improve the platform user experience.</v>
      </c>
      <c r="B4194" s="1" t="str">
        <f ca="1">IFERROR(__xludf.DUMMYFUNCTION("GOOGLETRANSLATE(A4194, ""zh"", ""en"")"),"supply chain management")</f>
        <v>supply chain management</v>
      </c>
      <c r="C4194" s="1" t="str">
        <f ca="1">IFERROR(__xludf.DUMMYFUNCTION("GOOGLETRANSLATE(E4194, ""zh"", ""en"")"),"Qualitative text")</f>
        <v>Qualitative text</v>
      </c>
    </row>
    <row r="4195" spans="1:3" ht="13" x14ac:dyDescent="0.15">
      <c r="A4195" s="1" t="str">
        <f ca="1">IFERROR(__xludf.DUMMYFUNCTION("GOOGLETRANSLATE(A4195, ""zh"", ""en"")"),"CITIC Securities' business scope covers securities, funds, futures, foreign exchange, commodities and other fields. Through comprehensive operations with full licenses, it fully supports the development of the real economy and provides various financial s"&amp;"ervice solutions for domestic and foreign corporate clients, institutional clients, high-net-worth clients, and retail clients.")</f>
        <v>CITIC Securities' business scope covers securities, funds, futures, foreign exchange, commodities and other fields. Through comprehensive operations with full licenses, it fully supports the development of the real economy and provides various financial service solutions for domestic and foreign corporate clients, institutional clients, high-net-worth clients, and retail clients.</v>
      </c>
      <c r="B4195" s="1" t="str">
        <f ca="1">IFERROR(__xludf.DUMMYFUNCTION("GOOGLETRANSLATE(A4195, ""zh"", ""en"")"),"Customers and Consumers")</f>
        <v>Customers and Consumers</v>
      </c>
      <c r="C4195" s="1" t="str">
        <f ca="1">IFERROR(__xludf.DUMMYFUNCTION("GOOGLETRANSLATE(E4195, ""zh"", ""en"")"),"Qualitative text")</f>
        <v>Qualitative text</v>
      </c>
    </row>
    <row r="4196" spans="1:3" ht="13" x14ac:dyDescent="0.15">
      <c r="A4196" s="1" t="str">
        <f ca="1">IFERROR(__xludf.DUMMYFUNCTION("GOOGLETRANSLATE(A4196, ""zh"", ""en"")"),"Shanghai Electric has commissioned the full system of the Zhejiang Petrochemical Phase II Thermal Desalination Project. 10 Shanghai Electric participated in the construction of the world's first pebble bed modular high-temperature gas-cooled reactor nucle"&amp;"ar power plant. The Huaneng Shidao Bay High-Temperature Gas-Cooled Reactor Nuclear Power Plant Demonstration Project was successfully connected to the grid for the first time at the end of 2021.")</f>
        <v>Shanghai Electric has commissioned the full system of the Zhejiang Petrochemical Phase II Thermal Desalination Project. 10 Shanghai Electric participated in the construction of the world's first pebble bed modular high-temperature gas-cooled reactor nuclear power plant. The Huaneng Shidao Bay High-Temperature Gas-Cooled Reactor Nuclear Power Plant Demonstration Project was successfully connected to the grid for the first time at the end of 2021.</v>
      </c>
      <c r="B4196" s="1" t="str">
        <f ca="1">IFERROR(__xludf.DUMMYFUNCTION("GOOGLETRANSLATE(A4196, ""zh"", ""en"")"),"Technological innovation")</f>
        <v>Technological innovation</v>
      </c>
      <c r="C4196" s="1" t="str">
        <f ca="1">IFERROR(__xludf.DUMMYFUNCTION("GOOGLETRANSLATE(E4196, ""zh"", ""en"")"),"Qualitative text")</f>
        <v>Qualitative text</v>
      </c>
    </row>
    <row r="4197" spans="1:3" ht="13" x14ac:dyDescent="0.15">
      <c r="A4197" s="1" t="str">
        <f ca="1">IFERROR(__xludf.DUMMYFUNCTION("GOOGLETRANSLATE(A4197, ""zh"", ""en"")"),"The Multi-energy Storage Industry Development Forum and the Carbon Future column on Shanghai Electric's WeChat official account emerged against the backdrop of the country's dual carbon strategy. The columns describe Shanghai Electric's journey in strivin"&amp;"g to become a green and low-carbon practitioner and a creator of a better life from both a business and a humanistic perspective.")</f>
        <v>The Multi-energy Storage Industry Development Forum and the Carbon Future column on Shanghai Electric's WeChat official account emerged against the backdrop of the country's dual carbon strategy. The columns describe Shanghai Electric's journey in striving to become a green and low-carbon practitioner and a creator of a better life from both a business and a humanistic perspective.</v>
      </c>
      <c r="B4197" s="1" t="str">
        <f ca="1">IFERROR(__xludf.DUMMYFUNCTION("GOOGLETRANSLATE(A4197, ""zh"", ""en"")"),"carbon emissions")</f>
        <v>carbon emissions</v>
      </c>
      <c r="C4197" s="1" t="str">
        <f ca="1">IFERROR(__xludf.DUMMYFUNCTION("GOOGLETRANSLATE(E4197, ""zh"", ""en"")"),"Qualitative text")</f>
        <v>Qualitative text</v>
      </c>
    </row>
    <row r="4198" spans="1:3" ht="13" x14ac:dyDescent="0.15">
      <c r="A4198" s="1" t="str">
        <f ca="1">IFERROR(__xludf.DUMMYFUNCTION("GOOGLETRANSLATE(A4198, ""zh"", ""en"")"),"The number of authorized patents in this year disclosed in the Sustainable Development Report refers to the number of patent authorization certificates issued by the National Intellectual Property Administration of China and intellectual property agencies"&amp;" in foreign countries or regions obtained by Sinopec in this year.")</f>
        <v>The number of authorized patents in this year disclosed in the Sustainable Development Report refers to the number of patent authorization certificates issued by the National Intellectual Property Administration of China and intellectual property agencies in foreign countries or regions obtained by Sinopec in this year.</v>
      </c>
      <c r="B4198" s="1" t="str">
        <f ca="1">IFERROR(__xludf.DUMMYFUNCTION("GOOGLETRANSLATE(A4198, ""zh"", ""en"")"),"Intellectual Property Protection")</f>
        <v>Intellectual Property Protection</v>
      </c>
      <c r="C4198" s="1" t="str">
        <f ca="1">IFERROR(__xludf.DUMMYFUNCTION("GOOGLETRANSLATE(E4198, ""zh"", ""en"")"),"Quantitative Text")</f>
        <v>Quantitative Text</v>
      </c>
    </row>
    <row r="4199" spans="1:3" ht="13" x14ac:dyDescent="0.15">
      <c r="A4199" s="1" t="str">
        <f ca="1">IFERROR(__xludf.DUMMYFUNCTION("GOOGLETRANSLATE(A4199, ""zh"", ""en"")"),"In the future, the company will serve as a cybersecurity operator in the digital age, promote knowledge sharing and collaborative defense within the industry through resource sharing and interoperability of standards, and build a comprehensive security ec"&amp;"osystem to resist the new normal of cyber threats by establishing a security brain, thus safeguarding the era of comprehensive security.")</f>
        <v>In the future, the company will serve as a cybersecurity operator in the digital age, promote knowledge sharing and collaborative defense within the industry through resource sharing and interoperability of standards, and build a comprehensive security ecosystem to resist the new normal of cyber threats by establishing a security brain, thus safeguarding the era of comprehensive security.</v>
      </c>
      <c r="B4199" s="1" t="str">
        <f ca="1">IFERROR(__xludf.DUMMYFUNCTION("GOOGLETRANSLATE(A4199, ""zh"", ""en"")"),"Data security")</f>
        <v>Data security</v>
      </c>
      <c r="C4199" s="1" t="str">
        <f ca="1">IFERROR(__xludf.DUMMYFUNCTION("GOOGLETRANSLATE(E4199, ""zh"", ""en"")"),"Qualitative text")</f>
        <v>Qualitative text</v>
      </c>
    </row>
    <row r="4200" spans="1:3" ht="13" x14ac:dyDescent="0.15">
      <c r="A4200" s="1" t="str">
        <f ca="1">IFERROR(__xludf.DUMMYFUNCTION("GOOGLETRANSLATE(A4200, ""zh"", ""en"")"),"After two centuries, Shanghai Electric continues to forge ahead fearlessly. Today, Shanghai Electric insists on seeking progress while maintaining stability, upholding integrity and innovating, and unswervingly pursuing high-quality development. Its overa"&amp;"ll working principle is to act from the heart and relentlessly pursue its corporate vision of becoming a world-class equipment enterprise group that leads industrial development.")</f>
        <v>After two centuries, Shanghai Electric continues to forge ahead fearlessly. Today, Shanghai Electric insists on seeking progress while maintaining stability, upholding integrity and innovating, and unswervingly pursuing high-quality development. Its overall working principle is to act from the heart and relentlessly pursue its corporate vision of becoming a world-class equipment enterprise group that leads industrial development.</v>
      </c>
      <c r="B4200" s="1" t="str">
        <f ca="1">IFERROR(__xludf.DUMMYFUNCTION("GOOGLETRANSLATE(A4200, ""zh"", ""en"")"),"Organizational structure and operations")</f>
        <v>Organizational structure and operations</v>
      </c>
      <c r="C4200" s="1" t="str">
        <f ca="1">IFERROR(__xludf.DUMMYFUNCTION("GOOGLETRANSLATE(E4200, ""zh"", ""en"")"),"Qualitative text")</f>
        <v>Qualitative text</v>
      </c>
    </row>
    <row r="4201" spans="1:3" ht="13" x14ac:dyDescent="0.15">
      <c r="A4201" s="1" t="str">
        <f ca="1">IFERROR(__xludf.DUMMYFUNCTION("GOOGLETRANSLATE(A4201, ""zh"", ""en"")"),"In 2022, the company identified 41 first-level environmental risks and downgraded 30 first-level environmental risks through measures such as formulating and implementing a tiered environmental risk management plan, enforcing risk management responsibilit"&amp;"ies, addressing environmental risk hazards, and accelerating the withdrawal of facilities from ecological redline areas.")</f>
        <v>In 2022, the company identified 41 first-level environmental risks and downgraded 30 first-level environmental risks through measures such as formulating and implementing a tiered environmental risk management plan, enforcing risk management responsibilities, addressing environmental risk hazards, and accelerating the withdrawal of facilities from ecological redline areas.</v>
      </c>
      <c r="B4201" s="1" t="str">
        <f ca="1">IFERROR(__xludf.DUMMYFUNCTION("GOOGLETRANSLATE(A4201, ""zh"", ""en"")"),"Environmental Policy")</f>
        <v>Environmental Policy</v>
      </c>
      <c r="C4201" s="1" t="str">
        <f ca="1">IFERROR(__xludf.DUMMYFUNCTION("GOOGLETRANSLATE(E4201, ""zh"", ""en"")"),"Quantitative Text")</f>
        <v>Quantitative Text</v>
      </c>
    </row>
    <row r="4202" spans="1:3" ht="13" x14ac:dyDescent="0.15">
      <c r="A4202" s="1" t="str">
        <f ca="1">IFERROR(__xludf.DUMMYFUNCTION("GOOGLETRANSLATE(A4202, ""zh"", ""en"")"),"Over the past year, we have focused on providing services at the grassroots level, enriching rural financial supply and striving to build an integrated online and offline rural revitalization service system. Yunong Quick Loan is within easy reach, Yunong'"&amp;"s circle of friends continues to expand, and new Yunongtong scenarios are constantly being added to divert financial resources to irrigate the vast rural fields.")</f>
        <v>Over the past year, we have focused on providing services at the grassroots level, enriching rural financial supply and striving to build an integrated online and offline rural revitalization service system. Yunong Quick Loan is within easy reach, Yunong's circle of friends continues to expand, and new Yunongtong scenarios are constantly being added to divert financial resources to irrigate the vast rural fields.</v>
      </c>
      <c r="B4202" s="1" t="str">
        <f ca="1">IFERROR(__xludf.DUMMYFUNCTION("GOOGLETRANSLATE(A4202, ""zh"", ""en"")"),"Rural assistance")</f>
        <v>Rural assistance</v>
      </c>
      <c r="C4202" s="1" t="str">
        <f ca="1">IFERROR(__xludf.DUMMYFUNCTION("GOOGLETRANSLATE(E4202, ""zh"", ""en"")"),"Qualitative text")</f>
        <v>Qualitative text</v>
      </c>
    </row>
    <row r="4203" spans="1:3" ht="13" x14ac:dyDescent="0.15">
      <c r="A4203" s="1" t="str">
        <f ca="1">IFERROR(__xludf.DUMMYFUNCTION("GOOGLETRANSLATE(A4203, ""zh"", ""en"")"),"Shanghai Petrochemical Zhenhai Refining and Chemical, Tianjin Petroleum Ningbo Engineering and other companies participated in the Yellow River Basin Ecological Protection and Restoration Voluntary Tree Planting Special Action Demonstration Project launch"&amp;"ed by the National Afforestation Committee Office, donating nearly 500,000 yuan to help improve the ecological environment and green the land in the Yellow River Basin.")</f>
        <v>Shanghai Petrochemical Zhenhai Refining and Chemical, Tianjin Petroleum Ningbo Engineering and other companies participated in the Yellow River Basin Ecological Protection and Restoration Voluntary Tree Planting Special Action Demonstration Project launched by the National Afforestation Committee Office, donating nearly 500,000 yuan to help improve the ecological environment and green the land in the Yellow River Basin.</v>
      </c>
      <c r="B4203" s="1" t="str">
        <f ca="1">IFERROR(__xludf.DUMMYFUNCTION("GOOGLETRANSLATE(A4203, ""zh"", ""en"")"),"biodiversity")</f>
        <v>biodiversity</v>
      </c>
      <c r="C4203" s="1" t="str">
        <f ca="1">IFERROR(__xludf.DUMMYFUNCTION("GOOGLETRANSLATE(E4203, ""zh"", ""en"")"),"Quantitative Text")</f>
        <v>Quantitative Text</v>
      </c>
    </row>
    <row r="4204" spans="1:3" ht="13" x14ac:dyDescent="0.15">
      <c r="A4204" s="1" t="str">
        <f ca="1">IFERROR(__xludf.DUMMYFUNCTION("GOOGLETRANSLATE(A4204, ""zh"", ""en"")"),"We enriched our employee care efforts by organizing activities such as youth employee gatherings, expatriate employees, outstanding employees, frontline outdoor employees, and female employees, as well as summer camps for children of outstanding expatriat"&amp;"e employees, special recuperation programs, and summer cooling services to care for women, benefiting 27,000 employees and their families.")</f>
        <v>We enriched our employee care efforts by organizing activities such as youth employee gatherings, expatriate employees, outstanding employees, frontline outdoor employees, and female employees, as well as summer camps for children of outstanding expatriate employees, special recuperation programs, and summer cooling services to care for women, benefiting 27,000 employees and their families.</v>
      </c>
      <c r="B4204" s="1" t="str">
        <f ca="1">IFERROR(__xludf.DUMMYFUNCTION("GOOGLETRANSLATE(A4204, ""zh"", ""en"")"),"staff")</f>
        <v>staff</v>
      </c>
      <c r="C4204" s="1" t="str">
        <f ca="1">IFERROR(__xludf.DUMMYFUNCTION("GOOGLETRANSLATE(E4204, ""zh"", ""en"")"),"Quantitative Text")</f>
        <v>Quantitative Text</v>
      </c>
    </row>
    <row r="4205" spans="1:3" ht="13" x14ac:dyDescent="0.15">
      <c r="A4205" s="1" t="str">
        <f ca="1">IFERROR(__xludf.DUMMYFUNCTION("GOOGLETRANSLATE(A4205, ""zh"", ""en"")"),"Strengthen psychological crisis intervention, incorporate psychological crisis intervention into the enterprise emergency rescue work system, establish a psychological crisis intervention expert team, conduct psychological intervention work in a classifie"&amp;"d and layered manner based on on-site questionnaire surveys, demand discussions and status observations, and effectively improve the effectiveness of psychological intervention.")</f>
        <v>Strengthen psychological crisis intervention, incorporate psychological crisis intervention into the enterprise emergency rescue work system, establish a psychological crisis intervention expert team, conduct psychological intervention work in a classified and layered manner based on on-site questionnaire surveys, demand discussions and status observations, and effectively improve the effectiveness of psychological intervention.</v>
      </c>
      <c r="B4205" s="1" t="str">
        <f ca="1">IFERROR(__xludf.DUMMYFUNCTION("GOOGLETRANSLATE(A4205, ""zh"", ""en"")"),"staff")</f>
        <v>staff</v>
      </c>
      <c r="C4205" s="1" t="str">
        <f ca="1">IFERROR(__xludf.DUMMYFUNCTION("GOOGLETRANSLATE(E4205, ""zh"", ""en"")"),"Qualitative text")</f>
        <v>Qualitative text</v>
      </c>
    </row>
    <row r="4206" spans="1:3" ht="13" x14ac:dyDescent="0.15">
      <c r="A4206" s="1" t="str">
        <f ca="1">IFERROR(__xludf.DUMMYFUNCTION("GOOGLETRANSLATE(A4206, ""zh"", ""en"")"),"The company signs a letter of responsibility for honest work with its suppliers, including suppliers and contractors registered on the Yipaike platform, which clearly conveys the company's requirements for honest work and anti-corruption. The letter of re"&amp;"sponsibility for honest work is attached to the procurement contract agreement, giving it the same legal effect.")</f>
        <v>The company signs a letter of responsibility for honest work with its suppliers, including suppliers and contractors registered on the Yipaike platform, which clearly conveys the company's requirements for honest work and anti-corruption. The letter of responsibility for honest work is attached to the procurement contract agreement, giving it the same legal effect.</v>
      </c>
      <c r="B4206" s="1" t="str">
        <f ca="1">IFERROR(__xludf.DUMMYFUNCTION("GOOGLETRANSLATE(A4206, ""zh"", ""en"")"),"Anti-corruption and anti-money laundering")</f>
        <v>Anti-corruption and anti-money laundering</v>
      </c>
      <c r="C4206" s="1" t="str">
        <f ca="1">IFERROR(__xludf.DUMMYFUNCTION("GOOGLETRANSLATE(E4206, ""zh"", ""en"")"),"Qualitative text")</f>
        <v>Qualitative text</v>
      </c>
    </row>
    <row r="4207" spans="1:3" ht="13" x14ac:dyDescent="0.15">
      <c r="A4207" s="1" t="str">
        <f ca="1">IFERROR(__xludf.DUMMYFUNCTION("GOOGLETRANSLATE(A4207, ""zh"", ""en"")"),"Mainly engaged in industrial investment services, medical information technology consulting, medical institution management and consulting, asset management, and other financial services such as financing to the public, deposit financing, guarantee financ"&amp;"ing, and wealth management services without the approval of financial and other regulatory authorities. All other legal projects that do not require approval.")</f>
        <v>Mainly engaged in industrial investment services, medical information technology consulting, medical institution management and consulting, asset management, and other financial services such as financing to the public, deposit financing, guarantee financing, and wealth management services without the approval of financial and other regulatory authorities. All other legal projects that do not require approval.</v>
      </c>
      <c r="B4207" s="1" t="str">
        <f ca="1">IFERROR(__xludf.DUMMYFUNCTION("GOOGLETRANSLATE(A4207, ""zh"", ""en"")"),"irrelevant text")</f>
        <v>irrelevant text</v>
      </c>
      <c r="C4207" s="1" t="str">
        <f ca="1">IFERROR(__xludf.DUMMYFUNCTION("GOOGLETRANSLATE(E4207, ""zh"", ""en"")"),"irrelevant text")</f>
        <v>irrelevant text</v>
      </c>
    </row>
    <row r="4208" spans="1:3" ht="13" x14ac:dyDescent="0.15">
      <c r="A4208" s="1" t="str">
        <f ca="1">IFERROR(__xludf.DUMMYFUNCTION("GOOGLETRANSLATE(A4208, ""zh"", ""en"")"),"Summarize, analyze and rank the company's major risks for 2023 to form a list of major risks, including market competition and price risks, macroeconomic risks, HSE risks, international operations risks, technological innovation risks, energy security ris"&amp;"ks, legal compliance risks, and stability risks.")</f>
        <v>Summarize, analyze and rank the company's major risks for 2023 to form a list of major risks, including market competition and price risks, macroeconomic risks, HSE risks, international operations risks, technological innovation risks, energy security risks, legal compliance risks, and stability risks.</v>
      </c>
      <c r="B4208" s="1" t="str">
        <f ca="1">IFERROR(__xludf.DUMMYFUNCTION("GOOGLETRANSLATE(A4208, ""zh"", ""en"")"),"irrelevant text")</f>
        <v>irrelevant text</v>
      </c>
      <c r="C4208" s="1" t="str">
        <f ca="1">IFERROR(__xludf.DUMMYFUNCTION("GOOGLETRANSLATE(E4208, ""zh"", ""en"")"),"irrelevant text")</f>
        <v>irrelevant text</v>
      </c>
    </row>
    <row r="4209" spans="1:3" ht="13" x14ac:dyDescent="0.15">
      <c r="A4209" s="1" t="str">
        <f ca="1">IFERROR(__xludf.DUMMYFUNCTION("GOOGLETRANSLATE(A4209, ""zh"", ""en"")"),"We held a publicity event for World Environment Day on June 5th in-house. Through publicity reports on curtains, electronic screens, newspapers and other media, we thoroughly studied and implemented Xi Jinping's ecological civilization thought and the con"&amp;"cept that green waters and green mountains are invaluable assets, and widely publicized environmental protection policies and regulations around the theme of World Environment Day.")</f>
        <v>We held a publicity event for World Environment Day on June 5th in-house. Through publicity reports on curtains, electronic screens, newspapers and other media, we thoroughly studied and implemented Xi Jinping's ecological civilization thought and the concept that green waters and green mountains are invaluable assets, and widely publicized environmental protection policies and regulations around the theme of World Environment Day.</v>
      </c>
      <c r="B4209" s="1" t="str">
        <f ca="1">IFERROR(__xludf.DUMMYFUNCTION("GOOGLETRANSLATE(A4209, ""zh"", ""en"")"),"Environmental Policy")</f>
        <v>Environmental Policy</v>
      </c>
      <c r="C4209" s="1" t="str">
        <f ca="1">IFERROR(__xludf.DUMMYFUNCTION("GOOGLETRANSLATE(E4209, ""zh"", ""en"")"),"Qualitative text")</f>
        <v>Qualitative text</v>
      </c>
    </row>
    <row r="4210" spans="1:3" ht="13" x14ac:dyDescent="0.15">
      <c r="A4210" s="1" t="str">
        <f ca="1">IFERROR(__xludf.DUMMYFUNCTION("GOOGLETRANSLATE(A4210, ""zh"", ""en"")"),"The ESG rating tool for corporate clients can scientifically evaluate clients' sustainable development capabilities, providing a new perspective and approach for banking operations and management, facilitating proactive client selection and risk managemen"&amp;"t, and promoting the virtuous cycle and steady development of credit and investment businesses.")</f>
        <v>The ESG rating tool for corporate clients can scientifically evaluate clients' sustainable development capabilities, providing a new perspective and approach for banking operations and management, facilitating proactive client selection and risk management, and promoting the virtuous cycle and steady development of credit and investment businesses.</v>
      </c>
      <c r="B4210" s="1" t="str">
        <f ca="1">IFERROR(__xludf.DUMMYFUNCTION("GOOGLETRANSLATE(A4210, ""zh"", ""en"")"),"Customers and Consumers")</f>
        <v>Customers and Consumers</v>
      </c>
      <c r="C4210" s="1" t="str">
        <f ca="1">IFERROR(__xludf.DUMMYFUNCTION("GOOGLETRANSLATE(E4210, ""zh"", ""en"")"),"Qualitative text")</f>
        <v>Qualitative text</v>
      </c>
    </row>
    <row r="4211" spans="1:3" ht="13" x14ac:dyDescent="0.15">
      <c r="A4211" s="1" t="str">
        <f ca="1">IFERROR(__xludf.DUMMYFUNCTION("GOOGLETRANSLATE(A4211, ""zh"", ""en"")"),"The company is committed to maintaining an honest, fair, just and open supply chain environment. By implementing transparent procurement, we eliminate corruption, bribery, embezzlement and other unfair competition. We strictly screen new suppliers accordi"&amp;"ng to customer needs and propose professional management and qualification requirements such as quality, safety and environmental protection.")</f>
        <v>The company is committed to maintaining an honest, fair, just and open supply chain environment. By implementing transparent procurement, we eliminate corruption, bribery, embezzlement and other unfair competition. We strictly screen new suppliers according to customer needs and propose professional management and qualification requirements such as quality, safety and environmental protection.</v>
      </c>
      <c r="B4211" s="1" t="str">
        <f ca="1">IFERROR(__xludf.DUMMYFUNCTION("GOOGLETRANSLATE(A4211, ""zh"", ""en"")"),"Anti-corruption and anti-money laundering")</f>
        <v>Anti-corruption and anti-money laundering</v>
      </c>
      <c r="C4211" s="1" t="str">
        <f ca="1">IFERROR(__xludf.DUMMYFUNCTION("GOOGLETRANSLATE(E4211, ""zh"", ""en"")"),"Qualitative text")</f>
        <v>Qualitative text</v>
      </c>
    </row>
    <row r="4212" spans="1:3" ht="13" x14ac:dyDescent="0.15">
      <c r="A4212" s="1" t="str">
        <f ca="1">IFERROR(__xludf.DUMMYFUNCTION("GOOGLETRANSLATE(A4212, ""zh"", ""en"")"),"The activity mobilized the general public, including five key groups such as teenagers and the elderly, through a special quiz with prizes, to learn how to identify illegal activities such as online rumors, telecommunications fraud, and information theft,"&amp;" and to strengthen security awareness of personal information and privacy protection.")</f>
        <v>The activity mobilized the general public, including five key groups such as teenagers and the elderly, through a special quiz with prizes, to learn how to identify illegal activities such as online rumors, telecommunications fraud, and information theft, and to strengthen security awareness of personal information and privacy protection.</v>
      </c>
      <c r="B4212" s="1" t="str">
        <f ca="1">IFERROR(__xludf.DUMMYFUNCTION("GOOGLETRANSLATE(A4212, ""zh"", ""en"")"),"Data security")</f>
        <v>Data security</v>
      </c>
      <c r="C4212" s="1" t="str">
        <f ca="1">IFERROR(__xludf.DUMMYFUNCTION("GOOGLETRANSLATE(E4212, ""zh"", ""en"")"),"Qualitative text")</f>
        <v>Qualitative text</v>
      </c>
    </row>
    <row r="4213" spans="1:3" ht="13" x14ac:dyDescent="0.15">
      <c r="A4213" s="1" t="str">
        <f ca="1">IFERROR(__xludf.DUMMYFUNCTION("GOOGLETRANSLATE(A4213, ""zh"", ""en"")"),"The company stipulates that in data usage scenarios, when confidential data is used for development and testing, it must first be desensitized. Data transmission regulations require the division of network security zones, and deploy firewalls and other ne"&amp;"twork security devices at the boundaries of the security zones to isolate servers that store and process sensitive data.")</f>
        <v>The company stipulates that in data usage scenarios, when confidential data is used for development and testing, it must first be desensitized. Data transmission regulations require the division of network security zones, and deploy firewalls and other network security devices at the boundaries of the security zones to isolate servers that store and process sensitive data.</v>
      </c>
      <c r="B4213" s="1" t="str">
        <f ca="1">IFERROR(__xludf.DUMMYFUNCTION("GOOGLETRANSLATE(A4213, ""zh"", ""en"")"),"Data security")</f>
        <v>Data security</v>
      </c>
      <c r="C4213" s="1" t="str">
        <f ca="1">IFERROR(__xludf.DUMMYFUNCTION("GOOGLETRANSLATE(E4213, ""zh"", ""en"")"),"Qualitative text")</f>
        <v>Qualitative text</v>
      </c>
    </row>
    <row r="4214" spans="1:3" ht="13" x14ac:dyDescent="0.15">
      <c r="A4214" s="1" t="str">
        <f ca="1">IFERROR(__xludf.DUMMYFUNCTION("GOOGLETRANSLATE(A4214, ""zh"", ""en"")"),"We will continue to promote the implementation of the Tongxin Plan's comprehensive employee health protection plan at the grassroots level, actively leverage the bank's three-tier mutual assistance mechanism and relief system, provide emergency assistance"&amp;" to employees in need, strive to improve the level of protection, prevent them from falling back into poverty due to illness, and effectively help them overcome difficulties and get out of their predicament.")</f>
        <v>We will continue to promote the implementation of the Tongxin Plan's comprehensive employee health protection plan at the grassroots level, actively leverage the bank's three-tier mutual assistance mechanism and relief system, provide emergency assistance to employees in need, strive to improve the level of protection, prevent them from falling back into poverty due to illness, and effectively help them overcome difficulties and get out of their predicament.</v>
      </c>
      <c r="B4214" s="1" t="str">
        <f ca="1">IFERROR(__xludf.DUMMYFUNCTION("GOOGLETRANSLATE(A4214, ""zh"", ""en"")"),"staff")</f>
        <v>staff</v>
      </c>
      <c r="C4214" s="1" t="str">
        <f ca="1">IFERROR(__xludf.DUMMYFUNCTION("GOOGLETRANSLATE(E4214, ""zh"", ""en"")"),"Qualitative text")</f>
        <v>Qualitative text</v>
      </c>
    </row>
    <row r="4215" spans="1:3" ht="13" x14ac:dyDescent="0.15">
      <c r="A4215" s="1" t="str">
        <f ca="1">IFERROR(__xludf.DUMMYFUNCTION("GOOGLETRANSLATE(A4215, ""zh"", ""en"")"),"In 2022, we will work with our parent company, China National Petroleum Corporation, to strengthen the endogenous development momentum of poverty-stricken areas and people living in poverty, launch the Happy Village Construction Campaign, the Featured Ind"&amp;"ustry Promotion Campaign, the Agricultural Development Lecture Hall Campaign, the Consumer Assistance and Empowerment Campaign, and the Care for the Elderly and Children Campaign.")</f>
        <v>In 2022, we will work with our parent company, China National Petroleum Corporation, to strengthen the endogenous development momentum of poverty-stricken areas and people living in poverty, launch the Happy Village Construction Campaign, the Featured Industry Promotion Campaign, the Agricultural Development Lecture Hall Campaign, the Consumer Assistance and Empowerment Campaign, and the Care for the Elderly and Children Campaign.</v>
      </c>
      <c r="B4215" s="1" t="str">
        <f ca="1">IFERROR(__xludf.DUMMYFUNCTION("GOOGLETRANSLATE(A4215, ""zh"", ""en"")"),"Rural assistance")</f>
        <v>Rural assistance</v>
      </c>
      <c r="C4215" s="1" t="str">
        <f ca="1">IFERROR(__xludf.DUMMYFUNCTION("GOOGLETRANSLATE(E4215, ""zh"", ""en"")"),"Qualitative text")</f>
        <v>Qualitative text</v>
      </c>
    </row>
    <row r="4216" spans="1:3" ht="13" x14ac:dyDescent="0.15">
      <c r="A4216" s="1" t="str">
        <f ca="1">IFERROR(__xludf.DUMMYFUNCTION("GOOGLETRANSLATE(A4216, ""zh"", ""en"")"),"The company has established a Learning Development and Culture Department to actively promote wisdom and culture. By building a comprehensive and multi-level training system and cultural system, it continuously enhances corporate cohesion, empowers the co"&amp;"mpany's sustainable development, and provides a continuous and promising channel for capacity improvement for every talent.")</f>
        <v>The company has established a Learning Development and Culture Department to actively promote wisdom and culture. By building a comprehensive and multi-level training system and cultural system, it continuously enhances corporate cohesion, empowers the company's sustainable development, and provides a continuous and promising channel for capacity improvement for every talent.</v>
      </c>
      <c r="B4216" s="1" t="str">
        <f ca="1">IFERROR(__xludf.DUMMYFUNCTION("GOOGLETRANSLATE(A4216, ""zh"", ""en"")"),"staff")</f>
        <v>staff</v>
      </c>
      <c r="C4216" s="1" t="str">
        <f ca="1">IFERROR(__xludf.DUMMYFUNCTION("GOOGLETRANSLATE(E4216, ""zh"", ""en"")"),"Qualitative text")</f>
        <v>Qualitative text</v>
      </c>
    </row>
    <row r="4217" spans="1:3" ht="13" x14ac:dyDescent="0.15">
      <c r="A4217" s="1" t="str">
        <f ca="1">IFERROR(__xludf.DUMMYFUNCTION("GOOGLETRANSLATE(A4217, ""zh"", ""en"")"),"Chairman and General Manager Zhou Hongyi said he clearly remembered that when the report mentioned building a modern industrial system, it emphasized the need to accelerate the construction of a cyber power and a digital China. This not only provided dire"&amp;"ctional guidance, but also strengthened the confidence of the company in developing as a digital security company.")</f>
        <v>Chairman and General Manager Zhou Hongyi said he clearly remembered that when the report mentioned building a modern industrial system, it emphasized the need to accelerate the construction of a cyber power and a digital China. This not only provided directional guidance, but also strengthened the confidence of the company in developing as a digital security company.</v>
      </c>
      <c r="B4217" s="1" t="str">
        <f ca="1">IFERROR(__xludf.DUMMYFUNCTION("GOOGLETRANSLATE(A4217, ""zh"", ""en"")"),"Data security")</f>
        <v>Data security</v>
      </c>
      <c r="C4217" s="1" t="str">
        <f ca="1">IFERROR(__xludf.DUMMYFUNCTION("GOOGLETRANSLATE(E4217, ""zh"", ""en"")"),"Qualitative text")</f>
        <v>Qualitative text</v>
      </c>
    </row>
    <row r="4218" spans="1:3" ht="13" x14ac:dyDescent="0.15">
      <c r="A4218" s="1" t="str">
        <f ca="1">IFERROR(__xludf.DUMMYFUNCTION("GOOGLETRANSLATE(A4218, ""zh"", ""en"")"),"By the end of 2022, there were 164 full-time safety management personnel at all levels in CMST, with 151 people holding various professional qualifications, including registered safety engineers, general production and operation unit safety management per"&amp;"sonnel certificates, structure firefighters, special equipment managers, and low-voltage electricians.")</f>
        <v>By the end of 2022, there were 164 full-time safety management personnel at all levels in CMST, with 151 people holding various professional qualifications, including registered safety engineers, general production and operation unit safety management personnel certificates, structure firefighters, special equipment managers, and low-voltage electricians.</v>
      </c>
      <c r="B4218" s="1" t="str">
        <f ca="1">IFERROR(__xludf.DUMMYFUNCTION("GOOGLETRANSLATE(A4218, ""zh"", ""en"")"),"staff")</f>
        <v>staff</v>
      </c>
      <c r="C4218" s="1" t="str">
        <f ca="1">IFERROR(__xludf.DUMMYFUNCTION("GOOGLETRANSLATE(E4218, ""zh"", ""en"")"),"Quantitative Text")</f>
        <v>Quantitative Text</v>
      </c>
    </row>
    <row r="4219" spans="1:3" ht="13" x14ac:dyDescent="0.15">
      <c r="A4219" s="1" t="str">
        <f ca="1">IFERROR(__xludf.DUMMYFUNCTION("GOOGLETRANSLATE(A4219, ""zh"", ""en"")"),"Donations to support the fight against the epidemic: In 2022, Dongyuan Group donated a total of 43,000 disposable medical surgical masks and 11,000 N95 masks to the Red Cross Society under the Health Commission of Nan'an District, Lijiatuo Street, Banan D"&amp;"istrict, and Shapingba District.")</f>
        <v>Donations to support the fight against the epidemic: In 2022, Dongyuan Group donated a total of 43,000 disposable medical surgical masks and 11,000 N95 masks to the Red Cross Society under the Health Commission of Nan'an District, Lijiatuo Street, Banan District, and Shapingba District.</v>
      </c>
      <c r="B4219" s="1" t="str">
        <f ca="1">IFERROR(__xludf.DUMMYFUNCTION("GOOGLETRANSLATE(A4219, ""zh"", ""en"")"),"Fighting the epidemic")</f>
        <v>Fighting the epidemic</v>
      </c>
      <c r="C4219" s="1" t="str">
        <f ca="1">IFERROR(__xludf.DUMMYFUNCTION("GOOGLETRANSLATE(E4219, ""zh"", ""en"")"),"Quantitative Text")</f>
        <v>Quantitative Text</v>
      </c>
    </row>
    <row r="4220" spans="1:3" ht="13" x14ac:dyDescent="0.15">
      <c r="A4220" s="1" t="str">
        <f ca="1">IFERROR(__xludf.DUMMYFUNCTION("GOOGLETRANSLATE(A4220, ""zh"", ""en"")"),"During the lockdown period, the HR department wrote and distributed several guidelines to help employees adjust their mindsets and scientifically cope with the physical and mental impact of the epidemic. These included employee care programs, high-quality"&amp;" live fitness classes, and Amway's commitment to saying goodbye to fatigue and rekindling passion for life.")</f>
        <v>During the lockdown period, the HR department wrote and distributed several guidelines to help employees adjust their mindsets and scientifically cope with the physical and mental impact of the epidemic. These included employee care programs, high-quality live fitness classes, and Amway's commitment to saying goodbye to fatigue and rekindling passion for life.</v>
      </c>
      <c r="B4220" s="1" t="str">
        <f ca="1">IFERROR(__xludf.DUMMYFUNCTION("GOOGLETRANSLATE(A4220, ""zh"", ""en"")"),"Fighting the epidemic")</f>
        <v>Fighting the epidemic</v>
      </c>
      <c r="C4220" s="1" t="str">
        <f ca="1">IFERROR(__xludf.DUMMYFUNCTION("GOOGLETRANSLATE(E4220, ""zh"", ""en"")"),"Qualitative text")</f>
        <v>Qualitative text</v>
      </c>
    </row>
    <row r="4221" spans="1:3" ht="13" x14ac:dyDescent="0.15">
      <c r="A4221" s="1" t="str">
        <f ca="1">IFERROR(__xludf.DUMMYFUNCTION("GOOGLETRANSLATE(A4221, ""zh"", ""en"")"),"The road of public welfare is unremitting, education aids students and builds dreams for the future. 48492022 Dongyuan Renzhi cooperates with fire emergency departments to build a forest fire prevention line. In 2022, Dima Co., Ltd. donated a total of 1.3"&amp;"38 million yuan in funds and materials through foundations, charities, the Red Cross, and other channels.")</f>
        <v>The road of public welfare is unremitting, education aids students and builds dreams for the future. 48492022 Dongyuan Renzhi cooperates with fire emergency departments to build a forest fire prevention line. In 2022, Dima Co., Ltd. donated a total of 1.338 million yuan in funds and materials through foundations, charities, the Red Cross, and other channels.</v>
      </c>
      <c r="B4221" s="1" t="str">
        <f ca="1">IFERROR(__xludf.DUMMYFUNCTION("GOOGLETRANSLATE(A4221, ""zh"", ""en"")"),"Public welfare and volunteer service")</f>
        <v>Public welfare and volunteer service</v>
      </c>
      <c r="C4221" s="1" t="str">
        <f ca="1">IFERROR(__xludf.DUMMYFUNCTION("GOOGLETRANSLATE(E4221, ""zh"", ""en"")"),"Quantitative Text")</f>
        <v>Quantitative Text</v>
      </c>
    </row>
    <row r="4222" spans="1:3" ht="13" x14ac:dyDescent="0.15">
      <c r="A4222" s="1" t="str">
        <f ca="1">IFERROR(__xludf.DUMMYFUNCTION("GOOGLETRANSLATE(A4222, ""zh"", ""en"")"),"The project ""Innovative Application of Digital Warehousing Collaborative Network Based on Internet of Things Technology"" won the first prize of China Federation of Logistics and Purchasing Science and Technology Progress Award and the Social Responsibil"&amp;"ity Achievement Promotion Center Innovation Base")</f>
        <v>The project "Innovative Application of Digital Warehousing Collaborative Network Based on Internet of Things Technology" won the first prize of China Federation of Logistics and Purchasing Science and Technology Progress Award and the Social Responsibility Achievement Promotion Center Innovation Base</v>
      </c>
      <c r="B4222" s="1" t="str">
        <f ca="1">IFERROR(__xludf.DUMMYFUNCTION("GOOGLETRANSLATE(A4222, ""zh"", ""en"")"),"Technological innovation")</f>
        <v>Technological innovation</v>
      </c>
      <c r="C4222" s="1" t="str">
        <f ca="1">IFERROR(__xludf.DUMMYFUNCTION("GOOGLETRANSLATE(E4222, ""zh"", ""en"")"),"Quantitative Text")</f>
        <v>Quantitative Text</v>
      </c>
    </row>
    <row r="4223" spans="1:3" ht="13" x14ac:dyDescent="0.15">
      <c r="A4223" s="1" t="str">
        <f ca="1">IFERROR(__xludf.DUMMYFUNCTION("GOOGLETRANSLATE(A4223, ""zh"", ""en"")"),"Evergreen has been in contact with social resources and scientific research institutions since 2016. It is one of the earliest companies in China to explore smart health care services. From 2016 to 2022, the smart health care system created by Evergreen h"&amp;"as been widely used in various branches.")</f>
        <v>Evergreen has been in contact with social resources and scientific research institutions since 2016. It is one of the earliest companies in China to explore smart health care services. From 2016 to 2022, the smart health care system created by Evergreen has been widely used in various branches.</v>
      </c>
      <c r="B4223" s="1" t="str">
        <f ca="1">IFERROR(__xludf.DUMMYFUNCTION("GOOGLETRANSLATE(A4223, ""zh"", ""en"")"),"Technological innovation")</f>
        <v>Technological innovation</v>
      </c>
      <c r="C4223" s="1" t="str">
        <f ca="1">IFERROR(__xludf.DUMMYFUNCTION("GOOGLETRANSLATE(E4223, ""zh"", ""en"")"),"Qualitative text")</f>
        <v>Qualitative text</v>
      </c>
    </row>
    <row r="4224" spans="1:3" ht="13" x14ac:dyDescent="0.15">
      <c r="A4224" s="1" t="str">
        <f ca="1">IFERROR(__xludf.DUMMYFUNCTION("GOOGLETRANSLATE(A4224, ""zh"", ""en"")"),"Formulate the rules of procedure for the shareholders' meeting held in 2021, the rules of procedure for the board of directors' meeting, the rules of procedure for the supervisory board meeting, the work rules for the management team, and other systems. S"&amp;"trictly implement the resolutions of the shareholders' meeting, conscientiously implement the resolutions of the board of directors, and continuously standardize the company's 11 board governance mechanisms.")</f>
        <v>Formulate the rules of procedure for the shareholders' meeting held in 2021, the rules of procedure for the board of directors' meeting, the rules of procedure for the supervisory board meeting, the work rules for the management team, and other systems. Strictly implement the resolutions of the shareholders' meeting, conscientiously implement the resolutions of the board of directors, and continuously standardize the company's 11 board governance mechanisms.</v>
      </c>
      <c r="B4224" s="1" t="str">
        <f ca="1">IFERROR(__xludf.DUMMYFUNCTION("GOOGLETRANSLATE(A4224, ""zh"", ""en"")"),"Organizational structure and operations")</f>
        <v>Organizational structure and operations</v>
      </c>
      <c r="C4224" s="1" t="str">
        <f ca="1">IFERROR(__xludf.DUMMYFUNCTION("GOOGLETRANSLATE(E4224, ""zh"", ""en"")"),"Quantitative Text")</f>
        <v>Quantitative Text</v>
      </c>
    </row>
    <row r="4225" spans="1:3" ht="13" x14ac:dyDescent="0.15">
      <c r="A4225" s="1" t="str">
        <f ca="1">IFERROR(__xludf.DUMMYFUNCTION("GOOGLETRANSLATE(A4225, ""zh"", ""en"")"),"In this report, the Group adheres to the principle of reduction, resource utilization and harmlessness, and classifies health waste into household waste, heavy machinery waste from raw material procurement, production operation to product finalization, an"&amp;"d industrial waste, excluding hazardous waste and statutory waste that has an impact on human health and the environment.")</f>
        <v>In this report, the Group adheres to the principle of reduction, resource utilization and harmlessness, and classifies health waste into household waste, heavy machinery waste from raw material procurement, production operation to product finalization, and industrial waste, excluding hazardous waste and statutory waste that has an impact on human health and the environment.</v>
      </c>
      <c r="B4225" s="1" t="str">
        <f ca="1">IFERROR(__xludf.DUMMYFUNCTION("GOOGLETRANSLATE(A4225, ""zh"", ""en"")"),"Waste Management")</f>
        <v>Waste Management</v>
      </c>
      <c r="C4225" s="1" t="str">
        <f ca="1">IFERROR(__xludf.DUMMYFUNCTION("GOOGLETRANSLATE(E4225, ""zh"", ""en"")"),"Qualitative text")</f>
        <v>Qualitative text</v>
      </c>
    </row>
    <row r="4226" spans="1:3" ht="13" x14ac:dyDescent="0.15">
      <c r="A4226" s="1" t="str">
        <f ca="1">IFERROR(__xludf.DUMMYFUNCTION("GOOGLETRANSLATE(A4226, ""zh"", ""en"")"),"The QR code can be synchronized with the hazardous waste information details in real time. By scanning online, EHS managers can remotely obtain the on-site physical objects and on-site waste storage and disposal conditions, thereby achieving full-process "&amp;"monitoring of hazardous waste and upstream link information tracking to enhance the level of intelligent supervision.")</f>
        <v>The QR code can be synchronized with the hazardous waste information details in real time. By scanning online, EHS managers can remotely obtain the on-site physical objects and on-site waste storage and disposal conditions, thereby achieving full-process monitoring of hazardous waste and upstream link information tracking to enhance the level of intelligent supervision.</v>
      </c>
      <c r="B4226" s="1" t="str">
        <f ca="1">IFERROR(__xludf.DUMMYFUNCTION("GOOGLETRANSLATE(A4226, ""zh"", ""en"")"),"Waste Management")</f>
        <v>Waste Management</v>
      </c>
      <c r="C4226" s="1" t="str">
        <f ca="1">IFERROR(__xludf.DUMMYFUNCTION("GOOGLETRANSLATE(E4226, ""zh"", ""en"")"),"Qualitative text")</f>
        <v>Qualitative text</v>
      </c>
    </row>
    <row r="4227" spans="1:3" ht="13" x14ac:dyDescent="0.15">
      <c r="A4227" s="1" t="str">
        <f ca="1">IFERROR(__xludf.DUMMYFUNCTION("GOOGLETRANSLATE(A4227, ""zh"", ""en"")"),"Open up channels for employees to participate in democratic management, safeguard the legitimate rights and interests of employees in accordance with the law, effectively play the role of the staff representative conference and the trade union, continuous"&amp;"ly create a harmonious internal atmosphere, and continuously cultivate the corporate culture of gratitude, compliance, and respect for innovation. The internal cohesion and external influence of the company are constantly improving.")</f>
        <v>Open up channels for employees to participate in democratic management, safeguard the legitimate rights and interests of employees in accordance with the law, effectively play the role of the staff representative conference and the trade union, continuously create a harmonious internal atmosphere, and continuously cultivate the corporate culture of gratitude, compliance, and respect for innovation. The internal cohesion and external influence of the company are constantly improving.</v>
      </c>
      <c r="B4227" s="1" t="str">
        <f ca="1">IFERROR(__xludf.DUMMYFUNCTION("GOOGLETRANSLATE(A4227, ""zh"", ""en"")"),"staff")</f>
        <v>staff</v>
      </c>
      <c r="C4227" s="1" t="str">
        <f ca="1">IFERROR(__xludf.DUMMYFUNCTION("GOOGLETRANSLATE(E4227, ""zh"", ""en"")"),"Qualitative text")</f>
        <v>Qualitative text</v>
      </c>
    </row>
    <row r="4228" spans="1:3" ht="13" x14ac:dyDescent="0.15">
      <c r="A4228" s="1" t="str">
        <f ca="1">IFERROR(__xludf.DUMMYFUNCTION("GOOGLETRANSLATE(A4228, ""zh"", ""en"")"),"Adhere to ideals and beliefs, carry forward fine family traditions, recite classic audios, 31 family rules and precepts, 45 articles, 35 anti-corruption family letters, publish some outstanding works on the Lianxuanhao column, and push 3 outstanding paper"&amp;"s and 2 micro-videos to the Group Discipline Inspection Commission and the Pingmei Shenma public account.")</f>
        <v>Adhere to ideals and beliefs, carry forward fine family traditions, recite classic audios, 31 family rules and precepts, 45 articles, 35 anti-corruption family letters, publish some outstanding works on the Lianxuanhao column, and push 3 outstanding papers and 2 micro-videos to the Group Discipline Inspection Commission and the Pingmei Shenma public account.</v>
      </c>
      <c r="B4228" s="1" t="str">
        <f ca="1">IFERROR(__xludf.DUMMYFUNCTION("GOOGLETRANSLATE(A4228, ""zh"", ""en"")"),"Anti-corruption and anti-money laundering")</f>
        <v>Anti-corruption and anti-money laundering</v>
      </c>
      <c r="C4228" s="1" t="str">
        <f ca="1">IFERROR(__xludf.DUMMYFUNCTION("GOOGLETRANSLATE(E4228, ""zh"", ""en"")"),"Quantitative Text")</f>
        <v>Quantitative Text</v>
      </c>
    </row>
    <row r="4229" spans="1:3" ht="13" x14ac:dyDescent="0.15">
      <c r="A4229" s="1" t="str">
        <f ca="1">IFERROR(__xludf.DUMMYFUNCTION("GOOGLETRANSLATE(A4229, ""zh"", ""en"")"),"Social Welfare Xingai 121 Special Fund was established on September 9, 2021 to help promote the medical needs of Jiankangzhong and is committed to providing family customers with national construction to better provide health services for family customers"&amp;". It provides full-cycle health services to help humans overcome diseases.")</f>
        <v>Social Welfare Xingai 121 Special Fund was established on September 9, 2021 to help promote the medical needs of Jiankangzhong and is committed to providing family customers with national construction to better provide health services for family customers. It provides full-cycle health services to help humans overcome diseases.</v>
      </c>
      <c r="B4229" s="1" t="str">
        <f ca="1">IFERROR(__xludf.DUMMYFUNCTION("GOOGLETRANSLATE(A4229, ""zh"", ""en"")"),"Public welfare and volunteer service")</f>
        <v>Public welfare and volunteer service</v>
      </c>
      <c r="C4229" s="1" t="str">
        <f ca="1">IFERROR(__xludf.DUMMYFUNCTION("GOOGLETRANSLATE(E4229, ""zh"", ""en"")"),"Qualitative text")</f>
        <v>Qualitative text</v>
      </c>
    </row>
    <row r="4230" spans="1:3" ht="13" x14ac:dyDescent="0.15">
      <c r="A4230" s="1" t="str">
        <f ca="1">IFERROR(__xludf.DUMMYFUNCTION("GOOGLETRANSLATE(A4230, ""zh"", ""en"")"),"I. Reporting Standards 1. About this Report This report is the fifteenth Corporate Social Responsibility Report issued by Zhejiang Sunshine Lighting Appliance Group Co., Ltd. since 2008. It is a true reflection of the company's performance in economic, en"&amp;"vironmental and social sustainable development in 2022.")</f>
        <v>I. Reporting Standards 1. About this Report This report is the fifteenth Corporate Social Responsibility Report issued by Zhejiang Sunshine Lighting Appliance Group Co., Ltd. since 2008. It is a true reflection of the company's performance in economic, environmental and social sustainable development in 2022.</v>
      </c>
      <c r="B4230" s="1" t="str">
        <f ca="1">IFERROR(__xludf.DUMMYFUNCTION("GOOGLETRANSLATE(A4230, ""zh"", ""en"")"),"irrelevant text")</f>
        <v>irrelevant text</v>
      </c>
      <c r="C4230" s="1" t="str">
        <f ca="1">IFERROR(__xludf.DUMMYFUNCTION("GOOGLETRANSLATE(E4230, ""zh"", ""en"")"),"irrelevant text")</f>
        <v>irrelevant text</v>
      </c>
    </row>
    <row r="4231" spans="1:3" ht="13" x14ac:dyDescent="0.15">
      <c r="A4231" s="1" t="str">
        <f ca="1">IFERROR(__xludf.DUMMYFUNCTION("GOOGLETRANSLATE(A4231, ""zh"", ""en"")"),"2. Employee compensation and benefits: We will effectively safeguard the legal rights and interests of employees in terms of salary standards, sick leave benefits, labor protection, and special protection for female employees. We will pay for social insur"&amp;"ances and one housing fund, including pension, medical insurance, work injury insurance, unemployment insurance, and childbirth insurance, and strive to do a good job in protecting various rights and interests.")</f>
        <v>2. Employee compensation and benefits: We will effectively safeguard the legal rights and interests of employees in terms of salary standards, sick leave benefits, labor protection, and special protection for female employees. We will pay for social insurances and one housing fund, including pension, medical insurance, work injury insurance, unemployment insurance, and childbirth insurance, and strive to do a good job in protecting various rights and interests.</v>
      </c>
      <c r="B4231" s="1" t="str">
        <f ca="1">IFERROR(__xludf.DUMMYFUNCTION("GOOGLETRANSLATE(A4231, ""zh"", ""en"")"),"staff")</f>
        <v>staff</v>
      </c>
      <c r="C4231" s="1" t="str">
        <f ca="1">IFERROR(__xludf.DUMMYFUNCTION("GOOGLETRANSLATE(E4231, ""zh"", ""en"")"),"Qualitative text")</f>
        <v>Qualitative text</v>
      </c>
    </row>
    <row r="4232" spans="1:3" ht="13" x14ac:dyDescent="0.15">
      <c r="A4232" s="1" t="str">
        <f ca="1">IFERROR(__xludf.DUMMYFUNCTION("GOOGLETRANSLATE(A4232, ""zh"", ""en"")"),"Received 688,511 customer inquiries, received 55 complaints, and had a complaint resolution rate of 96.36. Essence Securities established a comprehensive customer service support system. Essence Securities established a customer-centric customer service s"&amp;"upport system and fully implemented service guarantees.")</f>
        <v>Received 688,511 customer inquiries, received 55 complaints, and had a complaint resolution rate of 96.36. Essence Securities established a comprehensive customer service support system. Essence Securities established a customer-centric customer service support system and fully implemented service guarantees.</v>
      </c>
      <c r="B4232" s="1" t="str">
        <f ca="1">IFERROR(__xludf.DUMMYFUNCTION("GOOGLETRANSLATE(A4232, ""zh"", ""en"")"),"Customers and Consumers")</f>
        <v>Customers and Consumers</v>
      </c>
      <c r="C4232" s="1" t="str">
        <f ca="1">IFERROR(__xludf.DUMMYFUNCTION("GOOGLETRANSLATE(E4232, ""zh"", ""en"")"),"Quantitative Text")</f>
        <v>Quantitative Text</v>
      </c>
    </row>
    <row r="4233" spans="1:3" ht="13" x14ac:dyDescent="0.15">
      <c r="A4233" s="1" t="str">
        <f ca="1">IFERROR(__xludf.DUMMYFUNCTION("GOOGLETRANSLATE(A4233, ""zh"", ""en"")"),"Organize a series of occupational health promotion activities, such as holding an Occupational Disease Prevention and Control Law Promotion Week, publish occupational health knowledge summaries on the official WeChat account, and compile a practical manua"&amp;"l on occupational health management for petroleum and petrochemical enterprises to guide frontline employees in occupational health and safety management.")</f>
        <v>Organize a series of occupational health promotion activities, such as holding an Occupational Disease Prevention and Control Law Promotion Week, publish occupational health knowledge summaries on the official WeChat account, and compile a practical manual on occupational health management for petroleum and petrochemical enterprises to guide frontline employees in occupational health and safety management.</v>
      </c>
      <c r="B4233" s="1" t="str">
        <f ca="1">IFERROR(__xludf.DUMMYFUNCTION("GOOGLETRANSLATE(A4233, ""zh"", ""en"")"),"staff")</f>
        <v>staff</v>
      </c>
      <c r="C4233" s="1" t="str">
        <f ca="1">IFERROR(__xludf.DUMMYFUNCTION("GOOGLETRANSLATE(E4233, ""zh"", ""en"")"),"Qualitative text")</f>
        <v>Qualitative text</v>
      </c>
    </row>
    <row r="4234" spans="1:3" ht="13" x14ac:dyDescent="0.15">
      <c r="A4234" s="1" t="str">
        <f ca="1">IFERROR(__xludf.DUMMYFUNCTION("GOOGLETRANSLATE(A4234, ""zh"", ""en"")"),"The insurance futures model, as a stabilizer and booster for comprehensively promoting rural revitalization and safeguarding the prosperity of local industries, has effectively solved the problem of agricultural product price fluctuations, safeguarded far"&amp;"mers' income, ensured farmers' operating profits and production enthusiasm, and made important contributions to rural revitalization.")</f>
        <v>The insurance futures model, as a stabilizer and booster for comprehensively promoting rural revitalization and safeguarding the prosperity of local industries, has effectively solved the problem of agricultural product price fluctuations, safeguarded farmers' income, ensured farmers' operating profits and production enthusiasm, and made important contributions to rural revitalization.</v>
      </c>
      <c r="B4234" s="1" t="str">
        <f ca="1">IFERROR(__xludf.DUMMYFUNCTION("GOOGLETRANSLATE(A4234, ""zh"", ""en"")"),"Rural assistance")</f>
        <v>Rural assistance</v>
      </c>
      <c r="C4234" s="1" t="str">
        <f ca="1">IFERROR(__xludf.DUMMYFUNCTION("GOOGLETRANSLATE(E4234, ""zh"", ""en"")"),"Qualitative text")</f>
        <v>Qualitative text</v>
      </c>
    </row>
    <row r="4235" spans="1:3" ht="13" x14ac:dyDescent="0.15">
      <c r="A4235" s="1" t="str">
        <f ca="1">IFERROR(__xludf.DUMMYFUNCTION("GOOGLETRANSLATE(A4235, ""zh"", ""en"")"),"Focusing on common underlying technology collaboration, we have also established five major technology expert studios for Shanghai Electric's advanced materials spectrum products, noise control, extreme manufacturing, power electronics, and additive manuf"&amp;"acturing to further leverage the role of experts and promote common technology collaborative innovation among cross-industry group companies.")</f>
        <v>Focusing on common underlying technology collaboration, we have also established five major technology expert studios for Shanghai Electric's advanced materials spectrum products, noise control, extreme manufacturing, power electronics, and additive manufacturing to further leverage the role of experts and promote common technology collaborative innovation among cross-industry group companies.</v>
      </c>
      <c r="B4235" s="1" t="str">
        <f ca="1">IFERROR(__xludf.DUMMYFUNCTION("GOOGLETRANSLATE(A4235, ""zh"", ""en"")"),"Technological innovation")</f>
        <v>Technological innovation</v>
      </c>
      <c r="C4235" s="1" t="str">
        <f ca="1">IFERROR(__xludf.DUMMYFUNCTION("GOOGLETRANSLATE(E4235, ""zh"", ""en"")"),"Qualitative text")</f>
        <v>Qualitative text</v>
      </c>
    </row>
    <row r="4236" spans="1:3" ht="13" x14ac:dyDescent="0.15">
      <c r="A4236" s="1" t="str">
        <f ca="1">IFERROR(__xludf.DUMMYFUNCTION("GOOGLETRANSLATE(A4236, ""zh"", ""en"")"),"Organize a table for joint research and consultation between science and technology and business. Accelerate the construction of a scientific and technological talent team by establishing a system for sharing and managing scientific and technological tale"&amp;"nt resources. Promote the cross-industry flow of scientific and technological talents. Achieve systematic operation of scientific and technological personnel through the employment and temporary training of experts from cross-industry groups.")</f>
        <v>Organize a table for joint research and consultation between science and technology and business. Accelerate the construction of a scientific and technological talent team by establishing a system for sharing and managing scientific and technological talent resources. Promote the cross-industry flow of scientific and technological talents. Achieve systematic operation of scientific and technological personnel through the employment and temporary training of experts from cross-industry groups.</v>
      </c>
      <c r="B4236" s="1" t="str">
        <f ca="1">IFERROR(__xludf.DUMMYFUNCTION("GOOGLETRANSLATE(A4236, ""zh"", ""en"")"),"staff")</f>
        <v>staff</v>
      </c>
      <c r="C4236" s="1" t="str">
        <f ca="1">IFERROR(__xludf.DUMMYFUNCTION("GOOGLETRANSLATE(E4236, ""zh"", ""en"")"),"Qualitative text")</f>
        <v>Qualitative text</v>
      </c>
    </row>
    <row r="4237" spans="1:3" ht="13" x14ac:dyDescent="0.15">
      <c r="A4237" s="1" t="str">
        <f ca="1">IFERROR(__xludf.DUMMYFUNCTION("GOOGLETRANSLATE(A4237, ""zh"", ""en"")"),"53 CITIC Securities 2022 Annual Social Responsibility Report 3. Listening to Customers' Voices The Company attaches great importance to customer service, continuously expands customer communication channels, actively responds to customers' evaluations and"&amp;" feedback on the Company's business services, and continuously optimizes service processes to enhance customer satisfaction.")</f>
        <v>53 CITIC Securities 2022 Annual Social Responsibility Report 3. Listening to Customers' Voices The Company attaches great importance to customer service, continuously expands customer communication channels, actively responds to customers' evaluations and feedback on the Company's business services, and continuously optimizes service processes to enhance customer satisfaction.</v>
      </c>
      <c r="B4237" s="1" t="str">
        <f ca="1">IFERROR(__xludf.DUMMYFUNCTION("GOOGLETRANSLATE(A4237, ""zh"", ""en"")"),"Customers and Consumers")</f>
        <v>Customers and Consumers</v>
      </c>
      <c r="C4237" s="1" t="str">
        <f ca="1">IFERROR(__xludf.DUMMYFUNCTION("GOOGLETRANSLATE(E4237, ""zh"", ""en"")"),"Qualitative text")</f>
        <v>Qualitative text</v>
      </c>
    </row>
    <row r="4238" spans="1:3" ht="13" x14ac:dyDescent="0.15">
      <c r="A4238" s="1" t="str">
        <f ca="1">IFERROR(__xludf.DUMMYFUNCTION("GOOGLETRANSLATE(A4238, ""zh"", ""en"")"),"To unify service standards and improve service quality, the company has compiled the systems, processes and specifications of each business into a compilation of business department operating regulations and processes, providing a basis for standardized m"&amp;"anagement of employee performance assessment and branch management in customer service processes, effectively improving service levels.")</f>
        <v>To unify service standards and improve service quality, the company has compiled the systems, processes and specifications of each business into a compilation of business department operating regulations and processes, providing a basis for standardized management of employee performance assessment and branch management in customer service processes, effectively improving service levels.</v>
      </c>
      <c r="B4238" s="1" t="str">
        <f ca="1">IFERROR(__xludf.DUMMYFUNCTION("GOOGLETRANSLATE(A4238, ""zh"", ""en"")"),"Customers and Consumers")</f>
        <v>Customers and Consumers</v>
      </c>
      <c r="C4238" s="1" t="str">
        <f ca="1">IFERROR(__xludf.DUMMYFUNCTION("GOOGLETRANSLATE(E4238, ""zh"", ""en"")"),"Qualitative text")</f>
        <v>Qualitative text</v>
      </c>
    </row>
    <row r="4239" spans="1:3" ht="13" x14ac:dyDescent="0.15">
      <c r="A4239" s="1" t="str">
        <f ca="1">IFERROR(__xludf.DUMMYFUNCTION("GOOGLETRANSLATE(A4239, ""zh"", ""en"")"),"While the recycling industry is developing, Haier Smart Home, leveraging digital technologies such as the internet, launched the construction of China's first big data platform for the home appliance recycling industry in July 2022 to address the complex "&amp;"approval process and heavy information entry tasks for waste home appliance dismantling companies.")</f>
        <v>While the recycling industry is developing, Haier Smart Home, leveraging digital technologies such as the internet, launched the construction of China's first big data platform for the home appliance recycling industry in July 2022 to address the complex approval process and heavy information entry tasks for waste home appliance dismantling companies.</v>
      </c>
      <c r="B4239" s="1" t="str">
        <f ca="1">IFERROR(__xludf.DUMMYFUNCTION("GOOGLETRANSLATE(A4239, ""zh"", ""en"")"),"Waste Management")</f>
        <v>Waste Management</v>
      </c>
      <c r="C4239" s="1" t="str">
        <f ca="1">IFERROR(__xludf.DUMMYFUNCTION("GOOGLETRANSLATE(E4239, ""zh"", ""en"")"),"Qualitative text")</f>
        <v>Qualitative text</v>
      </c>
    </row>
    <row r="4240" spans="1:3" ht="13" x14ac:dyDescent="0.15">
      <c r="A4240" s="1" t="str">
        <f ca="1">IFERROR(__xludf.DUMMYFUNCTION("GOOGLETRANSLATE(A4240, ""zh"", ""en"")"),"The company continuously improves employees' quality knowledge and skills through various quality training activities such as quality management system, quality management basics, QC group practice, quality accident case analysis, quality control and qual"&amp;"ity assurance technology competition, etc., to promote the company's high-quality development.")</f>
        <v>The company continuously improves employees' quality knowledge and skills through various quality training activities such as quality management system, quality management basics, QC group practice, quality accident case analysis, quality control and quality assurance technology competition, etc., to promote the company's high-quality development.</v>
      </c>
      <c r="B4240" s="1" t="str">
        <f ca="1">IFERROR(__xludf.DUMMYFUNCTION("GOOGLETRANSLATE(A4240, ""zh"", ""en"")"),"Product quality")</f>
        <v>Product quality</v>
      </c>
      <c r="C4240" s="1" t="str">
        <f ca="1">IFERROR(__xludf.DUMMYFUNCTION("GOOGLETRANSLATE(E4240, ""zh"", ""en"")"),"Qualitative text")</f>
        <v>Qualitative text</v>
      </c>
    </row>
    <row r="4241" spans="1:3" ht="13" x14ac:dyDescent="0.15">
      <c r="A4241" s="1" t="str">
        <f ca="1">IFERROR(__xludf.DUMMYFUNCTION("GOOGLETRANSLATE(A4241, ""zh"", ""en"")"),"Shanghai Electric deeply integrates employee care into corporate management. Through special visits, we improve talent service guarantee policies and implement practical measures for employees' livelihood, so that employees can maintain a healthy and posi"&amp;"tive working attitude, continuously enhance their sense of identity and belonging to the company, and strengthen cohesion.")</f>
        <v>Shanghai Electric deeply integrates employee care into corporate management. Through special visits, we improve talent service guarantee policies and implement practical measures for employees' livelihood, so that employees can maintain a healthy and positive working attitude, continuously enhance their sense of identity and belonging to the company, and strengthen cohesion.</v>
      </c>
      <c r="B4241" s="1" t="str">
        <f ca="1">IFERROR(__xludf.DUMMYFUNCTION("GOOGLETRANSLATE(A4241, ""zh"", ""en"")"),"staff")</f>
        <v>staff</v>
      </c>
      <c r="C4241" s="1" t="str">
        <f ca="1">IFERROR(__xludf.DUMMYFUNCTION("GOOGLETRANSLATE(E4241, ""zh"", ""en"")"),"Qualitative text")</f>
        <v>Qualitative text</v>
      </c>
    </row>
    <row r="4242" spans="1:3" ht="13" x14ac:dyDescent="0.15">
      <c r="A4242" s="1" t="str">
        <f ca="1">IFERROR(__xludf.DUMMYFUNCTION("GOOGLETRANSLATE(A4242, ""zh"", ""en"")"),"Shanghai Electric always pays attention to communication and exchanges with employees and is committed to listening to employees' voices in a timely manner through a sound communication system, fully understanding their ideas, promoting effective communic"&amp;"ation between the company and employees, and helping employees solve problems in their work and life.")</f>
        <v>Shanghai Electric always pays attention to communication and exchanges with employees and is committed to listening to employees' voices in a timely manner through a sound communication system, fully understanding their ideas, promoting effective communication between the company and employees, and helping employees solve problems in their work and life.</v>
      </c>
      <c r="B4242" s="1" t="str">
        <f ca="1">IFERROR(__xludf.DUMMYFUNCTION("GOOGLETRANSLATE(A4242, ""zh"", ""en"")"),"staff")</f>
        <v>staff</v>
      </c>
      <c r="C4242" s="1" t="str">
        <f ca="1">IFERROR(__xludf.DUMMYFUNCTION("GOOGLETRANSLATE(E4242, ""zh"", ""en"")"),"Qualitative text")</f>
        <v>Qualitative text</v>
      </c>
    </row>
    <row r="4243" spans="1:3" ht="13" x14ac:dyDescent="0.15">
      <c r="A4243" s="1" t="str">
        <f ca="1">IFERROR(__xludf.DUMMYFUNCTION("GOOGLETRANSLATE(A4243, ""zh"", ""en"")"),"The company conducts anti-corruption training through a combination of online and offline methods in terms of honest work. The employee training coverage rate is 100%. The main learning and dissemination of the video content of the Hisense Group Disciplin"&amp;"e Inspection Commission are the same starting point, but different destinations. We continue to rectify the work style and discipline and make honest holidays a habit.")</f>
        <v>The company conducts anti-corruption training through a combination of online and offline methods in terms of honest work. The employee training coverage rate is 100%. The main learning and dissemination of the video content of the Hisense Group Discipline Inspection Commission are the same starting point, but different destinations. We continue to rectify the work style and discipline and make honest holidays a habit.</v>
      </c>
      <c r="B4243" s="1" t="str">
        <f ca="1">IFERROR(__xludf.DUMMYFUNCTION("GOOGLETRANSLATE(A4243, ""zh"", ""en"")"),"Anti-corruption and anti-money laundering")</f>
        <v>Anti-corruption and anti-money laundering</v>
      </c>
      <c r="C4243" s="1" t="str">
        <f ca="1">IFERROR(__xludf.DUMMYFUNCTION("GOOGLETRANSLATE(E4243, ""zh"", ""en"")"),"Quantitative Text")</f>
        <v>Quantitative Text</v>
      </c>
    </row>
    <row r="4244" spans="1:3" ht="13" x14ac:dyDescent="0.15">
      <c r="A4244" s="1" t="str">
        <f ca="1">IFERROR(__xludf.DUMMYFUNCTION("GOOGLETRANSLATE(A4244, ""zh"", ""en"")"),"Compliance Operation The company attaches great importance to compliance management and always adheres to honest operation and legal management. It has established and improved the compliance management system, improved the compliance management system in"&amp;" important areas, built a compliance risk prevention line in key links, strengthened the compliance management awareness of all employees, and continuously improved the level of compliance operation and management.")</f>
        <v>Compliance Operation The company attaches great importance to compliance management and always adheres to honest operation and legal management. It has established and improved the compliance management system, improved the compliance management system in important areas, built a compliance risk prevention line in key links, strengthened the compliance management awareness of all employees, and continuously improved the level of compliance operation and management.</v>
      </c>
      <c r="B4244" s="1" t="str">
        <f ca="1">IFERROR(__xludf.DUMMYFUNCTION("GOOGLETRANSLATE(A4244, ""zh"", ""en"")"),"Legal proceedings and external sanctions")</f>
        <v>Legal proceedings and external sanctions</v>
      </c>
      <c r="C4244" s="1" t="str">
        <f ca="1">IFERROR(__xludf.DUMMYFUNCTION("GOOGLETRANSLATE(E4244, ""zh"", ""en"")"),"Qualitative text")</f>
        <v>Qualitative text</v>
      </c>
    </row>
    <row r="4245" spans="1:3" ht="13" x14ac:dyDescent="0.15">
      <c r="A4245" s="1" t="str">
        <f ca="1">IFERROR(__xludf.DUMMYFUNCTION("GOOGLETRANSLATE(A4245, ""zh"", ""en"")"),"In order to establish and improve the incident response and team collaboration mechanism, we organized a ransomware emergency drill in 2022 to verify the rationality and effectiveness of the emergency response process, popularize the relevant knowledge of"&amp;" ransomware incident handling, and strengthen emergency prevention and support capabilities.")</f>
        <v>In order to establish and improve the incident response and team collaboration mechanism, we organized a ransomware emergency drill in 2022 to verify the rationality and effectiveness of the emergency response process, popularize the relevant knowledge of ransomware incident handling, and strengthen emergency prevention and support capabilities.</v>
      </c>
      <c r="B4245" s="1" t="str">
        <f ca="1">IFERROR(__xludf.DUMMYFUNCTION("GOOGLETRANSLATE(A4245, ""zh"", ""en"")"),"Data security")</f>
        <v>Data security</v>
      </c>
      <c r="C4245" s="1" t="str">
        <f ca="1">IFERROR(__xludf.DUMMYFUNCTION("GOOGLETRANSLATE(E4245, ""zh"", ""en"")"),"Qualitative text")</f>
        <v>Qualitative text</v>
      </c>
    </row>
    <row r="4246" spans="1:3" ht="13" x14ac:dyDescent="0.15">
      <c r="A4246" s="1" t="str">
        <f ca="1">IFERROR(__xludf.DUMMYFUNCTION("GOOGLETRANSLATE(A4246, ""zh"", ""en"")"),"The blue light test results of Hisense Laser TV 80L9H are the highest security level RG0. The CESI laboratory of China Electronics Standardization Institute announced the blue light test results of Hisense Laser TV 80L9H. Hisense Laser TV 80L9H is the hig"&amp;"hest security level RGO.")</f>
        <v>The blue light test results of Hisense Laser TV 80L9H are the highest security level RG0. The CESI laboratory of China Electronics Standardization Institute announced the blue light test results of Hisense Laser TV 80L9H. Hisense Laser TV 80L9H is the highest security level RGO.</v>
      </c>
      <c r="B4246" s="1" t="str">
        <f ca="1">IFERROR(__xludf.DUMMYFUNCTION("GOOGLETRANSLATE(A4246, ""zh"", ""en"")"),"Product quality")</f>
        <v>Product quality</v>
      </c>
      <c r="C4246" s="1" t="str">
        <f ca="1">IFERROR(__xludf.DUMMYFUNCTION("GOOGLETRANSLATE(E4246, ""zh"", ""en"")"),"Quantitative Text")</f>
        <v>Quantitative Text</v>
      </c>
    </row>
    <row r="4247" spans="1:3" ht="13" x14ac:dyDescent="0.15">
      <c r="A4247" s="1" t="str">
        <f ca="1">IFERROR(__xludf.DUMMYFUNCTION("GOOGLETRANSLATE(A4247, ""zh"", ""en"")"),"We have fully implemented the Group's ESG governance in accordance with the Environmental, Social and Governance Reporting Guidelines, continuously improved and strengthened our ESG system and capacity building efforts, integrated ESG governance responsib"&amp;"ilities into the organizational structure, and established a dedicated ESG governance structure.")</f>
        <v>We have fully implemented the Group's ESG governance in accordance with the Environmental, Social and Governance Reporting Guidelines, continuously improved and strengthened our ESG system and capacity building efforts, integrated ESG governance responsibilities into the organizational structure, and established a dedicated ESG governance structure.</v>
      </c>
      <c r="B4247" s="1" t="str">
        <f ca="1">IFERROR(__xludf.DUMMYFUNCTION("GOOGLETRANSLATE(A4247, ""zh"", ""en"")"),"Organizational structure and operations")</f>
        <v>Organizational structure and operations</v>
      </c>
      <c r="C4247" s="1" t="str">
        <f ca="1">IFERROR(__xludf.DUMMYFUNCTION("GOOGLETRANSLATE(E4247, ""zh"", ""en"")"),"Qualitative text")</f>
        <v>Qualitative text</v>
      </c>
    </row>
    <row r="4248" spans="1:3" ht="13" x14ac:dyDescent="0.15">
      <c r="A4248" s="1" t="str">
        <f ca="1">IFERROR(__xludf.DUMMYFUNCTION("GOOGLETRANSLATE(A4248, ""zh"", ""en"")"),"Based on external environmental analysis, the company's development strategy, and stakeholder concerns, CITIC Securities regularly conducts ESG issue materiality assessments. On this basis, we analyze the company's significant environmental, social, and c"&amp;"orporate governance risks and opportunities and formulate ESG work strategies.")</f>
        <v>Based on external environmental analysis, the company's development strategy, and stakeholder concerns, CITIC Securities regularly conducts ESG issue materiality assessments. On this basis, we analyze the company's significant environmental, social, and corporate governance risks and opportunities and formulate ESG work strategies.</v>
      </c>
      <c r="B4248" s="1" t="str">
        <f ca="1">IFERROR(__xludf.DUMMYFUNCTION("GOOGLETRANSLATE(A4248, ""zh"", ""en"")"),"irrelevant text")</f>
        <v>irrelevant text</v>
      </c>
      <c r="C4248" s="1" t="str">
        <f ca="1">IFERROR(__xludf.DUMMYFUNCTION("GOOGLETRANSLATE(E4248, ""zh"", ""en"")"),"irrelevant text")</f>
        <v>irrelevant text</v>
      </c>
    </row>
    <row r="4249" spans="1:3" ht="13" x14ac:dyDescent="0.15">
      <c r="A4249" s="1" t="str">
        <f ca="1">IFERROR(__xludf.DUMMYFUNCTION("GOOGLETRANSLATE(A4249, ""zh"", ""en"")"),"Risks and Opportunities Following China's 3060 dual carbon goals, the 20th CPC National Congress report pointed out the need to accelerate the green transformation of development methods, continuously optimize industrial spatial layout, improve the regula"&amp;"tion of total energy consumption and intensity, and accelerate the research and development, promotion and application of advanced energy-saving and carbon-reduction technologies.")</f>
        <v>Risks and Opportunities Following China's 3060 dual carbon goals, the 20th CPC National Congress report pointed out the need to accelerate the green transformation of development methods, continuously optimize industrial spatial layout, improve the regulation of total energy consumption and intensity, and accelerate the research and development, promotion and application of advanced energy-saving and carbon-reduction technologies.</v>
      </c>
      <c r="B4249" s="1" t="str">
        <f ca="1">IFERROR(__xludf.DUMMYFUNCTION("GOOGLETRANSLATE(A4249, ""zh"", ""en"")"),"carbon emissions")</f>
        <v>carbon emissions</v>
      </c>
      <c r="C4249" s="1" t="str">
        <f ca="1">IFERROR(__xludf.DUMMYFUNCTION("GOOGLETRANSLATE(E4249, ""zh"", ""en"")"),"Qualitative text")</f>
        <v>Qualitative text</v>
      </c>
    </row>
    <row r="4250" spans="1:3" ht="13" x14ac:dyDescent="0.15">
      <c r="A4250" s="1" t="str">
        <f ca="1">IFERROR(__xludf.DUMMYFUNCTION("GOOGLETRANSLATE(A4250, ""zh"", ""en"")"),"In addition, in 2022, we will formulate the Joint Care Group Material Procurement Management Measures and the Joint Care Group Engineering Construction Project Tender Management Regulations, and the Joint Care Group Procurement and Bid Evaluation Implemen"&amp;"tation Regulations to further strengthen the internal control management process for engineering equipment project procurement and raw material procurement.")</f>
        <v>In addition, in 2022, we will formulate the Joint Care Group Material Procurement Management Measures and the Joint Care Group Engineering Construction Project Tender Management Regulations, and the Joint Care Group Procurement and Bid Evaluation Implementation Regulations to further strengthen the internal control management process for engineering equipment project procurement and raw material procurement.</v>
      </c>
      <c r="B4250" s="1" t="str">
        <f ca="1">IFERROR(__xludf.DUMMYFUNCTION("GOOGLETRANSLATE(A4250, ""zh"", ""en"")"),"raw materials")</f>
        <v>raw materials</v>
      </c>
      <c r="C4250" s="1" t="str">
        <f ca="1">IFERROR(__xludf.DUMMYFUNCTION("GOOGLETRANSLATE(E4250, ""zh"", ""en"")"),"Qualitative text")</f>
        <v>Qualitative text</v>
      </c>
    </row>
    <row r="4251" spans="1:3" ht="13" x14ac:dyDescent="0.15">
      <c r="A4251" s="1" t="str">
        <f ca="1">IFERROR(__xludf.DUMMYFUNCTION("GOOGLETRANSLATE(A4251, ""zh"", ""en"")"),"To ensure the effectiveness of the drug recall management system, Kangyuan conducts simulated recall drills every two years and implements the drug risk management plan to ensure that post-market risk management activities comply with relevant pharmacovig"&amp;"ilance regulations and product quality meets the intended use and registration requirements.")</f>
        <v>To ensure the effectiveness of the drug recall management system, Kangyuan conducts simulated recall drills every two years and implements the drug risk management plan to ensure that post-market risk management activities comply with relevant pharmacovigilance regulations and product quality meets the intended use and registration requirements.</v>
      </c>
      <c r="B4251" s="1" t="str">
        <f ca="1">IFERROR(__xludf.DUMMYFUNCTION("GOOGLETRANSLATE(A4251, ""zh"", ""en"")"),"Product quality")</f>
        <v>Product quality</v>
      </c>
      <c r="C4251" s="1" t="str">
        <f ca="1">IFERROR(__xludf.DUMMYFUNCTION("GOOGLETRANSLATE(E4251, ""zh"", ""en"")"),"Qualitative text")</f>
        <v>Qualitative text</v>
      </c>
    </row>
    <row r="4252" spans="1:3" ht="13" x14ac:dyDescent="0.15">
      <c r="A4252" s="1" t="str">
        <f ca="1">IFERROR(__xludf.DUMMYFUNCTION("GOOGLETRANSLATE(A4252, ""zh"", ""en"")"),"The tool library includes more than ten world-leading scientific research tools in five major categories, including basic molecular element discovery, protein structure function prediction, enzyme engineering and protein molecule rational design, microbia"&amp;"l metabolic pathway optimization, and small molecule and macromolecular target binding prediction.")</f>
        <v>The tool library includes more than ten world-leading scientific research tools in five major categories, including basic molecular element discovery, protein structure function prediction, enzyme engineering and protein molecule rational design, microbial metabolic pathway optimization, and small molecule and macromolecular target binding prediction.</v>
      </c>
      <c r="B4252" s="1" t="str">
        <f ca="1">IFERROR(__xludf.DUMMYFUNCTION("GOOGLETRANSLATE(A4252, ""zh"", ""en"")"),"Technological innovation")</f>
        <v>Technological innovation</v>
      </c>
      <c r="C4252" s="1" t="str">
        <f ca="1">IFERROR(__xludf.DUMMYFUNCTION("GOOGLETRANSLATE(E4252, ""zh"", ""en"")"),"Qualitative text")</f>
        <v>Qualitative text</v>
      </c>
    </row>
    <row r="4253" spans="1:3" ht="13" x14ac:dyDescent="0.15">
      <c r="A4253" s="1" t="str">
        <f ca="1">IFERROR(__xludf.DUMMYFUNCTION("GOOGLETRANSLATE(A4253, ""zh"", ""en"")"),"Charging for rural revitalization, increasing environmental protection, and supporting rural revitalization with ecological wind power. 1202022 Social Responsibility Report: Compose a beautiful and harmonious social chapter together. Adhering to philanthr"&amp;"opy and great love, always keeping a global perspective, focusing on national economy and people's livelihood, actively participating in philanthropy and foreign aid, and demonstrating great love and responsibility.")</f>
        <v>Charging for rural revitalization, increasing environmental protection, and supporting rural revitalization with ecological wind power. 1202022 Social Responsibility Report: Compose a beautiful and harmonious social chapter together. Adhering to philanthropy and great love, always keeping a global perspective, focusing on national economy and people's livelihood, actively participating in philanthropy and foreign aid, and demonstrating great love and responsibility.</v>
      </c>
      <c r="B4253" s="1" t="str">
        <f ca="1">IFERROR(__xludf.DUMMYFUNCTION("GOOGLETRANSLATE(A4253, ""zh"", ""en"")"),"Public welfare and volunteer service")</f>
        <v>Public welfare and volunteer service</v>
      </c>
      <c r="C4253" s="1" t="str">
        <f ca="1">IFERROR(__xludf.DUMMYFUNCTION("GOOGLETRANSLATE(E4253, ""zh"", ""en"")"),"Qualitative text")</f>
        <v>Qualitative text</v>
      </c>
    </row>
    <row r="4254" spans="1:3" ht="13" x14ac:dyDescent="0.15">
      <c r="A4254" s="1" t="str">
        <f ca="1">IFERROR(__xludf.DUMMYFUNCTION("GOOGLETRANSLATE(A4254, ""zh"", ""en"")"),"The theme of this event is ""Strive for Excellence"". We can directly feel the pharmaceutical member companies' efforts in creating excellent quality in drug production, strengthening the awareness of all employees on quality risks, and implementing detai"&amp;"led control and measurement concepts to ensure the compliance and efficiency of products.")</f>
        <v>The theme of this event is "Strive for Excellence". We can directly feel the pharmaceutical member companies' efforts in creating excellent quality in drug production, strengthening the awareness of all employees on quality risks, and implementing detailed control and measurement concepts to ensure the compliance and efficiency of products.</v>
      </c>
      <c r="B4254" s="1" t="str">
        <f ca="1">IFERROR(__xludf.DUMMYFUNCTION("GOOGLETRANSLATE(A4254, ""zh"", ""en"")"),"Product quality")</f>
        <v>Product quality</v>
      </c>
      <c r="C4254" s="1" t="str">
        <f ca="1">IFERROR(__xludf.DUMMYFUNCTION("GOOGLETRANSLATE(E4254, ""zh"", ""en"")"),"Qualitative text")</f>
        <v>Qualitative text</v>
      </c>
    </row>
    <row r="4255" spans="1:3" ht="13" x14ac:dyDescent="0.15">
      <c r="A4255" s="1" t="str">
        <f ca="1">IFERROR(__xludf.DUMMYFUNCTION("GOOGLETRANSLATE(A4255, ""zh"", ""en"")"),"In March 2022, Hanli Kangli Anximab Injection for Rheumatoid Arthritis was approved for marketing by the National Medical Products Administration (NMPA). This became the first rituximab approved for rheumatoid arthritis indication in China and the first r"&amp;"ituximab approved for rheumatoid arthritis indication by Fengyi. It is also the rituximab with the most approved indications in China.")</f>
        <v>In March 2022, Hanli Kangli Anximab Injection for Rheumatoid Arthritis was approved for marketing by the National Medical Products Administration (NMPA). This became the first rituximab approved for rheumatoid arthritis indication in China and the first rituximab approved for rheumatoid arthritis indication by Fengyi. It is also the rituximab with the most approved indications in China.</v>
      </c>
      <c r="B4255" s="1" t="str">
        <f ca="1">IFERROR(__xludf.DUMMYFUNCTION("GOOGLETRANSLATE(A4255, ""zh"", ""en"")"),"Product quality")</f>
        <v>Product quality</v>
      </c>
      <c r="C4255" s="1" t="str">
        <f ca="1">IFERROR(__xludf.DUMMYFUNCTION("GOOGLETRANSLATE(E4255, ""zh"", ""en"")"),"Quantitative Text")</f>
        <v>Quantitative Text</v>
      </c>
    </row>
    <row r="4256" spans="1:3" ht="13" x14ac:dyDescent="0.15">
      <c r="A4256" s="1" t="str">
        <f ca="1">IFERROR(__xludf.DUMMYFUNCTION("GOOGLETRANSLATE(A4256, ""zh"", ""en"")"),"04 Factoring Company, Cloud Commerce Company, Leasing Company, Logistics Company, Health Company, Industrial Company, 48 Property Company, Zhongda regards every employee as a partner in career development, continuously strengthens the party building, ideo"&amp;"logical and cultural guidance, strengthens people-oriented management, promotes the construction of benefits for all employees, and builds a harmonious and happy enterprise.")</f>
        <v>04 Factoring Company, Cloud Commerce Company, Leasing Company, Logistics Company, Health Company, Industrial Company, 48 Property Company, Zhongda regards every employee as a partner in career development, continuously strengthens the party building, ideological and cultural guidance, strengthens people-oriented management, promotes the construction of benefits for all employees, and builds a harmonious and happy enterprise.</v>
      </c>
      <c r="B4256" s="1" t="str">
        <f ca="1">IFERROR(__xludf.DUMMYFUNCTION("GOOGLETRANSLATE(A4256, ""zh"", ""en"")"),"staff")</f>
        <v>staff</v>
      </c>
      <c r="C4256" s="1" t="str">
        <f ca="1">IFERROR(__xludf.DUMMYFUNCTION("GOOGLETRANSLATE(E4256, ""zh"", ""en"")"),"Qualitative text")</f>
        <v>Qualitative text</v>
      </c>
    </row>
    <row r="4257" spans="1:3" ht="13" x14ac:dyDescent="0.15">
      <c r="A4257" s="1" t="str">
        <f ca="1">IFERROR(__xludf.DUMMYFUNCTION("GOOGLETRANSLATE(A4257, ""zh"", ""en"")"),"A total of 14 recordable accidents occurred throughout the year. Multi-faceted and multi-dimensional analysis of direct and root causes was conducted. Corrective and preventive measures were formulated and implemented. Accident records included 7 female e"&amp;"mployees injured in the accidents, accounting for the total number of injured. This case was used as a platform for sharing and exchanging experiences among member companies.")</f>
        <v>A total of 14 recordable accidents occurred throughout the year. Multi-faceted and multi-dimensional analysis of direct and root causes was conducted. Corrective and preventive measures were formulated and implemented. Accident records included 7 female employees injured in the accidents, accounting for the total number of injured. This case was used as a platform for sharing and exchanging experiences among member companies.</v>
      </c>
      <c r="B4257" s="1" t="str">
        <f ca="1">IFERROR(__xludf.DUMMYFUNCTION("GOOGLETRANSLATE(A4257, ""zh"", ""en"")"),"staff")</f>
        <v>staff</v>
      </c>
      <c r="C4257" s="1" t="str">
        <f ca="1">IFERROR(__xludf.DUMMYFUNCTION("GOOGLETRANSLATE(E4257, ""zh"", ""en"")"),"Quantitative Text")</f>
        <v>Quantitative Text</v>
      </c>
    </row>
    <row r="4258" spans="1:3" ht="13" x14ac:dyDescent="0.15">
      <c r="A4258" s="1" t="str">
        <f ca="1">IFERROR(__xludf.DUMMYFUNCTION("GOOGLETRANSLATE(A4258, ""zh"", ""en"")"),"The members of the JiTu audit team have more than 10 years of experience in the pharmaceutical industry and have solid professional experience. They are committed to participating in the continuous improvement of the system. At the same time, the JiTu inf"&amp;"ormation and industry training seminars and self-study improvement can ensure the steady progress of the construction and intelligent manufacturing promotion work.")</f>
        <v>The members of the JiTu audit team have more than 10 years of experience in the pharmaceutical industry and have solid professional experience. They are committed to participating in the continuous improvement of the system. At the same time, the JiTu information and industry training seminars and self-study improvement can ensure the steady progress of the construction and intelligent manufacturing promotion work.</v>
      </c>
      <c r="B4258" s="1" t="str">
        <f ca="1">IFERROR(__xludf.DUMMYFUNCTION("GOOGLETRANSLATE(A4258, ""zh"", ""en"")"),"Audit work")</f>
        <v>Audit work</v>
      </c>
      <c r="C4258" s="1" t="str">
        <f ca="1">IFERROR(__xludf.DUMMYFUNCTION("GOOGLETRANSLATE(E4258, ""zh"", ""en"")"),"Qualitative text")</f>
        <v>Qualitative text</v>
      </c>
    </row>
    <row r="4259" spans="1:3" ht="13" x14ac:dyDescent="0.15">
      <c r="A4259" s="1" t="str">
        <f ca="1">IFERROR(__xludf.DUMMYFUNCTION("GOOGLETRANSLATE(A4259, ""zh"", ""en"")"),"It has been proven that internal employees have a better understanding of the company's strategy, their adaptability, job loyalty, culture and values, and the culture of recommended talents. In 2022, the internal employee recommendation policy was improve"&amp;"d. The cost efficiency of internal recruitment is better than the ordinary recruitment model.")</f>
        <v>It has been proven that internal employees have a better understanding of the company's strategy, their adaptability, job loyalty, culture and values, and the culture of recommended talents. In 2022, the internal employee recommendation policy was improved. The cost efficiency of internal recruitment is better than the ordinary recruitment model.</v>
      </c>
      <c r="B4259" s="1" t="str">
        <f ca="1">IFERROR(__xludf.DUMMYFUNCTION("GOOGLETRANSLATE(A4259, ""zh"", ""en"")"),"staff")</f>
        <v>staff</v>
      </c>
      <c r="C4259" s="1" t="str">
        <f ca="1">IFERROR(__xludf.DUMMYFUNCTION("GOOGLETRANSLATE(E4259, ""zh"", ""en"")"),"Qualitative text")</f>
        <v>Qualitative text</v>
      </c>
    </row>
    <row r="4260" spans="1:3" ht="13" x14ac:dyDescent="0.15">
      <c r="A4260" s="1" t="str">
        <f ca="1">IFERROR(__xludf.DUMMYFUNCTION("GOOGLETRANSLATE(A4260, ""zh"", ""en"")"),"We respect employees' rights to hearings and complaints, provide open channels for employees to express their opinions, and ensure confidentiality. We abide by the prohibition of child labor and forced labor. The Group fully guarantees the legal rights of"&amp;" minors and workers, and their physical and mental protection, as well as protection from retaliation.")</f>
        <v>We respect employees' rights to hearings and complaints, provide open channels for employees to express their opinions, and ensure confidentiality. We abide by the prohibition of child labor and forced labor. The Group fully guarantees the legal rights of minors and workers, and their physical and mental protection, as well as protection from retaliation.</v>
      </c>
      <c r="B4260" s="1" t="str">
        <f ca="1">IFERROR(__xludf.DUMMYFUNCTION("GOOGLETRANSLATE(A4260, ""zh"", ""en"")"),"staff")</f>
        <v>staff</v>
      </c>
      <c r="C4260" s="1" t="str">
        <f ca="1">IFERROR(__xludf.DUMMYFUNCTION("GOOGLETRANSLATE(E4260, ""zh"", ""en"")"),"Qualitative text")</f>
        <v>Qualitative text</v>
      </c>
    </row>
    <row r="4261" spans="1:3" ht="13" x14ac:dyDescent="0.15">
      <c r="A4261" s="1" t="str">
        <f ca="1">IFERROR(__xludf.DUMMYFUNCTION("GOOGLETRANSLATE(A4261, ""zh"", ""en"")"),"We develop and integrate data from multiple perspectives and dimensions to intuitively reflect the situation of sunshine procurement, build a comprehensive business management and supervision system that organically combines business management and superv"&amp;"ision, and implement classified management for different types of suppliers, such as production, trade, logistics, and service providers, requiring the provision of specific licensing documents.")</f>
        <v>We develop and integrate data from multiple perspectives and dimensions to intuitively reflect the situation of sunshine procurement, build a comprehensive business management and supervision system that organically combines business management and supervision, and implement classified management for different types of suppliers, such as production, trade, logistics, and service providers, requiring the provision of specific licensing documents.</v>
      </c>
      <c r="B4261" s="1" t="str">
        <f ca="1">IFERROR(__xludf.DUMMYFUNCTION("GOOGLETRANSLATE(A4261, ""zh"", ""en"")"),"supply chain management")</f>
        <v>supply chain management</v>
      </c>
      <c r="C4261" s="1" t="str">
        <f ca="1">IFERROR(__xludf.DUMMYFUNCTION("GOOGLETRANSLATE(E4261, ""zh"", ""en"")"),"Qualitative text")</f>
        <v>Qualitative text</v>
      </c>
    </row>
    <row r="4262" spans="1:3" ht="13" x14ac:dyDescent="0.15">
      <c r="A4262" s="1" t="str">
        <f ca="1">IFERROR(__xludf.DUMMYFUNCTION("GOOGLETRANSLATE(A4262, ""zh"", ""en"")"),"312021 Social Responsibility Report: Protecting a Green Ecosystem Case Study: Cord Fabric Development Company's Waste Gas Treatment Initiative. Since 2019, Cord Fabric Development Company has invested over 13 million yuan in upgrading its waste gas treatm"&amp;"ent projects to further reduce pollutant emissions.")</f>
        <v>312021 Social Responsibility Report: Protecting a Green Ecosystem Case Study: Cord Fabric Development Company's Waste Gas Treatment Initiative. Since 2019, Cord Fabric Development Company has invested over 13 million yuan in upgrading its waste gas treatment projects to further reduce pollutant emissions.</v>
      </c>
      <c r="B4262" s="1" t="str">
        <f ca="1">IFERROR(__xludf.DUMMYFUNCTION("GOOGLETRANSLATE(A4262, ""zh"", ""en"")"),"Waste Management")</f>
        <v>Waste Management</v>
      </c>
      <c r="C4262" s="1" t="str">
        <f ca="1">IFERROR(__xludf.DUMMYFUNCTION("GOOGLETRANSLATE(E4262, ""zh"", ""en"")"),"Quantitative Text")</f>
        <v>Quantitative Text</v>
      </c>
    </row>
    <row r="4263" spans="1:3" ht="13" x14ac:dyDescent="0.15">
      <c r="A4263" s="1" t="str">
        <f ca="1">IFERROR(__xludf.DUMMYFUNCTION("GOOGLETRANSLATE(A4263, ""zh"", ""en"")"),"Carry out the review of relevant rules and regulations on personal information protection. A total of 49 rules and regulations have been formulated and revised, covering many areas such as personal customer information management, employee behavior manage"&amp;"ment, data analysis management, etc.")</f>
        <v>Carry out the review of relevant rules and regulations on personal information protection. A total of 49 rules and regulations have been formulated and revised, covering many areas such as personal customer information management, employee behavior management, data analysis management, etc.</v>
      </c>
      <c r="B4263" s="1" t="str">
        <f ca="1">IFERROR(__xludf.DUMMYFUNCTION("GOOGLETRANSLATE(A4263, ""zh"", ""en"")"),"Data security")</f>
        <v>Data security</v>
      </c>
      <c r="C4263" s="1" t="str">
        <f ca="1">IFERROR(__xludf.DUMMYFUNCTION("GOOGLETRANSLATE(E4263, ""zh"", ""en"")"),"Quantitative Text")</f>
        <v>Quantitative Text</v>
      </c>
    </row>
    <row r="4264" spans="1:3" ht="13" x14ac:dyDescent="0.15">
      <c r="A4264" s="1" t="str">
        <f ca="1">IFERROR(__xludf.DUMMYFUNCTION("GOOGLETRANSLATE(A4264, ""zh"", ""en"")"),"Transformation risk and technological risk. The transition to a low-carbon economy is driving rapid technological development and iteration. Companies need to continue to increase R&amp;D and investment in areas such as renewable energy, energy conservation, "&amp;"and emission reduction technologies to support the achievement of dual carbon goals. However, this will also lead to increased operating costs.")</f>
        <v>Transformation risk and technological risk. The transition to a low-carbon economy is driving rapid technological development and iteration. Companies need to continue to increase R&amp;D and investment in areas such as renewable energy, energy conservation, and emission reduction technologies to support the achievement of dual carbon goals. However, this will also lead to increased operating costs.</v>
      </c>
      <c r="B4264" s="1" t="str">
        <f ca="1">IFERROR(__xludf.DUMMYFUNCTION("GOOGLETRANSLATE(A4264, ""zh"", ""en"")"),"carbon emissions")</f>
        <v>carbon emissions</v>
      </c>
      <c r="C4264" s="1" t="str">
        <f ca="1">IFERROR(__xludf.DUMMYFUNCTION("GOOGLETRANSLATE(E4264, ""zh"", ""en"")"),"Qualitative text")</f>
        <v>Qualitative text</v>
      </c>
    </row>
    <row r="4265" spans="1:3" ht="13" x14ac:dyDescent="0.15">
      <c r="A4265" s="1" t="str">
        <f ca="1">IFERROR(__xludf.DUMMYFUNCTION("GOOGLETRANSLATE(A4265, ""zh"", ""en"")"),"The company invested more than RMB 1.4 million in developing cord fabrics, completed the quick-cut transformation of the heat transfer station control system, upgraded the power supply of the winding control room, and realized the remote control room. In "&amp;"the process of product sales contract signing, the company strictly abided by various laws and regulations to eliminate unfair competition.")</f>
        <v>The company invested more than RMB 1.4 million in developing cord fabrics, completed the quick-cut transformation of the heat transfer station control system, upgraded the power supply of the winding control room, and realized the remote control room. In the process of product sales contract signing, the company strictly abided by various laws and regulations to eliminate unfair competition.</v>
      </c>
      <c r="B4265" s="1" t="str">
        <f ca="1">IFERROR(__xludf.DUMMYFUNCTION("GOOGLETRANSLATE(A4265, ""zh"", ""en"")"),"Anti-unfair competition")</f>
        <v>Anti-unfair competition</v>
      </c>
      <c r="C4265" s="1" t="str">
        <f ca="1">IFERROR(__xludf.DUMMYFUNCTION("GOOGLETRANSLATE(E4265, ""zh"", ""en"")"),"Qualitative text")</f>
        <v>Qualitative text</v>
      </c>
    </row>
    <row r="4266" spans="1:3" ht="13" x14ac:dyDescent="0.15">
      <c r="A4266" s="1" t="str">
        <f ca="1">IFERROR(__xludf.DUMMYFUNCTION("GOOGLETRANSLATE(A4266, ""zh"", ""en"")"),"Shanghai Electric Group Co., Ltd. 73 Shanghai Mitsubishi Elevator originally used hot-dip galvanizing in the production of outdoor components. This process required a highly polluting pickling process in the pre-treatment phase and resulted in long-term h"&amp;"igh carbon emissions due to the high temperature environment.")</f>
        <v>Shanghai Electric Group Co., Ltd. 73 Shanghai Mitsubishi Elevator originally used hot-dip galvanizing in the production of outdoor components. This process required a highly polluting pickling process in the pre-treatment phase and resulted in long-term high carbon emissions due to the high temperature environment.</v>
      </c>
      <c r="B4266" s="1" t="str">
        <f ca="1">IFERROR(__xludf.DUMMYFUNCTION("GOOGLETRANSLATE(A4266, ""zh"", ""en"")"),"carbon emissions")</f>
        <v>carbon emissions</v>
      </c>
      <c r="C4266" s="1" t="str">
        <f ca="1">IFERROR(__xludf.DUMMYFUNCTION("GOOGLETRANSLATE(E4266, ""zh"", ""en"")"),"Qualitative text")</f>
        <v>Qualitative text</v>
      </c>
    </row>
    <row r="4267" spans="1:3" ht="13" x14ac:dyDescent="0.15">
      <c r="A4267" s="1" t="str">
        <f ca="1">IFERROR(__xludf.DUMMYFUNCTION("GOOGLETRANSLATE(A4267, ""zh"", ""en"")"),"At the same time, we actively collected the total energy consumption and energy intensity data of key energy-consuming enterprises under Shanghai Electric Group by issuing the annual energy consumption dual control assessment target summary table to timel"&amp;"y grasp the implementation progress of the energy consumption dual control targets of key energy-consuming enterprises under Shanghai Electric Group.")</f>
        <v>At the same time, we actively collected the total energy consumption and energy intensity data of key energy-consuming enterprises under Shanghai Electric Group by issuing the annual energy consumption dual control assessment target summary table to timely grasp the implementation progress of the energy consumption dual control targets of key energy-consuming enterprises under Shanghai Electric Group.</v>
      </c>
      <c r="B4267" s="1" t="str">
        <f ca="1">IFERROR(__xludf.DUMMYFUNCTION("GOOGLETRANSLATE(A4267, ""zh"", ""en"")"),"Energy and resource consumption")</f>
        <v>Energy and resource consumption</v>
      </c>
      <c r="C4267" s="1" t="str">
        <f ca="1">IFERROR(__xludf.DUMMYFUNCTION("GOOGLETRANSLATE(E4267, ""zh"", ""en"")"),"Qualitative text")</f>
        <v>Qualitative text</v>
      </c>
    </row>
    <row r="4268" spans="1:3" ht="13" x14ac:dyDescent="0.15">
      <c r="A4268" s="1" t="str">
        <f ca="1">IFERROR(__xludf.DUMMYFUNCTION("GOOGLETRANSLATE(A4268, ""zh"", ""en"")"),"Environmental Management System and Objectives Sinopec's Board of Directors and Sustainable Development Committee are responsible for reviewing the company's major environmental decisions. The HSE Management Committee is responsible for reviewing the comp"&amp;"any's environmental protection work plans and related policies and systems, and overseeing the implementation of environmental protection work.")</f>
        <v>Environmental Management System and Objectives Sinopec's Board of Directors and Sustainable Development Committee are responsible for reviewing the company's major environmental decisions. The HSE Management Committee is responsible for reviewing the company's environmental protection work plans and related policies and systems, and overseeing the implementation of environmental protection work.</v>
      </c>
      <c r="B4268" s="1" t="str">
        <f ca="1">IFERROR(__xludf.DUMMYFUNCTION("GOOGLETRANSLATE(A4268, ""zh"", ""en"")"),"Environmental Policy")</f>
        <v>Environmental Policy</v>
      </c>
      <c r="C4268" s="1" t="str">
        <f ca="1">IFERROR(__xludf.DUMMYFUNCTION("GOOGLETRANSLATE(E4268, ""zh"", ""en"")"),"Qualitative text")</f>
        <v>Qualitative text</v>
      </c>
    </row>
    <row r="4269" spans="1:3" ht="13" x14ac:dyDescent="0.15">
      <c r="A4269" s="1" t="str">
        <f ca="1">IFERROR(__xludf.DUMMYFUNCTION("GOOGLETRANSLATE(A4269, ""zh"", ""en"")"),"Essence Securities' chief lecturer conducted online lectures for middle school students in Xi County. SDIC Capital empowered rural talent development and actively carried out training and rural teaching activities. It encouraged all kinds of talent in soc"&amp;"iety to see the countryside, hope for the future of the countryside, and appreciate rural life, improving talent support for rural revitalization.")</f>
        <v>Essence Securities' chief lecturer conducted online lectures for middle school students in Xi County. SDIC Capital empowered rural talent development and actively carried out training and rural teaching activities. It encouraged all kinds of talent in society to see the countryside, hope for the future of the countryside, and appreciate rural life, improving talent support for rural revitalization.</v>
      </c>
      <c r="B4269" s="1" t="str">
        <f ca="1">IFERROR(__xludf.DUMMYFUNCTION("GOOGLETRANSLATE(A4269, ""zh"", ""en"")"),"Rural assistance")</f>
        <v>Rural assistance</v>
      </c>
      <c r="C4269" s="1" t="str">
        <f ca="1">IFERROR(__xludf.DUMMYFUNCTION("GOOGLETRANSLATE(E4269, ""zh"", ""en"")"),"Qualitative text")</f>
        <v>Qualitative text</v>
      </c>
    </row>
    <row r="4270" spans="1:3" ht="13" x14ac:dyDescent="0.15">
      <c r="A4270" s="1" t="str">
        <f ca="1">IFERROR(__xludf.DUMMYFUNCTION("GOOGLETRANSLATE(A4270, ""zh"", ""en"")"),"For each item collected, the Hoover Foundation will add £2.50 to the original amount and donate all the proceeds to the food charity Food Bank in Bolton, Warrington and Merthyr Tydfil in the UK to contribute to the cause of eliminating hunger.")</f>
        <v>For each item collected, the Hoover Foundation will add £2.50 to the original amount and donate all the proceeds to the food charity Food Bank in Bolton, Warrington and Merthyr Tydfil in the UK to contribute to the cause of eliminating hunger.</v>
      </c>
      <c r="B4270" s="1" t="str">
        <f ca="1">IFERROR(__xludf.DUMMYFUNCTION("GOOGLETRANSLATE(A4270, ""zh"", ""en"")"),"Public welfare and volunteer service")</f>
        <v>Public welfare and volunteer service</v>
      </c>
      <c r="C4270" s="1" t="str">
        <f ca="1">IFERROR(__xludf.DUMMYFUNCTION("GOOGLETRANSLATE(E4270, ""zh"", ""en"")"),"Quantitative Text")</f>
        <v>Quantitative Text</v>
      </c>
    </row>
    <row r="4271" spans="1:3" ht="13" x14ac:dyDescent="0.15">
      <c r="A4271" s="1" t="str">
        <f ca="1">IFERROR(__xludf.DUMMYFUNCTION("GOOGLETRANSLATE(A4271, ""zh"", ""en"")"),"Haier Smart Home HOPE Platform was selected as a public service demonstration platform for small and medium-sized enterprises. December 12, 2022 Qingdao Haier Intelligent Technology R&amp;D Co., Ltd. Haier Smart Home HOPE Platform was selected as a national p"&amp;"ublic service demonstration platform for small and medium-sized enterprises in 2022.")</f>
        <v>Haier Smart Home HOPE Platform was selected as a public service demonstration platform for small and medium-sized enterprises. December 12, 2022 Qingdao Haier Intelligent Technology R&amp;D Co., Ltd. Haier Smart Home HOPE Platform was selected as a national public service demonstration platform for small and medium-sized enterprises in 2022.</v>
      </c>
      <c r="B4271" s="1" t="str">
        <f ca="1">IFERROR(__xludf.DUMMYFUNCTION("GOOGLETRANSLATE(A4271, ""zh"", ""en"")"),"Sustainable certification")</f>
        <v>Sustainable certification</v>
      </c>
      <c r="C4271" s="1" t="str">
        <f ca="1">IFERROR(__xludf.DUMMYFUNCTION("GOOGLETRANSLATE(E4271, ""zh"", ""en"")"),"Quantitative Text")</f>
        <v>Quantitative Text</v>
      </c>
    </row>
    <row r="4272" spans="1:3" ht="13" x14ac:dyDescent="0.15">
      <c r="A4272" s="1" t="str">
        <f ca="1">IFERROR(__xludf.DUMMYFUNCTION("GOOGLETRANSLATE(A4272, ""zh"", ""en"")"),"Flexible work provides four working time plans for employees to choose from. Employees can use three attendance methods to clock in and out, including iHaier mobile clock-in. Annual leave arrangements: Employees can set their own annual leave plans. Unuse"&amp;"d annual leave in the current year can be carried forward to the next year.")</f>
        <v>Flexible work provides four working time plans for employees to choose from. Employees can use three attendance methods to clock in and out, including iHaier mobile clock-in. Annual leave arrangements: Employees can set their own annual leave plans. Unused annual leave in the current year can be carried forward to the next year.</v>
      </c>
      <c r="B4272" s="1" t="str">
        <f ca="1">IFERROR(__xludf.DUMMYFUNCTION("GOOGLETRANSLATE(A4272, ""zh"", ""en"")"),"staff")</f>
        <v>staff</v>
      </c>
      <c r="C4272" s="1" t="str">
        <f ca="1">IFERROR(__xludf.DUMMYFUNCTION("GOOGLETRANSLATE(E4272, ""zh"", ""en"")"),"Qualitative text")</f>
        <v>Qualitative text</v>
      </c>
    </row>
    <row r="4273" spans="1:3" ht="13" x14ac:dyDescent="0.15">
      <c r="A4273" s="1" t="str">
        <f ca="1">IFERROR(__xludf.DUMMYFUNCTION("GOOGLETRANSLATE(A4273, ""zh"", ""en"")"),"The company pays great attention to greenhouse gas emissions and strictly implements the relevant laws, regulations and normative documents on greenhouse gas emissions of the country and the countries where it operates, actively promotes the use of clean "&amp;"energy, and contributes to the country's carbon peak in 2030 and carbon neutrality in 2060.")</f>
        <v>The company pays great attention to greenhouse gas emissions and strictly implements the relevant laws, regulations and normative documents on greenhouse gas emissions of the country and the countries where it operates, actively promotes the use of clean energy, and contributes to the country's carbon peak in 2030 and carbon neutrality in 2060.</v>
      </c>
      <c r="B4273" s="1" t="str">
        <f ca="1">IFERROR(__xludf.DUMMYFUNCTION("GOOGLETRANSLATE(A4273, ""zh"", ""en"")"),"carbon emissions")</f>
        <v>carbon emissions</v>
      </c>
      <c r="C4273" s="1" t="str">
        <f ca="1">IFERROR(__xludf.DUMMYFUNCTION("GOOGLETRANSLATE(E4273, ""zh"", ""en"")"),"Qualitative text")</f>
        <v>Qualitative text</v>
      </c>
    </row>
    <row r="4274" spans="1:3" ht="13" x14ac:dyDescent="0.15">
      <c r="A4274" s="1" t="str">
        <f ca="1">IFERROR(__xludf.DUMMYFUNCTION("GOOGLETRANSLATE(A4274, ""zh"", ""en"")"),"COSL 2022 ESG Report 49 Development Path COSL attaches great importance to talent development and establishes a comprehensive career development path. It creates an open and fair working environment for employees, allowing all outstanding employees to ful"&amp;"ly benefit from the company's development achievements and helping employees realize their self-worth.")</f>
        <v>COSL 2022 ESG Report 49 Development Path COSL attaches great importance to talent development and establishes a comprehensive career development path. It creates an open and fair working environment for employees, allowing all outstanding employees to fully benefit from the company's development achievements and helping employees realize their self-worth.</v>
      </c>
      <c r="B4274" s="1" t="str">
        <f ca="1">IFERROR(__xludf.DUMMYFUNCTION("GOOGLETRANSLATE(A4274, ""zh"", ""en"")"),"staff")</f>
        <v>staff</v>
      </c>
      <c r="C4274" s="1" t="str">
        <f ca="1">IFERROR(__xludf.DUMMYFUNCTION("GOOGLETRANSLATE(E4274, ""zh"", ""en"")"),"Qualitative text")</f>
        <v>Qualitative text</v>
      </c>
    </row>
    <row r="4275" spans="1:3" ht="13" x14ac:dyDescent="0.15">
      <c r="A4275" s="1" t="str">
        <f ca="1">IFERROR(__xludf.DUMMYFUNCTION("GOOGLETRANSLATE(A4275, ""zh"", ""en"")"),"HERSSREAM enters Shengyang Gaofeng supplier evaluation and access AA. The company maintains high standards for supplier introduction and exit, strictly regards supplier social responsibility audit as a necessary condition for the introduction of new suppl"&amp;"iers, and establishes a systematic control system for supplier management.")</f>
        <v>HERSSREAM enters Shengyang Gaofeng supplier evaluation and access AA. The company maintains high standards for supplier introduction and exit, strictly regards supplier social responsibility audit as a necessary condition for the introduction of new suppliers, and establishes a systematic control system for supplier management.</v>
      </c>
      <c r="B4275" s="1" t="str">
        <f ca="1">IFERROR(__xludf.DUMMYFUNCTION("GOOGLETRANSLATE(A4275, ""zh"", ""en"")"),"supply chain management")</f>
        <v>supply chain management</v>
      </c>
      <c r="C4275" s="1" t="str">
        <f ca="1">IFERROR(__xludf.DUMMYFUNCTION("GOOGLETRANSLATE(E4275, ""zh"", ""en"")"),"Qualitative text")</f>
        <v>Qualitative text</v>
      </c>
    </row>
    <row r="4276" spans="1:3" ht="13" x14ac:dyDescent="0.15">
      <c r="A4276" s="1" t="str">
        <f ca="1">IFERROR(__xludf.DUMMYFUNCTION("GOOGLETRANSLATE(A4276, ""zh"", ""en"")"),"Xinxiang Haibin has established a special hazardous waste management research team. After brainstorming and several experiments, it successfully subdivided the high-concentration wastewater into its source. The wastewater was pre-treated separately in the"&amp;" workshop and then concentrated under negative pressure in the sewage workshop to reduce the water content of the mother liquor and reduce the amount of hazardous waste generated.")</f>
        <v>Xinxiang Haibin has established a special hazardous waste management research team. After brainstorming and several experiments, it successfully subdivided the high-concentration wastewater into its source. The wastewater was pre-treated separately in the workshop and then concentrated under negative pressure in the sewage workshop to reduce the water content of the mother liquor and reduce the amount of hazardous waste generated.</v>
      </c>
      <c r="B4276" s="1" t="str">
        <f ca="1">IFERROR(__xludf.DUMMYFUNCTION("GOOGLETRANSLATE(A4276, ""zh"", ""en"")"),"Waste Management")</f>
        <v>Waste Management</v>
      </c>
      <c r="C4276" s="1" t="str">
        <f ca="1">IFERROR(__xludf.DUMMYFUNCTION("GOOGLETRANSLATE(E4276, ""zh"", ""en"")"),"Qualitative text")</f>
        <v>Qualitative text</v>
      </c>
    </row>
    <row r="4277" spans="1:3" ht="13" x14ac:dyDescent="0.15">
      <c r="A4277" s="1" t="str">
        <f ca="1">IFERROR(__xludf.DUMMYFUNCTION("GOOGLETRANSLATE(A4277, ""zh"", ""en"")"),"In 2022, the company will reclaim temporary land throughout the entire industry chain and manage the ecological environment. The company is committed to reducing and eliminating the potential impacts that production operations may have on the ecological e"&amp;"nvironment and biodiversity. It insists on source control and implements ecological environment management throughout the entire industry chain and life cycle.")</f>
        <v>In 2022, the company will reclaim temporary land throughout the entire industry chain and manage the ecological environment. The company is committed to reducing and eliminating the potential impacts that production operations may have on the ecological environment and biodiversity. It insists on source control and implements ecological environment management throughout the entire industry chain and life cycle.</v>
      </c>
      <c r="B4277" s="1" t="str">
        <f ca="1">IFERROR(__xludf.DUMMYFUNCTION("GOOGLETRANSLATE(A4277, ""zh"", ""en"")"),"biodiversity")</f>
        <v>biodiversity</v>
      </c>
      <c r="C4277" s="1" t="str">
        <f ca="1">IFERROR(__xludf.DUMMYFUNCTION("GOOGLETRANSLATE(E4277, ""zh"", ""en"")"),"Qualitative text")</f>
        <v>Qualitative text</v>
      </c>
    </row>
    <row r="4278" spans="1:3" ht="13" x14ac:dyDescent="0.15">
      <c r="A4278" s="1" t="str">
        <f ca="1">IFERROR(__xludf.DUMMYFUNCTION("GOOGLETRANSLATE(A4278, ""zh"", ""en"")"),"We closely monitor the policy, legal, technical and market changes related to the low-carbon economic transition in China and around the world. We incorporate climate risks and the impact of low-carbon economic transition policies into our annual policy r"&amp;"esearch topics, identifying and assessing the practical challenges and potential impacts of climate change on the company.")</f>
        <v>We closely monitor the policy, legal, technical and market changes related to the low-carbon economic transition in China and around the world. We incorporate climate risks and the impact of low-carbon economic transition policies into our annual policy research topics, identifying and assessing the practical challenges and potential impacts of climate change on the company.</v>
      </c>
      <c r="B4278" s="1" t="str">
        <f ca="1">IFERROR(__xludf.DUMMYFUNCTION("GOOGLETRANSLATE(A4278, ""zh"", ""en"")"),"Addressing climate change")</f>
        <v>Addressing climate change</v>
      </c>
      <c r="C4278" s="1" t="str">
        <f ca="1">IFERROR(__xludf.DUMMYFUNCTION("GOOGLETRANSLATE(E4278, ""zh"", ""en"")"),"Qualitative text")</f>
        <v>Qualitative text</v>
      </c>
    </row>
    <row r="4279" spans="1:3" ht="13" x14ac:dyDescent="0.15">
      <c r="A4279" s="1" t="str">
        <f ca="1">IFERROR(__xludf.DUMMYFUNCTION("GOOGLETRANSLATE(A4279, ""zh"", ""en"")"),"While focusing on its own business, Kangyuan has always been committed to growing together with its employees. With people-oriented, ingenious quality, innovation, truth-seeking, cooperation and sharing as its core values, it focuses on product quality, t"&amp;"alent training, and its own R&amp;D capabilities to achieve a harmonious unity of corporate and employee values.")</f>
        <v>While focusing on its own business, Kangyuan has always been committed to growing together with its employees. With people-oriented, ingenious quality, innovation, truth-seeking, cooperation and sharing as its core values, it focuses on product quality, talent training, and its own R&amp;D capabilities to achieve a harmonious unity of corporate and employee values.</v>
      </c>
      <c r="B4279" s="1" t="str">
        <f ca="1">IFERROR(__xludf.DUMMYFUNCTION("GOOGLETRANSLATE(A4279, ""zh"", ""en"")"),"staff")</f>
        <v>staff</v>
      </c>
      <c r="C4279" s="1" t="str">
        <f ca="1">IFERROR(__xludf.DUMMYFUNCTION("GOOGLETRANSLATE(E4279, ""zh"", ""en"")"),"Qualitative text")</f>
        <v>Qualitative text</v>
      </c>
    </row>
    <row r="4280" spans="1:3" ht="13" x14ac:dyDescent="0.15">
      <c r="A4280" s="1" t="str">
        <f ca="1">IFERROR(__xludf.DUMMYFUNCTION("GOOGLETRANSLATE(A4280, ""zh"", ""en"")"),"The implementation of the Ten-Year Action Plan for Major Basic Research has been launched. Several new research institutes focusing on new energy and new materials have been steadily launched. Substantial progress has been made in tackling key core techno"&amp;"logies. A number of major innovation achievements have been made. Positive progress has been made in technologies such as geothermal and hydrogen energy storage, which have advanced in the past.")</f>
        <v>The implementation of the Ten-Year Action Plan for Major Basic Research has been launched. Several new research institutes focusing on new energy and new materials have been steadily launched. Substantial progress has been made in tackling key core technologies. A number of major innovation achievements have been made. Positive progress has been made in technologies such as geothermal and hydrogen energy storage, which have advanced in the past.</v>
      </c>
      <c r="B4280" s="1" t="str">
        <f ca="1">IFERROR(__xludf.DUMMYFUNCTION("GOOGLETRANSLATE(A4280, ""zh"", ""en"")"),"Technological innovation")</f>
        <v>Technological innovation</v>
      </c>
      <c r="C4280" s="1" t="str">
        <f ca="1">IFERROR(__xludf.DUMMYFUNCTION("GOOGLETRANSLATE(E4280, ""zh"", ""en"")"),"Qualitative text")</f>
        <v>Qualitative text</v>
      </c>
    </row>
    <row r="4281" spans="1:3" ht="13" x14ac:dyDescent="0.15">
      <c r="A4281" s="1" t="str">
        <f ca="1">IFERROR(__xludf.DUMMYFUNCTION("GOOGLETRANSLATE(A4281, ""zh"", ""en"")"),"Since 2014, the Wrigley Project has funded the University of Queensland's Science Wonders Project, providing learning guidance in science, technology, engineering, and mathematics (STEM) subjects to students in the Bowen and Surat areas. To date, the proj"&amp;"ect has held 13 academic conferences with over 1,300 teachers and students participating.")</f>
        <v>Since 2014, the Wrigley Project has funded the University of Queensland's Science Wonders Project, providing learning guidance in science, technology, engineering, and mathematics (STEM) subjects to students in the Bowen and Surat areas. To date, the project has held 13 academic conferences with over 1,300 teachers and students participating.</v>
      </c>
      <c r="B4281" s="1" t="str">
        <f ca="1">IFERROR(__xludf.DUMMYFUNCTION("GOOGLETRANSLATE(A4281, ""zh"", ""en"")"),"Technological innovation")</f>
        <v>Technological innovation</v>
      </c>
      <c r="C4281" s="1" t="str">
        <f ca="1">IFERROR(__xludf.DUMMYFUNCTION("GOOGLETRANSLATE(E4281, ""zh"", ""en"")"),"Quantitative Text")</f>
        <v>Quantitative Text</v>
      </c>
    </row>
    <row r="4282" spans="1:3" ht="13" x14ac:dyDescent="0.15">
      <c r="A4282" s="1" t="str">
        <f ca="1">IFERROR(__xludf.DUMMYFUNCTION("GOOGLETRANSLATE(A4282, ""zh"", ""en"")"),"Over the years, Tajik-China Mining has actively assumed social responsibilities. Since its establishment, it has spent more than RMB 100 million on local social welfare projects in Tajikistan and has made positive contributions to promoting the economic a"&amp;"nd cultural integration between China and Tajikistan. It has been highly praised by the Tajik government and local residents.")</f>
        <v>Over the years, Tajik-China Mining has actively assumed social responsibilities. Since its establishment, it has spent more than RMB 100 million on local social welfare projects in Tajikistan and has made positive contributions to promoting the economic and cultural integration between China and Tajikistan. It has been highly praised by the Tajik government and local residents.</v>
      </c>
      <c r="B4282" s="1" t="str">
        <f ca="1">IFERROR(__xludf.DUMMYFUNCTION("GOOGLETRANSLATE(A4282, ""zh"", ""en"")"),"Public welfare and volunteer service")</f>
        <v>Public welfare and volunteer service</v>
      </c>
      <c r="C4282" s="1" t="str">
        <f ca="1">IFERROR(__xludf.DUMMYFUNCTION("GOOGLETRANSLATE(E4282, ""zh"", ""en"")"),"Quantitative Text")</f>
        <v>Quantitative Text</v>
      </c>
    </row>
    <row r="4283" spans="1:3" ht="13" x14ac:dyDescent="0.15">
      <c r="A4283" s="1" t="str">
        <f ca="1">IFERROR(__xludf.DUMMYFUNCTION("GOOGLETRANSLATE(A4283, ""zh"", ""en"")"),"Assisted in establishing the Zhejiang Oil Center's shared delivery warehouse in the Zhejiang Free Trade Pilot Zone, Zhoushan Dading Oil Storage, and Zhejiang Oil Center's supply chain integration service cooperative oil depot. Zhejiang Energy Huangzeshan "&amp;"Zhejiang Oil Center 03 served the national strategy of Yangtze River Delta integration and basically established the Yangtze River Delta's integrated spot and futures oil and gas trading market.")</f>
        <v>Assisted in establishing the Zhejiang Oil Center's shared delivery warehouse in the Zhejiang Free Trade Pilot Zone, Zhoushan Dading Oil Storage, and Zhejiang Oil Center's supply chain integration service cooperative oil depot. Zhejiang Energy Huangzeshan Zhejiang Oil Center 03 served the national strategy of Yangtze River Delta integration and basically established the Yangtze River Delta's integrated spot and futures oil and gas trading market.</v>
      </c>
      <c r="B4283" s="1" t="str">
        <f ca="1">IFERROR(__xludf.DUMMYFUNCTION("GOOGLETRANSLATE(A4283, ""zh"", ""en"")"),"supply chain management")</f>
        <v>supply chain management</v>
      </c>
      <c r="C4283" s="1" t="str">
        <f ca="1">IFERROR(__xludf.DUMMYFUNCTION("GOOGLETRANSLATE(E4283, ""zh"", ""en"")"),"Qualitative text")</f>
        <v>Qualitative text</v>
      </c>
    </row>
    <row r="4284" spans="1:3" ht="13" x14ac:dyDescent="0.15">
      <c r="A4284" s="1" t="str">
        <f ca="1">IFERROR(__xludf.DUMMYFUNCTION("GOOGLETRANSLATE(A4284, ""zh"", ""en"")"),"In 2022, we will strengthen energy management and reduce carbon emissions during product production as the focus of our carbon reduction efforts. We will also build a green manufacturing system across our global operations, strengthen emission management "&amp;"and disposal, improve resource efficiency, and increase the proportion of renewable energy.")</f>
        <v>In 2022, we will strengthen energy management and reduce carbon emissions during product production as the focus of our carbon reduction efforts. We will also build a green manufacturing system across our global operations, strengthen emission management and disposal, improve resource efficiency, and increase the proportion of renewable energy.</v>
      </c>
      <c r="B4284" s="1" t="str">
        <f ca="1">IFERROR(__xludf.DUMMYFUNCTION("GOOGLETRANSLATE(A4284, ""zh"", ""en"")"),"carbon emissions")</f>
        <v>carbon emissions</v>
      </c>
      <c r="C4284" s="1" t="str">
        <f ca="1">IFERROR(__xludf.DUMMYFUNCTION("GOOGLETRANSLATE(E4284, ""zh"", ""en"")"),"Qualitative text")</f>
        <v>Qualitative text</v>
      </c>
    </row>
    <row r="4285" spans="1:3" ht="13" x14ac:dyDescent="0.15">
      <c r="A4285" s="1" t="str">
        <f ca="1">IFERROR(__xludf.DUMMYFUNCTION("GOOGLETRANSLATE(A4285, ""zh"", ""en"")"),"Major technological innovations resulted in 5 skilled personnel being newly recognized as Zhejiang Craftsmen, 9 young employees being selected as Zhejiang Young Craftsmen, and Zhejiang Yuantong Auto Rescue Service Co., Ltd. being recognized as a national-"&amp;"level small and medium-sized technology enterprise. Two utility model patents and 12 software copyrights were newly obtained.")</f>
        <v>Major technological innovations resulted in 5 skilled personnel being newly recognized as Zhejiang Craftsmen, 9 young employees being selected as Zhejiang Young Craftsmen, and Zhejiang Yuantong Auto Rescue Service Co., Ltd. being recognized as a national-level small and medium-sized technology enterprise. Two utility model patents and 12 software copyrights were newly obtained.</v>
      </c>
      <c r="B4285" s="1" t="str">
        <f ca="1">IFERROR(__xludf.DUMMYFUNCTION("GOOGLETRANSLATE(A4285, ""zh"", ""en"")"),"Technological innovation")</f>
        <v>Technological innovation</v>
      </c>
      <c r="C4285" s="1" t="str">
        <f ca="1">IFERROR(__xludf.DUMMYFUNCTION("GOOGLETRANSLATE(E4285, ""zh"", ""en"")"),"Quantitative Text")</f>
        <v>Quantitative Text</v>
      </c>
    </row>
    <row r="4286" spans="1:3" ht="13" x14ac:dyDescent="0.15">
      <c r="A4286" s="1" t="str">
        <f ca="1">IFERROR(__xludf.DUMMYFUNCTION("GOOGLETRANSLATE(A4286, ""zh"", ""en"")"),"A total of 392 projects were inspected throughout the year, including 242 safety inspections, 60 special inspections on epidemic prevention, 35 special inspections on fire protection, 17 special inspections on large equipment, 24 special inspections on su"&amp;"bcontractors, and 14 special inspections on climbing frames.")</f>
        <v>A total of 392 projects were inspected throughout the year, including 242 safety inspections, 60 special inspections on epidemic prevention, 35 special inspections on fire protection, 17 special inspections on large equipment, 24 special inspections on subcontractors, and 14 special inspections on climbing frames.</v>
      </c>
      <c r="B4286" s="1" t="str">
        <f ca="1">IFERROR(__xludf.DUMMYFUNCTION("GOOGLETRANSLATE(A4286, ""zh"", ""en"")"),"Fighting the epidemic")</f>
        <v>Fighting the epidemic</v>
      </c>
      <c r="C4286" s="1" t="str">
        <f ca="1">IFERROR(__xludf.DUMMYFUNCTION("GOOGLETRANSLATE(E4286, ""zh"", ""en"")"),"Quantitative Text")</f>
        <v>Quantitative Text</v>
      </c>
    </row>
    <row r="4287" spans="1:3" ht="13" x14ac:dyDescent="0.15">
      <c r="A4287" s="1" t="str">
        <f ca="1">IFERROR(__xludf.DUMMYFUNCTION("GOOGLETRANSLATE(A4287, ""zh"", ""en"")"),"94 new customers were added throughout the year, and a total of 506 customers were served. Settlement services were provided to member units throughout the year, with a year-on-year increase of 36.59% and a year-on-year increase of 21.74% in settlement vo"&amp;"lume. Settlement fees for member units were saved by RMB 11.92 million, contributing to the group's cost reduction and efficiency improvement.")</f>
        <v>94 new customers were added throughout the year, and a total of 506 customers were served. Settlement services were provided to member units throughout the year, with a year-on-year increase of 36.59% and a year-on-year increase of 21.74% in settlement volume. Settlement fees for member units were saved by RMB 11.92 million, contributing to the group's cost reduction and efficiency improvement.</v>
      </c>
      <c r="B4287" s="1" t="str">
        <f ca="1">IFERROR(__xludf.DUMMYFUNCTION("GOOGLETRANSLATE(A4287, ""zh"", ""en"")"),"Customers and Consumers")</f>
        <v>Customers and Consumers</v>
      </c>
      <c r="C4287" s="1" t="str">
        <f ca="1">IFERROR(__xludf.DUMMYFUNCTION("GOOGLETRANSLATE(E4287, ""zh"", ""en"")"),"Quantitative Text")</f>
        <v>Quantitative Text</v>
      </c>
    </row>
    <row r="4288" spans="1:3" ht="13" x14ac:dyDescent="0.15">
      <c r="A4288" s="1" t="str">
        <f ca="1">IFERROR(__xludf.DUMMYFUNCTION("GOOGLETRANSLATE(A4288, ""zh"", ""en"")"),"Employee safety, health, mental health, physical health management. In 2022, under the background of the recurring COVID-19 pandemic and employees frequently working from home, the company organized a number of work activities to help employees overcome n"&amp;"egative emotions such as tension, anxiety, worry, loneliness, etc., in order to improve their personal happiness index during the lockdown period.")</f>
        <v>Employee safety, health, mental health, physical health management. In 2022, under the background of the recurring COVID-19 pandemic and employees frequently working from home, the company organized a number of work activities to help employees overcome negative emotions such as tension, anxiety, worry, loneliness, etc., in order to improve their personal happiness index during the lockdown period.</v>
      </c>
      <c r="B4288" s="1" t="str">
        <f ca="1">IFERROR(__xludf.DUMMYFUNCTION("GOOGLETRANSLATE(A4288, ""zh"", ""en"")"),"Fighting the epidemic")</f>
        <v>Fighting the epidemic</v>
      </c>
      <c r="C4288" s="1" t="str">
        <f ca="1">IFERROR(__xludf.DUMMYFUNCTION("GOOGLETRANSLATE(E4288, ""zh"", ""en"")"),"Qualitative text")</f>
        <v>Qualitative text</v>
      </c>
    </row>
    <row r="4289" spans="1:3" ht="13" x14ac:dyDescent="0.15">
      <c r="A4289" s="1" t="str">
        <f ca="1">IFERROR(__xludf.DUMMYFUNCTION("GOOGLETRANSLATE(A4289, ""zh"", ""en"")"),"Six years of accumulation of service system, nine systems, service products and two major product innovations empower operational effectiveness, consolidate the foundation and achieve breakthroughs. Yuanjuchang encourages the promotion of KOLs and owners "&amp;"to co-create and participate in joint management and operation to maintain stronger stickiness with residents and explore more excellent community resources.")</f>
        <v>Six years of accumulation of service system, nine systems, service products and two major product innovations empower operational effectiveness, consolidate the foundation and achieve breakthroughs. Yuanjuchang encourages the promotion of KOLs and owners to co-create and participate in joint management and operation to maintain stronger stickiness with residents and explore more excellent community resources.</v>
      </c>
      <c r="B4289" s="1" t="str">
        <f ca="1">IFERROR(__xludf.DUMMYFUNCTION("GOOGLETRANSLATE(A4289, ""zh"", ""en"")"),"Customers and Consumers")</f>
        <v>Customers and Consumers</v>
      </c>
      <c r="C4289" s="1" t="str">
        <f ca="1">IFERROR(__xludf.DUMMYFUNCTION("GOOGLETRANSLATE(E4289, ""zh"", ""en"")"),"Qualitative text")</f>
        <v>Qualitative text</v>
      </c>
    </row>
    <row r="4290" spans="1:3" ht="13" x14ac:dyDescent="0.15">
      <c r="A4290" s="1" t="str">
        <f ca="1">IFERROR(__xludf.DUMMYFUNCTION("GOOGLETRANSLATE(A4290, ""zh"", ""en"")"),"Adhere to the five major development strategies as the guide, focus on the main responsibilities and core businesses, insist on specialization and strengthening, improve governance efficiency through continuous deepening of reform, improve the company's h"&amp;"igh-quality development system and mechanism, continuously enhance the company's comprehensive strength, and strive to create a new situation for a world-class energy service company with Chinese characteristics.")</f>
        <v>Adhere to the five major development strategies as the guide, focus on the main responsibilities and core businesses, insist on specialization and strengthening, improve governance efficiency through continuous deepening of reform, improve the company's high-quality development system and mechanism, continuously enhance the company's comprehensive strength, and strive to create a new situation for a world-class energy service company with Chinese characteristics.</v>
      </c>
      <c r="B4290" s="1" t="str">
        <f ca="1">IFERROR(__xludf.DUMMYFUNCTION("GOOGLETRANSLATE(A4290, ""zh"", ""en"")"),"Organizational structure and operations")</f>
        <v>Organizational structure and operations</v>
      </c>
      <c r="C4290" s="1" t="str">
        <f ca="1">IFERROR(__xludf.DUMMYFUNCTION("GOOGLETRANSLATE(E4290, ""zh"", ""en"")"),"Qualitative text")</f>
        <v>Qualitative text</v>
      </c>
    </row>
    <row r="4291" spans="1:3" ht="13" x14ac:dyDescent="0.15">
      <c r="A4291" s="1" t="str">
        <f ca="1">IFERROR(__xludf.DUMMYFUNCTION("GOOGLETRANSLATE(A4291, ""zh"", ""en"")"),"All units in the CMST system participated in the video exhibition on energy conservation and low carbon for central enterprises organized by the State-owned Assets Supervision and Administration Commission. 1,918 people participated in the study of the se"&amp;"ries of themed reports on state-owned assets. 1,720 people participated in the study, which further enhanced the awareness of energy conservation and low carbon among employees and effectively promoted the concept of green development.")</f>
        <v>All units in the CMST system participated in the video exhibition on energy conservation and low carbon for central enterprises organized by the State-owned Assets Supervision and Administration Commission. 1,918 people participated in the study of the series of themed reports on state-owned assets. 1,720 people participated in the study, which further enhanced the awareness of energy conservation and low carbon among employees and effectively promoted the concept of green development.</v>
      </c>
      <c r="B4291" s="1" t="str">
        <f ca="1">IFERROR(__xludf.DUMMYFUNCTION("GOOGLETRANSLATE(A4291, ""zh"", ""en"")"),"Energy and resource consumption")</f>
        <v>Energy and resource consumption</v>
      </c>
      <c r="C4291" s="1" t="str">
        <f ca="1">IFERROR(__xludf.DUMMYFUNCTION("GOOGLETRANSLATE(E4291, ""zh"", ""en"")"),"Quantitative Text")</f>
        <v>Quantitative Text</v>
      </c>
    </row>
    <row r="4292" spans="1:3" ht="13" x14ac:dyDescent="0.15">
      <c r="A4292" s="1" t="str">
        <f ca="1">IFERROR(__xludf.DUMMYFUNCTION("GOOGLETRANSLATE(A4292, ""zh"", ""en"")"),"Health and Safety Visit Tibet Mount Everest Corporate Governance Environment Industry Co-building Employee Community 37 The company is committed to creating a safe and healthy workplace for employees and contractors, preventing work-related injuries and h"&amp;"ealth damage, and effectively managing occupational health and safety risks related to production and operations.")</f>
        <v>Health and Safety Visit Tibet Mount Everest Corporate Governance Environment Industry Co-building Employee Community 37 The company is committed to creating a safe and healthy workplace for employees and contractors, preventing work-related injuries and health damage, and effectively managing occupational health and safety risks related to production and operations.</v>
      </c>
      <c r="B4292" s="1" t="str">
        <f ca="1">IFERROR(__xludf.DUMMYFUNCTION("GOOGLETRANSLATE(A4292, ""zh"", ""en"")"),"staff")</f>
        <v>staff</v>
      </c>
      <c r="C4292" s="1" t="str">
        <f ca="1">IFERROR(__xludf.DUMMYFUNCTION("GOOGLETRANSLATE(E4292, ""zh"", ""en"")"),"Qualitative text")</f>
        <v>Qualitative text</v>
      </c>
    </row>
    <row r="4293" spans="1:3" ht="13" x14ac:dyDescent="0.15">
      <c r="A4293" s="1" t="str">
        <f ca="1">IFERROR(__xludf.DUMMYFUNCTION("GOOGLETRANSLATE(A4293, ""zh"", ""en"")"),"Save at least 300,000 kWh of electricity annually, save 150 kWh of system steam, reduce energy consumption, install photovoltaic power generation systems, reduce emissions from the plant's air conditioning system, optimize the synthesis process, reduce me"&amp;"thanol usage, install heat and humidity pipes, renovate cooling towers, reduce methanol removal water production in the plant and office areas.")</f>
        <v>Save at least 300,000 kWh of electricity annually, save 150 kWh of system steam, reduce energy consumption, install photovoltaic power generation systems, reduce emissions from the plant's air conditioning system, optimize the synthesis process, reduce methanol usage, install heat and humidity pipes, renovate cooling towers, reduce methanol removal water production in the plant and office areas.</v>
      </c>
      <c r="B4293" s="1" t="str">
        <f ca="1">IFERROR(__xludf.DUMMYFUNCTION("GOOGLETRANSLATE(A4293, ""zh"", ""en"")"),"Energy and resource consumption")</f>
        <v>Energy and resource consumption</v>
      </c>
      <c r="C4293" s="1" t="str">
        <f ca="1">IFERROR(__xludf.DUMMYFUNCTION("GOOGLETRANSLATE(E4293, ""zh"", ""en"")"),"Quantitative Text")</f>
        <v>Quantitative Text</v>
      </c>
    </row>
    <row r="4294" spans="1:3" ht="13" x14ac:dyDescent="0.15">
      <c r="A4294" s="1" t="str">
        <f ca="1">IFERROR(__xludf.DUMMYFUNCTION("GOOGLETRANSLATE(A4294, ""zh"", ""en"")"),"Second, we explored and established a climate transition risk stress testing methodology tailored to the Bank's specific circumstances for high-carbon industries such as thermal power, steel, cement, aviation, building materials, and chemicals. This expan"&amp;"ded the depth and breadth of stress testing and accumulated experience for conducting climate risk stress testing in a scientific, systematic, and intelligent manner.")</f>
        <v>Second, we explored and established a climate transition risk stress testing methodology tailored to the Bank's specific circumstances for high-carbon industries such as thermal power, steel, cement, aviation, building materials, and chemicals. This expanded the depth and breadth of stress testing and accumulated experience for conducting climate risk stress testing in a scientific, systematic, and intelligent manner.</v>
      </c>
      <c r="B4294" s="1" t="str">
        <f ca="1">IFERROR(__xludf.DUMMYFUNCTION("GOOGLETRANSLATE(A4294, ""zh"", ""en"")"),"Addressing climate change")</f>
        <v>Addressing climate change</v>
      </c>
      <c r="C4294" s="1" t="str">
        <f ca="1">IFERROR(__xludf.DUMMYFUNCTION("GOOGLETRANSLATE(E4294, ""zh"", ""en"")"),"Qualitative text")</f>
        <v>Qualitative text</v>
      </c>
    </row>
    <row r="4295" spans="1:3" ht="13" x14ac:dyDescent="0.15">
      <c r="A4295" s="1" t="str">
        <f ca="1">IFERROR(__xludf.DUMMYFUNCTION("GOOGLETRANSLATE(A4295, ""zh"", ""en"")"),"Third, we used a bottom-up stress testing approach to quantify the bank's high-carbon industry clients' ability to withstand climate transition risks, as well as the bank's risk tolerance for credit risks caused by climate risks, on a case-by-case basis. "&amp;"This provided support for credit policy formulation and coordinated risk prevention and control.")</f>
        <v>Third, we used a bottom-up stress testing approach to quantify the bank's high-carbon industry clients' ability to withstand climate transition risks, as well as the bank's risk tolerance for credit risks caused by climate risks, on a case-by-case basis. This provided support for credit policy formulation and coordinated risk prevention and control.</v>
      </c>
      <c r="B4295" s="1" t="str">
        <f ca="1">IFERROR(__xludf.DUMMYFUNCTION("GOOGLETRANSLATE(A4295, ""zh"", ""en"")"),"Addressing climate change")</f>
        <v>Addressing climate change</v>
      </c>
      <c r="C4295" s="1" t="str">
        <f ca="1">IFERROR(__xludf.DUMMYFUNCTION("GOOGLETRANSLATE(E4295, ""zh"", ""en"")"),"Qualitative text")</f>
        <v>Qualitative text</v>
      </c>
    </row>
    <row r="4296" spans="1:3" ht="13" x14ac:dyDescent="0.15">
      <c r="A4296" s="1" t="str">
        <f ca="1">IFERROR(__xludf.DUMMYFUNCTION("GOOGLETRANSLATE(A4296, ""zh"", ""en"")"),"All units in the China Storage System actively participated in the Central Enterprises' Agricultural Development Week activities, combining consumption assistance with employee welfare and heatstroke prevention and cooling. Party organizations and trade u"&amp;"nions at all levels fully played their role in publicity and guidance. A total of 4,310 agricultural and sideline products from Xiaochang County were purchased, totaling more than 354,000 yuan.")</f>
        <v>All units in the China Storage System actively participated in the Central Enterprises' Agricultural Development Week activities, combining consumption assistance with employee welfare and heatstroke prevention and cooling. Party organizations and trade unions at all levels fully played their role in publicity and guidance. A total of 4,310 agricultural and sideline products from Xiaochang County were purchased, totaling more than 354,000 yuan.</v>
      </c>
      <c r="B4296" s="1" t="str">
        <f ca="1">IFERROR(__xludf.DUMMYFUNCTION("GOOGLETRANSLATE(A4296, ""zh"", ""en"")"),"Rural assistance")</f>
        <v>Rural assistance</v>
      </c>
      <c r="C4296" s="1" t="str">
        <f ca="1">IFERROR(__xludf.DUMMYFUNCTION("GOOGLETRANSLATE(E4296, ""zh"", ""en"")"),"Quantitative Text")</f>
        <v>Quantitative Text</v>
      </c>
    </row>
    <row r="4297" spans="1:3" ht="13" x14ac:dyDescent="0.15">
      <c r="A4297" s="1" t="str">
        <f ca="1">IFERROR(__xludf.DUMMYFUNCTION("GOOGLETRANSLATE(A4297, ""zh"", ""en"")"),"Offline promotion of Yunongtong service points. By the end of 2022, 440,000 service points will be established nationwide. (China Construction Bank Corporation 2022 Social Responsibility Report) 18 service points will provide services to more than 52 mill"&amp;"ion people, covering most towns and administrative villages across the country.")</f>
        <v>Offline promotion of Yunongtong service points. By the end of 2022, 440,000 service points will be established nationwide. (China Construction Bank Corporation 2022 Social Responsibility Report) 18 service points will provide services to more than 52 million people, covering most towns and administrative villages across the country.</v>
      </c>
      <c r="B4297" s="1" t="str">
        <f ca="1">IFERROR(__xludf.DUMMYFUNCTION("GOOGLETRANSLATE(A4297, ""zh"", ""en"")"),"Rural assistance")</f>
        <v>Rural assistance</v>
      </c>
      <c r="C4297" s="1" t="str">
        <f ca="1">IFERROR(__xludf.DUMMYFUNCTION("GOOGLETRANSLATE(E4297, ""zh"", ""en"")"),"Quantitative Text")</f>
        <v>Quantitative Text</v>
      </c>
    </row>
    <row r="4298" spans="1:3" ht="13" x14ac:dyDescent="0.15">
      <c r="A4298" s="1" t="str">
        <f ca="1">IFERROR(__xludf.DUMMYFUNCTION("GOOGLETRANSLATE(A4298, ""zh"", ""en"")"),"The number of personal mobile banking users disclosed in China Construction Bank's Social Responsibility Report refers to the number of personal customers of China Construction Bank (excluding domestic and overseas subsidiaries) who have opened CCB mobile"&amp;" banking services as of the end of the reporting period.")</f>
        <v>The number of personal mobile banking users disclosed in China Construction Bank's Social Responsibility Report refers to the number of personal customers of China Construction Bank (excluding domestic and overseas subsidiaries) who have opened CCB mobile banking services as of the end of the reporting period.</v>
      </c>
      <c r="B4298" s="1" t="str">
        <f ca="1">IFERROR(__xludf.DUMMYFUNCTION("GOOGLETRANSLATE(A4298, ""zh"", ""en"")"),"Customers and Consumers")</f>
        <v>Customers and Consumers</v>
      </c>
      <c r="C4298" s="1" t="str">
        <f ca="1">IFERROR(__xludf.DUMMYFUNCTION("GOOGLETRANSLATE(E4298, ""zh"", ""en"")"),"Quantitative Text")</f>
        <v>Quantitative Text</v>
      </c>
    </row>
    <row r="4299" spans="1:3" ht="13" x14ac:dyDescent="0.15">
      <c r="A4299" s="1" t="str">
        <f ca="1">IFERROR(__xludf.DUMMYFUNCTION("GOOGLETRANSLATE(A4299, ""zh"", ""en"")"),"In the practice of equipment management, we continuously promote new technologies, new equipment, new materials and new methods, continuously optimize and innovate, effectively promote the role of mining equipment in the company's production and operation"&amp;", and make great contributions to improving production efficiency, safety protection, energy conservation and consumption reduction.")</f>
        <v>In the practice of equipment management, we continuously promote new technologies, new equipment, new materials and new methods, continuously optimize and innovate, effectively promote the role of mining equipment in the company's production and operation, and make great contributions to improving production efficiency, safety protection, energy conservation and consumption reduction.</v>
      </c>
      <c r="B4299" s="1" t="str">
        <f ca="1">IFERROR(__xludf.DUMMYFUNCTION("GOOGLETRANSLATE(A4299, ""zh"", ""en"")"),"Technological innovation")</f>
        <v>Technological innovation</v>
      </c>
      <c r="C4299" s="1" t="str">
        <f ca="1">IFERROR(__xludf.DUMMYFUNCTION("GOOGLETRANSLATE(E4299, ""zh"", ""en"")"),"Qualitative text")</f>
        <v>Qualitative text</v>
      </c>
    </row>
    <row r="4300" spans="1:3" ht="13" x14ac:dyDescent="0.15">
      <c r="A4300" s="1" t="str">
        <f ca="1">IFERROR(__xludf.DUMMYFUNCTION("GOOGLETRANSLATE(A4300, ""zh"", ""en"")"),"The launch of the IoT-based smart park platform and dual-system safety management platform provides scientific and technological support for improving the digitalization level of industrial and mining and logistics parks, enhancing park management efficie"&amp;"ncy, establishing a safety risk classification management and hidden danger investigation and treatment system, and promoting inherent safety.")</f>
        <v>The launch of the IoT-based smart park platform and dual-system safety management platform provides scientific and technological support for improving the digitalization level of industrial and mining and logistics parks, enhancing park management efficiency, establishing a safety risk classification management and hidden danger investigation and treatment system, and promoting inherent safety.</v>
      </c>
      <c r="B4300" s="1" t="str">
        <f ca="1">IFERROR(__xludf.DUMMYFUNCTION("GOOGLETRANSLATE(A4300, ""zh"", ""en"")"),"Clean Technology")</f>
        <v>Clean Technology</v>
      </c>
      <c r="C4300" s="1" t="str">
        <f ca="1">IFERROR(__xludf.DUMMYFUNCTION("GOOGLETRANSLATE(E4300, ""zh"", ""en"")"),"Qualitative text")</f>
        <v>Qualitative text</v>
      </c>
    </row>
    <row r="4301" spans="1:3" ht="13" x14ac:dyDescent="0.15">
      <c r="A4301" s="1" t="str">
        <f ca="1">IFERROR(__xludf.DUMMYFUNCTION("GOOGLETRANSLATE(A4301, ""zh"", ""en"")"),"Employees can participate in internal recruitment based on the vacant job recruitment information published within the group. Employees who meet the job requirements and pass the interview can go through the transfer procedures according to the formal rec"&amp;"ruitment process. They can use their understanding of the company's current business situation to quickly start work and give full play to their talents.")</f>
        <v>Employees can participate in internal recruitment based on the vacant job recruitment information published within the group. Employees who meet the job requirements and pass the interview can go through the transfer procedures according to the formal recruitment process. They can use their understanding of the company's current business situation to quickly start work and give full play to their talents.</v>
      </c>
      <c r="B4301" s="1" t="str">
        <f ca="1">IFERROR(__xludf.DUMMYFUNCTION("GOOGLETRANSLATE(A4301, ""zh"", ""en"")"),"staff")</f>
        <v>staff</v>
      </c>
      <c r="C4301" s="1" t="str">
        <f ca="1">IFERROR(__xludf.DUMMYFUNCTION("GOOGLETRANSLATE(E4301, ""zh"", ""en"")"),"Qualitative text")</f>
        <v>Qualitative text</v>
      </c>
    </row>
    <row r="4302" spans="1:3" ht="13" x14ac:dyDescent="0.15">
      <c r="A4302" s="1" t="str">
        <f ca="1">IFERROR(__xludf.DUMMYFUNCTION("GOOGLETRANSLATE(A4302, ""zh"", ""en"")"),"The Supervisory Board holds regular meetings and publishes internal control self-assessment reports, corporate social responsibility reports (CSR reports), and environmental and social governance reports (ESG reports) as needed. The company's articles of "&amp;"association include rules of procedure for the Supervisory Board meetings.")</f>
        <v>The Supervisory Board holds regular meetings and publishes internal control self-assessment reports, corporate social responsibility reports (CSR reports), and environmental and social governance reports (ESG reports) as needed. The company's articles of association include rules of procedure for the Supervisory Board meetings.</v>
      </c>
      <c r="B4302" s="1" t="str">
        <f ca="1">IFERROR(__xludf.DUMMYFUNCTION("GOOGLETRANSLATE(A4302, ""zh"", ""en"")"),"Organizational structure and operations")</f>
        <v>Organizational structure and operations</v>
      </c>
      <c r="C4302" s="1" t="str">
        <f ca="1">IFERROR(__xludf.DUMMYFUNCTION("GOOGLETRANSLATE(E4302, ""zh"", ""en"")"),"Qualitative text")</f>
        <v>Qualitative text</v>
      </c>
    </row>
    <row r="4303" spans="1:3" ht="13" x14ac:dyDescent="0.15">
      <c r="A4303" s="1" t="str">
        <f ca="1">IFERROR(__xludf.DUMMYFUNCTION("GOOGLETRANSLATE(A4303, ""zh"", ""en"")"),"During the reporting period, the company disclosed 73 periodic reports, temporary announcements and documents, including 10 2022 Social Responsibility Reports, which provided investors with timely, accurate and complete information on the company's major "&amp;"operating and management situations, facilitating investors' reasonable judgment. No information disclosure violations occurred throughout the year.")</f>
        <v>During the reporting period, the company disclosed 73 periodic reports, temporary announcements and documents, including 10 2022 Social Responsibility Reports, which provided investors with timely, accurate and complete information on the company's major operating and management situations, facilitating investors' reasonable judgment. No information disclosure violations occurred throughout the year.</v>
      </c>
      <c r="B4303" s="1" t="str">
        <f ca="1">IFERROR(__xludf.DUMMYFUNCTION("GOOGLETRANSLATE(A4303, ""zh"", ""en"")"),"Information Disclosure and Investor Communication")</f>
        <v>Information Disclosure and Investor Communication</v>
      </c>
      <c r="C4303" s="1" t="str">
        <f ca="1">IFERROR(__xludf.DUMMYFUNCTION("GOOGLETRANSLATE(E4303, ""zh"", ""en"")"),"Quantitative Text")</f>
        <v>Quantitative Text</v>
      </c>
    </row>
    <row r="4304" spans="1:3" ht="13" x14ac:dyDescent="0.15">
      <c r="A4304" s="1" t="str">
        <f ca="1">IFERROR(__xludf.DUMMYFUNCTION("GOOGLETRANSLATE(A4304, ""zh"", ""en"")"),"2122 Strengthening Safety Barriers Strengthening Safety Barriers Strengthening Safety Management Shenma Co., Ltd. implements relevant laws and regulations on production safety, improves safety management mechanisms, establishes a high-standard safety mana"&amp;"gement system, strengthens the implementation of the main responsibility for production safety, and lays a solid foundation for the company's stable operation.")</f>
        <v>2122 Strengthening Safety Barriers Strengthening Safety Barriers Strengthening Safety Management Shenma Co., Ltd. implements relevant laws and regulations on production safety, improves safety management mechanisms, establishes a high-standard safety management system, strengthens the implementation of the main responsibility for production safety, and lays a solid foundation for the company's stable operation.</v>
      </c>
      <c r="B4304" s="1" t="str">
        <f ca="1">IFERROR(__xludf.DUMMYFUNCTION("GOOGLETRANSLATE(A4304, ""zh"", ""en"")"),"staff")</f>
        <v>staff</v>
      </c>
      <c r="C4304" s="1" t="str">
        <f ca="1">IFERROR(__xludf.DUMMYFUNCTION("GOOGLETRANSLATE(E4304, ""zh"", ""en"")"),"Qualitative text")</f>
        <v>Qualitative text</v>
      </c>
    </row>
    <row r="4305" spans="1:3" ht="13" x14ac:dyDescent="0.15">
      <c r="A4305" s="1" t="str">
        <f ca="1">IFERROR(__xludf.DUMMYFUNCTION("GOOGLETRANSLATE(A4305, ""zh"", ""en"")"),"In July 2022, Yichang Renfu donated RMB 1 million to Hubei Medical University to support the construction and development of the hospital's anesthesiology and pharmacy majors, including the establishment of Renfu scholarships, the opening of Renfu pharmac"&amp;"y classes, funding of scientific research projects, teacher development, and student entrepreneurship and employment.")</f>
        <v>In July 2022, Yichang Renfu donated RMB 1 million to Hubei Medical University to support the construction and development of the hospital's anesthesiology and pharmacy majors, including the establishment of Renfu scholarships, the opening of Renfu pharmacy classes, funding of scientific research projects, teacher development, and student entrepreneurship and employment.</v>
      </c>
      <c r="B4305" s="1" t="str">
        <f ca="1">IFERROR(__xludf.DUMMYFUNCTION("GOOGLETRANSLATE(A4305, ""zh"", ""en"")"),"Public welfare and volunteer service")</f>
        <v>Public welfare and volunteer service</v>
      </c>
      <c r="C4305" s="1" t="str">
        <f ca="1">IFERROR(__xludf.DUMMYFUNCTION("GOOGLETRANSLATE(E4305, ""zh"", ""en"")"),"Quantitative Text")</f>
        <v>Quantitative Text</v>
      </c>
    </row>
    <row r="4306" spans="1:3" ht="13" x14ac:dyDescent="0.15">
      <c r="A4306" s="1" t="str">
        <f ca="1">IFERROR(__xludf.DUMMYFUNCTION("GOOGLETRANSLATE(A4306, ""zh"", ""en"")"),"This year, we revised the Compensation Management Measures of CITIC Securities Co., Ltd., including the Deferred Bonus and Loyalty Award Management Measures. This further streamlined and optimized compensation principles, clarified the applicable scope an"&amp;"d rules for deferred bonuses, and standardized the compensation management system.")</f>
        <v>This year, we revised the Compensation Management Measures of CITIC Securities Co., Ltd., including the Deferred Bonus and Loyalty Award Management Measures. This further streamlined and optimized compensation principles, clarified the applicable scope and rules for deferred bonuses, and standardized the compensation management system.</v>
      </c>
      <c r="B4306" s="1" t="str">
        <f ca="1">IFERROR(__xludf.DUMMYFUNCTION("GOOGLETRANSLATE(A4306, ""zh"", ""en"")"),"staff")</f>
        <v>staff</v>
      </c>
      <c r="C4306" s="1" t="str">
        <f ca="1">IFERROR(__xludf.DUMMYFUNCTION("GOOGLETRANSLATE(E4306, ""zh"", ""en"")"),"Qualitative text")</f>
        <v>Qualitative text</v>
      </c>
    </row>
    <row r="4307" spans="1:3" ht="13" x14ac:dyDescent="0.15">
      <c r="A4307" s="1" t="str">
        <f ca="1">IFERROR(__xludf.DUMMYFUNCTION("GOOGLETRANSLATE(A4307, ""zh"", ""en"")"),"Dongyuan Group has always regarded product strength as its primary competitive advantage and customer value as its core orientation. It believes that providing products is by no means a one-time act. To this end, Dongyuan has continuously honed its intern"&amp;"al strength, innovated and upgraded, and insisted on providing customers with warm and valuable services throughout the entire product development cycle.")</f>
        <v>Dongyuan Group has always regarded product strength as its primary competitive advantage and customer value as its core orientation. It believes that providing products is by no means a one-time act. To this end, Dongyuan has continuously honed its internal strength, innovated and upgraded, and insisted on providing customers with warm and valuable services throughout the entire product development cycle.</v>
      </c>
      <c r="B4307" s="1" t="str">
        <f ca="1">IFERROR(__xludf.DUMMYFUNCTION("GOOGLETRANSLATE(A4307, ""zh"", ""en"")"),"Customers and Consumers")</f>
        <v>Customers and Consumers</v>
      </c>
      <c r="C4307" s="1" t="str">
        <f ca="1">IFERROR(__xludf.DUMMYFUNCTION("GOOGLETRANSLATE(E4307, ""zh"", ""en"")"),"Qualitative text")</f>
        <v>Qualitative text</v>
      </c>
    </row>
    <row r="4308" spans="1:3" ht="13" x14ac:dyDescent="0.15">
      <c r="A4308" s="1" t="str">
        <f ca="1">IFERROR(__xludf.DUMMYFUNCTION("GOOGLETRANSLATE(A4308, ""zh"", ""en"")"),"Shanghai Electric breaks the world record for the largest wind turbine diameter connected to the grid. In February 2022, the eighth unit of the Zhejiang Petrochemical Phase II thermal desalination project was commissioned. Thus, all eight systems of the 2"&amp;"00,000-ton thermal desalination project have been installed and commissioned.")</f>
        <v>Shanghai Electric breaks the world record for the largest wind turbine diameter connected to the grid. In February 2022, the eighth unit of the Zhejiang Petrochemical Phase II thermal desalination project was commissioned. Thus, all eight systems of the 200,000-ton thermal desalination project have been installed and commissioned.</v>
      </c>
      <c r="B4308" s="1" t="str">
        <f ca="1">IFERROR(__xludf.DUMMYFUNCTION("GOOGLETRANSLATE(A4308, ""zh"", ""en"")"),"Water resources")</f>
        <v>Water resources</v>
      </c>
      <c r="C4308" s="1" t="str">
        <f ca="1">IFERROR(__xludf.DUMMYFUNCTION("GOOGLETRANSLATE(E4308, ""zh"", ""en"")"),"Quantitative Text")</f>
        <v>Quantitative Text</v>
      </c>
    </row>
    <row r="4309" spans="1:3" ht="13" x14ac:dyDescent="0.15">
      <c r="A4309" s="1" t="str">
        <f ca="1">IFERROR(__xludf.DUMMYFUNCTION("GOOGLETRANSLATE(A4309, ""zh"", ""en"")"),"Organized a viewing of the opening ceremony of the 20th National Congress of the Communist Party of China; formulated and issued a work plan for study, publicity and implementation; promptly held special training sessions; members of the company's Party C"&amp;"ommittee took the lead in conducting collective study and discussion, teaching special Party lectures, and inviting well-known experts to give guidance reports; simultaneously distributed learning materials and released online guidance videos.")</f>
        <v>Organized a viewing of the opening ceremony of the 20th National Congress of the Communist Party of China; formulated and issued a work plan for study, publicity and implementation; promptly held special training sessions; members of the company's Party Committee took the lead in conducting collective study and discussion, teaching special Party lectures, and inviting well-known experts to give guidance reports; simultaneously distributed learning materials and released online guidance videos.</v>
      </c>
      <c r="B4309" s="1" t="str">
        <f ca="1">IFERROR(__xludf.DUMMYFUNCTION("GOOGLETRANSLATE(A4309, ""zh"", ""en"")"),"Organizational structure and operations")</f>
        <v>Organizational structure and operations</v>
      </c>
      <c r="C4309" s="1" t="str">
        <f ca="1">IFERROR(__xludf.DUMMYFUNCTION("GOOGLETRANSLATE(E4309, ""zh"", ""en"")"),"Qualitative text")</f>
        <v>Qualitative text</v>
      </c>
    </row>
    <row r="4310" spans="1:3" ht="13" x14ac:dyDescent="0.15">
      <c r="A4310" s="1" t="str">
        <f ca="1">IFERROR(__xludf.DUMMYFUNCTION("GOOGLETRANSLATE(A4310, ""zh"", ""en"")"),"During the epidemic, Yuanjuchang made full use of its potential social resources and actively cooperated with Yakult Wuxi Branch to donate 800 bottles of Yakult to the Lixi and Liangxi communities as friendly neighborly love supplies to help community wor"&amp;"kers and other volunteer groups fighting on the front line of the epidemic to cool down and recharge.")</f>
        <v>During the epidemic, Yuanjuchang made full use of its potential social resources and actively cooperated with Yakult Wuxi Branch to donate 800 bottles of Yakult to the Lixi and Liangxi communities as friendly neighborly love supplies to help community workers and other volunteer groups fighting on the front line of the epidemic to cool down and recharge.</v>
      </c>
      <c r="B4310" s="1" t="str">
        <f ca="1">IFERROR(__xludf.DUMMYFUNCTION("GOOGLETRANSLATE(A4310, ""zh"", ""en"")"),"Fighting the epidemic")</f>
        <v>Fighting the epidemic</v>
      </c>
      <c r="C4310" s="1" t="str">
        <f ca="1">IFERROR(__xludf.DUMMYFUNCTION("GOOGLETRANSLATE(E4310, ""zh"", ""en"")"),"Quantitative Text")</f>
        <v>Quantitative Text</v>
      </c>
    </row>
    <row r="4311" spans="1:3" ht="13" x14ac:dyDescent="0.15">
      <c r="A4311" s="1" t="str">
        <f ca="1">IFERROR(__xludf.DUMMYFUNCTION("GOOGLETRANSLATE(A4311, ""zh"", ""en"")"),"Industrial Innovation Platform Industrial Driven Industrial Innovation Center Wind and Solar Energy Storage Industrial Innovation Center Wind and Greening Industrial Innovation Center Industrial Capital Platform Activate the industry-university-research-i"&amp;"nvestment-incubation innovation ecosystem with the industrial capital platform, effectively utilize external innovation and entrepreneurship resources to form an internal and external synergy linkage mechanism")</f>
        <v>Industrial Innovation Platform Industrial Driven Industrial Innovation Center Wind and Solar Energy Storage Industrial Innovation Center Wind and Greening Industrial Innovation Center Industrial Capital Platform Activate the industry-university-research-investment-incubation innovation ecosystem with the industrial capital platform, effectively utilize external innovation and entrepreneurship resources to form an internal and external synergy linkage mechanism</v>
      </c>
      <c r="B4311" s="1" t="str">
        <f ca="1">IFERROR(__xludf.DUMMYFUNCTION("GOOGLETRANSLATE(A4311, ""zh"", ""en"")"),"Technological innovation")</f>
        <v>Technological innovation</v>
      </c>
      <c r="C4311" s="1" t="str">
        <f ca="1">IFERROR(__xludf.DUMMYFUNCTION("GOOGLETRANSLATE(E4311, ""zh"", ""en"")"),"Qualitative text")</f>
        <v>Qualitative text</v>
      </c>
    </row>
    <row r="4312" spans="1:3" ht="13" x14ac:dyDescent="0.15">
      <c r="A4312" s="1" t="str">
        <f ca="1">IFERROR(__xludf.DUMMYFUNCTION("GOOGLETRANSLATE(A4312, ""zh"", ""en"")"),"In early June, Evergreen Society and Chunyu Doctor launched a month-long online free clinic service for the COVID-19 pandemic. This charity clinic activity can fully utilize the advantages of Internet medical resources to provide free answers to questions"&amp;" for the elderly of Dima Evergreen Society.")</f>
        <v>In early June, Evergreen Society and Chunyu Doctor launched a month-long online free clinic service for the COVID-19 pandemic. This charity clinic activity can fully utilize the advantages of Internet medical resources to provide free answers to questions for the elderly of Dima Evergreen Society.</v>
      </c>
      <c r="B4312" s="1" t="str">
        <f ca="1">IFERROR(__xludf.DUMMYFUNCTION("GOOGLETRANSLATE(A4312, ""zh"", ""en"")"),"Fighting the epidemic")</f>
        <v>Fighting the epidemic</v>
      </c>
      <c r="C4312" s="1" t="str">
        <f ca="1">IFERROR(__xludf.DUMMYFUNCTION("GOOGLETRANSLATE(E4312, ""zh"", ""en"")"),"Qualitative text")</f>
        <v>Qualitative text</v>
      </c>
    </row>
    <row r="4313" spans="1:3" ht="13" x14ac:dyDescent="0.15">
      <c r="A4313" s="1" t="str">
        <f ca="1">IFERROR(__xludf.DUMMYFUNCTION("GOOGLETRANSLATE(A4313, ""zh"", ""en"")"),"Sinopec has been carrying out the ""Warm Station Full of Love Home"" service for the tenth consecutive year. It is a large-scale public welfare activity for migrant workers returning home during the Spring Festival. It uses gas stations as a service platf"&amp;"orm to provide free refueling for returning motorcycles in key areas such as Guangdong, Guangxi, and Jiangxi. It also provides free services such as hot porridge, ginger soup, rest rooms, and mother-and-baby rooms.")</f>
        <v>Sinopec has been carrying out the "Warm Station Full of Love Home" service for the tenth consecutive year. It is a large-scale public welfare activity for migrant workers returning home during the Spring Festival. It uses gas stations as a service platform to provide free refueling for returning motorcycles in key areas such as Guangdong, Guangxi, and Jiangxi. It also provides free services such as hot porridge, ginger soup, rest rooms, and mother-and-baby rooms.</v>
      </c>
      <c r="B4313" s="1" t="str">
        <f ca="1">IFERROR(__xludf.DUMMYFUNCTION("GOOGLETRANSLATE(A4313, ""zh"", ""en"")"),"Public welfare and volunteer service")</f>
        <v>Public welfare and volunteer service</v>
      </c>
      <c r="C4313" s="1" t="str">
        <f ca="1">IFERROR(__xludf.DUMMYFUNCTION("GOOGLETRANSLATE(E4313, ""zh"", ""en"")"),"Qualitative text")</f>
        <v>Qualitative text</v>
      </c>
    </row>
    <row r="4314" spans="1:3" ht="13" x14ac:dyDescent="0.15">
      <c r="A4314" s="1" t="str">
        <f ca="1">IFERROR(__xludf.DUMMYFUNCTION("GOOGLETRANSLATE(A4314, ""zh"", ""en"")"),"Based on the in-depth cooperation among the three parties, Minhang's medium-capacity rail transit will enter a new stage of higher quality, higher level and higher level, forming a new situation of demonstration integration, technological innovation and i"&amp;"ndustrial implementation, helping to build the Yangtze River Delta on rails and promote the development of a modern comprehensive transportation system.")</f>
        <v>Based on the in-depth cooperation among the three parties, Minhang's medium-capacity rail transit will enter a new stage of higher quality, higher level and higher level, forming a new situation of demonstration integration, technological innovation and industrial implementation, helping to build the Yangtze River Delta on rails and promote the development of a modern comprehensive transportation system.</v>
      </c>
      <c r="B4314" s="1" t="str">
        <f ca="1">IFERROR(__xludf.DUMMYFUNCTION("GOOGLETRANSLATE(A4314, ""zh"", ""en"")"),"Technological innovation")</f>
        <v>Technological innovation</v>
      </c>
      <c r="C4314" s="1" t="str">
        <f ca="1">IFERROR(__xludf.DUMMYFUNCTION("GOOGLETRANSLATE(E4314, ""zh"", ""en"")"),"Qualitative text")</f>
        <v>Qualitative text</v>
      </c>
    </row>
    <row r="4315" spans="1:3" ht="13" x14ac:dyDescent="0.15">
      <c r="A4315" s="1" t="str">
        <f ca="1">IFERROR(__xludf.DUMMYFUNCTION("GOOGLETRANSLATE(A4315, ""zh"", ""en"")"),"Shanghai Electric Group Co., Ltd. (97) has long considered safeguarding employee rights and interests a priority, firmly protecting employees' rights to know, participate, and supervise, and actively promoting exchanges and communication between employees"&amp;" and the Group.")</f>
        <v>Shanghai Electric Group Co., Ltd. (97) has long considered safeguarding employee rights and interests a priority, firmly protecting employees' rights to know, participate, and supervise, and actively promoting exchanges and communication between employees and the Group.</v>
      </c>
      <c r="B4315" s="1" t="str">
        <f ca="1">IFERROR(__xludf.DUMMYFUNCTION("GOOGLETRANSLATE(A4315, ""zh"", ""en"")"),"staff")</f>
        <v>staff</v>
      </c>
      <c r="C4315" s="1" t="str">
        <f ca="1">IFERROR(__xludf.DUMMYFUNCTION("GOOGLETRANSLATE(E4315, ""zh"", ""en"")"),"Qualitative text")</f>
        <v>Qualitative text</v>
      </c>
    </row>
    <row r="4316" spans="1:3" ht="13" x14ac:dyDescent="0.15">
      <c r="A4316" s="1" t="str">
        <f ca="1">IFERROR(__xludf.DUMMYFUNCTION("GOOGLETRANSLATE(A4316, ""zh"", ""en"")"),"We hope that both parties will leverage the geographical advantages of Shanghai and the Yangtze River Delta region to jointly expand growth in new sectors such as emerging power digital distribution networks and actively explore new models of business coo"&amp;"peration, contributing their respective strengths to the country's construction of a new power system and market dominated by new energy.")</f>
        <v>We hope that both parties will leverage the geographical advantages of Shanghai and the Yangtze River Delta region to jointly expand growth in new sectors such as emerging power digital distribution networks and actively explore new models of business cooperation, contributing their respective strengths to the country's construction of a new power system and market dominated by new energy.</v>
      </c>
      <c r="B4316" s="1" t="str">
        <f ca="1">IFERROR(__xludf.DUMMYFUNCTION("GOOGLETRANSLATE(A4316, ""zh"", ""en"")"),"Energy and resource consumption")</f>
        <v>Energy and resource consumption</v>
      </c>
      <c r="C4316" s="1" t="str">
        <f ca="1">IFERROR(__xludf.DUMMYFUNCTION("GOOGLETRANSLATE(E4316, ""zh"", ""en"")"),"Qualitative text")</f>
        <v>Qualitative text</v>
      </c>
    </row>
    <row r="4317" spans="1:3" ht="13" x14ac:dyDescent="0.15">
      <c r="A4317" s="1" t="str">
        <f ca="1">IFERROR(__xludf.DUMMYFUNCTION("GOOGLETRANSLATE(A4317, ""zh"", ""en"")"),"We focus on R&amp;D, Technology, Quality, Response, and Delivery, and establish a supplier-user performance evaluation system based on five dimensions. We conduct comprehensive performance appraisals on suppliers every year.")</f>
        <v>We focus on R&amp;D, Technology, Quality, Response, and Delivery, and establish a supplier-user performance evaluation system based on five dimensions. We conduct comprehensive performance appraisals on suppliers every year.</v>
      </c>
      <c r="B4317" s="1" t="str">
        <f ca="1">IFERROR(__xludf.DUMMYFUNCTION("GOOGLETRANSLATE(A4317, ""zh"", ""en"")"),"supply chain management")</f>
        <v>supply chain management</v>
      </c>
      <c r="C4317" s="1" t="str">
        <f ca="1">IFERROR(__xludf.DUMMYFUNCTION("GOOGLETRANSLATE(E4317, ""zh"", ""en"")"),"Qualitative text")</f>
        <v>Qualitative text</v>
      </c>
    </row>
    <row r="4318" spans="1:3" ht="13" x14ac:dyDescent="0.15">
      <c r="A4318" s="1" t="str">
        <f ca="1">IFERROR(__xludf.DUMMYFUNCTION("GOOGLETRANSLATE(A4318, ""zh"", ""en"")"),"The Urban Digital Security Base actively carries out the construction of the Urban Digital Security Base, bringing the ability to serve hundreds of millions of individual users and national security to cities, helping cities build digital security bases a"&amp;"nd create a city-level security operation system that perceives risks, sees threats and resists attacks.")</f>
        <v>The Urban Digital Security Base actively carries out the construction of the Urban Digital Security Base, bringing the ability to serve hundreds of millions of individual users and national security to cities, helping cities build digital security bases and create a city-level security operation system that perceives risks, sees threats and resists attacks.</v>
      </c>
      <c r="B4318" s="1" t="str">
        <f ca="1">IFERROR(__xludf.DUMMYFUNCTION("GOOGLETRANSLATE(A4318, ""zh"", ""en"")"),"Data security")</f>
        <v>Data security</v>
      </c>
      <c r="C4318" s="1" t="str">
        <f ca="1">IFERROR(__xludf.DUMMYFUNCTION("GOOGLETRANSLATE(E4318, ""zh"", ""en"")"),"Qualitative text")</f>
        <v>Qualitative text</v>
      </c>
    </row>
    <row r="4319" spans="1:3" ht="13" x14ac:dyDescent="0.15">
      <c r="A4319" s="1" t="str">
        <f ca="1">IFERROR(__xludf.DUMMYFUNCTION("GOOGLETRANSLATE(A4319, ""zh"", ""en"")"),"Helping customers increase reserves and production, COSL's AICD screen packing and water control technology was successfully implemented in a horizontal well in the Bohai Oilfield in 2022, achieving zero packing tool failures and 100% particle packing eff"&amp;"iciency, providing reliable support for subsequent particle sand and water control efforts.")</f>
        <v>Helping customers increase reserves and production, COSL's AICD screen packing and water control technology was successfully implemented in a horizontal well in the Bohai Oilfield in 2022, achieving zero packing tool failures and 100% particle packing efficiency, providing reliable support for subsequent particle sand and water control efforts.</v>
      </c>
      <c r="B4319" s="1" t="str">
        <f ca="1">IFERROR(__xludf.DUMMYFUNCTION("GOOGLETRANSLATE(A4319, ""zh"", ""en"")"),"Clean Technology")</f>
        <v>Clean Technology</v>
      </c>
      <c r="C4319" s="1" t="str">
        <f ca="1">IFERROR(__xludf.DUMMYFUNCTION("GOOGLETRANSLATE(E4319, ""zh"", ""en"")"),"Qualitative text")</f>
        <v>Qualitative text</v>
      </c>
    </row>
    <row r="4320" spans="1:3" ht="13" x14ac:dyDescent="0.15">
      <c r="A4320" s="1" t="str">
        <f ca="1">IFERROR(__xludf.DUMMYFUNCTION("GOOGLETRANSLATE(A4320, ""zh"", ""en"")"),"Morningstar Sustainalytics ESG Rating: Medium risk. In 2022, Haier Smart Home received a Medium rating from Morningstar Sustainalytics, the highest rating in the Chinese home appliance industry.")</f>
        <v>Morningstar Sustainalytics ESG Rating: Medium risk. In 2022, Haier Smart Home received a Medium rating from Morningstar Sustainalytics, the highest rating in the Chinese home appliance industry.</v>
      </c>
      <c r="B4320" s="1" t="str">
        <f ca="1">IFERROR(__xludf.DUMMYFUNCTION("GOOGLETRANSLATE(A4320, ""zh"", ""en"")"),"Sustainable certification")</f>
        <v>Sustainable certification</v>
      </c>
      <c r="C4320" s="1" t="str">
        <f ca="1">IFERROR(__xludf.DUMMYFUNCTION("GOOGLETRANSLATE(E4320, ""zh"", ""en"")"),"Quantitative Text")</f>
        <v>Quantitative Text</v>
      </c>
    </row>
    <row r="4321" spans="1:3" ht="13" x14ac:dyDescent="0.15">
      <c r="A4321" s="1" t="str">
        <f ca="1">IFERROR(__xludf.DUMMYFUNCTION("GOOGLETRANSLATE(A4321, ""zh"", ""en"")"),"We organize quarterly training sessions for all employees, including part-time and dispatched staff, including warning film education. We also provide anti-corruption training to directors and management through newsletters, covering topics such as domest"&amp;"ic and international anti-corruption trends and Haier Smart Home's anti-corruption identification and compliance development.")</f>
        <v>We organize quarterly training sessions for all employees, including part-time and dispatched staff, including warning film education. We also provide anti-corruption training to directors and management through newsletters, covering topics such as domestic and international anti-corruption trends and Haier Smart Home's anti-corruption identification and compliance development.</v>
      </c>
      <c r="B4321" s="1" t="str">
        <f ca="1">IFERROR(__xludf.DUMMYFUNCTION("GOOGLETRANSLATE(A4321, ""zh"", ""en"")"),"Anti-corruption and anti-money laundering")</f>
        <v>Anti-corruption and anti-money laundering</v>
      </c>
      <c r="C4321" s="1" t="str">
        <f ca="1">IFERROR(__xludf.DUMMYFUNCTION("GOOGLETRANSLATE(E4321, ""zh"", ""en"")"),"Qualitative text")</f>
        <v>Qualitative text</v>
      </c>
    </row>
    <row r="4322" spans="1:3" ht="13" x14ac:dyDescent="0.15">
      <c r="A4322" s="1" t="str">
        <f ca="1">IFERROR(__xludf.DUMMYFUNCTION("GOOGLETRANSLATE(A4322, ""zh"", ""en"")"),"Base professional line management line leadership and talent echelon construction chief expert leader The company implements leadership training programs for junior, intermediate and mid-level reserve talents in a hierarchical manner based on the talent i"&amp;"nventory situation, focusing on improving talent density and increasing the proportion of highly mature successors")</f>
        <v>Base professional line management line leadership and talent echelon construction chief expert leader The company implements leadership training programs for junior, intermediate and mid-level reserve talents in a hierarchical manner based on the talent inventory situation, focusing on improving talent density and increasing the proportion of highly mature successors</v>
      </c>
      <c r="B4322" s="1" t="str">
        <f ca="1">IFERROR(__xludf.DUMMYFUNCTION("GOOGLETRANSLATE(A4322, ""zh"", ""en"")"),"staff")</f>
        <v>staff</v>
      </c>
      <c r="C4322" s="1" t="str">
        <f ca="1">IFERROR(__xludf.DUMMYFUNCTION("GOOGLETRANSLATE(E4322, ""zh"", ""en"")"),"Qualitative text")</f>
        <v>Qualitative text</v>
      </c>
    </row>
    <row r="4323" spans="1:3" ht="13" x14ac:dyDescent="0.15">
      <c r="A4323" s="1" t="str">
        <f ca="1">IFERROR(__xludf.DUMMYFUNCTION("GOOGLETRANSLATE(A4323, ""zh"", ""en"")"),"During the reporting period, the company revised its innovative proposal management methods, innovative activity management methods, and external technical cooperation management methods, and other institutional documents, vigorously promoted the SRRC Nat"&amp;"ional Radio Monitoring Center and the Ministry of Industry and Information Technology to promote engineer culture, user culture, and process culture, and enhance the atmosphere of R&amp;D and technological innovation.")</f>
        <v>During the reporting period, the company revised its innovative proposal management methods, innovative activity management methods, and external technical cooperation management methods, and other institutional documents, vigorously promoted the SRRC National Radio Monitoring Center and the Ministry of Industry and Information Technology to promote engineer culture, user culture, and process culture, and enhance the atmosphere of R&amp;D and technological innovation.</v>
      </c>
      <c r="B4323" s="1" t="str">
        <f ca="1">IFERROR(__xludf.DUMMYFUNCTION("GOOGLETRANSLATE(A4323, ""zh"", ""en"")"),"Technological innovation")</f>
        <v>Technological innovation</v>
      </c>
      <c r="C4323" s="1" t="str">
        <f ca="1">IFERROR(__xludf.DUMMYFUNCTION("GOOGLETRANSLATE(E4323, ""zh"", ""en"")"),"Qualitative text")</f>
        <v>Qualitative text</v>
      </c>
    </row>
    <row r="4324" spans="1:3" ht="13" x14ac:dyDescent="0.15">
      <c r="A4324" s="1" t="str">
        <f ca="1">IFERROR(__xludf.DUMMYFUNCTION("GOOGLETRANSLATE(A4324, ""zh"", ""en"")"),"The Board of Directors has three specialized committees: the Strategy Committee, the Nomination and Remuneration Committee, and the Audit Committee. They formulate the working rules of the Strategy Committee and the Nomination and Remuneration Committee, "&amp;"and the Audit Committee, respectively.")</f>
        <v>The Board of Directors has three specialized committees: the Strategy Committee, the Nomination and Remuneration Committee, and the Audit Committee. They formulate the working rules of the Strategy Committee and the Nomination and Remuneration Committee, and the Audit Committee, respectively.</v>
      </c>
      <c r="B4324" s="1" t="str">
        <f ca="1">IFERROR(__xludf.DUMMYFUNCTION("GOOGLETRANSLATE(A4324, ""zh"", ""en"")"),"Organizational structure and operations")</f>
        <v>Organizational structure and operations</v>
      </c>
      <c r="C4324" s="1" t="str">
        <f ca="1">IFERROR(__xludf.DUMMYFUNCTION("GOOGLETRANSLATE(E4324, ""zh"", ""en"")"),"Qualitative text")</f>
        <v>Qualitative text</v>
      </c>
    </row>
    <row r="4325" spans="1:3" ht="13" x14ac:dyDescent="0.15">
      <c r="A4325" s="1" t="str">
        <f ca="1">IFERROR(__xludf.DUMMYFUNCTION("GOOGLETRANSLATE(A4325, ""zh"", ""en"")"),"Case Study: Airbag Yarn Company and Nylon Chemical Company carried out a sewage treatment system renovation project. The sewage treatment system of the airbag yarn company installed online monitoring equipment and completed data networking. The company's "&amp;"sewage discharge data was shared with the Environmental Protection Bureau in real time, which strengthened the sewage discharge management.")</f>
        <v>Case Study: Airbag Yarn Company and Nylon Chemical Company carried out a sewage treatment system renovation project. The sewage treatment system of the airbag yarn company installed online monitoring equipment and completed data networking. The company's sewage discharge data was shared with the Environmental Protection Bureau in real time, which strengthened the sewage discharge management.</v>
      </c>
      <c r="B4325" s="1" t="str">
        <f ca="1">IFERROR(__xludf.DUMMYFUNCTION("GOOGLETRANSLATE(A4325, ""zh"", ""en"")"),"Water resources")</f>
        <v>Water resources</v>
      </c>
      <c r="C4325" s="1" t="str">
        <f ca="1">IFERROR(__xludf.DUMMYFUNCTION("GOOGLETRANSLATE(E4325, ""zh"", ""en"")"),"Qualitative text")</f>
        <v>Qualitative text</v>
      </c>
    </row>
    <row r="4326" spans="1:3" ht="13" x14ac:dyDescent="0.15">
      <c r="A4326" s="1" t="str">
        <f ca="1">IFERROR(__xludf.DUMMYFUNCTION("GOOGLETRANSLATE(A4326, ""zh"", ""en"")"),"The Group actively donated approximately RMB 5.6 million in cash and materials to public welfare organizations such as the Provincial Charity Federation. It continued to polish the brand of the Zhongda Blue Angels Volunteer Service Team and actively carri"&amp;"ed out public welfare activities such as caring for autistic patients, left-behind children, and outdoor workers, spreading the positive energy of love and responsibility.")</f>
        <v>The Group actively donated approximately RMB 5.6 million in cash and materials to public welfare organizations such as the Provincial Charity Federation. It continued to polish the brand of the Zhongda Blue Angels Volunteer Service Team and actively carried out public welfare activities such as caring for autistic patients, left-behind children, and outdoor workers, spreading the positive energy of love and responsibility.</v>
      </c>
      <c r="B4326" s="1" t="str">
        <f ca="1">IFERROR(__xludf.DUMMYFUNCTION("GOOGLETRANSLATE(A4326, ""zh"", ""en"")"),"Public welfare and volunteer service")</f>
        <v>Public welfare and volunteer service</v>
      </c>
      <c r="C4326" s="1" t="str">
        <f ca="1">IFERROR(__xludf.DUMMYFUNCTION("GOOGLETRANSLATE(E4326, ""zh"", ""en"")"),"Quantitative Text")</f>
        <v>Quantitative Text</v>
      </c>
    </row>
    <row r="4327" spans="1:3" ht="13" x14ac:dyDescent="0.15">
      <c r="A4327" s="1" t="str">
        <f ca="1">IFERROR(__xludf.DUMMYFUNCTION("GOOGLETRANSLATE(A4327, ""zh"", ""en"")"),"In recent years, the company has invested more than RMB 8 million and coordinated more than RMB 10 million in external funds. Through the joint efforts of the company and the model workers stationed in the village, the infrastructure construction of the a"&amp;"ssisted village has been realized. Shenma curtain fabric opened the ""six connections and four haves"" in the meeting room of the village committee of Chengzhai Community in Ye County for more than 20 students in the village.")</f>
        <v>In recent years, the company has invested more than RMB 8 million and coordinated more than RMB 10 million in external funds. Through the joint efforts of the company and the model workers stationed in the village, the infrastructure construction of the assisted village has been realized. Shenma curtain fabric opened the "six connections and four haves" in the meeting room of the village committee of Chengzhai Community in Ye County for more than 20 students in the village.</v>
      </c>
      <c r="B4327" s="1" t="str">
        <f ca="1">IFERROR(__xludf.DUMMYFUNCTION("GOOGLETRANSLATE(A4327, ""zh"", ""en"")"),"Rural assistance")</f>
        <v>Rural assistance</v>
      </c>
      <c r="C4327" s="1" t="str">
        <f ca="1">IFERROR(__xludf.DUMMYFUNCTION("GOOGLETRANSLATE(E4327, ""zh"", ""en"")"),"Quantitative Text")</f>
        <v>Quantitative Text</v>
      </c>
    </row>
    <row r="4328" spans="1:3" ht="13" x14ac:dyDescent="0.15">
      <c r="A4328" s="1" t="str">
        <f ca="1">IFERROR(__xludf.DUMMYFUNCTION("GOOGLETRANSLATE(A4328, ""zh"", ""en"")"),"We fully implemented the third-party safety risk assessment mechanism for hazardous chemical enterprises and commissioned third-party organizations to assess major hazardous sources in accordance with national standards and safety production standardizati"&amp;"on requirements, significantly improving the company's inherent safety level. Our core subsidiary was rated as an advanced unit for safety production in Henan Province.")</f>
        <v>We fully implemented the third-party safety risk assessment mechanism for hazardous chemical enterprises and commissioned third-party organizations to assess major hazardous sources in accordance with national standards and safety production standardization requirements, significantly improving the company's inherent safety level. Our core subsidiary was rated as an advanced unit for safety production in Henan Province.</v>
      </c>
      <c r="B4328" s="1" t="str">
        <f ca="1">IFERROR(__xludf.DUMMYFUNCTION("GOOGLETRANSLATE(A4328, ""zh"", ""en"")"),"Chemical Safety")</f>
        <v>Chemical Safety</v>
      </c>
      <c r="C4328" s="1" t="str">
        <f ca="1">IFERROR(__xludf.DUMMYFUNCTION("GOOGLETRANSLATE(E4328, ""zh"", ""en"")"),"Quantitative Text")</f>
        <v>Quantitative Text</v>
      </c>
    </row>
    <row r="4329" spans="1:3" ht="13" x14ac:dyDescent="0.15">
      <c r="A4329" s="1" t="str">
        <f ca="1">IFERROR(__xludf.DUMMYFUNCTION("GOOGLETRANSLATE(A4329, ""zh"", ""en"")"),"1782,000 yuan, total external donations, 2228 employee volunteer hours, 131,250 employee volunteer hours, aid and support, state-owned capital, poverty alleviation, emergency relief, and continued support activities for the disadvantaged. Carrying love fo"&amp;"rward, we will pass on care and strength to more people.")</f>
        <v>1782,000 yuan, total external donations, 2228 employee volunteer hours, 131,250 employee volunteer hours, aid and support, state-owned capital, poverty alleviation, emergency relief, and continued support activities for the disadvantaged. Carrying love forward, we will pass on care and strength to more people.</v>
      </c>
      <c r="B4329" s="1" t="str">
        <f ca="1">IFERROR(__xludf.DUMMYFUNCTION("GOOGLETRANSLATE(A4329, ""zh"", ""en"")"),"Public welfare and volunteer service")</f>
        <v>Public welfare and volunteer service</v>
      </c>
      <c r="C4329" s="1" t="str">
        <f ca="1">IFERROR(__xludf.DUMMYFUNCTION("GOOGLETRANSLATE(E4329, ""zh"", ""en"")"),"Quantitative Text")</f>
        <v>Quantitative Text</v>
      </c>
    </row>
    <row r="4330" spans="1:3" ht="13" x14ac:dyDescent="0.15">
      <c r="A4330" s="1" t="str">
        <f ca="1">IFERROR(__xludf.DUMMYFUNCTION("GOOGLETRANSLATE(A4330, ""zh"", ""en"")"),"External Director Research: On September 26th, on the occasion of Shanghai Electric's 120th anniversary, we invited more than 2,800 investors to the Energy Fusion and Intelligent Future Enterprise Summit Forum and Shanghai Electric's 120th Anniversary The"&amp;"me Event to discuss energy development, green and low-carbon development, and explore a better future.")</f>
        <v>External Director Research: On September 26th, on the occasion of Shanghai Electric's 120th anniversary, we invited more than 2,800 investors to the Energy Fusion and Intelligent Future Enterprise Summit Forum and Shanghai Electric's 120th Anniversary Theme Event to discuss energy development, green and low-carbon development, and explore a better future.</v>
      </c>
      <c r="B4330" s="1" t="str">
        <f ca="1">IFERROR(__xludf.DUMMYFUNCTION("GOOGLETRANSLATE(A4330, ""zh"", ""en"")"),"Technological innovation")</f>
        <v>Technological innovation</v>
      </c>
      <c r="C4330" s="1" t="str">
        <f ca="1">IFERROR(__xludf.DUMMYFUNCTION("GOOGLETRANSLATE(E4330, ""zh"", ""en"")"),"Qualitative text")</f>
        <v>Qualitative text</v>
      </c>
    </row>
    <row r="4331" spans="1:3" ht="13" x14ac:dyDescent="0.15">
      <c r="A4331" s="1" t="str">
        <f ca="1">IFERROR(__xludf.DUMMYFUNCTION("GOOGLETRANSLATE(A4331, ""zh"", ""en"")"),"In order to actively respond to the call of Zhejiang Provincial Party Committee and Provincial Government for high-quality development and the construction of a common prosperity demonstration zone, Wubao Pawn Company went to Zhoushan Zhongdalang Yishengs"&amp;"i Elderly Care Service Center to carry out island elderly care activities and donated a batch of daily service needs materials worth RMB 5,600.")</f>
        <v>In order to actively respond to the call of Zhejiang Provincial Party Committee and Provincial Government for high-quality development and the construction of a common prosperity demonstration zone, Wubao Pawn Company went to Zhoushan Zhongdalang Yishengsi Elderly Care Service Center to carry out island elderly care activities and donated a batch of daily service needs materials worth RMB 5,600.</v>
      </c>
      <c r="B4331" s="1" t="str">
        <f ca="1">IFERROR(__xludf.DUMMYFUNCTION("GOOGLETRANSLATE(A4331, ""zh"", ""en"")"),"Public welfare and volunteer service")</f>
        <v>Public welfare and volunteer service</v>
      </c>
      <c r="C4331" s="1" t="str">
        <f ca="1">IFERROR(__xludf.DUMMYFUNCTION("GOOGLETRANSLATE(E4331, ""zh"", ""en"")"),"Quantitative Text")</f>
        <v>Quantitative Text</v>
      </c>
    </row>
    <row r="4332" spans="1:3" ht="13" x14ac:dyDescent="0.15">
      <c r="A4332" s="1" t="str">
        <f ca="1">IFERROR(__xludf.DUMMYFUNCTION("GOOGLETRANSLATE(A4332, ""zh"", ""en"")"),"This year, the company strengthened the informatization of various businesses, improved overall operational efficiency and customer experience, launched intelligent robots, enabled multi-channel access, and brought the entire online process of return visi"&amp;"ts online. It also worked to build a multimedia intelligent customer service system, achieving platform-based and digital management of business processes.")</f>
        <v>This year, the company strengthened the informatization of various businesses, improved overall operational efficiency and customer experience, launched intelligent robots, enabled multi-channel access, and brought the entire online process of return visits online. It also worked to build a multimedia intelligent customer service system, achieving platform-based and digital management of business processes.</v>
      </c>
      <c r="B4332" s="1" t="str">
        <f ca="1">IFERROR(__xludf.DUMMYFUNCTION("GOOGLETRANSLATE(A4332, ""zh"", ""en"")"),"Customers and Consumers")</f>
        <v>Customers and Consumers</v>
      </c>
      <c r="C4332" s="1" t="str">
        <f ca="1">IFERROR(__xludf.DUMMYFUNCTION("GOOGLETRANSLATE(E4332, ""zh"", ""en"")"),"Qualitative text")</f>
        <v>Qualitative text</v>
      </c>
    </row>
    <row r="4333" spans="1:3" ht="13" x14ac:dyDescent="0.15">
      <c r="A4333" s="1" t="str">
        <f ca="1">IFERROR(__xludf.DUMMYFUNCTION("GOOGLETRANSLATE(A4333, ""zh"", ""en"")"),"Building an Equal and Inclusive Workplace Environment: SDIC Capital Organized a Series of Activities to Celebrate Women's Day and Empower Her Health. During Women's Day, SDIC Capital organized a two-day series of activities to empower her health and bring"&amp;" holiday greetings, support, and care to female employees, creating a positive and healthy work environment.")</f>
        <v>Building an Equal and Inclusive Workplace Environment: SDIC Capital Organized a Series of Activities to Celebrate Women's Day and Empower Her Health. During Women's Day, SDIC Capital organized a two-day series of activities to empower her health and bring holiday greetings, support, and care to female employees, creating a positive and healthy work environment.</v>
      </c>
      <c r="B4333" s="1" t="str">
        <f ca="1">IFERROR(__xludf.DUMMYFUNCTION("GOOGLETRANSLATE(A4333, ""zh"", ""en"")"),"staff")</f>
        <v>staff</v>
      </c>
      <c r="C4333" s="1" t="str">
        <f ca="1">IFERROR(__xludf.DUMMYFUNCTION("GOOGLETRANSLATE(E4333, ""zh"", ""en"")"),"Qualitative text")</f>
        <v>Qualitative text</v>
      </c>
    </row>
    <row r="4334" spans="1:3" ht="13" x14ac:dyDescent="0.15">
      <c r="A4334" s="1" t="str">
        <f ca="1">IFERROR(__xludf.DUMMYFUNCTION("GOOGLETRANSLATE(A4334, ""zh"", ""en"")"),"This year, the customer satisfaction of the company's unified customer contact center, mobile phone account opening, telephone and online consultation customers reached more than 99%, and the customer satisfaction of mobile phone account opening customers"&amp;" reached more than 99.9%. The overall customer satisfaction of consultation was 99.4, which reflects the customers' high recognition of the company's service quality.")</f>
        <v>This year, the customer satisfaction of the company's unified customer contact center, mobile phone account opening, telephone and online consultation customers reached more than 99%, and the customer satisfaction of mobile phone account opening customers reached more than 99.9%. The overall customer satisfaction of consultation was 99.4, which reflects the customers' high recognition of the company's service quality.</v>
      </c>
      <c r="B4334" s="1" t="str">
        <f ca="1">IFERROR(__xludf.DUMMYFUNCTION("GOOGLETRANSLATE(A4334, ""zh"", ""en"")"),"Customers and Consumers")</f>
        <v>Customers and Consumers</v>
      </c>
      <c r="C4334" s="1" t="str">
        <f ca="1">IFERROR(__xludf.DUMMYFUNCTION("GOOGLETRANSLATE(E4334, ""zh"", ""en"")"),"Quantitative Text")</f>
        <v>Quantitative Text</v>
      </c>
    </row>
    <row r="4335" spans="1:3" ht="13" x14ac:dyDescent="0.15">
      <c r="A4335" s="1" t="str">
        <f ca="1">IFERROR(__xludf.DUMMYFUNCTION("GOOGLETRANSLATE(A4335, ""zh"", ""en"")"),"To improve the general skills of employees and build a team of multi-talented people, SDIC Capital held a training course on conference organization and preparation to help employees understand the procedures and standards of conference organization and p"&amp;"reparation, and improve their skills in business reception and conference preparation.")</f>
        <v>To improve the general skills of employees and build a team of multi-talented people, SDIC Capital held a training course on conference organization and preparation to help employees understand the procedures and standards of conference organization and preparation, and improve their skills in business reception and conference preparation.</v>
      </c>
      <c r="B4335" s="1" t="str">
        <f ca="1">IFERROR(__xludf.DUMMYFUNCTION("GOOGLETRANSLATE(A4335, ""zh"", ""en"")"),"staff")</f>
        <v>staff</v>
      </c>
      <c r="C4335" s="1" t="str">
        <f ca="1">IFERROR(__xludf.DUMMYFUNCTION("GOOGLETRANSLATE(E4335, ""zh"", ""en"")"),"Qualitative text")</f>
        <v>Qualitative text</v>
      </c>
    </row>
    <row r="4336" spans="1:3" ht="13" x14ac:dyDescent="0.15">
      <c r="A4336" s="1" t="str">
        <f ca="1">IFERROR(__xludf.DUMMYFUNCTION("GOOGLETRANSLATE(A4336, ""zh"", ""en"")"),"Establish a safety and environmental responsibility accident scoring system for grassroots unit leaders, a safety performance portrait, and a portable safety file system to promote the safety construction of grassroots operating units, continuously improv"&amp;"e the initiative and sense of responsibility of grassroots leaders and core employees, and achieve continuous improvement of grassroots unit safety management capabilities.")</f>
        <v>Establish a safety and environmental responsibility accident scoring system for grassroots unit leaders, a safety performance portrait, and a portable safety file system to promote the safety construction of grassroots operating units, continuously improve the initiative and sense of responsibility of grassroots leaders and core employees, and achieve continuous improvement of grassroots unit safety management capabilities.</v>
      </c>
      <c r="B4336" s="1" t="str">
        <f ca="1">IFERROR(__xludf.DUMMYFUNCTION("GOOGLETRANSLATE(A4336, ""zh"", ""en"")"),"staff")</f>
        <v>staff</v>
      </c>
      <c r="C4336" s="1" t="str">
        <f ca="1">IFERROR(__xludf.DUMMYFUNCTION("GOOGLETRANSLATE(E4336, ""zh"", ""en"")"),"Qualitative text")</f>
        <v>Qualitative text</v>
      </c>
    </row>
    <row r="4337" spans="1:3" ht="13" x14ac:dyDescent="0.15">
      <c r="A4337" s="1" t="str">
        <f ca="1">IFERROR(__xludf.DUMMYFUNCTION("GOOGLETRANSLATE(A4337, ""zh"", ""en"")"),"Build a platform for connecting the supply and demand of agricultural products in Yanhou Village and encourage all Party general branches, Party branches, trade union groups, etc. to establish long-term and stable supply and marketing relationships with Y"&amp;"anhou Village in Lishui. Under the same conditions, give priority to purchasing agricultural products from counterpart regions. Yanhou Village provides edible fungi, organic vegetables, livestock and poultry and other special agricultural products.")</f>
        <v>Build a platform for connecting the supply and demand of agricultural products in Yanhou Village and encourage all Party general branches, Party branches, trade union groups, etc. to establish long-term and stable supply and marketing relationships with Yanhou Village in Lishui. Under the same conditions, give priority to purchasing agricultural products from counterpart regions. Yanhou Village provides edible fungi, organic vegetables, livestock and poultry and other special agricultural products.</v>
      </c>
      <c r="B4337" s="1" t="str">
        <f ca="1">IFERROR(__xludf.DUMMYFUNCTION("GOOGLETRANSLATE(A4337, ""zh"", ""en"")"),"Rural assistance")</f>
        <v>Rural assistance</v>
      </c>
      <c r="C4337" s="1" t="str">
        <f ca="1">IFERROR(__xludf.DUMMYFUNCTION("GOOGLETRANSLATE(E4337, ""zh"", ""en"")"),"Qualitative text")</f>
        <v>Qualitative text</v>
      </c>
    </row>
    <row r="4338" spans="1:3" ht="13" x14ac:dyDescent="0.15">
      <c r="A4338" s="1" t="str">
        <f ca="1">IFERROR(__xludf.DUMMYFUNCTION("GOOGLETRANSLATE(A4338, ""zh"", ""en"")"),"In the summer of 2022, the Tianjin Blue Power Volunteer Service Pioneer Team and the Beijing Volunteers of China University of Petroleum jointly launched the Colorful Summer Healthy Growth Summer Camp. The Zhanjiang Blue Power Volunteer Team tried to intr"&amp;"oduce the Love Classroom into the Hope Primary School and actively optimized the curriculum system.")</f>
        <v>In the summer of 2022, the Tianjin Blue Power Volunteer Service Pioneer Team and the Beijing Volunteers of China University of Petroleum jointly launched the Colorful Summer Healthy Growth Summer Camp. The Zhanjiang Blue Power Volunteer Team tried to introduce the Love Classroom into the Hope Primary School and actively optimized the curriculum system.</v>
      </c>
      <c r="B4338" s="1" t="str">
        <f ca="1">IFERROR(__xludf.DUMMYFUNCTION("GOOGLETRANSLATE(A4338, ""zh"", ""en"")"),"Public welfare and volunteer service")</f>
        <v>Public welfare and volunteer service</v>
      </c>
      <c r="C4338" s="1" t="str">
        <f ca="1">IFERROR(__xludf.DUMMYFUNCTION("GOOGLETRANSLATE(E4338, ""zh"", ""en"")"),"Qualitative text")</f>
        <v>Qualitative text</v>
      </c>
    </row>
    <row r="4339" spans="1:3" ht="13" x14ac:dyDescent="0.15">
      <c r="A4339" s="1" t="str">
        <f ca="1">IFERROR(__xludf.DUMMYFUNCTION("GOOGLETRANSLATE(A4339, ""zh"", ""en"")"),"In 2022, we will identify key hazardous waste generating enterprises as key targets for standardized hazardous waste management. We will conduct standardized management assessments on 19 key hazardous waste supervision units and guide them to improve thei"&amp;"r standardized management and risk prevention capabilities, including collection, storage, utilization and disposal.")</f>
        <v>In 2022, we will identify key hazardous waste generating enterprises as key targets for standardized hazardous waste management. We will conduct standardized management assessments on 19 key hazardous waste supervision units and guide them to improve their standardized management and risk prevention capabilities, including collection, storage, utilization and disposal.</v>
      </c>
      <c r="B4339" s="1" t="str">
        <f ca="1">IFERROR(__xludf.DUMMYFUNCTION("GOOGLETRANSLATE(A4339, ""zh"", ""en"")"),"Waste Management")</f>
        <v>Waste Management</v>
      </c>
      <c r="C4339" s="1" t="str">
        <f ca="1">IFERROR(__xludf.DUMMYFUNCTION("GOOGLETRANSLATE(E4339, ""zh"", ""en"")"),"Quantitative Text")</f>
        <v>Quantitative Text</v>
      </c>
    </row>
    <row r="4340" spans="1:3" ht="13" x14ac:dyDescent="0.15">
      <c r="A4340" s="1" t="str">
        <f ca="1">IFERROR(__xludf.DUMMYFUNCTION("GOOGLETRANSLATE(A4340, ""zh"", ""en"")"),"Social risk management (S) refers to the company's efforts to reduce the negative impact of production and operations on society and maintain the stable development of the social ecosystem on which the company depends for survival, including employee comp"&amp;"osition, development and training, caring for employees, helping those in need, cultural activities, targeted poverty alleviation, petitioning, maintaining stability, public welfare, and social contributions.")</f>
        <v>Social risk management (S) refers to the company's efforts to reduce the negative impact of production and operations on society and maintain the stable development of the social ecosystem on which the company depends for survival, including employee composition, development and training, caring for employees, helping those in need, cultural activities, targeted poverty alleviation, petitioning, maintaining stability, public welfare, and social contributions.</v>
      </c>
      <c r="B4340" s="1" t="str">
        <f ca="1">IFERROR(__xludf.DUMMYFUNCTION("GOOGLETRANSLATE(A4340, ""zh"", ""en"")"),"Public welfare and volunteer service")</f>
        <v>Public welfare and volunteer service</v>
      </c>
      <c r="C4340" s="1" t="str">
        <f ca="1">IFERROR(__xludf.DUMMYFUNCTION("GOOGLETRANSLATE(E4340, ""zh"", ""en"")"),"Qualitative text")</f>
        <v>Qualitative text</v>
      </c>
    </row>
    <row r="4341" spans="1:3" ht="13" x14ac:dyDescent="0.15">
      <c r="A4341" s="1" t="str">
        <f ca="1">IFERROR(__xludf.DUMMYFUNCTION("GOOGLETRANSLATE(A4341, ""zh"", ""en"")"),"Each functional department and investment enterprise of the company shall clearly define the ESG work supervisor or person in charge to be responsible for ESG work within the department or company, cooperate with ESG related information collection and col"&amp;"lation, indicator statistics and reporting, and fully participate in the preparation and release of the company's ESG report.")</f>
        <v>Each functional department and investment enterprise of the company shall clearly define the ESG work supervisor or person in charge to be responsible for ESG work within the department or company, cooperate with ESG related information collection and collation, indicator statistics and reporting, and fully participate in the preparation and release of the company's ESG report.</v>
      </c>
      <c r="B4341" s="1" t="str">
        <f ca="1">IFERROR(__xludf.DUMMYFUNCTION("GOOGLETRANSLATE(A4341, ""zh"", ""en"")"),"Organizational structure and operations")</f>
        <v>Organizational structure and operations</v>
      </c>
      <c r="C4341" s="1" t="str">
        <f ca="1">IFERROR(__xludf.DUMMYFUNCTION("GOOGLETRANSLATE(E4341, ""zh"", ""en"")"),"Qualitative text")</f>
        <v>Qualitative text</v>
      </c>
    </row>
    <row r="4342" spans="1:3" ht="13" x14ac:dyDescent="0.15">
      <c r="A4342" s="1" t="str">
        <f ca="1">IFERROR(__xludf.DUMMYFUNCTION("GOOGLETRANSLATE(A4342, ""zh"", ""en"")"),"This year, the company continued to carry out special publicity activities on waste classification and recycling through various means, such as equipping trash cans and classified trash bags, posting classification signs, setting up garbage classification"&amp;" theme publicity columns, and organizing garbage classification training to enhance employees' environmental awareness and promote waste recycling.")</f>
        <v>This year, the company continued to carry out special publicity activities on waste classification and recycling through various means, such as equipping trash cans and classified trash bags, posting classification signs, setting up garbage classification theme publicity columns, and organizing garbage classification training to enhance employees' environmental awareness and promote waste recycling.</v>
      </c>
      <c r="B4342" s="1" t="str">
        <f ca="1">IFERROR(__xludf.DUMMYFUNCTION("GOOGLETRANSLATE(A4342, ""zh"", ""en"")"),"Waste Management")</f>
        <v>Waste Management</v>
      </c>
      <c r="C4342" s="1" t="str">
        <f ca="1">IFERROR(__xludf.DUMMYFUNCTION("GOOGLETRANSLATE(E4342, ""zh"", ""en"")"),"Qualitative text")</f>
        <v>Qualitative text</v>
      </c>
    </row>
    <row r="4343" spans="1:3" ht="13" x14ac:dyDescent="0.15">
      <c r="A4343" s="1" t="str">
        <f ca="1">IFERROR(__xludf.DUMMYFUNCTION("GOOGLETRANSLATE(A4343, ""zh"", ""en"")"),"Our top-down governance structure consists of the ESG Management Committee of the Board of Directors and the ESG Working Group. The ESG Management Committee oversees the ESG Expert Committee. The ESG Working Group consists of three sub-working groups: the"&amp;" Group Office, the Board Office, and Environmental, Social and Governance.")</f>
        <v>Our top-down governance structure consists of the ESG Management Committee of the Board of Directors and the ESG Working Group. The ESG Management Committee oversees the ESG Expert Committee. The ESG Working Group consists of three sub-working groups: the Group Office, the Board Office, and Environmental, Social and Governance.</v>
      </c>
      <c r="B4343" s="1" t="str">
        <f ca="1">IFERROR(__xludf.DUMMYFUNCTION("GOOGLETRANSLATE(A4343, ""zh"", ""en"")"),"Organizational structure and operations")</f>
        <v>Organizational structure and operations</v>
      </c>
      <c r="C4343" s="1" t="str">
        <f ca="1">IFERROR(__xludf.DUMMYFUNCTION("GOOGLETRANSLATE(E4343, ""zh"", ""en"")"),"Qualitative text")</f>
        <v>Qualitative text</v>
      </c>
    </row>
    <row r="4344" spans="1:3" ht="13" x14ac:dyDescent="0.15">
      <c r="A4344" s="1" t="str">
        <f ca="1">IFERROR(__xludf.DUMMYFUNCTION("GOOGLETRANSLATE(A4344, ""zh"", ""en"")"),"The Board of Directors regularly reviews the establishment and implementation of ESG goals and receives reports on the effectiveness of ESG risk management and internal control systems. For details, please refer to the section on strictly controlling risk"&amp;"s and improving quality and efficiency and the section on stakeholder engagement and material issues analysis in this report.")</f>
        <v>The Board of Directors regularly reviews the establishment and implementation of ESG goals and receives reports on the effectiveness of ESG risk management and internal control systems. For details, please refer to the section on strictly controlling risks and improving quality and efficiency and the section on stakeholder engagement and material issues analysis in this report.</v>
      </c>
      <c r="B4344" s="1" t="str">
        <f ca="1">IFERROR(__xludf.DUMMYFUNCTION("GOOGLETRANSLATE(A4344, ""zh"", ""en"")"),"Organizational structure and operations")</f>
        <v>Organizational structure and operations</v>
      </c>
      <c r="C4344" s="1" t="str">
        <f ca="1">IFERROR(__xludf.DUMMYFUNCTION("GOOGLETRANSLATE(E4344, ""zh"", ""en"")"),"Qualitative text")</f>
        <v>Qualitative text</v>
      </c>
    </row>
    <row r="4345" spans="1:3" ht="13" x14ac:dyDescent="0.15">
      <c r="A4345" s="1" t="str">
        <f ca="1">IFERROR(__xludf.DUMMYFUNCTION("GOOGLETRANSLATE(A4345, ""zh"", ""en"")"),"Compliance management abolished 68 systems, revised 168 systems, established 182 systems, and the entire system has been completed. The company requires all employees to study various rules and regulations carefully, understand the connotation of complian"&amp;"ce culture, internalize compliance awareness, and implement compliance concepts in daily work.")</f>
        <v>Compliance management abolished 68 systems, revised 168 systems, established 182 systems, and the entire system has been completed. The company requires all employees to study various rules and regulations carefully, understand the connotation of compliance culture, internalize compliance awareness, and implement compliance concepts in daily work.</v>
      </c>
      <c r="B4345" s="1" t="str">
        <f ca="1">IFERROR(__xludf.DUMMYFUNCTION("GOOGLETRANSLATE(A4345, ""zh"", ""en"")"),"Legal proceedings and external sanctions")</f>
        <v>Legal proceedings and external sanctions</v>
      </c>
      <c r="C4345" s="1" t="str">
        <f ca="1">IFERROR(__xludf.DUMMYFUNCTION("GOOGLETRANSLATE(E4345, ""zh"", ""en"")"),"Quantitative Text")</f>
        <v>Quantitative Text</v>
      </c>
    </row>
    <row r="4346" spans="1:3" ht="13" x14ac:dyDescent="0.15">
      <c r="A4346" s="1" t="str">
        <f ca="1">IFERROR(__xludf.DUMMYFUNCTION("GOOGLETRANSLATE(A4346, ""zh"", ""en"")"),"As a leader in zero-carbon park solutions, Shanghai Electric's industrial-grade manufacturing park in Shantou is an energy internet project integrating wind, solar, and storage. It is also the first certified zero-carbon park in China, providing practical"&amp;" support for the high proportion of renewable energy utilization.")</f>
        <v>As a leader in zero-carbon park solutions, Shanghai Electric's industrial-grade manufacturing park in Shantou is an energy internet project integrating wind, solar, and storage. It is also the first certified zero-carbon park in China, providing practical support for the high proportion of renewable energy utilization.</v>
      </c>
      <c r="B4346" s="1" t="str">
        <f ca="1">IFERROR(__xludf.DUMMYFUNCTION("GOOGLETRANSLATE(A4346, ""zh"", ""en"")"),"carbon emissions")</f>
        <v>carbon emissions</v>
      </c>
      <c r="C4346" s="1" t="str">
        <f ca="1">IFERROR(__xludf.DUMMYFUNCTION("GOOGLETRANSLATE(E4346, ""zh"", ""en"")"),"Qualitative text")</f>
        <v>Qualitative text</v>
      </c>
    </row>
    <row r="4347" spans="1:3" ht="13" x14ac:dyDescent="0.15">
      <c r="A4347" s="1" t="str">
        <f ca="1">IFERROR(__xludf.DUMMYFUNCTION("GOOGLETRANSLATE(A4347, ""zh"", ""en"")"),"In September 2022, Electric Wind Power and Blue Harbor Autism Youth Development Center organized a public welfare activity with the theme of ""Heart and Star Wishes"" and ""Love Children Behavior"". A total of 4 groups of Blue Harbor autistic youth famili"&amp;"es and more than 20 volunteers and their families participated in this charity event.")</f>
        <v>In September 2022, Electric Wind Power and Blue Harbor Autism Youth Development Center organized a public welfare activity with the theme of "Heart and Star Wishes" and "Love Children Behavior". A total of 4 groups of Blue Harbor autistic youth families and more than 20 volunteers and their families participated in this charity event.</v>
      </c>
      <c r="B4347" s="1" t="str">
        <f ca="1">IFERROR(__xludf.DUMMYFUNCTION("GOOGLETRANSLATE(A4347, ""zh"", ""en"")"),"Public welfare and volunteer service")</f>
        <v>Public welfare and volunteer service</v>
      </c>
      <c r="C4347" s="1" t="str">
        <f ca="1">IFERROR(__xludf.DUMMYFUNCTION("GOOGLETRANSLATE(E4347, ""zh"", ""en"")"),"Quantitative Text")</f>
        <v>Quantitative Text</v>
      </c>
    </row>
    <row r="4348" spans="1:3" ht="13" x14ac:dyDescent="0.15">
      <c r="A4348" s="1" t="str">
        <f ca="1">IFERROR(__xludf.DUMMYFUNCTION("GOOGLETRANSLATE(A4348, ""zh"", ""en"")"),"Case Study: Eco-Friendly Commemorative Gifts for the 30th Anniversary of Kangyuan Pharmaceuticals. Eco-Friendly Shopping Bags, Eco-Friendly T-Shirts, and Eco-Friendly Mugs. While expanding its business, Kangyuan Pharmaceuticals continues to focus on the d"&amp;"evelopment needs of communities and other stakeholders, actively contributing to social welfare.")</f>
        <v>Case Study: Eco-Friendly Commemorative Gifts for the 30th Anniversary of Kangyuan Pharmaceuticals. Eco-Friendly Shopping Bags, Eco-Friendly T-Shirts, and Eco-Friendly Mugs. While expanding its business, Kangyuan Pharmaceuticals continues to focus on the development needs of communities and other stakeholders, actively contributing to social welfare.</v>
      </c>
      <c r="B4348" s="1" t="str">
        <f ca="1">IFERROR(__xludf.DUMMYFUNCTION("GOOGLETRANSLATE(A4348, ""zh"", ""en"")"),"Public welfare and volunteer service")</f>
        <v>Public welfare and volunteer service</v>
      </c>
      <c r="C4348" s="1" t="str">
        <f ca="1">IFERROR(__xludf.DUMMYFUNCTION("GOOGLETRANSLATE(E4348, ""zh"", ""en"")"),"Qualitative text")</f>
        <v>Qualitative text</v>
      </c>
    </row>
    <row r="4349" spans="1:3" ht="13" x14ac:dyDescent="0.15">
      <c r="A4349" s="1" t="str">
        <f ca="1">IFERROR(__xludf.DUMMYFUNCTION("GOOGLETRANSLATE(A4349, ""zh"", ""en"")"),"The Group keeps pace with domestic and international regulatory updates and provides continuous support for member companies' quality improvement. In addition, member company Fosun Industrial has also successfully developed and provided technical support "&amp;"to promote the construction and management of commercialization systems for new drugs in other indications in Hong Kong and Macau with global scope and high quality.")</f>
        <v>The Group keeps pace with domestic and international regulatory updates and provides continuous support for member companies' quality improvement. In addition, member company Fosun Industrial has also successfully developed and provided technical support to promote the construction and management of commercialization systems for new drugs in other indications in Hong Kong and Macau with global scope and high quality.</v>
      </c>
      <c r="B4349" s="1" t="str">
        <f ca="1">IFERROR(__xludf.DUMMYFUNCTION("GOOGLETRANSLATE(A4349, ""zh"", ""en"")"),"Product quality")</f>
        <v>Product quality</v>
      </c>
      <c r="C4349" s="1" t="str">
        <f ca="1">IFERROR(__xludf.DUMMYFUNCTION("GOOGLETRANSLATE(E4349, ""zh"", ""en"")"),"Qualitative text")</f>
        <v>Qualitative text</v>
      </c>
    </row>
    <row r="4350" spans="1:3" ht="13" x14ac:dyDescent="0.15">
      <c r="A4350" s="1" t="str">
        <f ca="1">IFERROR(__xludf.DUMMYFUNCTION("GOOGLETRANSLATE(A4350, ""zh"", ""en"")"),"CyberKnife's innovative payment program, jointly launched by Fosun Health and its member hospital, Foshan Fosun Chancheng Hospital, offers a fee reduction of up to RMB 20,000, allowing more patients with benign and malignant tumors to enjoy the world's la"&amp;"test stereotactic radiotherapy technology through innovative payment methods.")</f>
        <v>CyberKnife's innovative payment program, jointly launched by Fosun Health and its member hospital, Foshan Fosun Chancheng Hospital, offers a fee reduction of up to RMB 20,000, allowing more patients with benign and malignant tumors to enjoy the world's latest stereotactic radiotherapy technology through innovative payment methods.</v>
      </c>
      <c r="B4350" s="1" t="str">
        <f ca="1">IFERROR(__xludf.DUMMYFUNCTION("GOOGLETRANSLATE(A4350, ""zh"", ""en"")"),"Public welfare and volunteer service")</f>
        <v>Public welfare and volunteer service</v>
      </c>
      <c r="C4350" s="1" t="str">
        <f ca="1">IFERROR(__xludf.DUMMYFUNCTION("GOOGLETRANSLATE(E4350, ""zh"", ""en"")"),"Quantitative Text")</f>
        <v>Quantitative Text</v>
      </c>
    </row>
    <row r="4351" spans="1:3" ht="13" x14ac:dyDescent="0.15">
      <c r="A4351" s="1" t="str">
        <f ca="1">IFERROR(__xludf.DUMMYFUNCTION("GOOGLETRANSLATE(A4351, ""zh"", ""en"")"),"The first National Disruptive Technology Innovation Competition Grand Prize was awarded on April 19, 2022. The final of the first National Disruptive Technology Innovation Competition, hosted by the Ministry of Science and Technology, concluded. Haier Sma"&amp;"rt Home's compressor-free solid-state electric card refrigeration system key technology research and industrialization project won the highest award.")</f>
        <v>The first National Disruptive Technology Innovation Competition Grand Prize was awarded on April 19, 2022. The final of the first National Disruptive Technology Innovation Competition, hosted by the Ministry of Science and Technology, concluded. Haier Smart Home's compressor-free solid-state electric card refrigeration system key technology research and industrialization project won the highest award.</v>
      </c>
      <c r="B4351" s="1" t="str">
        <f ca="1">IFERROR(__xludf.DUMMYFUNCTION("GOOGLETRANSLATE(A4351, ""zh"", ""en"")"),"Technological innovation")</f>
        <v>Technological innovation</v>
      </c>
      <c r="C4351" s="1" t="str">
        <f ca="1">IFERROR(__xludf.DUMMYFUNCTION("GOOGLETRANSLATE(E4351, ""zh"", ""en"")"),"Quantitative Text")</f>
        <v>Quantitative Text</v>
      </c>
    </row>
    <row r="4352" spans="1:3" ht="13" x14ac:dyDescent="0.15">
      <c r="A4352" s="1" t="str">
        <f ca="1">IFERROR(__xludf.DUMMYFUNCTION("GOOGLETRANSLATE(A4352, ""zh"", ""en"")"),"The Party Committee has 775 members, 460 of whom are 35 years old or younger. 59.4% of the members have a bachelor's degree or above, accounting for 58.6% of the total.")</f>
        <v>The Party Committee has 775 members, 460 of whom are 35 years old or younger. 59.4% of the members have a bachelor's degree or above, accounting for 58.6% of the total.</v>
      </c>
      <c r="B4352" s="1" t="str">
        <f ca="1">IFERROR(__xludf.DUMMYFUNCTION("GOOGLETRANSLATE(A4352, ""zh"", ""en"")"),"Organizational structure and operations")</f>
        <v>Organizational structure and operations</v>
      </c>
      <c r="C4352" s="1" t="str">
        <f ca="1">IFERROR(__xludf.DUMMYFUNCTION("GOOGLETRANSLATE(E4352, ""zh"", ""en"")"),"Quantitative Text")</f>
        <v>Quantitative Text</v>
      </c>
    </row>
    <row r="4353" spans="1:3" ht="13" x14ac:dyDescent="0.15">
      <c r="A4353" s="1" t="str">
        <f ca="1">IFERROR(__xludf.DUMMYFUNCTION("GOOGLETRANSLATE(A4353, ""zh"", ""en"")"),"The company and its subsidiaries shall set up safety production management organizations in accordance with laws and regulations, establish safety production organization leadership bodies, set up safety production committees with the principal person in "&amp;"charge as the director, and assign professional safety management personnel as required to ensure the smooth implementation of safety production management work.")</f>
        <v>The company and its subsidiaries shall set up safety production management organizations in accordance with laws and regulations, establish safety production organization leadership bodies, set up safety production committees with the principal person in charge as the director, and assign professional safety management personnel as required to ensure the smooth implementation of safety production management work.</v>
      </c>
      <c r="B4353" s="1" t="str">
        <f ca="1">IFERROR(__xludf.DUMMYFUNCTION("GOOGLETRANSLATE(A4353, ""zh"", ""en"")"),"staff")</f>
        <v>staff</v>
      </c>
      <c r="C4353" s="1" t="str">
        <f ca="1">IFERROR(__xludf.DUMMYFUNCTION("GOOGLETRANSLATE(E4353, ""zh"", ""en"")"),"Qualitative text")</f>
        <v>Qualitative text</v>
      </c>
    </row>
    <row r="4354" spans="1:3" ht="13" x14ac:dyDescent="0.15">
      <c r="A4354" s="1" t="str">
        <f ca="1">IFERROR(__xludf.DUMMYFUNCTION("GOOGLETRANSLATE(A4354, ""zh"", ""en"")"),"Looking ahead, the trend of global integration appears to be slowing, and financial markets are becoming more volatile, posing challenges to Haier Smart Home's global brand development. Our winning strategy has always been to prioritize user experience an"&amp;"d innovate internally through digital transformation to optimize processes and drive innovation.")</f>
        <v>Looking ahead, the trend of global integration appears to be slowing, and financial markets are becoming more volatile, posing challenges to Haier Smart Home's global brand development. Our winning strategy has always been to prioritize user experience and innovate internally through digital transformation to optimize processes and drive innovation.</v>
      </c>
      <c r="B4354" s="1" t="str">
        <f ca="1">IFERROR(__xludf.DUMMYFUNCTION("GOOGLETRANSLATE(A4354, ""zh"", ""en"")"),"Technological innovation")</f>
        <v>Technological innovation</v>
      </c>
      <c r="C4354" s="1" t="str">
        <f ca="1">IFERROR(__xludf.DUMMYFUNCTION("GOOGLETRANSLATE(E4354, ""zh"", ""en"")"),"Qualitative text")</f>
        <v>Qualitative text</v>
      </c>
    </row>
    <row r="4355" spans="1:3" ht="13" x14ac:dyDescent="0.15">
      <c r="A4355" s="1" t="str">
        <f ca="1">IFERROR(__xludf.DUMMYFUNCTION("GOOGLETRANSLATE(A4355, ""zh"", ""en"")"),"Actively explore and apply new technologies, new equipment, and new processes to improve resource utilization efficiency and reduce energy costs; identify and respond to government supportive policies and green projects; strengthen low-carbon technology r"&amp;"esearch and development; increase the proportion of green and low-carbon products; identify and participate in emerging markets; promote the development and utilization of renewable energy.")</f>
        <v>Actively explore and apply new technologies, new equipment, and new processes to improve resource utilization efficiency and reduce energy costs; identify and respond to government supportive policies and green projects; strengthen low-carbon technology research and development; increase the proportion of green and low-carbon products; identify and participate in emerging markets; promote the development and utilization of renewable energy.</v>
      </c>
      <c r="B4355" s="1" t="str">
        <f ca="1">IFERROR(__xludf.DUMMYFUNCTION("GOOGLETRANSLATE(A4355, ""zh"", ""en"")"),"Energy and resource consumption")</f>
        <v>Energy and resource consumption</v>
      </c>
      <c r="C4355" s="1" t="str">
        <f ca="1">IFERROR(__xludf.DUMMYFUNCTION("GOOGLETRANSLATE(E4355, ""zh"", ""en"")"),"Qualitative text")</f>
        <v>Qualitative text</v>
      </c>
    </row>
    <row r="4356" spans="1:3" ht="13" x14ac:dyDescent="0.15">
      <c r="A4356" s="1" t="str">
        <f ca="1">IFERROR(__xludf.DUMMYFUNCTION("GOOGLETRANSLATE(A4356, ""zh"", ""en"")"),"Strengthen the construction of skilled personnel team, select outstanding skilled personnel through multiple channels, improve the rules and regulations for professional skills certification, and regularly organize skills training for each unit to promote"&amp;" the improvement of the skills of all employees, promote the quality improvement project for all employees, and provide human and intellectual support for achieving high-quality development goals.")</f>
        <v>Strengthen the construction of skilled personnel team, select outstanding skilled personnel through multiple channels, improve the rules and regulations for professional skills certification, and regularly organize skills training for each unit to promote the improvement of the skills of all employees, promote the quality improvement project for all employees, and provide human and intellectual support for achieving high-quality development goals.</v>
      </c>
      <c r="B4356" s="1" t="str">
        <f ca="1">IFERROR(__xludf.DUMMYFUNCTION("GOOGLETRANSLATE(A4356, ""zh"", ""en"")"),"staff")</f>
        <v>staff</v>
      </c>
      <c r="C4356" s="1" t="str">
        <f ca="1">IFERROR(__xludf.DUMMYFUNCTION("GOOGLETRANSLATE(E4356, ""zh"", ""en"")"),"Qualitative text")</f>
        <v>Qualitative text</v>
      </c>
    </row>
    <row r="4357" spans="1:3" ht="13" x14ac:dyDescent="0.15">
      <c r="A4357" s="1" t="str">
        <f ca="1">IFERROR(__xludf.DUMMYFUNCTION("GOOGLETRANSLATE(A4357, ""zh"", ""en"")"),"During the reporting period, on the basis of high-quality mandatory information disclosure, the Company increased voluntary disclosure of key issues of concern to domestic and foreign investors and capital markets, such as corporate strategy, corporate go"&amp;"vernance, green operations, employee rights and interests, and supply chain management, and continuously improved the quality and transparency of disclosure.")</f>
        <v>During the reporting period, on the basis of high-quality mandatory information disclosure, the Company increased voluntary disclosure of key issues of concern to domestic and foreign investors and capital markets, such as corporate strategy, corporate governance, green operations, employee rights and interests, and supply chain management, and continuously improved the quality and transparency of disclosure.</v>
      </c>
      <c r="B4357" s="1" t="str">
        <f ca="1">IFERROR(__xludf.DUMMYFUNCTION("GOOGLETRANSLATE(A4357, ""zh"", ""en"")"),"Information Disclosure and Investor Communication")</f>
        <v>Information Disclosure and Investor Communication</v>
      </c>
      <c r="C4357" s="1" t="str">
        <f ca="1">IFERROR(__xludf.DUMMYFUNCTION("GOOGLETRANSLATE(E4357, ""zh"", ""en"")"),"Qualitative text")</f>
        <v>Qualitative text</v>
      </c>
    </row>
    <row r="4358" spans="1:3" ht="13" x14ac:dyDescent="0.15">
      <c r="A4358" s="1" t="str">
        <f ca="1">IFERROR(__xludf.DUMMYFUNCTION("GOOGLETRANSLATE(A4358, ""zh"", ""en"")"),"Sinopec formulates its corporate governance documents, including its articles of association, in accordance with the Company Law of the People's Republic of China, the Securities Law of the People's Republic of China, the mandatory articles of association"&amp;" for overseas listed companies, and other national laws and regulations, as well as domestic and overseas securities regulatory requirements, and continuously improves its corporate governance system.")</f>
        <v>Sinopec formulates its corporate governance documents, including its articles of association, in accordance with the Company Law of the People's Republic of China, the Securities Law of the People's Republic of China, the mandatory articles of association for overseas listed companies, and other national laws and regulations, as well as domestic and overseas securities regulatory requirements, and continuously improves its corporate governance system.</v>
      </c>
      <c r="B4358" s="1" t="str">
        <f ca="1">IFERROR(__xludf.DUMMYFUNCTION("GOOGLETRANSLATE(A4358, ""zh"", ""en"")"),"Organizational structure and operations")</f>
        <v>Organizational structure and operations</v>
      </c>
      <c r="C4358" s="1" t="str">
        <f ca="1">IFERROR(__xludf.DUMMYFUNCTION("GOOGLETRANSLATE(E4358, ""zh"", ""en"")"),"Qualitative text")</f>
        <v>Qualitative text</v>
      </c>
    </row>
    <row r="4359" spans="1:3" ht="13" x14ac:dyDescent="0.15">
      <c r="A4359" s="1" t="str">
        <f ca="1">IFERROR(__xludf.DUMMYFUNCTION("GOOGLETRANSLATE(A4359, ""zh"", ""en"")"),"Launched digital integration learning programs, customer management in the digital age, held international learning programs on financial sanctions and compliance operations, case studies, international online training camps, CCB Harvard Digital Talent Co"&amp;"-Growth Training Camp, and launched foreign language learning programs for all domestic and international employees.")</f>
        <v>Launched digital integration learning programs, customer management in the digital age, held international learning programs on financial sanctions and compliance operations, case studies, international online training camps, CCB Harvard Digital Talent Co-Growth Training Camp, and launched foreign language learning programs for all domestic and international employees.</v>
      </c>
      <c r="B4359" s="1" t="str">
        <f ca="1">IFERROR(__xludf.DUMMYFUNCTION("GOOGLETRANSLATE(A4359, ""zh"", ""en"")"),"staff")</f>
        <v>staff</v>
      </c>
      <c r="C4359" s="1" t="str">
        <f ca="1">IFERROR(__xludf.DUMMYFUNCTION("GOOGLETRANSLATE(E4359, ""zh"", ""en"")"),"Qualitative text")</f>
        <v>Qualitative text</v>
      </c>
    </row>
    <row r="4360" spans="1:3" ht="13" x14ac:dyDescent="0.15">
      <c r="A4360" s="1" t="str">
        <f ca="1">IFERROR(__xludf.DUMMYFUNCTION("GOOGLETRANSLATE(A4360, ""zh"", ""en"")"),"In the secondary indicator satisfaction evaluation, the pre-sales service satisfaction score was 94.1 points, the product sales satisfaction score was 94.3 points, the logistics satisfaction score was 93.5 points, the after-sales service satisfaction scor"&amp;"e was 94.2 points, and the customer manager satisfaction score was 94.9 points.")</f>
        <v>In the secondary indicator satisfaction evaluation, the pre-sales service satisfaction score was 94.1 points, the product sales satisfaction score was 94.3 points, the logistics satisfaction score was 93.5 points, the after-sales service satisfaction score was 94.2 points, and the customer manager satisfaction score was 94.9 points.</v>
      </c>
      <c r="B4360" s="1" t="str">
        <f ca="1">IFERROR(__xludf.DUMMYFUNCTION("GOOGLETRANSLATE(A4360, ""zh"", ""en"")"),"Customers and Consumers")</f>
        <v>Customers and Consumers</v>
      </c>
      <c r="C4360" s="1" t="str">
        <f ca="1">IFERROR(__xludf.DUMMYFUNCTION("GOOGLETRANSLATE(E4360, ""zh"", ""en"")"),"Quantitative Text")</f>
        <v>Quantitative Text</v>
      </c>
    </row>
    <row r="4361" spans="1:3" ht="13" x14ac:dyDescent="0.15">
      <c r="A4361" s="1" t="str">
        <f ca="1">IFERROR(__xludf.DUMMYFUNCTION("GOOGLETRANSLATE(A4361, ""zh"", ""en"")"),"Thymic carcinoma is a rare epithelial malignant tumor that is more invasive than thymoma. Most thymic carcinoma patients have already invaded or metastasized when first discovered. The incidence rate and survival time are significantly lower than those of"&amp;" thymoma patients.")</f>
        <v>Thymic carcinoma is a rare epithelial malignant tumor that is more invasive than thymoma. Most thymic carcinoma patients have already invaded or metastasized when first discovered. The incidence rate and survival time are significantly lower than those of thymoma patients.</v>
      </c>
      <c r="B4361" s="1" t="str">
        <f ca="1">IFERROR(__xludf.DUMMYFUNCTION("GOOGLETRANSLATE(A4361, ""zh"", ""en"")"),"irrelevant text")</f>
        <v>irrelevant text</v>
      </c>
      <c r="C4361" s="1" t="str">
        <f ca="1">IFERROR(__xludf.DUMMYFUNCTION("GOOGLETRANSLATE(E4361, ""zh"", ""en"")"),"irrelevant text")</f>
        <v>irrelevant text</v>
      </c>
    </row>
    <row r="4362" spans="1:3" ht="13" x14ac:dyDescent="0.15">
      <c r="A4362" s="1" t="str">
        <f ca="1">IFERROR(__xludf.DUMMYFUNCTION("GOOGLETRANSLATE(A4362, ""zh"", ""en"")"),"For example, in terms of hospital management, the Group always attaches great importance to the implementation of performance management, and the board of directors of member hospitals will review and revise the guidance and counseling provided by the hos"&amp;"pital's leaders and managers to employees in order to review the hospital's annual business development goals and incentives.")</f>
        <v>For example, in terms of hospital management, the Group always attaches great importance to the implementation of performance management, and the board of directors of member hospitals will review and revise the guidance and counseling provided by the hospital's leaders and managers to employees in order to review the hospital's annual business development goals and incentives.</v>
      </c>
      <c r="B4362" s="1" t="str">
        <f ca="1">IFERROR(__xludf.DUMMYFUNCTION("GOOGLETRANSLATE(A4362, ""zh"", ""en"")"),"staff")</f>
        <v>staff</v>
      </c>
      <c r="C4362" s="1" t="str">
        <f ca="1">IFERROR(__xludf.DUMMYFUNCTION("GOOGLETRANSLATE(E4362, ""zh"", ""en"")"),"Qualitative text")</f>
        <v>Qualitative text</v>
      </c>
    </row>
    <row r="4363" spans="1:3" ht="13" x14ac:dyDescent="0.15">
      <c r="A4363" s="1" t="str">
        <f ca="1">IFERROR(__xludf.DUMMYFUNCTION("GOOGLETRANSLATE(A4363, ""zh"", ""en"")"),"Finally, Fosun Pharma and Wanbang Pharmaceuticals will conduct cross-audits of all types of enterprises. Guilin Nanyao Aohong Pharmaceutical and Erye Pharmaceutical Suzhou Base will complete at least one internal EHS management system self-assessment each"&amp;" year and report to the five member companies for obtaining dual system certification.")</f>
        <v>Finally, Fosun Pharma and Wanbang Pharmaceuticals will conduct cross-audits of all types of enterprises. Guilin Nanyao Aohong Pharmaceutical and Erye Pharmaceutical Suzhou Base will complete at least one internal EHS management system self-assessment each year and report to the five member companies for obtaining dual system certification.</v>
      </c>
      <c r="B4363" s="1" t="str">
        <f ca="1">IFERROR(__xludf.DUMMYFUNCTION("GOOGLETRANSLATE(A4363, ""zh"", ""en"")"),"Sustainable certification")</f>
        <v>Sustainable certification</v>
      </c>
      <c r="C4363" s="1" t="str">
        <f ca="1">IFERROR(__xludf.DUMMYFUNCTION("GOOGLETRANSLATE(E4363, ""zh"", ""en"")"),"Quantitative Text")</f>
        <v>Quantitative Text</v>
      </c>
    </row>
    <row r="4364" spans="1:3" ht="13" x14ac:dyDescent="0.15">
      <c r="A4364" s="1" t="str">
        <f ca="1">IFERROR(__xludf.DUMMYFUNCTION("GOOGLETRANSLATE(A4364, ""zh"", ""en"")"),"Livzon Group conducts EHS audits on suppliers to systematically address supply chain stability risks. Kangyuan Health, based on its own supply chain and business situation, has established a comprehensive supply risk mitigation plan and contingency plan, "&amp;"developed relevant systems for alternative suppliers, and established a dual procurement plan.")</f>
        <v>Livzon Group conducts EHS audits on suppliers to systematically address supply chain stability risks. Kangyuan Health, based on its own supply chain and business situation, has established a comprehensive supply risk mitigation plan and contingency plan, developed relevant systems for alternative suppliers, and established a dual procurement plan.</v>
      </c>
      <c r="B4364" s="1" t="str">
        <f ca="1">IFERROR(__xludf.DUMMYFUNCTION("GOOGLETRANSLATE(A4364, ""zh"", ""en"")"),"supply chain management")</f>
        <v>supply chain management</v>
      </c>
      <c r="C4364" s="1" t="str">
        <f ca="1">IFERROR(__xludf.DUMMYFUNCTION("GOOGLETRANSLATE(E4364, ""zh"", ""en"")"),"Qualitative text")</f>
        <v>Qualitative text</v>
      </c>
    </row>
    <row r="4365" spans="1:3" ht="13" x14ac:dyDescent="0.15">
      <c r="A4365" s="1" t="str">
        <f ca="1">IFERROR(__xludf.DUMMYFUNCTION("GOOGLETRANSLATE(A4365, ""zh"", ""en"")"),"Specific measures include, but are not limited to, establishing a scientific organizational structure and division of responsibilities, improving decision-making mechanisms and management processes, formulating and improving various systems, establishing "&amp;"an internal oversight mechanism, strengthening risk management and internal control, promoting information disclosure and communication, and enhancing investor confidence and market recognition.")</f>
        <v>Specific measures include, but are not limited to, establishing a scientific organizational structure and division of responsibilities, improving decision-making mechanisms and management processes, formulating and improving various systems, establishing an internal oversight mechanism, strengthening risk management and internal control, promoting information disclosure and communication, and enhancing investor confidence and market recognition.</v>
      </c>
      <c r="B4365" s="1" t="str">
        <f ca="1">IFERROR(__xludf.DUMMYFUNCTION("GOOGLETRANSLATE(A4365, ""zh"", ""en"")"),"Organizational structure and operations")</f>
        <v>Organizational structure and operations</v>
      </c>
      <c r="C4365" s="1" t="str">
        <f ca="1">IFERROR(__xludf.DUMMYFUNCTION("GOOGLETRANSLATE(E4365, ""zh"", ""en"")"),"Qualitative text")</f>
        <v>Qualitative text</v>
      </c>
    </row>
    <row r="4366" spans="1:3" ht="13" x14ac:dyDescent="0.15">
      <c r="A4366" s="1" t="str">
        <f ca="1">IFERROR(__xludf.DUMMYFUNCTION("GOOGLETRANSLATE(A4366, ""zh"", ""en"")"),"The District focuses on key performance indicators such as micro-education, health, and environmental protection. B8.1 Matters related to labor needs, health, culture, and sports 116. Community participation projects are used to understand the needs of th"&amp;"e communities in which they operate. B8 Community investment is integrated and ensures that its business activities take into account the interests of the community.")</f>
        <v>The District focuses on key performance indicators such as micro-education, health, and environmental protection. B8.1 Matters related to labor needs, health, culture, and sports 116. Community participation projects are used to understand the needs of the communities in which they operate. B8 Community investment is integrated and ensures that its business activities take into account the interests of the community.</v>
      </c>
      <c r="B4366" s="1" t="str">
        <f ca="1">IFERROR(__xludf.DUMMYFUNCTION("GOOGLETRANSLATE(A4366, ""zh"", ""en"")"),"staff")</f>
        <v>staff</v>
      </c>
      <c r="C4366" s="1" t="str">
        <f ca="1">IFERROR(__xludf.DUMMYFUNCTION("GOOGLETRANSLATE(E4366, ""zh"", ""en"")"),"Qualitative text")</f>
        <v>Qualitative text</v>
      </c>
    </row>
    <row r="4367" spans="1:3" ht="13" x14ac:dyDescent="0.15">
      <c r="A4367" s="1" t="str">
        <f ca="1">IFERROR(__xludf.DUMMYFUNCTION("GOOGLETRANSLATE(A4367, ""zh"", ""en"")"),"The board of directors is the highest responsible body for the company's ESG-related affairs. It is primarily responsible for formulating the company's development strategies and goals for ESG-related matters, reviewing and approving the company's public "&amp;"disclosure of ESG-related information, and supervising and reviewing the company's internal implementation of ESG-related regulations.")</f>
        <v>The board of directors is the highest responsible body for the company's ESG-related affairs. It is primarily responsible for formulating the company's development strategies and goals for ESG-related matters, reviewing and approving the company's public disclosure of ESG-related information, and supervising and reviewing the company's internal implementation of ESG-related regulations.</v>
      </c>
      <c r="B4367" s="1" t="str">
        <f ca="1">IFERROR(__xludf.DUMMYFUNCTION("GOOGLETRANSLATE(A4367, ""zh"", ""en"")"),"Organizational structure and operations")</f>
        <v>Organizational structure and operations</v>
      </c>
      <c r="C4367" s="1" t="str">
        <f ca="1">IFERROR(__xludf.DUMMYFUNCTION("GOOGLETRANSLATE(E4367, ""zh"", ""en"")"),"Qualitative text")</f>
        <v>Qualitative text</v>
      </c>
    </row>
    <row r="4368" spans="1:3" ht="13" x14ac:dyDescent="0.15">
      <c r="A4368" s="1" t="str">
        <f ca="1">IFERROR(__xludf.DUMMYFUNCTION("GOOGLETRANSLATE(A4368, ""zh"", ""en"")"),"Over the past year, the company's Blue Power Volunteer Service Team has adopted a combination of online and offline teaching methods to popularize music theory, painting, science and other knowledge for children in mountainous areas. At the same time, it "&amp;"has also worked with volunteers from the Communist Youth League of the Central Petroleum University to open special love classes for children to teach them Winter Olympics ideological and political courses and red party history courses.")</f>
        <v>Over the past year, the company's Blue Power Volunteer Service Team has adopted a combination of online and offline teaching methods to popularize music theory, painting, science and other knowledge for children in mountainous areas. At the same time, it has also worked with volunteers from the Communist Youth League of the Central Petroleum University to open special love classes for children to teach them Winter Olympics ideological and political courses and red party history courses.</v>
      </c>
      <c r="B4368" s="1" t="str">
        <f ca="1">IFERROR(__xludf.DUMMYFUNCTION("GOOGLETRANSLATE(A4368, ""zh"", ""en"")"),"Public welfare and volunteer service")</f>
        <v>Public welfare and volunteer service</v>
      </c>
      <c r="C4368" s="1" t="str">
        <f ca="1">IFERROR(__xludf.DUMMYFUNCTION("GOOGLETRANSLATE(E4368, ""zh"", ""en"")"),"Qualitative text")</f>
        <v>Qualitative text</v>
      </c>
    </row>
    <row r="4369" spans="1:3" ht="13" x14ac:dyDescent="0.15">
      <c r="A4369" s="1" t="str">
        <f ca="1">IFERROR(__xludf.DUMMYFUNCTION("GOOGLETRANSLATE(A4369, ""zh"", ""en"")"),"The Group has a total of 14,116 employees in 2022 and 13,234 employees in 2021. The Group's labor union regularly holds employee representative conferences every year to maintain close communication with employees and enable them to fully participate in t"&amp;"he decision-making of important matters of the Group.")</f>
        <v>The Group has a total of 14,116 employees in 2022 and 13,234 employees in 2021. The Group's labor union regularly holds employee representative conferences every year to maintain close communication with employees and enable them to fully participate in the decision-making of important matters of the Group.</v>
      </c>
      <c r="B4369" s="1" t="str">
        <f ca="1">IFERROR(__xludf.DUMMYFUNCTION("GOOGLETRANSLATE(A4369, ""zh"", ""en"")"),"staff")</f>
        <v>staff</v>
      </c>
      <c r="C4369" s="1" t="str">
        <f ca="1">IFERROR(__xludf.DUMMYFUNCTION("GOOGLETRANSLATE(E4369, ""zh"", ""en"")"),"Qualitative text")</f>
        <v>Qualitative text</v>
      </c>
    </row>
    <row r="4370" spans="1:3" ht="13" x14ac:dyDescent="0.15">
      <c r="A4370" s="1" t="str">
        <f ca="1">IFERROR(__xludf.DUMMYFUNCTION("GOOGLETRANSLATE(A4370, ""zh"", ""en"")"),"Kangyuan continues to facilitate communication channels between employees and the company. We plan to conduct regular annual satisfaction surveys for all employees of the Group and its subsidiaries starting in 2023. We fully respect and promptly understan"&amp;"d employees' opinions and feedback to continuously improve employee satisfaction and engagement.")</f>
        <v>Kangyuan continues to facilitate communication channels between employees and the company. We plan to conduct regular annual satisfaction surveys for all employees of the Group and its subsidiaries starting in 2023. We fully respect and promptly understand employees' opinions and feedback to continuously improve employee satisfaction and engagement.</v>
      </c>
      <c r="B4370" s="1" t="str">
        <f ca="1">IFERROR(__xludf.DUMMYFUNCTION("GOOGLETRANSLATE(A4370, ""zh"", ""en"")"),"staff")</f>
        <v>staff</v>
      </c>
      <c r="C4370" s="1" t="str">
        <f ca="1">IFERROR(__xludf.DUMMYFUNCTION("GOOGLETRANSLATE(E4370, ""zh"", ""en"")"),"Qualitative text")</f>
        <v>Qualitative text</v>
      </c>
    </row>
    <row r="4371" spans="1:3" ht="13" x14ac:dyDescent="0.15">
      <c r="A4371" s="1" t="str">
        <f ca="1">IFERROR(__xludf.DUMMYFUNCTION("GOOGLETRANSLATE(A4371, ""zh"", ""en"")"),"Build a green supply chain to develop and manufacture green marine engineering equipment. Through joint research and development, we have completed the highest domestic standard marine engineering equipment domestic sewage treatment equipment, of which 9 "&amp;"key indicators are better than the current standards. We have also completed the procurement and update of domestic sewage treatment equipment for 14 domestic drilling platforms.")</f>
        <v>Build a green supply chain to develop and manufacture green marine engineering equipment. Through joint research and development, we have completed the highest domestic standard marine engineering equipment domestic sewage treatment equipment, of which 9 key indicators are better than the current standards. We have also completed the procurement and update of domestic sewage treatment equipment for 14 domestic drilling platforms.</v>
      </c>
      <c r="B4371" s="1" t="str">
        <f ca="1">IFERROR(__xludf.DUMMYFUNCTION("GOOGLETRANSLATE(A4371, ""zh"", ""en"")"),"Waste Management")</f>
        <v>Waste Management</v>
      </c>
      <c r="C4371" s="1" t="str">
        <f ca="1">IFERROR(__xludf.DUMMYFUNCTION("GOOGLETRANSLATE(E4371, ""zh"", ""en"")"),"Quantitative Text")</f>
        <v>Quantitative Text</v>
      </c>
    </row>
    <row r="4372" spans="1:3" ht="13" x14ac:dyDescent="0.15">
      <c r="A4372" s="1" t="str">
        <f ca="1">IFERROR(__xludf.DUMMYFUNCTION("GOOGLETRANSLATE(A4372, ""zh"", ""en"")"),"In February 2022, the recombinant novel coronavirus fusion protein vaccine Likang V01, jointly developed by Livzon Bio and the Institute of Biophysics, Chinese Academy of Sciences, completed the summary report of the sequentially enhanced Phase III clinic"&amp;"al trial and submitted a conditional marketing application. It was approved for emergency use in September of the same year.")</f>
        <v>In February 2022, the recombinant novel coronavirus fusion protein vaccine Likang V01, jointly developed by Livzon Bio and the Institute of Biophysics, Chinese Academy of Sciences, completed the summary report of the sequentially enhanced Phase III clinical trial and submitted a conditional marketing application. It was approved for emergency use in September of the same year.</v>
      </c>
      <c r="B4372" s="1" t="str">
        <f ca="1">IFERROR(__xludf.DUMMYFUNCTION("GOOGLETRANSLATE(A4372, ""zh"", ""en"")"),"Fighting the epidemic")</f>
        <v>Fighting the epidemic</v>
      </c>
      <c r="C4372" s="1" t="str">
        <f ca="1">IFERROR(__xludf.DUMMYFUNCTION("GOOGLETRANSLATE(E4372, ""zh"", ""en"")"),"Qualitative text")</f>
        <v>Qualitative text</v>
      </c>
    </row>
    <row r="4373" spans="1:3" ht="13" x14ac:dyDescent="0.15">
      <c r="A4373" s="1" t="str">
        <f ca="1">IFERROR(__xludf.DUMMYFUNCTION("GOOGLETRANSLATE(A4373, ""zh"", ""en"")"),"2022 ESG Green Company Star 2022 Excellent Social Responsibility Enterprise On December 22, 2022, Haier Smart Home won two awards, namely 2022 ESG Green Company Star and 2022 Excellent Social Responsibility Enterprise, selected by Punctuation Financial Re"&amp;"search Institute and Investment Times.")</f>
        <v>2022 ESG Green Company Star 2022 Excellent Social Responsibility Enterprise On December 22, 2022, Haier Smart Home won two awards, namely 2022 ESG Green Company Star and 2022 Excellent Social Responsibility Enterprise, selected by Punctuation Financial Research Institute and Investment Times.</v>
      </c>
      <c r="B4373" s="1" t="str">
        <f ca="1">IFERROR(__xludf.DUMMYFUNCTION("GOOGLETRANSLATE(A4373, ""zh"", ""en"")"),"Sustainable certification")</f>
        <v>Sustainable certification</v>
      </c>
      <c r="C4373" s="1" t="str">
        <f ca="1">IFERROR(__xludf.DUMMYFUNCTION("GOOGLETRANSLATE(E4373, ""zh"", ""en"")"),"Quantitative Text")</f>
        <v>Quantitative Text</v>
      </c>
    </row>
    <row r="4374" spans="1:3" ht="13" x14ac:dyDescent="0.15">
      <c r="A4374" s="1" t="str">
        <f ca="1">IFERROR(__xludf.DUMMYFUNCTION("GOOGLETRANSLATE(A4374, ""zh"", ""en"")"),"GRI 417 Marketing and Labeling 2016 4171 Requirements for Product and Service Information and Labeling P22 4172 Non-compliance Incidents Involving Product and Service Information and Labeling No major non-compliance incidents involving product and service"&amp;" information and labeling occurred in the organization in 2022")</f>
        <v>GRI 417 Marketing and Labeling 2016 4171 Requirements for Product and Service Information and Labeling P22 4172 Non-compliance Incidents Involving Product and Service Information and Labeling No major non-compliance incidents involving product and service information and labeling occurred in the organization in 2022</v>
      </c>
      <c r="B4374" s="1" t="str">
        <f ca="1">IFERROR(__xludf.DUMMYFUNCTION("GOOGLETRANSLATE(A4374, ""zh"", ""en"")"),"Product quality")</f>
        <v>Product quality</v>
      </c>
      <c r="C4374" s="1" t="str">
        <f ca="1">IFERROR(__xludf.DUMMYFUNCTION("GOOGLETRANSLATE(E4374, ""zh"", ""en"")"),"Quantitative Text")</f>
        <v>Quantitative Text</v>
      </c>
    </row>
    <row r="4375" spans="1:3" ht="13" x14ac:dyDescent="0.15">
      <c r="A4375" s="1" t="str">
        <f ca="1">IFERROR(__xludf.DUMMYFUNCTION("GOOGLETRANSLATE(A4375, ""zh"", ""en"")"),"In 2022, the company's safety education will focus on online remote training. Special training courses will be conducted for the company's leadership, management and front-line employees to improve safety skills for all employees. Safety production warnin"&amp;"g education and training classes will be opened to continuously strengthen the safety awareness of all employees to prevent and reduce production safety accidents.")</f>
        <v>In 2022, the company's safety education will focus on online remote training. Special training courses will be conducted for the company's leadership, management and front-line employees to improve safety skills for all employees. Safety production warning education and training classes will be opened to continuously strengthen the safety awareness of all employees to prevent and reduce production safety accidents.</v>
      </c>
      <c r="B4375" s="1" t="str">
        <f ca="1">IFERROR(__xludf.DUMMYFUNCTION("GOOGLETRANSLATE(A4375, ""zh"", ""en"")"),"staff")</f>
        <v>staff</v>
      </c>
      <c r="C4375" s="1" t="str">
        <f ca="1">IFERROR(__xludf.DUMMYFUNCTION("GOOGLETRANSLATE(E4375, ""zh"", ""en"")"),"Qualitative text")</f>
        <v>Qualitative text</v>
      </c>
    </row>
    <row r="4376" spans="1:3" ht="13" x14ac:dyDescent="0.15">
      <c r="A4376" s="1" t="str">
        <f ca="1">IFERROR(__xludf.DUMMYFUNCTION("GOOGLETRANSLATE(A4376, ""zh"", ""en"")"),"At the same time, we fully leverage the democratic decision-making, democratic management, and democratic supervision capabilities of the Workers' Congress and organize employee representatives to participate in the Haier Group Workers' Congress and the H"&amp;"aier Smart Home Workers' Congress. We will discuss and make decisions on important employee policies and corporate development suggestions at the meetings.")</f>
        <v>At the same time, we fully leverage the democratic decision-making, democratic management, and democratic supervision capabilities of the Workers' Congress and organize employee representatives to participate in the Haier Group Workers' Congress and the Haier Smart Home Workers' Congress. We will discuss and make decisions on important employee policies and corporate development suggestions at the meetings.</v>
      </c>
      <c r="B4376" s="1" t="str">
        <f ca="1">IFERROR(__xludf.DUMMYFUNCTION("GOOGLETRANSLATE(A4376, ""zh"", ""en"")"),"staff")</f>
        <v>staff</v>
      </c>
      <c r="C4376" s="1" t="str">
        <f ca="1">IFERROR(__xludf.DUMMYFUNCTION("GOOGLETRANSLATE(E4376, ""zh"", ""en"")"),"Qualitative text")</f>
        <v>Qualitative text</v>
      </c>
    </row>
    <row r="4377" spans="1:3" ht="13" x14ac:dyDescent="0.15">
      <c r="A4377" s="1" t="str">
        <f ca="1">IFERROR(__xludf.DUMMYFUNCTION("GOOGLETRANSLATE(A4377, ""zh"", ""en"")"),"The recycling rate of factory solid waste, the harmless treatment rate of industrial hazardous waste, and the harmless treatment rate of construction hazardous waste and domestic garbage all reached 100.4. The company's greenhouse gas inventory includes c"&amp;"arbon dioxide, methane and nitrous oxide, which are mainly derived from purchased electricity, purchased steam and fossil fuels.")</f>
        <v>The recycling rate of factory solid waste, the harmless treatment rate of industrial hazardous waste, and the harmless treatment rate of construction hazardous waste and domestic garbage all reached 100.4. The company's greenhouse gas inventory includes carbon dioxide, methane and nitrous oxide, which are mainly derived from purchased electricity, purchased steam and fossil fuels.</v>
      </c>
      <c r="B4377" s="1" t="str">
        <f ca="1">IFERROR(__xludf.DUMMYFUNCTION("GOOGLETRANSLATE(A4377, ""zh"", ""en"")"),"Waste Management")</f>
        <v>Waste Management</v>
      </c>
      <c r="C4377" s="1" t="str">
        <f ca="1">IFERROR(__xludf.DUMMYFUNCTION("GOOGLETRANSLATE(E4377, ""zh"", ""en"")"),"Quantitative Text")</f>
        <v>Quantitative Text</v>
      </c>
    </row>
    <row r="4378" spans="1:3" ht="13" x14ac:dyDescent="0.15">
      <c r="A4378" s="1" t="str">
        <f ca="1">IFERROR(__xludf.DUMMYFUNCTION("GOOGLETRANSLATE(A4378, ""zh"", ""en"")"),"Argentina Lithium Potassium Chinese Workshop 442022 Tibet Mount Everest Sustainable Development Report On November 1, local time in Argentina, Argentina Lithium Potassium Co., Ltd., a subsidiary of the Company, and Beijing Industrial Vocational and Techni"&amp;"cal College jointly held the official opening ceremony of the Chinese language and culture training program.")</f>
        <v>Argentina Lithium Potassium Chinese Workshop 442022 Tibet Mount Everest Sustainable Development Report On November 1, local time in Argentina, Argentina Lithium Potassium Co., Ltd., a subsidiary of the Company, and Beijing Industrial Vocational and Technical College jointly held the official opening ceremony of the Chinese language and culture training program.</v>
      </c>
      <c r="B4378" s="1" t="str">
        <f ca="1">IFERROR(__xludf.DUMMYFUNCTION("GOOGLETRANSLATE(A4378, ""zh"", ""en"")"),"staff")</f>
        <v>staff</v>
      </c>
      <c r="C4378" s="1" t="str">
        <f ca="1">IFERROR(__xludf.DUMMYFUNCTION("GOOGLETRANSLATE(E4378, ""zh"", ""en"")"),"Qualitative text")</f>
        <v>Qualitative text</v>
      </c>
    </row>
    <row r="4379" spans="1:3" ht="13" x14ac:dyDescent="0.15">
      <c r="A4379" s="1" t="str">
        <f ca="1">IFERROR(__xludf.DUMMYFUNCTION("GOOGLETRANSLATE(A4379, ""zh"", ""en"")"),"4.6.2 Execution of Audit Supervision: Kangyuan Health complies with the provisions of the National Audit Office on internal audit work, the Guiding Opinions on Reforming and Improving the Comprehensive Supervision System for the Medical and Health Industr"&amp;"y, and other laws and regulations, formulates the implementation rules of the Audit Committee, the internal control system, and other systems to regulate the group's internal control and internal audit work.")</f>
        <v>4.6.2 Execution of Audit Supervision: Kangyuan Health complies with the provisions of the National Audit Office on internal audit work, the Guiding Opinions on Reforming and Improving the Comprehensive Supervision System for the Medical and Health Industry, and other laws and regulations, formulates the implementation rules of the Audit Committee, the internal control system, and other systems to regulate the group's internal control and internal audit work.</v>
      </c>
      <c r="B4379" s="1" t="str">
        <f ca="1">IFERROR(__xludf.DUMMYFUNCTION("GOOGLETRANSLATE(A4379, ""zh"", ""en"")"),"Audit work")</f>
        <v>Audit work</v>
      </c>
      <c r="C4379" s="1" t="str">
        <f ca="1">IFERROR(__xludf.DUMMYFUNCTION("GOOGLETRANSLATE(E4379, ""zh"", ""en"")"),"Qualitative text")</f>
        <v>Qualitative text</v>
      </c>
    </row>
    <row r="4380" spans="1:3" ht="13" x14ac:dyDescent="0.15">
      <c r="A4380" s="1" t="str">
        <f ca="1">IFERROR(__xludf.DUMMYFUNCTION("GOOGLETRANSLATE(A4380, ""zh"", ""en"")"),"The income of more than 2,600 people employed in Tazhong Mining and the more than 20,000 local residents are similar. Many people employed in Tazhong Mining have reached the first-class level in Tajikistan. Residents who were unable to enter Tazhong Minin"&amp;"g have also found employment opportunities around the mine and are now living a stable and happy life.")</f>
        <v>The income of more than 2,600 people employed in Tazhong Mining and the more than 20,000 local residents are similar. Many people employed in Tazhong Mining have reached the first-class level in Tajikistan. Residents who were unable to enter Tazhong Mining have also found employment opportunities around the mine and are now living a stable and happy life.</v>
      </c>
      <c r="B4380" s="1" t="str">
        <f ca="1">IFERROR(__xludf.DUMMYFUNCTION("GOOGLETRANSLATE(A4380, ""zh"", ""en"")"),"Promoting employment")</f>
        <v>Promoting employment</v>
      </c>
      <c r="C4380" s="1" t="str">
        <f ca="1">IFERROR(__xludf.DUMMYFUNCTION("GOOGLETRANSLATE(E4380, ""zh"", ""en"")"),"Quantitative Text")</f>
        <v>Quantitative Text</v>
      </c>
    </row>
    <row r="4381" spans="1:3" ht="13" x14ac:dyDescent="0.15">
      <c r="A4381" s="1" t="str">
        <f ca="1">IFERROR(__xludf.DUMMYFUNCTION("GOOGLETRANSLATE(A4381, ""zh"", ""en"")"),"As the responsible department for the group's energy management, the Economic Operation Department is responsible for coordinating energy management work and improving the quality of economic operation. It establishes enterprise energy management centers "&amp;"in various industrial groups and key enterprises to supervise and manage the energy consumption and energy consumption index assessment of enterprises.")</f>
        <v>As the responsible department for the group's energy management, the Economic Operation Department is responsible for coordinating energy management work and improving the quality of economic operation. It establishes enterprise energy management centers in various industrial groups and key enterprises to supervise and manage the energy consumption and energy consumption index assessment of enterprises.</v>
      </c>
      <c r="B4381" s="1" t="str">
        <f ca="1">IFERROR(__xludf.DUMMYFUNCTION("GOOGLETRANSLATE(A4381, ""zh"", ""en"")"),"Energy and resource consumption")</f>
        <v>Energy and resource consumption</v>
      </c>
      <c r="C4381" s="1" t="str">
        <f ca="1">IFERROR(__xludf.DUMMYFUNCTION("GOOGLETRANSLATE(E4381, ""zh"", ""en"")"),"Qualitative text")</f>
        <v>Qualitative text</v>
      </c>
    </row>
    <row r="4382" spans="1:3" ht="13" x14ac:dyDescent="0.15">
      <c r="A4382" s="1" t="str">
        <f ca="1">IFERROR(__xludf.DUMMYFUNCTION("GOOGLETRANSLATE(A4382, ""zh"", ""en"")"),"On this basis, the space integrates modular design of office and conference resources, and digital terminals that can be changed according to scene applications are realized through the smart space system to achieve shared and efficient collaboration. Dig"&amp;"ital full-life cycle business collaborative management effectively improves resource utilization and personnel experience.")</f>
        <v>On this basis, the space integrates modular design of office and conference resources, and digital terminals that can be changed according to scene applications are realized through the smart space system to achieve shared and efficient collaboration. Digital full-life cycle business collaborative management effectively improves resource utilization and personnel experience.</v>
      </c>
      <c r="B4382" s="1" t="str">
        <f ca="1">IFERROR(__xludf.DUMMYFUNCTION("GOOGLETRANSLATE(A4382, ""zh"", ""en"")"),"Organizational structure and operations")</f>
        <v>Organizational structure and operations</v>
      </c>
      <c r="C4382" s="1" t="str">
        <f ca="1">IFERROR(__xludf.DUMMYFUNCTION("GOOGLETRANSLATE(E4382, ""zh"", ""en"")"),"Qualitative text")</f>
        <v>Qualitative text</v>
      </c>
    </row>
    <row r="4383" spans="1:3" ht="13" x14ac:dyDescent="0.15">
      <c r="A4383" s="1" t="str">
        <f ca="1">IFERROR(__xludf.DUMMYFUNCTION("GOOGLETRANSLATE(A4383, ""zh"", ""en"")"),"The contract texts are approved or supervised by the local labor department, and include the labor contract term, work content, work location, working hours, rest and vacation clauses, labor remuneration clauses, labor protection and occupational hazard p"&amp;"rotection clauses, etc., which meet the requirements of the necessary clauses in labor contract regulations.")</f>
        <v>The contract texts are approved or supervised by the local labor department, and include the labor contract term, work content, work location, working hours, rest and vacation clauses, labor remuneration clauses, labor protection and occupational hazard protection clauses, etc., which meet the requirements of the necessary clauses in labor contract regulations.</v>
      </c>
      <c r="B4383" s="1" t="str">
        <f ca="1">IFERROR(__xludf.DUMMYFUNCTION("GOOGLETRANSLATE(A4383, ""zh"", ""en"")"),"staff")</f>
        <v>staff</v>
      </c>
      <c r="C4383" s="1" t="str">
        <f ca="1">IFERROR(__xludf.DUMMYFUNCTION("GOOGLETRANSLATE(E4383, ""zh"", ""en"")"),"Qualitative text")</f>
        <v>Qualitative text</v>
      </c>
    </row>
    <row r="4384" spans="1:3" ht="13" x14ac:dyDescent="0.15">
      <c r="A4384" s="1" t="str">
        <f ca="1">IFERROR(__xludf.DUMMYFUNCTION("GOOGLETRANSLATE(A4384, ""zh"", ""en"")"),"Supplier registration, supplier qualification review, and supplier due diligence are clearly stated in the bidding document template as veto factors such as major safety accidents that occurred in the past two years, inclusion in the list of seriously ill"&amp;"egal and untrustworthy enterprises, and inclusion in the list of dishonest persons subject to enforcement. This prevents and controls supply risks from the source.")</f>
        <v>Supplier registration, supplier qualification review, and supplier due diligence are clearly stated in the bidding document template as veto factors such as major safety accidents that occurred in the past two years, inclusion in the list of seriously illegal and untrustworthy enterprises, and inclusion in the list of dishonest persons subject to enforcement. This prevents and controls supply risks from the source.</v>
      </c>
      <c r="B4384" s="1" t="str">
        <f ca="1">IFERROR(__xludf.DUMMYFUNCTION("GOOGLETRANSLATE(A4384, ""zh"", ""en"")"),"supply chain management")</f>
        <v>supply chain management</v>
      </c>
      <c r="C4384" s="1" t="str">
        <f ca="1">IFERROR(__xludf.DUMMYFUNCTION("GOOGLETRANSLATE(E4384, ""zh"", ""en"")"),"Qualitative text")</f>
        <v>Qualitative text</v>
      </c>
    </row>
    <row r="4385" spans="1:3" ht="13" x14ac:dyDescent="0.15">
      <c r="A4385" s="1" t="str">
        <f ca="1">IFERROR(__xludf.DUMMYFUNCTION("GOOGLETRANSLATE(A4385, ""zh"", ""en"")"),"In 2022, the company will focus on spot-checking the occupational disease assessment reports of 33 oilfield and refining enterprises, reporting existing management and technical problems, and researching and proposing corrective measures. It will also con"&amp;"duct supervision and review of oilfield and refining enterprises with serious hazards to ensure occupational health and safety for employees.")</f>
        <v>In 2022, the company will focus on spot-checking the occupational disease assessment reports of 33 oilfield and refining enterprises, reporting existing management and technical problems, and researching and proposing corrective measures. It will also conduct supervision and review of oilfield and refining enterprises with serious hazards to ensure occupational health and safety for employees.</v>
      </c>
      <c r="B4385" s="1" t="str">
        <f ca="1">IFERROR(__xludf.DUMMYFUNCTION("GOOGLETRANSLATE(A4385, ""zh"", ""en"")"),"staff")</f>
        <v>staff</v>
      </c>
      <c r="C4385" s="1" t="str">
        <f ca="1">IFERROR(__xludf.DUMMYFUNCTION("GOOGLETRANSLATE(E4385, ""zh"", ""en"")"),"Qualitative text")</f>
        <v>Qualitative text</v>
      </c>
    </row>
    <row r="4386" spans="1:3" ht="13" x14ac:dyDescent="0.15">
      <c r="A4386" s="1" t="str">
        <f ca="1">IFERROR(__xludf.DUMMYFUNCTION("GOOGLETRANSLATE(A4386, ""zh"", ""en"")"),"In 2022, around the theme of welcoming the successful convening of the 20th National Congress of the Communist Party of China, party organizations at all levels of the group will closely integrate the company's economic work to carry out party-building th"&amp;"eme activities, combine the company's historical resources, cultural resources, and red resources to continuously promote party history learning and education, and establish a long-term mechanism for ""serving the masses with practical things.""")</f>
        <v>In 2022, around the theme of welcoming the successful convening of the 20th National Congress of the Communist Party of China, party organizations at all levels of the group will closely integrate the company's economic work to carry out party-building theme activities, combine the company's historical resources, cultural resources, and red resources to continuously promote party history learning and education, and establish a long-term mechanism for "serving the masses with practical things."</v>
      </c>
      <c r="B4386" s="1" t="str">
        <f ca="1">IFERROR(__xludf.DUMMYFUNCTION("GOOGLETRANSLATE(A4386, ""zh"", ""en"")"),"Organizational structure and operations")</f>
        <v>Organizational structure and operations</v>
      </c>
      <c r="C4386" s="1" t="str">
        <f ca="1">IFERROR(__xludf.DUMMYFUNCTION("GOOGLETRANSLATE(E4386, ""zh"", ""en"")"),"Qualitative text")</f>
        <v>Qualitative text</v>
      </c>
    </row>
    <row r="4387" spans="1:3" ht="13" x14ac:dyDescent="0.15">
      <c r="A4387" s="1" t="str">
        <f ca="1">IFERROR(__xludf.DUMMYFUNCTION("GOOGLETRANSLATE(A4387, ""zh"", ""en"")"),"The company's board of directors reviewed and approved the independent director work system in November 2021. Each independent director conscientiously performed his duties in accordance with the independent director work system and expressed independent "&amp;"opinions on matters such as the company's appointment of senior executives, related-party transactions, and profit distribution plans to safeguard the legitimate rights and interests of small and medium-sized investors.")</f>
        <v>The company's board of directors reviewed and approved the independent director work system in November 2021. Each independent director conscientiously performed his duties in accordance with the independent director work system and expressed independent opinions on matters such as the company's appointment of senior executives, related-party transactions, and profit distribution plans to safeguard the legitimate rights and interests of small and medium-sized investors.</v>
      </c>
      <c r="B4387" s="1" t="str">
        <f ca="1">IFERROR(__xludf.DUMMYFUNCTION("GOOGLETRANSLATE(A4387, ""zh"", ""en"")"),"Organizational structure and operations")</f>
        <v>Organizational structure and operations</v>
      </c>
      <c r="C4387" s="1" t="str">
        <f ca="1">IFERROR(__xludf.DUMMYFUNCTION("GOOGLETRANSLATE(E4387, ""zh"", ""en"")"),"Qualitative text")</f>
        <v>Qualitative text</v>
      </c>
    </row>
    <row r="4388" spans="1:3" ht="13" x14ac:dyDescent="0.15">
      <c r="A4388" s="1" t="str">
        <f ca="1">IFERROR(__xludf.DUMMYFUNCTION("GOOGLETRANSLATE(A4388, ""zh"", ""en"")"),"Appendix I Key Performance Indicator Table 70 CITIC Securities 2022 Annual Social Responsibility Report Level Content and Indicator Index B4 Labor Standards General Disclosure Information on 1. Policies and 2. Compliance with relevant laws and regulations"&amp;" that have a significant impact on the issuer regarding the prevention of child labor or forced labor")</f>
        <v>Appendix I Key Performance Indicator Table 70 CITIC Securities 2022 Annual Social Responsibility Report Level Content and Indicator Index B4 Labor Standards General Disclosure Information on 1. Policies and 2. Compliance with relevant laws and regulations that have a significant impact on the issuer regarding the prevention of child labor or forced labor</v>
      </c>
      <c r="B4388" s="1" t="str">
        <f ca="1">IFERROR(__xludf.DUMMYFUNCTION("GOOGLETRANSLATE(A4388, ""zh"", ""en"")"),"staff")</f>
        <v>staff</v>
      </c>
      <c r="C4388" s="1" t="str">
        <f ca="1">IFERROR(__xludf.DUMMYFUNCTION("GOOGLETRANSLATE(E4388, ""zh"", ""en"")"),"Qualitative text")</f>
        <v>Qualitative text</v>
      </c>
    </row>
    <row r="4389" spans="1:3" ht="13" x14ac:dyDescent="0.15">
      <c r="A4389" s="1" t="str">
        <f ca="1">IFERROR(__xludf.DUMMYFUNCTION("GOOGLETRANSLATE(A4389, ""zh"", ""en"")"),"Industrial Equipment 59 Shanghai Electric Group Co., Ltd. 602022 Social Responsibility Report The Group actively responds to Shanghai's development requirements to comprehensively promote urban digital transformation and build an international digital cap"&amp;"ital with global influence. It combines its own advantages to fully empower urban construction.")</f>
        <v>Industrial Equipment 59 Shanghai Electric Group Co., Ltd. 602022 Social Responsibility Report The Group actively responds to Shanghai's development requirements to comprehensively promote urban digital transformation and build an international digital capital with global influence. It combines its own advantages to fully empower urban construction.</v>
      </c>
      <c r="B4389" s="1" t="str">
        <f ca="1">IFERROR(__xludf.DUMMYFUNCTION("GOOGLETRANSLATE(A4389, ""zh"", ""en"")"),"Technological innovation")</f>
        <v>Technological innovation</v>
      </c>
      <c r="C4389" s="1" t="str">
        <f ca="1">IFERROR(__xludf.DUMMYFUNCTION("GOOGLETRANSLATE(E4389, ""zh"", ""en"")"),"Qualitative text")</f>
        <v>Qualitative text</v>
      </c>
    </row>
    <row r="4390" spans="1:3" ht="13" x14ac:dyDescent="0.15">
      <c r="A4390" s="1" t="str">
        <f ca="1">IFERROR(__xludf.DUMMYFUNCTION("GOOGLETRANSLATE(A4390, ""zh"", ""en"")"),"After a series of optimization, iteration and upgrades, the platform closely follows Shanghai Electric's 14th Five-Year Plan development strategy and new track layout, deriving multiple industry sub-platforms such as wind power, photovoltaics, and energy "&amp;"storage. It also upgrades common products and tools and creates cloud configuration tools, lightweight industrial Internet platforms, and other products.")</f>
        <v>After a series of optimization, iteration and upgrades, the platform closely follows Shanghai Electric's 14th Five-Year Plan development strategy and new track layout, deriving multiple industry sub-platforms such as wind power, photovoltaics, and energy storage. It also upgrades common products and tools and creates cloud configuration tools, lightweight industrial Internet platforms, and other products.</v>
      </c>
      <c r="B4390" s="1" t="str">
        <f ca="1">IFERROR(__xludf.DUMMYFUNCTION("GOOGLETRANSLATE(A4390, ""zh"", ""en"")"),"Technological innovation")</f>
        <v>Technological innovation</v>
      </c>
      <c r="C4390" s="1" t="str">
        <f ca="1">IFERROR(__xludf.DUMMYFUNCTION("GOOGLETRANSLATE(E4390, ""zh"", ""en"")"),"Qualitative text")</f>
        <v>Qualitative text</v>
      </c>
    </row>
    <row r="4391" spans="1:3" ht="13" x14ac:dyDescent="0.15">
      <c r="A4391" s="1" t="str">
        <f ca="1">IFERROR(__xludf.DUMMYFUNCTION("GOOGLETRANSLATE(A4391, ""zh"", ""en"")"),"CITIC Securities is committed to strengthening financial services for rural revitalization, making full use of multi-level financial instruments, and guiding capital market resources to rural revitalization through underwriting and issuing rural revitaliz"&amp;"ation bonds, supporting corporate listings, issuing asset-backed special plans, and so on, to contribute to the national rural revitalization strategy.")</f>
        <v>CITIC Securities is committed to strengthening financial services for rural revitalization, making full use of multi-level financial instruments, and guiding capital market resources to rural revitalization through underwriting and issuing rural revitalization bonds, supporting corporate listings, issuing asset-backed special plans, and so on, to contribute to the national rural revitalization strategy.</v>
      </c>
      <c r="B4391" s="1" t="str">
        <f ca="1">IFERROR(__xludf.DUMMYFUNCTION("GOOGLETRANSLATE(A4391, ""zh"", ""en"")"),"Rural assistance")</f>
        <v>Rural assistance</v>
      </c>
      <c r="C4391" s="1" t="str">
        <f ca="1">IFERROR(__xludf.DUMMYFUNCTION("GOOGLETRANSLATE(E4391, ""zh"", ""en"")"),"Qualitative text")</f>
        <v>Qualitative text</v>
      </c>
    </row>
    <row r="4392" spans="1:3" ht="13" x14ac:dyDescent="0.15">
      <c r="A4392" s="1" t="str">
        <f ca="1">IFERROR(__xludf.DUMMYFUNCTION("GOOGLETRANSLATE(A4392, ""zh"", ""en"")"),"Case Study: Refining and Chemical Enterprises Systematically Implement Waste Heat Comprehensive Utilization Projects and Carbon Capture, Utilization and Storage (CCUS). The Company Continues to Research and Industrialize CCUS Key Technologies, Increases R"&amp;"esearch Investment, Implements Key Projects, and Vigorously Promotes the Construction of High-Quality Demonstration Projects Across the CCUS Industry Chain.")</f>
        <v>Case Study: Refining and Chemical Enterprises Systematically Implement Waste Heat Comprehensive Utilization Projects and Carbon Capture, Utilization and Storage (CCUS). The Company Continues to Research and Industrialize CCUS Key Technologies, Increases Research Investment, Implements Key Projects, and Vigorously Promotes the Construction of High-Quality Demonstration Projects Across the CCUS Industry Chain.</v>
      </c>
      <c r="B4392" s="1" t="str">
        <f ca="1">IFERROR(__xludf.DUMMYFUNCTION("GOOGLETRANSLATE(A4392, ""zh"", ""en"")"),"carbon emissions")</f>
        <v>carbon emissions</v>
      </c>
      <c r="C4392" s="1" t="str">
        <f ca="1">IFERROR(__xludf.DUMMYFUNCTION("GOOGLETRANSLATE(E4392, ""zh"", ""en"")"),"Qualitative text")</f>
        <v>Qualitative text</v>
      </c>
    </row>
    <row r="4393" spans="1:3" ht="13" x14ac:dyDescent="0.15">
      <c r="A4393" s="1" t="str">
        <f ca="1">IFERROR(__xludf.DUMMYFUNCTION("GOOGLETRANSLATE(A4393, ""zh"", ""en"")"),"The Shijiazhai Station, a carbon-neutral fueling station for Honghe Petroleum in Yunnan Province, has been put into operation. The largest photovoltaic power generation project in the Shengli offshore oilfield has been connected to the grid and will be ut"&amp;"ilized by Qingdao Refining and Chemical in 2022. Qingdao is a region rich in solar energy resources and has natural conditions suitable for the construction of photovoltaic power stations. The city is vigorously promoting new energy utilization projects.")</f>
        <v>The Shijiazhai Station, a carbon-neutral fueling station for Honghe Petroleum in Yunnan Province, has been put into operation. The largest photovoltaic power generation project in the Shengli offshore oilfield has been connected to the grid and will be utilized by Qingdao Refining and Chemical in 2022. Qingdao is a region rich in solar energy resources and has natural conditions suitable for the construction of photovoltaic power stations. The city is vigorously promoting new energy utilization projects.</v>
      </c>
      <c r="B4393" s="1" t="str">
        <f ca="1">IFERROR(__xludf.DUMMYFUNCTION("GOOGLETRANSLATE(A4393, ""zh"", ""en"")"),"carbon emissions")</f>
        <v>carbon emissions</v>
      </c>
      <c r="C4393" s="1" t="str">
        <f ca="1">IFERROR(__xludf.DUMMYFUNCTION("GOOGLETRANSLATE(E4393, ""zh"", ""en"")"),"Qualitative text")</f>
        <v>Qualitative text</v>
      </c>
    </row>
    <row r="4394" spans="1:3" ht="13" x14ac:dyDescent="0.15">
      <c r="A4394" s="1" t="str">
        <f ca="1">IFERROR(__xludf.DUMMYFUNCTION("GOOGLETRANSLATE(A4394, ""zh"", ""en"")"),"The company optimized the environmental risk identification and assessment methods and processes from the aspects of risk control capability index assignment, risk index correction coefficient and environmental risk level distribution, compiled a technica"&amp;"l guide for sudden environmental incident risk index assessment, and organized companies in each sector to carry out trial calculations and assessments.")</f>
        <v>The company optimized the environmental risk identification and assessment methods and processes from the aspects of risk control capability index assignment, risk index correction coefficient and environmental risk level distribution, compiled a technical guide for sudden environmental incident risk index assessment, and organized companies in each sector to carry out trial calculations and assessments.</v>
      </c>
      <c r="B4394" s="1" t="str">
        <f ca="1">IFERROR(__xludf.DUMMYFUNCTION("GOOGLETRANSLATE(A4394, ""zh"", ""en"")"),"Environmental Policy")</f>
        <v>Environmental Policy</v>
      </c>
      <c r="C4394" s="1" t="str">
        <f ca="1">IFERROR(__xludf.DUMMYFUNCTION("GOOGLETRANSLATE(E4394, ""zh"", ""en"")"),"Qualitative text")</f>
        <v>Qualitative text</v>
      </c>
    </row>
    <row r="4395" spans="1:3" ht="13" x14ac:dyDescent="0.15">
      <c r="A4395" s="1" t="str">
        <f ca="1">IFERROR(__xludf.DUMMYFUNCTION("GOOGLETRANSLATE(A4395, ""zh"", ""en"")"),"The Group relies on its strong resources, organization, network channels, brand operations and other professional advantages to provide upstream and downstream supply chain ecological partners with personalized one-stop business comprehensive solutions, i"&amp;"ncluding raw material procurement, logistics and distribution, risk management, production and processing, product sales, financial services, information consulting, etc.")</f>
        <v>The Group relies on its strong resources, organization, network channels, brand operations and other professional advantages to provide upstream and downstream supply chain ecological partners with personalized one-stop business comprehensive solutions, including raw material procurement, logistics and distribution, risk management, production and processing, product sales, financial services, information consulting, etc.</v>
      </c>
      <c r="B4395" s="1" t="str">
        <f ca="1">IFERROR(__xludf.DUMMYFUNCTION("GOOGLETRANSLATE(A4395, ""zh"", ""en"")"),"supply chain management")</f>
        <v>supply chain management</v>
      </c>
      <c r="C4395" s="1" t="str">
        <f ca="1">IFERROR(__xludf.DUMMYFUNCTION("GOOGLETRANSLATE(E4395, ""zh"", ""en"")"),"Qualitative text")</f>
        <v>Qualitative text</v>
      </c>
    </row>
    <row r="4396" spans="1:3" ht="13" x14ac:dyDescent="0.15">
      <c r="A4396" s="1" t="str">
        <f ca="1">IFERROR(__xludf.DUMMYFUNCTION("GOOGLETRANSLATE(A4396, ""zh"", ""en"")"),"The Board of Supervisors shall formulate the organizational and procedural rules of the Board of Supervisors, the management measures for the performance of supervisory duties, and the content, requirements and evaluation standards for the performance of "&amp;"supervisory duties. It shall urge all supervisors to be diligent and responsible, and supervise the company's finances and the legality and compliance of the performance of duties by the company's directors and senior management.")</f>
        <v>The Board of Supervisors shall formulate the organizational and procedural rules of the Board of Supervisors, the management measures for the performance of supervisory duties, and the content, requirements and evaluation standards for the performance of supervisory duties. It shall urge all supervisors to be diligent and responsible, and supervise the company's finances and the legality and compliance of the performance of duties by the company's directors and senior management.</v>
      </c>
      <c r="B4396" s="1" t="str">
        <f ca="1">IFERROR(__xludf.DUMMYFUNCTION("GOOGLETRANSLATE(A4396, ""zh"", ""en"")"),"Organizational structure and operations")</f>
        <v>Organizational structure and operations</v>
      </c>
      <c r="C4396" s="1" t="str">
        <f ca="1">IFERROR(__xludf.DUMMYFUNCTION("GOOGLETRANSLATE(E4396, ""zh"", ""en"")"),"Qualitative text")</f>
        <v>Qualitative text</v>
      </c>
    </row>
    <row r="4397" spans="1:3" ht="13" x14ac:dyDescent="0.15">
      <c r="A4397" s="1" t="str">
        <f ca="1">IFERROR(__xludf.DUMMYFUNCTION("GOOGLETRANSLATE(A4397, ""zh"", ""en"")"),"Under the premise of complying with information disclosure rules, the company carried out investor relations management through multiple channels, platforms and methods, answered 79 questions from investors on the Shanghai Stock Exchange E-interactive, pa"&amp;"tiently answered investor calls, and promptly uploaded temporary announcements and regular reports to the company's website column for investors to review.")</f>
        <v>Under the premise of complying with information disclosure rules, the company carried out investor relations management through multiple channels, platforms and methods, answered 79 questions from investors on the Shanghai Stock Exchange E-interactive, patiently answered investor calls, and promptly uploaded temporary announcements and regular reports to the company's website column for investors to review.</v>
      </c>
      <c r="B4397" s="1" t="str">
        <f ca="1">IFERROR(__xludf.DUMMYFUNCTION("GOOGLETRANSLATE(A4397, ""zh"", ""en"")"),"Information Disclosure and Investor Communication")</f>
        <v>Information Disclosure and Investor Communication</v>
      </c>
      <c r="C4397" s="1" t="str">
        <f ca="1">IFERROR(__xludf.DUMMYFUNCTION("GOOGLETRANSLATE(E4397, ""zh"", ""en"")"),"Qualitative text")</f>
        <v>Qualitative text</v>
      </c>
    </row>
    <row r="4398" spans="1:3" ht="13" x14ac:dyDescent="0.15">
      <c r="A4398" s="1" t="str">
        <f ca="1">IFERROR(__xludf.DUMMYFUNCTION("GOOGLETRANSLATE(A4398, ""zh"", ""en"")"),"The company has established a dedicated daily social responsibility management department responsible for implementing relevant matters of the board of directors, organizing and coordinating related work, carrying out social responsibility training and co"&amp;"mpiling reports. The company has also established a liaison system. These liaisons are served by social responsibility staff from various departments of the headquarters and grassroots companies.")</f>
        <v>The company has established a dedicated daily social responsibility management department responsible for implementing relevant matters of the board of directors, organizing and coordinating related work, carrying out social responsibility training and compiling reports. The company has also established a liaison system. These liaisons are served by social responsibility staff from various departments of the headquarters and grassroots companies.</v>
      </c>
      <c r="B4398" s="1" t="str">
        <f ca="1">IFERROR(__xludf.DUMMYFUNCTION("GOOGLETRANSLATE(A4398, ""zh"", ""en"")"),"Organizational structure and operations")</f>
        <v>Organizational structure and operations</v>
      </c>
      <c r="C4398" s="1" t="str">
        <f ca="1">IFERROR(__xludf.DUMMYFUNCTION("GOOGLETRANSLATE(E4398, ""zh"", ""en"")"),"Qualitative text")</f>
        <v>Qualitative text</v>
      </c>
    </row>
    <row r="4399" spans="1:3" ht="13" x14ac:dyDescent="0.15">
      <c r="A4399" s="1" t="str">
        <f ca="1">IFERROR(__xludf.DUMMYFUNCTION("GOOGLETRANSLATE(A4399, ""zh"", ""en"")"),"Development positioning accelerates the layout of comprehensive services, customer service, service orientation and continuous investment. In the era of networking, intelligent, digital and technological development has become the general trend. Dongyuan "&amp;"Renzhi always keeps up with the trend and applies technological and intelligent means to community management and property services to achieve high-quality and efficient services.")</f>
        <v>Development positioning accelerates the layout of comprehensive services, customer service, service orientation and continuous investment. In the era of networking, intelligent, digital and technological development has become the general trend. Dongyuan Renzhi always keeps up with the trend and applies technological and intelligent means to community management and property services to achieve high-quality and efficient services.</v>
      </c>
      <c r="B4399" s="1" t="str">
        <f ca="1">IFERROR(__xludf.DUMMYFUNCTION("GOOGLETRANSLATE(A4399, ""zh"", ""en"")"),"Customers and Consumers")</f>
        <v>Customers and Consumers</v>
      </c>
      <c r="C4399" s="1" t="str">
        <f ca="1">IFERROR(__xludf.DUMMYFUNCTION("GOOGLETRANSLATE(E4399, ""zh"", ""en"")"),"Qualitative text")</f>
        <v>Qualitative text</v>
      </c>
    </row>
    <row r="4400" spans="1:3" ht="13" x14ac:dyDescent="0.15">
      <c r="A4400" s="1" t="str">
        <f ca="1">IFERROR(__xludf.DUMMYFUNCTION("GOOGLETRANSLATE(A4400, ""zh"", ""en"")"),"Green production Under the framework of my country's grand goal of carbon peak and carbon neutrality, Dima Industry has always practiced green and low-carbon development ideas and actively fulfilled its social responsibility of energy conservation and emi"&amp;"ssion reduction. By developing new energy products and upgrading technology, it is committed to continuously reducing the factory's energy consumption and carbon emissions.")</f>
        <v>Green production Under the framework of my country's grand goal of carbon peak and carbon neutrality, Dima Industry has always practiced green and low-carbon development ideas and actively fulfilled its social responsibility of energy conservation and emission reduction. By developing new energy products and upgrading technology, it is committed to continuously reducing the factory's energy consumption and carbon emissions.</v>
      </c>
      <c r="B4400" s="1" t="str">
        <f ca="1">IFERROR(__xludf.DUMMYFUNCTION("GOOGLETRANSLATE(A4400, ""zh"", ""en"")"),"carbon emissions")</f>
        <v>carbon emissions</v>
      </c>
      <c r="C4400" s="1" t="str">
        <f ca="1">IFERROR(__xludf.DUMMYFUNCTION("GOOGLETRANSLATE(E4400, ""zh"", ""en"")"),"Qualitative text")</f>
        <v>Qualitative text</v>
      </c>
    </row>
    <row r="4401" spans="1:3" ht="13" x14ac:dyDescent="0.15">
      <c r="A4401" s="1" t="str">
        <f ca="1">IFERROR(__xludf.DUMMYFUNCTION("GOOGLETRANSLATE(A4401, ""zh"", ""en"")"),"The External Audit Committee reviews and examines the effectiveness of the audit function; appoints and removes internal control personnel; formulates and reviews the Company's corporate governance; and conducts regular and routine audits of the Company's"&amp;" related-party transactions. The Committee also provides recommendations on the aforementioned matters.")</f>
        <v>The External Audit Committee reviews and examines the effectiveness of the audit function; appoints and removes internal control personnel; formulates and reviews the Company's corporate governance; and conducts regular and routine audits of the Company's related-party transactions. The Committee also provides recommendations on the aforementioned matters.</v>
      </c>
      <c r="B4401" s="1" t="str">
        <f ca="1">IFERROR(__xludf.DUMMYFUNCTION("GOOGLETRANSLATE(A4401, ""zh"", ""en"")"),"Audit work")</f>
        <v>Audit work</v>
      </c>
      <c r="C4401" s="1" t="str">
        <f ca="1">IFERROR(__xludf.DUMMYFUNCTION("GOOGLETRANSLATE(E4401, ""zh"", ""en"")"),"Qualitative text")</f>
        <v>Qualitative text</v>
      </c>
    </row>
    <row r="4402" spans="1:3" ht="13" x14ac:dyDescent="0.15">
      <c r="A4402" s="1" t="str">
        <f ca="1">IFERROR(__xludf.DUMMYFUNCTION("GOOGLETRANSLATE(A4402, ""zh"", ""en"")"),"In terms of upgrading the China Storage Plastics Warehousing System, we strengthened the development of functions such as QR code payment, electronic invoice, customer seal verification, and shortcut keys. We also adjusted and optimized functions such as "&amp;"printing templates, business report total value calculation, etc. to enhance the user experience and meet the refined business management needs of each branch.")</f>
        <v>In terms of upgrading the China Storage Plastics Warehousing System, we strengthened the development of functions such as QR code payment, electronic invoice, customer seal verification, and shortcut keys. We also adjusted and optimized functions such as printing templates, business report total value calculation, etc. to enhance the user experience and meet the refined business management needs of each branch.</v>
      </c>
      <c r="B4402" s="1" t="str">
        <f ca="1">IFERROR(__xludf.DUMMYFUNCTION("GOOGLETRANSLATE(A4402, ""zh"", ""en"")"),"Customers and Consumers")</f>
        <v>Customers and Consumers</v>
      </c>
      <c r="C4402" s="1" t="str">
        <f ca="1">IFERROR(__xludf.DUMMYFUNCTION("GOOGLETRANSLATE(E4402, ""zh"", ""en"")"),"Qualitative text")</f>
        <v>Qualitative text</v>
      </c>
    </row>
    <row r="4403" spans="1:3" ht="13" x14ac:dyDescent="0.15">
      <c r="A4403" s="1" t="str">
        <f ca="1">IFERROR(__xludf.DUMMYFUNCTION("GOOGLETRANSLATE(A4403, ""zh"", ""en"")"),"Shenma shares mainly adopts a direct-to-customer sales model. Based on different domestic and international market conditions, it organizes and establishes professional domestic sales teams and international sales teams. Sales personnel communicate closel"&amp;"y with domestic and foreign terminal manufacturers to grasp the production and operation dynamics of downstream manufacturers and customer needs in real time.")</f>
        <v>Shenma shares mainly adopts a direct-to-customer sales model. Based on different domestic and international market conditions, it organizes and establishes professional domestic sales teams and international sales teams. Sales personnel communicate closely with domestic and foreign terminal manufacturers to grasp the production and operation dynamics of downstream manufacturers and customer needs in real time.</v>
      </c>
      <c r="B4403" s="1" t="str">
        <f ca="1">IFERROR(__xludf.DUMMYFUNCTION("GOOGLETRANSLATE(A4403, ""zh"", ""en"")"),"Customers and Consumers")</f>
        <v>Customers and Consumers</v>
      </c>
      <c r="C4403" s="1" t="str">
        <f ca="1">IFERROR(__xludf.DUMMYFUNCTION("GOOGLETRANSLATE(E4403, ""zh"", ""en"")"),"Qualitative text")</f>
        <v>Qualitative text</v>
      </c>
    </row>
    <row r="4404" spans="1:3" ht="13" x14ac:dyDescent="0.15">
      <c r="A4404" s="1" t="str">
        <f ca="1">IFERROR(__xludf.DUMMYFUNCTION("GOOGLETRANSLATE(A4404, ""zh"", ""en"")"),"Explanation of Titles: For ease of presentation and reading, the report refers to the Company as Fosun Pharma, a listed company, Fosun Pharma, and its controlled subsidiaries within the scope of its consolidated financial statements as Fosun Pharma Group,"&amp;" and Fosun Pharma's controlled subsidiaries as member companies.")</f>
        <v>Explanation of Titles: For ease of presentation and reading, the report refers to the Company as Fosun Pharma, a listed company, Fosun Pharma, and its controlled subsidiaries within the scope of its consolidated financial statements as Fosun Pharma Group, and Fosun Pharma's controlled subsidiaries as member companies.</v>
      </c>
      <c r="B4404" s="1" t="str">
        <f ca="1">IFERROR(__xludf.DUMMYFUNCTION("GOOGLETRANSLATE(A4404, ""zh"", ""en"")"),"irrelevant text")</f>
        <v>irrelevant text</v>
      </c>
      <c r="C4404" s="1" t="str">
        <f ca="1">IFERROR(__xludf.DUMMYFUNCTION("GOOGLETRANSLATE(E4404, ""zh"", ""en"")"),"irrelevant text")</f>
        <v>irrelevant text</v>
      </c>
    </row>
    <row r="4405" spans="1:3" ht="13" x14ac:dyDescent="0.15">
      <c r="A4405" s="1" t="str">
        <f ca="1">IFERROR(__xludf.DUMMYFUNCTION("GOOGLETRANSLATE(A4405, ""zh"", ""en"")"),"6. Build intelligent digital factories. The report of the 20th CPC National Congress clearly pointed out that the construction of a modern industrial system should focus on the development of the real economy, promote new industrialization, and accelerate"&amp;" the construction of a strong manufacturing country, a strong quality country, a strong aerospace country, a strong transportation country, a strong network country, and a digital China.")</f>
        <v>6. Build intelligent digital factories. The report of the 20th CPC National Congress clearly pointed out that the construction of a modern industrial system should focus on the development of the real economy, promote new industrialization, and accelerate the construction of a strong manufacturing country, a strong quality country, a strong aerospace country, a strong transportation country, a strong network country, and a digital China.</v>
      </c>
      <c r="B4405" s="1" t="str">
        <f ca="1">IFERROR(__xludf.DUMMYFUNCTION("GOOGLETRANSLATE(A4405, ""zh"", ""en"")"),"Technological innovation")</f>
        <v>Technological innovation</v>
      </c>
      <c r="C4405" s="1" t="str">
        <f ca="1">IFERROR(__xludf.DUMMYFUNCTION("GOOGLETRANSLATE(E4405, ""zh"", ""en"")"),"Qualitative text")</f>
        <v>Qualitative text</v>
      </c>
    </row>
    <row r="4406" spans="1:3" ht="13" x14ac:dyDescent="0.15">
      <c r="A4406" s="1" t="str">
        <f ca="1">IFERROR(__xludf.DUMMYFUNCTION("GOOGLETRANSLATE(A4406, ""zh"", ""en"")"),"2022 Social Responsibility Report 12.3 Customer Relationship Management During the reporting period, the company continued to provide customers with high-quality, efficient and environmentally friendly products. It was able to provide products and test re"&amp;"ports according to customer needs, patiently and meticulously answer customer questions and inquiries, and resolve customer needs as soon as possible.")</f>
        <v>2022 Social Responsibility Report 12.3 Customer Relationship Management During the reporting period, the company continued to provide customers with high-quality, efficient and environmentally friendly products. It was able to provide products and test reports according to customer needs, patiently and meticulously answer customer questions and inquiries, and resolve customer needs as soon as possible.</v>
      </c>
      <c r="B4406" s="1" t="str">
        <f ca="1">IFERROR(__xludf.DUMMYFUNCTION("GOOGLETRANSLATE(A4406, ""zh"", ""en"")"),"Customers and Consumers")</f>
        <v>Customers and Consumers</v>
      </c>
      <c r="C4406" s="1" t="str">
        <f ca="1">IFERROR(__xludf.DUMMYFUNCTION("GOOGLETRANSLATE(E4406, ""zh"", ""en"")"),"Qualitative text")</f>
        <v>Qualitative text</v>
      </c>
    </row>
    <row r="4407" spans="1:3" ht="13" x14ac:dyDescent="0.15">
      <c r="A4407" s="1" t="str">
        <f ca="1">IFERROR(__xludf.DUMMYFUNCTION("GOOGLETRANSLATE(A4407, ""zh"", ""en"")"),"Strengthen school-enterprise cooperation and cultivate talents in a targeted manner. Sign cooperation agreements with several universities such as Zhejiang Communications Vocational and Technical College, Zhejiang Economic Vocational and Technical College"&amp;", Hangzhou Technician College, etc. to jointly build an automobile production and college base. Vigorously promote the modern apprenticeship system. Rely on the company's technological advantages to optimize the training model and attract talents.")</f>
        <v>Strengthen school-enterprise cooperation and cultivate talents in a targeted manner. Sign cooperation agreements with several universities such as Zhejiang Communications Vocational and Technical College, Zhejiang Economic Vocational and Technical College, Hangzhou Technician College, etc. to jointly build an automobile production and college base. Vigorously promote the modern apprenticeship system. Rely on the company's technological advantages to optimize the training model and attract talents.</v>
      </c>
      <c r="B4407" s="1" t="str">
        <f ca="1">IFERROR(__xludf.DUMMYFUNCTION("GOOGLETRANSLATE(A4407, ""zh"", ""en"")"),"Promoting employment")</f>
        <v>Promoting employment</v>
      </c>
      <c r="C4407" s="1" t="str">
        <f ca="1">IFERROR(__xludf.DUMMYFUNCTION("GOOGLETRANSLATE(E4407, ""zh"", ""en"")"),"Qualitative text")</f>
        <v>Qualitative text</v>
      </c>
    </row>
    <row r="4408" spans="1:3" ht="13" x14ac:dyDescent="0.15">
      <c r="A4408" s="1" t="str">
        <f ca="1">IFERROR(__xludf.DUMMYFUNCTION("GOOGLETRANSLATE(A4408, ""zh"", ""en"")"),"The Guiding Opinions on Strengthening Corporate Culture Construction during the 14th Five-Year Plan Period, issued in 2022, clarified the overall requirements, key tasks, implementation paths, and safeguards for the Bank's corporate culture construction d"&amp;"uring the 14th Five-Year Plan Period to better leverage the value-leading and strategic support role of corporate culture.")</f>
        <v>The Guiding Opinions on Strengthening Corporate Culture Construction during the 14th Five-Year Plan Period, issued in 2022, clarified the overall requirements, key tasks, implementation paths, and safeguards for the Bank's corporate culture construction during the 14th Five-Year Plan Period to better leverage the value-leading and strategic support role of corporate culture.</v>
      </c>
      <c r="B4408" s="1" t="str">
        <f ca="1">IFERROR(__xludf.DUMMYFUNCTION("GOOGLETRANSLATE(A4408, ""zh"", ""en"")"),"Organizational structure and operations")</f>
        <v>Organizational structure and operations</v>
      </c>
      <c r="C4408" s="1" t="str">
        <f ca="1">IFERROR(__xludf.DUMMYFUNCTION("GOOGLETRANSLATE(E4408, ""zh"", ""en"")"),"Qualitative text")</f>
        <v>Qualitative text</v>
      </c>
    </row>
    <row r="4409" spans="1:3" ht="13" x14ac:dyDescent="0.15">
      <c r="A4409" s="1" t="str">
        <f ca="1">IFERROR(__xludf.DUMMYFUNCTION("GOOGLETRANSLATE(A4409, ""zh"", ""en"")"),"Leveraging the geographical advantages of overseas teams to create more customer visits, we will understand more customer needs while maintaining old products and recommending new ones, and continuously provide feedback to domestic product management and "&amp;"technical teams to form a positive interaction. This will also increase the professional impression on customers and enhance customer stickiness.")</f>
        <v>Leveraging the geographical advantages of overseas teams to create more customer visits, we will understand more customer needs while maintaining old products and recommending new ones, and continuously provide feedback to domestic product management and technical teams to form a positive interaction. This will also increase the professional impression on customers and enhance customer stickiness.</v>
      </c>
      <c r="B4409" s="1" t="str">
        <f ca="1">IFERROR(__xludf.DUMMYFUNCTION("GOOGLETRANSLATE(A4409, ""zh"", ""en"")"),"Customers and Consumers")</f>
        <v>Customers and Consumers</v>
      </c>
      <c r="C4409" s="1" t="str">
        <f ca="1">IFERROR(__xludf.DUMMYFUNCTION("GOOGLETRANSLATE(E4409, ""zh"", ""en"")"),"Qualitative text")</f>
        <v>Qualitative text</v>
      </c>
    </row>
    <row r="4410" spans="1:3" ht="13" x14ac:dyDescent="0.15">
      <c r="A4410" s="1" t="str">
        <f ca="1">IFERROR(__xludf.DUMMYFUNCTION("GOOGLETRANSLATE(A4410, ""zh"", ""en"")"),"The number of online banking users disclosed in China Construction Bank's Social Responsibility Report refers to the number of online banking customers of China Construction Bank as of the end of the reporting period, excluding domestic and overseas subsi"&amp;"diaries. It includes individual customers and corporate customers.")</f>
        <v>The number of online banking users disclosed in China Construction Bank's Social Responsibility Report refers to the number of online banking customers of China Construction Bank as of the end of the reporting period, excluding domestic and overseas subsidiaries. It includes individual customers and corporate customers.</v>
      </c>
      <c r="B4410" s="1" t="str">
        <f ca="1">IFERROR(__xludf.DUMMYFUNCTION("GOOGLETRANSLATE(A4410, ""zh"", ""en"")"),"Customers and Consumers")</f>
        <v>Customers and Consumers</v>
      </c>
      <c r="C4410" s="1" t="str">
        <f ca="1">IFERROR(__xludf.DUMMYFUNCTION("GOOGLETRANSLATE(E4410, ""zh"", ""en"")"),"Quantitative Text")</f>
        <v>Quantitative Text</v>
      </c>
    </row>
    <row r="4411" spans="1:3" ht="13" x14ac:dyDescent="0.15">
      <c r="A4411" s="1" t="str">
        <f ca="1">IFERROR(__xludf.DUMMYFUNCTION("GOOGLETRANSLATE(A4411, ""zh"", ""en"")"),"In 2022, the company organized more than 20 quality training sessions with over 400 participants and carried out the two-month Quality Month activity in August and September. Through various forms such as quality culture promotion, knowledge quizzes, qual"&amp;"ity mini-classes, and quality mini-theaters, the company promoted quality culture and advocated correct quality values.")</f>
        <v>In 2022, the company organized more than 20 quality training sessions with over 400 participants and carried out the two-month Quality Month activity in August and September. Through various forms such as quality culture promotion, knowledge quizzes, quality mini-classes, and quality mini-theaters, the company promoted quality culture and advocated correct quality values.</v>
      </c>
      <c r="B4411" s="1" t="str">
        <f ca="1">IFERROR(__xludf.DUMMYFUNCTION("GOOGLETRANSLATE(A4411, ""zh"", ""en"")"),"Product quality")</f>
        <v>Product quality</v>
      </c>
      <c r="C4411" s="1" t="str">
        <f ca="1">IFERROR(__xludf.DUMMYFUNCTION("GOOGLETRANSLATE(E4411, ""zh"", ""en"")"),"Quantitative Text")</f>
        <v>Quantitative Text</v>
      </c>
    </row>
    <row r="4412" spans="1:3" ht="13" x14ac:dyDescent="0.15">
      <c r="A4412" s="1" t="str">
        <f ca="1">IFERROR(__xludf.DUMMYFUNCTION("GOOGLETRANSLATE(A4412, ""zh"", ""en"")"),"The company invested approximately RMB 1.5 million in the construction of a smart warehouse and installed digital equipment such as smart hooks. The data recording function of the smart hooks automatically generates special equipment operation records, pr"&amp;"oviding data support for the management, inspection, and maintenance of special equipment, taking a step closer to intrinsic safety.")</f>
        <v>The company invested approximately RMB 1.5 million in the construction of a smart warehouse and installed digital equipment such as smart hooks. The data recording function of the smart hooks automatically generates special equipment operation records, providing data support for the management, inspection, and maintenance of special equipment, taking a step closer to intrinsic safety.</v>
      </c>
      <c r="B4412" s="1" t="str">
        <f ca="1">IFERROR(__xludf.DUMMYFUNCTION("GOOGLETRANSLATE(A4412, ""zh"", ""en"")"),"Technological innovation")</f>
        <v>Technological innovation</v>
      </c>
      <c r="C4412" s="1" t="str">
        <f ca="1">IFERROR(__xludf.DUMMYFUNCTION("GOOGLETRANSLATE(E4412, ""zh"", ""en"")"),"Quantitative Text")</f>
        <v>Quantitative Text</v>
      </c>
    </row>
    <row r="4413" spans="1:3" ht="13" x14ac:dyDescent="0.15">
      <c r="A4413" s="1" t="str">
        <f ca="1">IFERROR(__xludf.DUMMYFUNCTION("GOOGLETRANSLATE(A4413, ""zh"", ""en"")"),"Wuchan Zhongda Kangfu Pharmaceutical Zhejiang Co., Ltd. is a 51%-owned pharmaceutical wholesale and distribution company specializing in pharmaceuticals, medical devices, food, and health care. Its product sales cover 11 regions in Zhejiang Province and m"&amp;"ore than 20 provinces and cities nationwide. It is a well-known company in the pharmaceutical and medical device supply chain in Zhejiang Province.")</f>
        <v>Wuchan Zhongda Kangfu Pharmaceutical Zhejiang Co., Ltd. is a 51%-owned pharmaceutical wholesale and distribution company specializing in pharmaceuticals, medical devices, food, and health care. Its product sales cover 11 regions in Zhejiang Province and more than 20 provinces and cities nationwide. It is a well-known company in the pharmaceutical and medical device supply chain in Zhejiang Province.</v>
      </c>
      <c r="B4413" s="1" t="str">
        <f ca="1">IFERROR(__xludf.DUMMYFUNCTION("GOOGLETRANSLATE(A4413, ""zh"", ""en"")"),"supply chain management")</f>
        <v>supply chain management</v>
      </c>
      <c r="C4413" s="1" t="str">
        <f ca="1">IFERROR(__xludf.DUMMYFUNCTION("GOOGLETRANSLATE(E4413, ""zh"", ""en"")"),"Quantitative Text")</f>
        <v>Quantitative Text</v>
      </c>
    </row>
    <row r="4414" spans="1:3" ht="13" x14ac:dyDescent="0.15">
      <c r="A4414" s="1" t="str">
        <f ca="1">IFERROR(__xludf.DUMMYFUNCTION("GOOGLETRANSLATE(A4414, ""zh"", ""en"")"),"At the same time, we carry out group psychological counseling for sales staff in Xinjiang Province to help employees relieve workplace stress and establish a mental health concept to guide employees to cultivate correct self-cognition, good emotional cont"&amp;"rol and social adaptability, and face work and life with a positive and healthy attitude.")</f>
        <v>At the same time, we carry out group psychological counseling for sales staff in Xinjiang Province to help employees relieve workplace stress and establish a mental health concept to guide employees to cultivate correct self-cognition, good emotional control and social adaptability, and face work and life with a positive and healthy attitude.</v>
      </c>
      <c r="B4414" s="1" t="str">
        <f ca="1">IFERROR(__xludf.DUMMYFUNCTION("GOOGLETRANSLATE(A4414, ""zh"", ""en"")"),"staff")</f>
        <v>staff</v>
      </c>
      <c r="C4414" s="1" t="str">
        <f ca="1">IFERROR(__xludf.DUMMYFUNCTION("GOOGLETRANSLATE(E4414, ""zh"", ""en"")"),"Qualitative text")</f>
        <v>Qualitative text</v>
      </c>
    </row>
    <row r="4415" spans="1:3" ht="13" x14ac:dyDescent="0.15">
      <c r="A4415" s="1" t="str">
        <f ca="1">IFERROR(__xludf.DUMMYFUNCTION("GOOGLETRANSLATE(A4415, ""zh"", ""en"")"),"Aspect B6 Product Responsibility: The Bank's Board of Directors' Risk Committee heard a report on personal information protection and data security risk management, conducted a special study on the Bank's progress in personal information protection and da"&amp;"ta security related work, and focused on the timeline for implementing the various tasks in the data security management work plan.")</f>
        <v>Aspect B6 Product Responsibility: The Bank's Board of Directors' Risk Committee heard a report on personal information protection and data security risk management, conducted a special study on the Bank's progress in personal information protection and data security related work, and focused on the timeline for implementing the various tasks in the data security management work plan.</v>
      </c>
      <c r="B4415" s="1" t="str">
        <f ca="1">IFERROR(__xludf.DUMMYFUNCTION("GOOGLETRANSLATE(A4415, ""zh"", ""en"")"),"Data security")</f>
        <v>Data security</v>
      </c>
      <c r="C4415" s="1" t="str">
        <f ca="1">IFERROR(__xludf.DUMMYFUNCTION("GOOGLETRANSLATE(E4415, ""zh"", ""en"")"),"Qualitative text")</f>
        <v>Qualitative text</v>
      </c>
    </row>
    <row r="4416" spans="1:3" ht="13" x14ac:dyDescent="0.15">
      <c r="A4416" s="1" t="str">
        <f ca="1">IFERROR(__xludf.DUMMYFUNCTION("GOOGLETRANSLATE(A4416, ""zh"", ""en"")"),"In addition, the Bank conducted anti-money laundering audits of its domestic first-tier branches, focusing on customer identification, transaction reporting, money laundering risk assessment, sanctions compliance management, and other aspects. It also foc"&amp;"used on anti-money laundering in audits of key business operations and management of its overseas institutions and subsidiaries.")</f>
        <v>In addition, the Bank conducted anti-money laundering audits of its domestic first-tier branches, focusing on customer identification, transaction reporting, money laundering risk assessment, sanctions compliance management, and other aspects. It also focused on anti-money laundering in audits of key business operations and management of its overseas institutions and subsidiaries.</v>
      </c>
      <c r="B4416" s="1" t="str">
        <f ca="1">IFERROR(__xludf.DUMMYFUNCTION("GOOGLETRANSLATE(A4416, ""zh"", ""en"")"),"Anti-corruption and anti-money laundering")</f>
        <v>Anti-corruption and anti-money laundering</v>
      </c>
      <c r="C4416" s="1" t="str">
        <f ca="1">IFERROR(__xludf.DUMMYFUNCTION("GOOGLETRANSLATE(E4416, ""zh"", ""en"")"),"Qualitative text")</f>
        <v>Qualitative text</v>
      </c>
    </row>
    <row r="4417" spans="1:3" ht="13" x14ac:dyDescent="0.15">
      <c r="A4417" s="1" t="str">
        <f ca="1">IFERROR(__xludf.DUMMYFUNCTION("GOOGLETRANSLATE(A4417, ""zh"", ""en"")"),"In 2022, the company revised six compliance management-related systems and formulated and issued risk appetite management measures and risk management supervision, inspection, and assessment and evaluation management measures, focusing on adding core risk"&amp;" management systems and formulating and issuing risk management measures around credit risk, market risk, and operational risk.")</f>
        <v>In 2022, the company revised six compliance management-related systems and formulated and issued risk appetite management measures and risk management supervision, inspection, and assessment and evaluation management measures, focusing on adding core risk management systems and formulating and issuing risk management measures around credit risk, market risk, and operational risk.</v>
      </c>
      <c r="B4417" s="1" t="str">
        <f ca="1">IFERROR(__xludf.DUMMYFUNCTION("GOOGLETRANSLATE(A4417, ""zh"", ""en"")"),"Legal proceedings and external sanctions")</f>
        <v>Legal proceedings and external sanctions</v>
      </c>
      <c r="C4417" s="1" t="str">
        <f ca="1">IFERROR(__xludf.DUMMYFUNCTION("GOOGLETRANSLATE(E4417, ""zh"", ""en"")"),"Qualitative text")</f>
        <v>Qualitative text</v>
      </c>
    </row>
    <row r="4418" spans="1:3" ht="13" x14ac:dyDescent="0.15">
      <c r="A4418" s="1" t="str">
        <f ca="1">IFERROR(__xludf.DUMMYFUNCTION("GOOGLETRANSLATE(A4418, ""zh"", ""en"")"),"www..cn Enter the ESG management topic and see responsibility, safety first, people-oriented, mutual benefit and win-win. GRI content index aims to inspire employees' awareness of self-development and enhance their practical skills. With actual practice a"&amp;"s the main focus, employees are encouraged to continuously learn and grow in their work.")</f>
        <v>www..cn Enter the ESG management topic and see responsibility, safety first, people-oriented, mutual benefit and win-win. GRI content index aims to inspire employees' awareness of self-development and enhance their practical skills. With actual practice as the main focus, employees are encouraged to continuously learn and grow in their work.</v>
      </c>
      <c r="B4418" s="1" t="str">
        <f ca="1">IFERROR(__xludf.DUMMYFUNCTION("GOOGLETRANSLATE(A4418, ""zh"", ""en"")"),"staff")</f>
        <v>staff</v>
      </c>
      <c r="C4418" s="1" t="str">
        <f ca="1">IFERROR(__xludf.DUMMYFUNCTION("GOOGLETRANSLATE(E4418, ""zh"", ""en"")"),"Qualitative text")</f>
        <v>Qualitative text</v>
      </c>
    </row>
    <row r="4419" spans="1:3" ht="13" x14ac:dyDescent="0.15">
      <c r="A4419" s="1" t="str">
        <f ca="1">IFERROR(__xludf.DUMMYFUNCTION("GOOGLETRANSLATE(A4419, ""zh"", ""en"")"),"The company further optimized its incentive and constraint mechanisms, adhered to the principle of dual benchmarking of performance and compensation, and formulated a total salary and executive incentive and constraint mechanism optimization plan that is "&amp;"consistent with the characteristics of the financial industry. It also strengthened the overall management of the incentive and constraint mechanisms and strengthened the close linkage between executive compensation and risk indicators.")</f>
        <v>The company further optimized its incentive and constraint mechanisms, adhered to the principle of dual benchmarking of performance and compensation, and formulated a total salary and executive incentive and constraint mechanism optimization plan that is consistent with the characteristics of the financial industry. It also strengthened the overall management of the incentive and constraint mechanisms and strengthened the close linkage between executive compensation and risk indicators.</v>
      </c>
      <c r="B4419" s="1" t="str">
        <f ca="1">IFERROR(__xludf.DUMMYFUNCTION("GOOGLETRANSLATE(A4419, ""zh"", ""en"")"),"Organizational structure and operations")</f>
        <v>Organizational structure and operations</v>
      </c>
      <c r="C4419" s="1" t="str">
        <f ca="1">IFERROR(__xludf.DUMMYFUNCTION("GOOGLETRANSLATE(E4419, ""zh"", ""en"")"),"Qualitative text")</f>
        <v>Qualitative text</v>
      </c>
    </row>
    <row r="4420" spans="1:3" ht="13" x14ac:dyDescent="0.15">
      <c r="A4420" s="1" t="str">
        <f ca="1">IFERROR(__xludf.DUMMYFUNCTION("GOOGLETRANSLATE(A4420, ""zh"", ""en"")"),"In accordance with the relevant laws and regulations of each operating location, including the Law of the People's Republic of China on the Prevention and Control of Environmental Pollution by Solid Wastes and Argentina Law No. 24051, we have formulated a"&amp;" waste management system and a hazardous source pollution source management system for the generation, use, transportation and treatment of hazardous waste.")</f>
        <v>In accordance with the relevant laws and regulations of each operating location, including the Law of the People's Republic of China on the Prevention and Control of Environmental Pollution by Solid Wastes and Argentina Law No. 24051, we have formulated a waste management system and a hazardous source pollution source management system for the generation, use, transportation and treatment of hazardous waste.</v>
      </c>
      <c r="B4420" s="1" t="str">
        <f ca="1">IFERROR(__xludf.DUMMYFUNCTION("GOOGLETRANSLATE(A4420, ""zh"", ""en"")"),"Waste Management")</f>
        <v>Waste Management</v>
      </c>
      <c r="C4420" s="1" t="str">
        <f ca="1">IFERROR(__xludf.DUMMYFUNCTION("GOOGLETRANSLATE(E4420, ""zh"", ""en"")"),"Qualitative text")</f>
        <v>Qualitative text</v>
      </c>
    </row>
    <row r="4421" spans="1:3" ht="13" x14ac:dyDescent="0.15">
      <c r="A4421" s="1" t="str">
        <f ca="1">IFERROR(__xludf.DUMMYFUNCTION("GOOGLETRANSLATE(A4421, ""zh"", ""en"")"),"By the end of 2022, the Jinzhi Huimin Project had organized 64,000 training sessions, trained 5.51 million people, and established 3,167 Yunong Schools in rural areas. A total of more than 1,200 courses have been launched online and offline, including Yun"&amp;"ongtong services, consumer rights protection, agricultural technology knowledge, asset management, and public welfare.")</f>
        <v>By the end of 2022, the Jinzhi Huimin Project had organized 64,000 training sessions, trained 5.51 million people, and established 3,167 Yunong Schools in rural areas. A total of more than 1,200 courses have been launched online and offline, including Yunongtong services, consumer rights protection, agricultural technology knowledge, asset management, and public welfare.</v>
      </c>
      <c r="B4421" s="1" t="str">
        <f ca="1">IFERROR(__xludf.DUMMYFUNCTION("GOOGLETRANSLATE(A4421, ""zh"", ""en"")"),"Rural assistance")</f>
        <v>Rural assistance</v>
      </c>
      <c r="C4421" s="1" t="str">
        <f ca="1">IFERROR(__xludf.DUMMYFUNCTION("GOOGLETRANSLATE(E4421, ""zh"", ""en"")"),"Quantitative Text")</f>
        <v>Quantitative Text</v>
      </c>
    </row>
    <row r="4422" spans="1:3" ht="13" x14ac:dyDescent="0.15">
      <c r="A4422" s="1" t="str">
        <f ca="1">IFERROR(__xludf.DUMMYFUNCTION("GOOGLETRANSLATE(A4422, ""zh"", ""en"")"),"The intern summer internship program is open to all students from domestic and overseas universities, regardless of their major. This program focuses on fintech, helping IT students gain a deeper understanding of the bank's fintech capabilities and fintec"&amp;"h positions, and more effectively attracting and reserving high-potential fintech talent.")</f>
        <v>The intern summer internship program is open to all students from domestic and overseas universities, regardless of their major. This program focuses on fintech, helping IT students gain a deeper understanding of the bank's fintech capabilities and fintech positions, and more effectively attracting and reserving high-potential fintech talent.</v>
      </c>
      <c r="B4422" s="1" t="str">
        <f ca="1">IFERROR(__xludf.DUMMYFUNCTION("GOOGLETRANSLATE(A4422, ""zh"", ""en"")"),"Promoting employment")</f>
        <v>Promoting employment</v>
      </c>
      <c r="C4422" s="1" t="str">
        <f ca="1">IFERROR(__xludf.DUMMYFUNCTION("GOOGLETRANSLATE(E4422, ""zh"", ""en"")"),"Qualitative text")</f>
        <v>Qualitative text</v>
      </c>
    </row>
    <row r="4423" spans="1:3" ht="13" x14ac:dyDescent="0.15">
      <c r="A4423" s="1" t="str">
        <f ca="1">IFERROR(__xludf.DUMMYFUNCTION("GOOGLETRANSLATE(A4423, ""zh"", ""en"")"),"As one of the third batch of Internet fundraising information platforms for charitable organizations designated by the Ministry of Civil Affairs, the platform involves a variety of public welfare projects such as rural revitalization, medical assistance, "&amp;"youth safety education, women and children protection, environmental and ecological protection, etc., making it easier to do public welfare and making public welfare results more transparent.")</f>
        <v>As one of the third batch of Internet fundraising information platforms for charitable organizations designated by the Ministry of Civil Affairs, the platform involves a variety of public welfare projects such as rural revitalization, medical assistance, youth safety education, women and children protection, environmental and ecological protection, etc., making it easier to do public welfare and making public welfare results more transparent.</v>
      </c>
      <c r="B4423" s="1" t="str">
        <f ca="1">IFERROR(__xludf.DUMMYFUNCTION("GOOGLETRANSLATE(A4423, ""zh"", ""en"")"),"Public welfare and volunteer service")</f>
        <v>Public welfare and volunteer service</v>
      </c>
      <c r="C4423" s="1" t="str">
        <f ca="1">IFERROR(__xludf.DUMMYFUNCTION("GOOGLETRANSLATE(E4423, ""zh"", ""en"")"),"Qualitative text")</f>
        <v>Qualitative text</v>
      </c>
    </row>
    <row r="4424" spans="1:3" ht="13" x14ac:dyDescent="0.15">
      <c r="A4424" s="1" t="str">
        <f ca="1">IFERROR(__xludf.DUMMYFUNCTION("GOOGLETRANSLATE(A4424, ""zh"", ""en"")"),"The company has increased its investment in mining construction to provide a clean and sanitary working environment for employees in the mining area as much as possible. It has paid commercial medical insurance for each employee on a regular basis. In add"&amp;"ition to basic benefits, the company also provides additional benefits such as afternoon tea and working meals in the mining area to provide daily benefits for employees in the mining area.")</f>
        <v>The company has increased its investment in mining construction to provide a clean and sanitary working environment for employees in the mining area as much as possible. It has paid commercial medical insurance for each employee on a regular basis. In addition to basic benefits, the company also provides additional benefits such as afternoon tea and working meals in the mining area to provide daily benefits for employees in the mining area.</v>
      </c>
      <c r="B4424" s="1" t="str">
        <f ca="1">IFERROR(__xludf.DUMMYFUNCTION("GOOGLETRANSLATE(A4424, ""zh"", ""en"")"),"staff")</f>
        <v>staff</v>
      </c>
      <c r="C4424" s="1" t="str">
        <f ca="1">IFERROR(__xludf.DUMMYFUNCTION("GOOGLETRANSLATE(E4424, ""zh"", ""en"")"),"Qualitative text")</f>
        <v>Qualitative text</v>
      </c>
    </row>
    <row r="4425" spans="1:3" ht="13" x14ac:dyDescent="0.15">
      <c r="A4425" s="1" t="str">
        <f ca="1">IFERROR(__xludf.DUMMYFUNCTION("GOOGLETRANSLATE(A4425, ""zh"", ""en"")"),"Applicable to all corporate clients. Currently, approximately 700,000 clients meet the evaluation criteria. As the requirements and standards for client ESG-related data disclosure continue to improve, the quality of client ESG-related data will continue "&amp;"to improve, and the client base that meets the ESG evaluation criteria will be further expanded.")</f>
        <v>Applicable to all corporate clients. Currently, approximately 700,000 clients meet the evaluation criteria. As the requirements and standards for client ESG-related data disclosure continue to improve, the quality of client ESG-related data will continue to improve, and the client base that meets the ESG evaluation criteria will be further expanded.</v>
      </c>
      <c r="B4425" s="1" t="str">
        <f ca="1">IFERROR(__xludf.DUMMYFUNCTION("GOOGLETRANSLATE(A4425, ""zh"", ""en"")"),"Customers and Consumers")</f>
        <v>Customers and Consumers</v>
      </c>
      <c r="C4425" s="1" t="str">
        <f ca="1">IFERROR(__xludf.DUMMYFUNCTION("GOOGLETRANSLATE(E4425, ""zh"", ""en"")"),"Quantitative Text")</f>
        <v>Quantitative Text</v>
      </c>
    </row>
    <row r="4426" spans="1:3" ht="13" x14ac:dyDescent="0.15">
      <c r="A4426" s="1" t="str">
        <f ca="1">IFERROR(__xludf.DUMMYFUNCTION("GOOGLETRANSLATE(A4426, ""zh"", ""en"")"),"In 2022, the Group has established a self-collection system and requires each pharmaceutical member company to report the collected adverse drug reactions and medical device adverse events in the first set of adverse drug reaction reports as a percentage "&amp;"of the total reports within a specified time period. The increase in the number of reports indicates that each member company has better fulfilled its responsibility for drug and device adverse events.")</f>
        <v>In 2022, the Group has established a self-collection system and requires each pharmaceutical member company to report the collected adverse drug reactions and medical device adverse events in the first set of adverse drug reaction reports as a percentage of the total reports within a specified time period. The increase in the number of reports indicates that each member company has better fulfilled its responsibility for drug and device adverse events.</v>
      </c>
      <c r="B4426" s="1" t="str">
        <f ca="1">IFERROR(__xludf.DUMMYFUNCTION("GOOGLETRANSLATE(A4426, ""zh"", ""en"")"),"Product quality")</f>
        <v>Product quality</v>
      </c>
      <c r="C4426" s="1" t="str">
        <f ca="1">IFERROR(__xludf.DUMMYFUNCTION("GOOGLETRANSLATE(E4426, ""zh"", ""en"")"),"Qualitative text")</f>
        <v>Qualitative text</v>
      </c>
    </row>
    <row r="4427" spans="1:3" ht="13" x14ac:dyDescent="0.15">
      <c r="A4427" s="1" t="str">
        <f ca="1">IFERROR(__xludf.DUMMYFUNCTION("GOOGLETRANSLATE(A4427, ""zh"", ""en"")"),"In 2022, China Construction Bank will formulate the China Construction Bank Consumer Rights Protection Work Plan based on regulatory requirements and internal work practices. The plan will further clarify the overall approach and phased tasks for the next"&amp;" phase of consumer protection work between 2023 and 2025, providing a clear direction for consumer protection work across the bank.")</f>
        <v>In 2022, China Construction Bank will formulate the China Construction Bank Consumer Rights Protection Work Plan based on regulatory requirements and internal work practices. The plan will further clarify the overall approach and phased tasks for the next phase of consumer protection work between 2023 and 2025, providing a clear direction for consumer protection work across the bank.</v>
      </c>
      <c r="B4427" s="1" t="str">
        <f ca="1">IFERROR(__xludf.DUMMYFUNCTION("GOOGLETRANSLATE(A4427, ""zh"", ""en"")"),"Customers and Consumers")</f>
        <v>Customers and Consumers</v>
      </c>
      <c r="C4427" s="1" t="str">
        <f ca="1">IFERROR(__xludf.DUMMYFUNCTION("GOOGLETRANSLATE(E4427, ""zh"", ""en"")"),"Qualitative text")</f>
        <v>Qualitative text</v>
      </c>
    </row>
    <row r="4428" spans="1:3" ht="13" x14ac:dyDescent="0.15">
      <c r="A4428" s="1" t="str">
        <f ca="1">IFERROR(__xludf.DUMMYFUNCTION("GOOGLETRANSLATE(A4428, ""zh"", ""en"")"),"The measurement standards, methods, assumptions, calculation tools and conversion factor sources of the key performance indicators in this report have been explained in the corresponding locations, if applicable.")</f>
        <v>The measurement standards, methods, assumptions, calculation tools and conversion factor sources of the key performance indicators in this report have been explained in the corresponding locations, if applicable.</v>
      </c>
      <c r="B4428" s="1" t="str">
        <f ca="1">IFERROR(__xludf.DUMMYFUNCTION("GOOGLETRANSLATE(A4428, ""zh"", ""en"")"),"irrelevant text")</f>
        <v>irrelevant text</v>
      </c>
      <c r="C4428" s="1" t="str">
        <f ca="1">IFERROR(__xludf.DUMMYFUNCTION("GOOGLETRANSLATE(E4428, ""zh"", ""en"")"),"irrelevant text")</f>
        <v>irrelevant text</v>
      </c>
    </row>
    <row r="4429" spans="1:3" ht="13" x14ac:dyDescent="0.15">
      <c r="A4429" s="1" t="str">
        <f ca="1">IFERROR(__xludf.DUMMYFUNCTION("GOOGLETRANSLATE(A4429, ""zh"", ""en"")"),"Tons of hazardous waste. The hazardous waste disclosed in China Construction Bank's Social Responsibility Report refers to the total amount of hazardous waste determined by China Construction Bank's head office and 37 branches during the reporting period "&amp;"in accordance with the Hong Kong Stock Exchange's Appendix 2 Environmental Key Performance Indicator Reporting Guidelines, including discarded toner cartridges.")</f>
        <v>Tons of hazardous waste. The hazardous waste disclosed in China Construction Bank's Social Responsibility Report refers to the total amount of hazardous waste determined by China Construction Bank's head office and 37 branches during the reporting period in accordance with the Hong Kong Stock Exchange's Appendix 2 Environmental Key Performance Indicator Reporting Guidelines, including discarded toner cartridges.</v>
      </c>
      <c r="B4429" s="1" t="str">
        <f ca="1">IFERROR(__xludf.DUMMYFUNCTION("GOOGLETRANSLATE(A4429, ""zh"", ""en"")"),"Waste Management")</f>
        <v>Waste Management</v>
      </c>
      <c r="C4429" s="1" t="str">
        <f ca="1">IFERROR(__xludf.DUMMYFUNCTION("GOOGLETRANSLATE(E4429, ""zh"", ""en"")"),"Quantitative Text")</f>
        <v>Quantitative Text</v>
      </c>
    </row>
    <row r="4430" spans="1:3" ht="13" x14ac:dyDescent="0.15">
      <c r="A4430" s="1" t="str">
        <f ca="1">IFERROR(__xludf.DUMMYFUNCTION("GOOGLETRANSLATE(A4430, ""zh"", ""en"")"),"According to the employment type, there are also dispatched workers. The China Construction Bank Social Responsibility Report discloses that as of the end of the reporting period, the employees of China Construction Bank (excluding domestic and overseas s"&amp;"ubsidiaries) who signed contracts with labor dispatch agencies and were dispatched to China Construction Bank to work.")</f>
        <v>According to the employment type, there are also dispatched workers. The China Construction Bank Social Responsibility Report discloses that as of the end of the reporting period, the employees of China Construction Bank (excluding domestic and overseas subsidiaries) who signed contracts with labor dispatch agencies and were dispatched to China Construction Bank to work.</v>
      </c>
      <c r="B4430" s="1" t="str">
        <f ca="1">IFERROR(__xludf.DUMMYFUNCTION("GOOGLETRANSLATE(A4430, ""zh"", ""en"")"),"Promoting employment")</f>
        <v>Promoting employment</v>
      </c>
      <c r="C4430" s="1" t="str">
        <f ca="1">IFERROR(__xludf.DUMMYFUNCTION("GOOGLETRANSLATE(E4430, ""zh"", ""en"")"),"Quantitative Text")</f>
        <v>Quantitative Text</v>
      </c>
    </row>
    <row r="4431" spans="1:3" ht="13" x14ac:dyDescent="0.15">
      <c r="A4431" s="1" t="str">
        <f ca="1">IFERROR(__xludf.DUMMYFUNCTION("GOOGLETRANSLATE(A4431, ""zh"", ""en"")"),"According to other categories, 84 ethnic minority employees disclosed in the China Construction Bank Social Responsibility Report refer to ethnic minority employees among the formal employees of China Construction Bank (excluding domestic and overseas sub"&amp;"sidiaries) who have signed labor contracts with China Construction Bank as of the end of the reporting period.")</f>
        <v>According to other categories, 84 ethnic minority employees disclosed in the China Construction Bank Social Responsibility Report refer to ethnic minority employees among the formal employees of China Construction Bank (excluding domestic and overseas subsidiaries) who have signed labor contracts with China Construction Bank as of the end of the reporting period.</v>
      </c>
      <c r="B4431" s="1" t="str">
        <f ca="1">IFERROR(__xludf.DUMMYFUNCTION("GOOGLETRANSLATE(A4431, ""zh"", ""en"")"),"staff")</f>
        <v>staff</v>
      </c>
      <c r="C4431" s="1" t="str">
        <f ca="1">IFERROR(__xludf.DUMMYFUNCTION("GOOGLETRANSLATE(E4431, ""zh"", ""en"")"),"Quantitative Text")</f>
        <v>Quantitative Text</v>
      </c>
    </row>
    <row r="4432" spans="1:3" ht="13" x14ac:dyDescent="0.15">
      <c r="A4432" s="1" t="str">
        <f ca="1">IFERROR(__xludf.DUMMYFUNCTION("GOOGLETRANSLATE(A4432, ""zh"", ""en"")"),"During the reporting period, the company established a Strategy and Sustainable Development (ESG) Committee under the Board of Directors to further improve the company's sustainable strategic planning, improve the corporate governance structure, and enhan"&amp;"ce the company's sustainable development management level, helping to achieve the carbon peak and carbon neutrality goals and the company's major transformation to high-quality development.")</f>
        <v>During the reporting period, the company established a Strategy and Sustainable Development (ESG) Committee under the Board of Directors to further improve the company's sustainable strategic planning, improve the corporate governance structure, and enhance the company's sustainable development management level, helping to achieve the carbon peak and carbon neutrality goals and the company's major transformation to high-quality development.</v>
      </c>
      <c r="B4432" s="1" t="str">
        <f ca="1">IFERROR(__xludf.DUMMYFUNCTION("GOOGLETRANSLATE(A4432, ""zh"", ""en"")"),"Organizational structure and operations")</f>
        <v>Organizational structure and operations</v>
      </c>
      <c r="C4432" s="1" t="str">
        <f ca="1">IFERROR(__xludf.DUMMYFUNCTION("GOOGLETRANSLATE(E4432, ""zh"", ""en"")"),"Qualitative text")</f>
        <v>Qualitative text</v>
      </c>
    </row>
    <row r="4433" spans="1:3" ht="13" x14ac:dyDescent="0.15">
      <c r="A4433" s="1" t="str">
        <f ca="1">IFERROR(__xludf.DUMMYFUNCTION("GOOGLETRANSLATE(A4433, ""zh"", ""en"")"),"To effectively monitor the compliance of marketing activities, Livzon Group's Risk Management Headquarters conducts responsible marketing audits on the implementation of responsible marketing policies, sales processes, sales contract signing, and other op"&amp;"erations of its subsidiaries to ensure that marketing activities strictly adhere to various laws and regulations for compliant operations.")</f>
        <v>To effectively monitor the compliance of marketing activities, Livzon Group's Risk Management Headquarters conducts responsible marketing audits on the implementation of responsible marketing policies, sales processes, sales contract signing, and other operations of its subsidiaries to ensure that marketing activities strictly adhere to various laws and regulations for compliant operations.</v>
      </c>
      <c r="B4433" s="1" t="str">
        <f ca="1">IFERROR(__xludf.DUMMYFUNCTION("GOOGLETRANSLATE(A4433, ""zh"", ""en"")"),"Audit work")</f>
        <v>Audit work</v>
      </c>
      <c r="C4433" s="1" t="str">
        <f ca="1">IFERROR(__xludf.DUMMYFUNCTION("GOOGLETRANSLATE(E4433, ""zh"", ""en"")"),"Qualitative text")</f>
        <v>Qualitative text</v>
      </c>
    </row>
    <row r="4434" spans="1:3" ht="13" x14ac:dyDescent="0.15">
      <c r="A4434" s="1" t="str">
        <f ca="1">IFERROR(__xludf.DUMMYFUNCTION("GOOGLETRANSLATE(A4434, ""zh"", ""en"")"),"We currently have three national R&amp;D technology centers and multiple provincial and municipal innovation carriers. In the field of synthetic biopharmaceuticals, we have established eight major R&amp;D platforms, including synthetic biology, industrial microbi"&amp;"al breeding, biochemical APIs, biocatalysis, biotransformation and amplification, product extraction, pharmaceutical synthesis, and AI pharmaceuticals.")</f>
        <v>We currently have three national R&amp;D technology centers and multiple provincial and municipal innovation carriers. In the field of synthetic biopharmaceuticals, we have established eight major R&amp;D platforms, including synthetic biology, industrial microbial breeding, biochemical APIs, biocatalysis, biotransformation and amplification, product extraction, pharmaceutical synthesis, and AI pharmaceuticals.</v>
      </c>
      <c r="B4434" s="1" t="str">
        <f ca="1">IFERROR(__xludf.DUMMYFUNCTION("GOOGLETRANSLATE(A4434, ""zh"", ""en"")"),"Technological innovation")</f>
        <v>Technological innovation</v>
      </c>
      <c r="C4434" s="1" t="str">
        <f ca="1">IFERROR(__xludf.DUMMYFUNCTION("GOOGLETRANSLATE(E4434, ""zh"", ""en"")"),"Qualitative text")</f>
        <v>Qualitative text</v>
      </c>
    </row>
    <row r="4435" spans="1:3" ht="13" x14ac:dyDescent="0.15">
      <c r="A4435" s="1" t="str">
        <f ca="1">IFERROR(__xludf.DUMMYFUNCTION("GOOGLETRANSLATE(A4435, ""zh"", ""en"")"),"Based on its extensive R&amp;D experience in synthetic biology and AI-powered pharmaceuticals, the Biomedical Research Institute under Kangyuan Pharmaceuticals has signed a strategic cooperation agreement with Tencent Quantum Lab to jointly promote the applic"&amp;"ation of quantum computing and artificial intelligence in microbial synthetic biology research and related drug research.")</f>
        <v>Based on its extensive R&amp;D experience in synthetic biology and AI-powered pharmaceuticals, the Biomedical Research Institute under Kangyuan Pharmaceuticals has signed a strategic cooperation agreement with Tencent Quantum Lab to jointly promote the application of quantum computing and artificial intelligence in microbial synthetic biology research and related drug research.</v>
      </c>
      <c r="B4435" s="1" t="str">
        <f ca="1">IFERROR(__xludf.DUMMYFUNCTION("GOOGLETRANSLATE(A4435, ""zh"", ""en"")"),"Technological innovation")</f>
        <v>Technological innovation</v>
      </c>
      <c r="C4435" s="1" t="str">
        <f ca="1">IFERROR(__xludf.DUMMYFUNCTION("GOOGLETRANSLATE(E4435, ""zh"", ""en"")"),"Qualitative text")</f>
        <v>Qualitative text</v>
      </c>
    </row>
    <row r="4436" spans="1:3" ht="13" x14ac:dyDescent="0.15">
      <c r="A4436" s="1" t="str">
        <f ca="1">IFERROR(__xludf.DUMMYFUNCTION("GOOGLETRANSLATE(A4436, ""zh"", ""en"")"),"Guizhou Haier Electric Appliances Co., Ltd. supports local village and town infrastructure construction. In 2022, due to the weak infrastructure construction in Yigekong Community, Yuya Town, Zunyi City, Guizhou Province and the economic difficulties of t"&amp;"he community, Guizhou Haier Electric Appliances Co., Ltd. extended a helping hand and allocated RMB 40,000 to support infrastructure construction and improvement.")</f>
        <v>Guizhou Haier Electric Appliances Co., Ltd. supports local village and town infrastructure construction. In 2022, due to the weak infrastructure construction in Yigekong Community, Yuya Town, Zunyi City, Guizhou Province and the economic difficulties of the community, Guizhou Haier Electric Appliances Co., Ltd. extended a helping hand and allocated RMB 40,000 to support infrastructure construction and improvement.</v>
      </c>
      <c r="B4436" s="1" t="str">
        <f ca="1">IFERROR(__xludf.DUMMYFUNCTION("GOOGLETRANSLATE(A4436, ""zh"", ""en"")"),"Rural assistance")</f>
        <v>Rural assistance</v>
      </c>
      <c r="C4436" s="1" t="str">
        <f ca="1">IFERROR(__xludf.DUMMYFUNCTION("GOOGLETRANSLATE(E4436, ""zh"", ""en"")"),"Quantitative Text")</f>
        <v>Quantitative Text</v>
      </c>
    </row>
    <row r="4437" spans="1:3" ht="13" x14ac:dyDescent="0.15">
      <c r="A4437" s="1" t="str">
        <f ca="1">IFERROR(__xludf.DUMMYFUNCTION("GOOGLETRANSLATE(A4437, ""zh"", ""en"")"),"Hoover wins Italy's Best Quality Brand Award. In June 2022, Hoover, a subsidiary of Haier Smart Home, was awarded the Best Quality Brand Award in the home appliance category in 2022, jointly organized by the German Institute for Quality and Finance and a "&amp;"well-known Italian magazine. It is the only Chinese brand to win the award.")</f>
        <v>Hoover wins Italy's Best Quality Brand Award. In June 2022, Hoover, a subsidiary of Haier Smart Home, was awarded the Best Quality Brand Award in the home appliance category in 2022, jointly organized by the German Institute for Quality and Finance and a well-known Italian magazine. It is the only Chinese brand to win the award.</v>
      </c>
      <c r="B4437" s="1" t="str">
        <f ca="1">IFERROR(__xludf.DUMMYFUNCTION("GOOGLETRANSLATE(A4437, ""zh"", ""en"")"),"Product quality")</f>
        <v>Product quality</v>
      </c>
      <c r="C4437" s="1" t="str">
        <f ca="1">IFERROR(__xludf.DUMMYFUNCTION("GOOGLETRANSLATE(E4437, ""zh"", ""en"")"),"Quantitative Text")</f>
        <v>Quantitative Text</v>
      </c>
    </row>
    <row r="4438" spans="1:3" ht="13" x14ac:dyDescent="0.15">
      <c r="A4438" s="1" t="str">
        <f ca="1">IFERROR(__xludf.DUMMYFUNCTION("GOOGLETRANSLATE(A4438, ""zh"", ""en"")"),"The company carried out a series of learning activities on the spirit of the 20th CPC National Congress. By organizing administrative meetings, senior executives to study the theme party day, branch learning, grassroots propaganda workshop learning, advan"&amp;"ced collectives taking the lead in learning, etc., it promoted the deep integration of party building work and enterprise management, and transformed the cohesion of party building into a strong endogenous driving force for enterprise development.")</f>
        <v>The company carried out a series of learning activities on the spirit of the 20th CPC National Congress. By organizing administrative meetings, senior executives to study the theme party day, branch learning, grassroots propaganda workshop learning, advanced collectives taking the lead in learning, etc., it promoted the deep integration of party building work and enterprise management, and transformed the cohesion of party building into a strong endogenous driving force for enterprise development.</v>
      </c>
      <c r="B4438" s="1" t="str">
        <f ca="1">IFERROR(__xludf.DUMMYFUNCTION("GOOGLETRANSLATE(A4438, ""zh"", ""en"")"),"Organizational structure and operations")</f>
        <v>Organizational structure and operations</v>
      </c>
      <c r="C4438" s="1" t="str">
        <f ca="1">IFERROR(__xludf.DUMMYFUNCTION("GOOGLETRANSLATE(E4438, ""zh"", ""en"")"),"Qualitative text")</f>
        <v>Qualitative text</v>
      </c>
    </row>
    <row r="4439" spans="1:3" ht="13" x14ac:dyDescent="0.15">
      <c r="A4439" s="1" t="str">
        <f ca="1">IFERROR(__xludf.DUMMYFUNCTION("GOOGLETRANSLATE(A4439, ""zh"", ""en"")"),"We adhere to a people-centered development philosophy, uphold green development, contribute energy, drive growth for customers, and empower people's happiness. We sincerely cooperate with stakeholders to share the success of corporate development, focus o"&amp;"n reform, continue to innovate, and promote the modernization of corporate governance systems and governance capabilities.")</f>
        <v>We adhere to a people-centered development philosophy, uphold green development, contribute energy, drive growth for customers, and empower people's happiness. We sincerely cooperate with stakeholders to share the success of corporate development, focus on reform, continue to innovate, and promote the modernization of corporate governance systems and governance capabilities.</v>
      </c>
      <c r="B4439" s="1" t="str">
        <f ca="1">IFERROR(__xludf.DUMMYFUNCTION("GOOGLETRANSLATE(A4439, ""zh"", ""en"")"),"Organizational structure and operations")</f>
        <v>Organizational structure and operations</v>
      </c>
      <c r="C4439" s="1" t="str">
        <f ca="1">IFERROR(__xludf.DUMMYFUNCTION("GOOGLETRANSLATE(E4439, ""zh"", ""en"")"),"Qualitative text")</f>
        <v>Qualitative text</v>
      </c>
    </row>
    <row r="4440" spans="1:3" ht="13" x14ac:dyDescent="0.15">
      <c r="A4440" s="1" t="str">
        <f ca="1">IFERROR(__xludf.DUMMYFUNCTION("GOOGLETRANSLATE(A4440, ""zh"", ""en"")"),"The plan emphasizes innovation-orientedness, strengthens talent selection and management, focuses on key professional fields such as geological exploration, oil and gas field development, oil and gas well engineering, petroleum refining, petrochemicals, g"&amp;"eophysical logging, and well logging, as well as strategic emerging fields such as new energy, new materials, and new generation information technology, and rationally arranges the professional distribution of candidates for training.")</f>
        <v>The plan emphasizes innovation-orientedness, strengthens talent selection and management, focuses on key professional fields such as geological exploration, oil and gas field development, oil and gas well engineering, petroleum refining, petrochemicals, geophysical logging, and well logging, as well as strategic emerging fields such as new energy, new materials, and new generation information technology, and rationally arranges the professional distribution of candidates for training.</v>
      </c>
      <c r="B4440" s="1" t="str">
        <f ca="1">IFERROR(__xludf.DUMMYFUNCTION("GOOGLETRANSLATE(A4440, ""zh"", ""en"")"),"Technological innovation")</f>
        <v>Technological innovation</v>
      </c>
      <c r="C4440" s="1" t="str">
        <f ca="1">IFERROR(__xludf.DUMMYFUNCTION("GOOGLETRANSLATE(E4440, ""zh"", ""en"")"),"Qualitative text")</f>
        <v>Qualitative text</v>
      </c>
    </row>
    <row r="4441" spans="1:3" ht="13" x14ac:dyDescent="0.15">
      <c r="A4441" s="1" t="str">
        <f ca="1">IFERROR(__xludf.DUMMYFUNCTION("GOOGLETRANSLATE(A4441, ""zh"", ""en"")"),"In terms of employee welfare, the company's logistics management department is based on the company's actual situation, with the creation of a good living environment for employees as the main line, ensuring the safety of personnel and property as the foc"&amp;"us, and ensuring the smooth progress of production and operation as the goal to do a good job in logistics support and improve the work mood of the majority of employees and their sense of belonging to the company.")</f>
        <v>In terms of employee welfare, the company's logistics management department is based on the company's actual situation, with the creation of a good living environment for employees as the main line, ensuring the safety of personnel and property as the focus, and ensuring the smooth progress of production and operation as the goal to do a good job in logistics support and improve the work mood of the majority of employees and their sense of belonging to the company.</v>
      </c>
      <c r="B4441" s="1" t="str">
        <f ca="1">IFERROR(__xludf.DUMMYFUNCTION("GOOGLETRANSLATE(A4441, ""zh"", ""en"")"),"staff")</f>
        <v>staff</v>
      </c>
      <c r="C4441" s="1" t="str">
        <f ca="1">IFERROR(__xludf.DUMMYFUNCTION("GOOGLETRANSLATE(E4441, ""zh"", ""en"")"),"Qualitative text")</f>
        <v>Qualitative text</v>
      </c>
    </row>
    <row r="4442" spans="1:3" ht="13" x14ac:dyDescent="0.15">
      <c r="A4442" s="1" t="str">
        <f ca="1">IFERROR(__xludf.DUMMYFUNCTION("GOOGLETRANSLATE(A4442, ""zh"", ""en"")"),"In 2022, the company held the second and fourth employee representative conference to innovate and expand the channels for employees to make suggestions and proposals, fully mobilize the enthusiasm, initiative and creativity of employees to participate in"&amp;" corporate governance, and widely listen to employees' opinions and suggestions, and strive to expand the breadth and depth of employees' participation in corporate management.")</f>
        <v>In 2022, the company held the second and fourth employee representative conference to innovate and expand the channels for employees to make suggestions and proposals, fully mobilize the enthusiasm, initiative and creativity of employees to participate in corporate governance, and widely listen to employees' opinions and suggestions, and strive to expand the breadth and depth of employees' participation in corporate management.</v>
      </c>
      <c r="B4442" s="1" t="str">
        <f ca="1">IFERROR(__xludf.DUMMYFUNCTION("GOOGLETRANSLATE(A4442, ""zh"", ""en"")"),"staff")</f>
        <v>staff</v>
      </c>
      <c r="C4442" s="1" t="str">
        <f ca="1">IFERROR(__xludf.DUMMYFUNCTION("GOOGLETRANSLATE(E4442, ""zh"", ""en"")"),"Qualitative text")</f>
        <v>Qualitative text</v>
      </c>
    </row>
    <row r="4443" spans="1:3" ht="13" x14ac:dyDescent="0.15">
      <c r="A4443" s="1" t="str">
        <f ca="1">IFERROR(__xludf.DUMMYFUNCTION("GOOGLETRANSLATE(A4443, ""zh"", ""en"")"),"To provide a colorful life with humanistic care, the company regularly organizes various cultural and sports activities, such as club activities, art performances, and sports events, to foster team awareness and fighting spirit, stimulate employees' enthu"&amp;"siasm and sense of honor, relieve their work pressure, balance work and life, and enhance corporate cohesion and centripetal force.")</f>
        <v>To provide a colorful life with humanistic care, the company regularly organizes various cultural and sports activities, such as club activities, art performances, and sports events, to foster team awareness and fighting spirit, stimulate employees' enthusiasm and sense of honor, relieve their work pressure, balance work and life, and enhance corporate cohesion and centripetal force.</v>
      </c>
      <c r="B4443" s="1" t="str">
        <f ca="1">IFERROR(__xludf.DUMMYFUNCTION("GOOGLETRANSLATE(A4443, ""zh"", ""en"")"),"staff")</f>
        <v>staff</v>
      </c>
      <c r="C4443" s="1" t="str">
        <f ca="1">IFERROR(__xludf.DUMMYFUNCTION("GOOGLETRANSLATE(E4443, ""zh"", ""en"")"),"Qualitative text")</f>
        <v>Qualitative text</v>
      </c>
    </row>
    <row r="4444" spans="1:3" ht="13" x14ac:dyDescent="0.15">
      <c r="A4444" s="1" t="str">
        <f ca="1">IFERROR(__xludf.DUMMYFUNCTION("GOOGLETRANSLATE(A4444, ""zh"", ""en"")"),"We have improved and perfected the competency-based Party building training system, established company-wide demonstration training, and implemented a comprehensive training mechanism for divisions. We have held 100 training sessions, including a special "&amp;"training course on the deep integration of Party building and production and operations and a course to enhance the performance of Party branch secretaries, training over 5,500 participants.")</f>
        <v>We have improved and perfected the competency-based Party building training system, established company-wide demonstration training, and implemented a comprehensive training mechanism for divisions. We have held 100 training sessions, including a special training course on the deep integration of Party building and production and operations and a course to enhance the performance of Party branch secretaries, training over 5,500 participants.</v>
      </c>
      <c r="B4444" s="1" t="str">
        <f ca="1">IFERROR(__xludf.DUMMYFUNCTION("GOOGLETRANSLATE(A4444, ""zh"", ""en"")"),"staff")</f>
        <v>staff</v>
      </c>
      <c r="C4444" s="1" t="str">
        <f ca="1">IFERROR(__xludf.DUMMYFUNCTION("GOOGLETRANSLATE(E4444, ""zh"", ""en"")"),"Quantitative Text")</f>
        <v>Quantitative Text</v>
      </c>
    </row>
    <row r="4445" spans="1:3" ht="13" x14ac:dyDescent="0.15">
      <c r="A4445" s="1" t="str">
        <f ca="1">IFERROR(__xludf.DUMMYFUNCTION("GOOGLETRANSLATE(A4445, ""zh"", ""en"")"),"In 2015, it was awarded the Energy Efficiency Leader by the National Semiconductor Lighting Engineering Research and Industry Alliance of the China Illuminating Engineering Society. Its fully distributed self-ballasted LED was selected as a National Torch"&amp;" Program Industrialization Demonstration Project and won the bid for landmark projects such as the Shanghai Metro, Suzhou Metro, Hefei Metro, and Shanghai Jinguang Center.")</f>
        <v>In 2015, it was awarded the Energy Efficiency Leader by the National Semiconductor Lighting Engineering Research and Industry Alliance of the China Illuminating Engineering Society. Its fully distributed self-ballasted LED was selected as a National Torch Program Industrialization Demonstration Project and won the bid for landmark projects such as the Shanghai Metro, Suzhou Metro, Hefei Metro, and Shanghai Jinguang Center.</v>
      </c>
      <c r="B4445" s="1" t="str">
        <f ca="1">IFERROR(__xludf.DUMMYFUNCTION("GOOGLETRANSLATE(A4445, ""zh"", ""en"")"),"Technological innovation")</f>
        <v>Technological innovation</v>
      </c>
      <c r="C4445" s="1" t="str">
        <f ca="1">IFERROR(__xludf.DUMMYFUNCTION("GOOGLETRANSLATE(E4445, ""zh"", ""en"")"),"Qualitative text")</f>
        <v>Qualitative text</v>
      </c>
    </row>
    <row r="4446" spans="1:3" ht="13" x14ac:dyDescent="0.15">
      <c r="A4446" s="1" t="str">
        <f ca="1">IFERROR(__xludf.DUMMYFUNCTION("GOOGLETRANSLATE(A4446, ""zh"", ""en"")"),"A case study of a 1.105 billion yuan investment in information technology: China Investment and Insurance's Xinyijia electronic letter of guarantee platform improves the efficiency of small and micro businesses. To address the capital constraints faced by"&amp;" small and micro businesses upstream and downstream of the supply chain, China Investment and Insurance actively leverages internet thinking and collaborates with central state-owned enterprise electronic procurement platforms to launch the Xinyijia elect"&amp;"ronic letter of guarantee platform.")</f>
        <v>A case study of a 1.105 billion yuan investment in information technology: China Investment and Insurance's Xinyijia electronic letter of guarantee platform improves the efficiency of small and micro businesses. To address the capital constraints faced by small and micro businesses upstream and downstream of the supply chain, China Investment and Insurance actively leverages internet thinking and collaborates with central state-owned enterprise electronic procurement platforms to launch the Xinyijia electronic letter of guarantee platform.</v>
      </c>
      <c r="B4446" s="1" t="str">
        <f ca="1">IFERROR(__xludf.DUMMYFUNCTION("GOOGLETRANSLATE(A4446, ""zh"", ""en"")"),"supply chain management")</f>
        <v>supply chain management</v>
      </c>
      <c r="C4446" s="1" t="str">
        <f ca="1">IFERROR(__xludf.DUMMYFUNCTION("GOOGLETRANSLATE(E4446, ""zh"", ""en"")"),"Quantitative Text")</f>
        <v>Quantitative Text</v>
      </c>
    </row>
    <row r="4447" spans="1:3" ht="13" x14ac:dyDescent="0.15">
      <c r="A4447" s="1" t="str">
        <f ca="1">IFERROR(__xludf.DUMMYFUNCTION("GOOGLETRANSLATE(A4447, ""zh"", ""en"")"),"Since 2017, the Group has been promoting the systematic development of its procurement work, attaching great importance to institutional development and carrying out procurement management in accordance with the law. All member companies and functional de"&amp;"partments of the Group headquarters have fulfilled their duties in accordance with national laws and regulations and relevant Group regulations, and the standardization of procurement work has been effectively improved.")</f>
        <v>Since 2017, the Group has been promoting the systematic development of its procurement work, attaching great importance to institutional development and carrying out procurement management in accordance with the law. All member companies and functional departments of the Group headquarters have fulfilled their duties in accordance with national laws and regulations and relevant Group regulations, and the standardization of procurement work has been effectively improved.</v>
      </c>
      <c r="B4447" s="1" t="str">
        <f ca="1">IFERROR(__xludf.DUMMYFUNCTION("GOOGLETRANSLATE(A4447, ""zh"", ""en"")"),"supply chain management")</f>
        <v>supply chain management</v>
      </c>
      <c r="C4447" s="1" t="str">
        <f ca="1">IFERROR(__xludf.DUMMYFUNCTION("GOOGLETRANSLATE(E4447, ""zh"", ""en"")"),"Qualitative text")</f>
        <v>Qualitative text</v>
      </c>
    </row>
    <row r="4448" spans="1:3" ht="13" x14ac:dyDescent="0.15">
      <c r="A4448" s="1" t="str">
        <f ca="1">IFERROR(__xludf.DUMMYFUNCTION("GOOGLETRANSLATE(A4448, ""zh"", ""en"")"),"The female employee ratio disclosed in the Sustainability Report refers to the ratio of the number of female employees with full-time labor contracts, excluding dispatched workers, to the total number of employees with full-time labor contracts, excluding"&amp;" dispatched workers.")</f>
        <v>The female employee ratio disclosed in the Sustainability Report refers to the ratio of the number of female employees with full-time labor contracts, excluding dispatched workers, to the total number of employees with full-time labor contracts, excluding dispatched workers.</v>
      </c>
      <c r="B4448" s="1" t="str">
        <f ca="1">IFERROR(__xludf.DUMMYFUNCTION("GOOGLETRANSLATE(A4448, ""zh"", ""en"")"),"staff")</f>
        <v>staff</v>
      </c>
      <c r="C4448" s="1" t="str">
        <f ca="1">IFERROR(__xludf.DUMMYFUNCTION("GOOGLETRANSLATE(E4448, ""zh"", ""en"")"),"Quantitative Text")</f>
        <v>Quantitative Text</v>
      </c>
    </row>
    <row r="4449" spans="1:3" ht="13" x14ac:dyDescent="0.15">
      <c r="A4449" s="1" t="str">
        <f ca="1">IFERROR(__xludf.DUMMYFUNCTION("GOOGLETRANSLATE(A4449, ""zh"", ""en"")"),"In terms of the settlement system, the application of the first phase project in three units in Qingzhou, Nanyangzhai and Tanggu has been good. 37,314 charges were made through the system by scanning the code, totaling 9.0343 million yuan. 4,438 electroni"&amp;"c invoices and 4,204 paper special invoices were issued through the system, totaling 2.4606 million yuan.")</f>
        <v>In terms of the settlement system, the application of the first phase project in three units in Qingzhou, Nanyangzhai and Tanggu has been good. 37,314 charges were made through the system by scanning the code, totaling 9.0343 million yuan. 4,438 electronic invoices and 4,204 paper special invoices were issued through the system, totaling 2.4606 million yuan.</v>
      </c>
      <c r="B4449" s="1" t="str">
        <f ca="1">IFERROR(__xludf.DUMMYFUNCTION("GOOGLETRANSLATE(A4449, ""zh"", ""en"")"),"Tax transparency")</f>
        <v>Tax transparency</v>
      </c>
      <c r="C4449" s="1" t="str">
        <f ca="1">IFERROR(__xludf.DUMMYFUNCTION("GOOGLETRANSLATE(E4449, ""zh"", ""en"")"),"Quantitative Text")</f>
        <v>Quantitative Text</v>
      </c>
    </row>
    <row r="4450" spans="1:3" ht="13" x14ac:dyDescent="0.15">
      <c r="A4450" s="1" t="str">
        <f ca="1">IFERROR(__xludf.DUMMYFUNCTION("GOOGLETRANSLATE(A4450, ""zh"", ""en"")"),"Consolidate and improve the 8-level progressive systematic training system, organize special training for leaders on carbon peak and carbon neutrality, corporate governance, philosophical thinking, value management, etc., explore the use of a combination "&amp;"of training and combat to organize training courses for young and middle-aged cadres and effectively enhance the ability of leaders to promote the high-quality development of the company.")</f>
        <v>Consolidate and improve the 8-level progressive systematic training system, organize special training for leaders on carbon peak and carbon neutrality, corporate governance, philosophical thinking, value management, etc., explore the use of a combination of training and combat to organize training courses for young and middle-aged cadres and effectively enhance the ability of leaders to promote the high-quality development of the company.</v>
      </c>
      <c r="B4450" s="1" t="str">
        <f ca="1">IFERROR(__xludf.DUMMYFUNCTION("GOOGLETRANSLATE(A4450, ""zh"", ""en"")"),"Organizational structure and operations")</f>
        <v>Organizational structure and operations</v>
      </c>
      <c r="C4450" s="1" t="str">
        <f ca="1">IFERROR(__xludf.DUMMYFUNCTION("GOOGLETRANSLATE(E4450, ""zh"", ""en"")"),"Qualitative text")</f>
        <v>Qualitative text</v>
      </c>
    </row>
    <row r="4451" spans="1:3" ht="13" x14ac:dyDescent="0.15">
      <c r="A4451" s="1" t="str">
        <f ca="1">IFERROR(__xludf.DUMMYFUNCTION("GOOGLETRANSLATE(A4451, ""zh"", ""en"")"),"Actively carry out educational assistance, with a total investment of RMB 50 million for hardware renovation in rural schools, training of more than 2,000 teachers, and company employees paired up to help more than 1,500 students. 245 volunteer teachers w"&amp;"ere sent to the assisted schools for a total of 1,196 days.")</f>
        <v>Actively carry out educational assistance, with a total investment of RMB 50 million for hardware renovation in rural schools, training of more than 2,000 teachers, and company employees paired up to help more than 1,500 students. 245 volunteer teachers were sent to the assisted schools for a total of 1,196 days.</v>
      </c>
      <c r="B4451" s="1" t="str">
        <f ca="1">IFERROR(__xludf.DUMMYFUNCTION("GOOGLETRANSLATE(A4451, ""zh"", ""en"")"),"Rural assistance")</f>
        <v>Rural assistance</v>
      </c>
      <c r="C4451" s="1" t="str">
        <f ca="1">IFERROR(__xludf.DUMMYFUNCTION("GOOGLETRANSLATE(E4451, ""zh"", ""en"")"),"Quantitative Text")</f>
        <v>Quantitative Text</v>
      </c>
    </row>
    <row r="4452" spans="1:3" ht="13" x14ac:dyDescent="0.15">
      <c r="A4452" s="1" t="str">
        <f ca="1">IFERROR(__xludf.DUMMYFUNCTION("GOOGLETRANSLATE(A4452, ""zh"", ""en"")"),"Verification of the authenticity of the detailed assessment content includes pre-verification research and interviews with relevant employees, and, where necessary, document and record review and confirmation with external agencies and relevant parties of"&amp;" Yulidao. The financial data in the independently audited financial accounts are not checked against the source data as part of this verification process.")</f>
        <v>Verification of the authenticity of the detailed assessment content includes pre-verification research and interviews with relevant employees, and, where necessary, document and record review and confirmation with external agencies and relevant parties of Yulidao. The financial data in the independently audited financial accounts are not checked against the source data as part of this verification process.</v>
      </c>
      <c r="B4452" s="1" t="str">
        <f ca="1">IFERROR(__xludf.DUMMYFUNCTION("GOOGLETRANSLATE(A4452, ""zh"", ""en"")"),"Audit work")</f>
        <v>Audit work</v>
      </c>
      <c r="C4452" s="1" t="str">
        <f ca="1">IFERROR(__xludf.DUMMYFUNCTION("GOOGLETRANSLATE(E4452, ""zh"", ""en"")"),"Qualitative text")</f>
        <v>Qualitative text</v>
      </c>
    </row>
    <row r="4453" spans="1:3" ht="13" x14ac:dyDescent="0.15">
      <c r="A4453" s="1" t="str">
        <f ca="1">IFERROR(__xludf.DUMMYFUNCTION("GOOGLETRANSLATE(A4453, ""zh"", ""en"")"),"On July 26, the 2022 Shanghai Electric Party Conduct and Integrity Construction Work Conference was held, themed ""Adhering to Seeking Truth from Facts, Carrying out Rectification, Resolutely and Strictly Managing to Ensure Development, and Promoting the "&amp;"Steady Development of Shanghai Electric's Business through High-Quality Party Conduct and Clean Government Construction.""")</f>
        <v>On July 26, the 2022 Shanghai Electric Party Conduct and Integrity Construction Work Conference was held, themed "Adhering to Seeking Truth from Facts, Carrying out Rectification, Resolutely and Strictly Managing to Ensure Development, and Promoting the Steady Development of Shanghai Electric's Business through High-Quality Party Conduct and Clean Government Construction."</v>
      </c>
      <c r="B4453" s="1" t="str">
        <f ca="1">IFERROR(__xludf.DUMMYFUNCTION("GOOGLETRANSLATE(A4453, ""zh"", ""en"")"),"Anti-corruption and anti-money laundering")</f>
        <v>Anti-corruption and anti-money laundering</v>
      </c>
      <c r="C4453" s="1" t="str">
        <f ca="1">IFERROR(__xludf.DUMMYFUNCTION("GOOGLETRANSLATE(E4453, ""zh"", ""en"")"),"Qualitative text")</f>
        <v>Qualitative text</v>
      </c>
    </row>
    <row r="4454" spans="1:3" ht="13" x14ac:dyDescent="0.15">
      <c r="A4454" s="1" t="str">
        <f ca="1">IFERROR(__xludf.DUMMYFUNCTION("GOOGLETRANSLATE(A4454, ""zh"", ""en"")"),"We have established a special customer information confidentiality system to stipulate the handling methods and confidentiality measures of customer information. At the same time, we have enabled the IT operation and maintenance audit system to record and"&amp;" audit the operation behavior of internal special accounts such as system administrators and support accounts such as external consultants to prevent customer information leakage.")</f>
        <v>We have established a special customer information confidentiality system to stipulate the handling methods and confidentiality measures of customer information. At the same time, we have enabled the IT operation and maintenance audit system to record and audit the operation behavior of internal special accounts such as system administrators and support accounts such as external consultants to prevent customer information leakage.</v>
      </c>
      <c r="B4454" s="1" t="str">
        <f ca="1">IFERROR(__xludf.DUMMYFUNCTION("GOOGLETRANSLATE(A4454, ""zh"", ""en"")"),"Data security")</f>
        <v>Data security</v>
      </c>
      <c r="C4454" s="1" t="str">
        <f ca="1">IFERROR(__xludf.DUMMYFUNCTION("GOOGLETRANSLATE(E4454, ""zh"", ""en"")"),"Qualitative text")</f>
        <v>Qualitative text</v>
      </c>
    </row>
    <row r="4455" spans="1:3" ht="13" x14ac:dyDescent="0.15">
      <c r="A4455" s="1" t="str">
        <f ca="1">IFERROR(__xludf.DUMMYFUNCTION("GOOGLETRANSLATE(A4455, ""zh"", ""en"")"),"In 2022, the Shanghai Electric Party Committee launched a new round of Party-building brand creation work, requiring party organizations at all levels to actively build distinctive, prominent, comprehensive, and complementary Party-building brands based o"&amp;"n the three aspects of leadership, service, and integration, and give full play to the demonstration and driving role of Party-building brands.")</f>
        <v>In 2022, the Shanghai Electric Party Committee launched a new round of Party-building brand creation work, requiring party organizations at all levels to actively build distinctive, prominent, comprehensive, and complementary Party-building brands based on the three aspects of leadership, service, and integration, and give full play to the demonstration and driving role of Party-building brands.</v>
      </c>
      <c r="B4455" s="1" t="str">
        <f ca="1">IFERROR(__xludf.DUMMYFUNCTION("GOOGLETRANSLATE(A4455, ""zh"", ""en"")"),"Organizational structure and operations")</f>
        <v>Organizational structure and operations</v>
      </c>
      <c r="C4455" s="1" t="str">
        <f ca="1">IFERROR(__xludf.DUMMYFUNCTION("GOOGLETRANSLATE(E4455, ""zh"", ""en"")"),"Qualitative text")</f>
        <v>Qualitative text</v>
      </c>
    </row>
    <row r="4456" spans="1:3" ht="13" x14ac:dyDescent="0.15">
      <c r="A4456" s="1" t="str">
        <f ca="1">IFERROR(__xludf.DUMMYFUNCTION("GOOGLETRANSLATE(A4456, ""zh"", ""en"")"),"Nature-based solutions (NbS) Daqing Oilfield is actively developing the Guowu Lake Biodiversity Conservation Area. PetroChina 2022 Environmental, Social, and Governance Report 68 Case Studies The Tarim Oilfield is located in the desert region of western C"&amp;"hina.")</f>
        <v>Nature-based solutions (NbS) Daqing Oilfield is actively developing the Guowu Lake Biodiversity Conservation Area. PetroChina 2022 Environmental, Social, and Governance Report 68 Case Studies The Tarim Oilfield is located in the desert region of western China.</v>
      </c>
      <c r="B4456" s="1" t="str">
        <f ca="1">IFERROR(__xludf.DUMMYFUNCTION("GOOGLETRANSLATE(A4456, ""zh"", ""en"")"),"biodiversity")</f>
        <v>biodiversity</v>
      </c>
      <c r="C4456" s="1" t="str">
        <f ca="1">IFERROR(__xludf.DUMMYFUNCTION("GOOGLETRANSLATE(E4456, ""zh"", ""en"")"),"Qualitative text")</f>
        <v>Qualitative text</v>
      </c>
    </row>
    <row r="4457" spans="1:3" ht="13" x14ac:dyDescent="0.15">
      <c r="A4457" s="1" t="str">
        <f ca="1">IFERROR(__xludf.DUMMYFUNCTION("GOOGLETRANSLATE(A4457, ""zh"", ""en"")"),"China National Petroleum Corporation leverages its corporate resource advantages to provide and create jobs, build employment platforms, and offer a variety of skills training courses. This provides differentiated training for different types of talent in"&amp;" different regions, improves personnel's employment skills, stimulates their internal motivation, and assists local populations in finding employment and starting businesses.")</f>
        <v>China National Petroleum Corporation leverages its corporate resource advantages to provide and create jobs, build employment platforms, and offer a variety of skills training courses. This provides differentiated training for different types of talent in different regions, improves personnel's employment skills, stimulates their internal motivation, and assists local populations in finding employment and starting businesses.</v>
      </c>
      <c r="B4457" s="1" t="str">
        <f ca="1">IFERROR(__xludf.DUMMYFUNCTION("GOOGLETRANSLATE(A4457, ""zh"", ""en"")"),"Promoting employment")</f>
        <v>Promoting employment</v>
      </c>
      <c r="C4457" s="1" t="str">
        <f ca="1">IFERROR(__xludf.DUMMYFUNCTION("GOOGLETRANSLATE(E4457, ""zh"", ""en"")"),"Qualitative text")</f>
        <v>Qualitative text</v>
      </c>
    </row>
    <row r="4458" spans="1:3" ht="13" x14ac:dyDescent="0.15">
      <c r="A4458" s="1" t="str">
        <f ca="1">IFERROR(__xludf.DUMMYFUNCTION("GOOGLETRANSLATE(A4458, ""zh"", ""en"")"),"At the same time, low-carbon living is connected to the official low-carbon platform of the local government. For example, the Beijing MAAS platform enables Beijing customers to generate green energy through low-carbon travel, which can be traded and exch"&amp;"anged for rights in the government carbon trading market. Users can also use green energy to exchange for trees for public welfare planting.")</f>
        <v>At the same time, low-carbon living is connected to the official low-carbon platform of the local government. For example, the Beijing MAAS platform enables Beijing customers to generate green energy through low-carbon travel, which can be traded and exchanged for rights in the government carbon trading market. Users can also use green energy to exchange for trees for public welfare planting.</v>
      </c>
      <c r="B4458" s="1" t="str">
        <f ca="1">IFERROR(__xludf.DUMMYFUNCTION("GOOGLETRANSLATE(A4458, ""zh"", ""en"")"),"carbon emissions")</f>
        <v>carbon emissions</v>
      </c>
      <c r="C4458" s="1" t="str">
        <f ca="1">IFERROR(__xludf.DUMMYFUNCTION("GOOGLETRANSLATE(E4458, ""zh"", ""en"")"),"Qualitative text")</f>
        <v>Qualitative text</v>
      </c>
    </row>
    <row r="4459" spans="1:3" ht="13" x14ac:dyDescent="0.15">
      <c r="A4459" s="1" t="str">
        <f ca="1">IFERROR(__xludf.DUMMYFUNCTION("GOOGLETRANSLATE(A4459, ""zh"", ""en"")"),"Fourth, it deepened the bank's systematic understanding of environmental and climate issues. During the climate transition risk stress test, the bank collected data through branches and communicated the concept of climate risk management to them, laying a"&amp;" solid foundation for improving the risk line's forward-looking management and control capabilities for climate risks.")</f>
        <v>Fourth, it deepened the bank's systematic understanding of environmental and climate issues. During the climate transition risk stress test, the bank collected data through branches and communicated the concept of climate risk management to them, laying a solid foundation for improving the risk line's forward-looking management and control capabilities for climate risks.</v>
      </c>
      <c r="B4459" s="1" t="str">
        <f ca="1">IFERROR(__xludf.DUMMYFUNCTION("GOOGLETRANSLATE(A4459, ""zh"", ""en"")"),"Addressing climate change")</f>
        <v>Addressing climate change</v>
      </c>
      <c r="C4459" s="1" t="str">
        <f ca="1">IFERROR(__xludf.DUMMYFUNCTION("GOOGLETRANSLATE(E4459, ""zh"", ""en"")"),"Qualitative text")</f>
        <v>Qualitative text</v>
      </c>
    </row>
    <row r="4460" spans="1:3" ht="13" x14ac:dyDescent="0.15">
      <c r="A4460" s="1" t="str">
        <f ca="1">IFERROR(__xludf.DUMMYFUNCTION("GOOGLETRANSLATE(A4460, ""zh"", ""en"")"),"China Construction Bank Corporation 2022 Social Responsibility Report 67 Case Study: SME Management Leadership Talent Training Program Since 2020, the CCB Training Center Research Institute, as a representative of the national financial system, has been s"&amp;"elected as one of the first batch of leadership talent training institutions hosted by central enterprises.")</f>
        <v>China Construction Bank Corporation 2022 Social Responsibility Report 67 Case Study: SME Management Leadership Talent Training Program Since 2020, the CCB Training Center Research Institute, as a representative of the national financial system, has been selected as one of the first batch of leadership talent training institutions hosted by central enterprises.</v>
      </c>
      <c r="B4460" s="1" t="str">
        <f ca="1">IFERROR(__xludf.DUMMYFUNCTION("GOOGLETRANSLATE(A4460, ""zh"", ""en"")"),"staff")</f>
        <v>staff</v>
      </c>
      <c r="C4460" s="1" t="str">
        <f ca="1">IFERROR(__xludf.DUMMYFUNCTION("GOOGLETRANSLATE(E4460, ""zh"", ""en"")"),"Quantitative Text")</f>
        <v>Quantitative Text</v>
      </c>
    </row>
    <row r="4461" spans="1:3" ht="13" x14ac:dyDescent="0.15">
      <c r="A4461" s="1" t="str">
        <f ca="1">IFERROR(__xludf.DUMMYFUNCTION("GOOGLETRANSLATE(A4461, ""zh"", ""en"")"),"..Picture: Mid-Autumn Festival themed event promotional poster. Picture: Spring Festival welfare gift package conveys warmth and care. We attach great importance to the care of employees. In line with the company's corporate culture, we continuously enhan"&amp;"ce the company's humanistic care level and create a happy corporate atmosphere through celebrating various themed activities such as the Dragon Boat Festival, Mid-Autumn Festival and Spring Festival.")</f>
        <v>..Picture: Mid-Autumn Festival themed event promotional poster. Picture: Spring Festival welfare gift package conveys warmth and care. We attach great importance to the care of employees. In line with the company's corporate culture, we continuously enhance the company's humanistic care level and create a happy corporate atmosphere through celebrating various themed activities such as the Dragon Boat Festival, Mid-Autumn Festival and Spring Festival.</v>
      </c>
      <c r="B4461" s="1" t="str">
        <f ca="1">IFERROR(__xludf.DUMMYFUNCTION("GOOGLETRANSLATE(A4461, ""zh"", ""en"")"),"staff")</f>
        <v>staff</v>
      </c>
      <c r="C4461" s="1" t="str">
        <f ca="1">IFERROR(__xludf.DUMMYFUNCTION("GOOGLETRANSLATE(E4461, ""zh"", ""en"")"),"Qualitative text")</f>
        <v>Qualitative text</v>
      </c>
    </row>
    <row r="4462" spans="1:3" ht="13" x14ac:dyDescent="0.15">
      <c r="A4462" s="1" t="str">
        <f ca="1">IFERROR(__xludf.DUMMYFUNCTION("GOOGLETRANSLATE(A4462, ""zh"", ""en"")"),"The Power of Inheritance: Shanghai Electric Group Co., Ltd. 7. Corporate Mission: Enabling Global Industrial Intelligence to Create a Better Life. We are focused on high-end equipment industry, specializing in energy equipment and industrial equipment int"&amp;"egrated services, empowering technology to promote high-quality industrial development in China and globally.")</f>
        <v>The Power of Inheritance: Shanghai Electric Group Co., Ltd. 7. Corporate Mission: Enabling Global Industrial Intelligence to Create a Better Life. We are focused on high-end equipment industry, specializing in energy equipment and industrial equipment integrated services, empowering technology to promote high-quality industrial development in China and globally.</v>
      </c>
      <c r="B4462" s="1" t="str">
        <f ca="1">IFERROR(__xludf.DUMMYFUNCTION("GOOGLETRANSLATE(A4462, ""zh"", ""en"")"),"Technological innovation")</f>
        <v>Technological innovation</v>
      </c>
      <c r="C4462" s="1" t="str">
        <f ca="1">IFERROR(__xludf.DUMMYFUNCTION("GOOGLETRANSLATE(E4462, ""zh"", ""en"")"),"Qualitative text")</f>
        <v>Qualitative text</v>
      </c>
    </row>
    <row r="4463" spans="1:3" ht="13" x14ac:dyDescent="0.15">
      <c r="A4463" s="1" t="str">
        <f ca="1">IFERROR(__xludf.DUMMYFUNCTION("GOOGLETRANSLATE(A4463, ""zh"", ""en"")"),"In corporate governance, we inherit the precious spiritual genes of the Chinese nation, absorb the rich nourishment of the times, continue the red bloodline, always maintain self-discipline, and continuously consolidate the foundation of corporate develop"&amp;"ment. We standardize risk control, business ethics, information disclosure and other internal management systems to ensure the company's compliant development.")</f>
        <v>In corporate governance, we inherit the precious spiritual genes of the Chinese nation, absorb the rich nourishment of the times, continue the red bloodline, always maintain self-discipline, and continuously consolidate the foundation of corporate development. We standardize risk control, business ethics, information disclosure and other internal management systems to ensure the company's compliant development.</v>
      </c>
      <c r="B4463" s="1" t="str">
        <f ca="1">IFERROR(__xludf.DUMMYFUNCTION("GOOGLETRANSLATE(A4463, ""zh"", ""en"")"),"Organizational structure and operations")</f>
        <v>Organizational structure and operations</v>
      </c>
      <c r="C4463" s="1" t="str">
        <f ca="1">IFERROR(__xludf.DUMMYFUNCTION("GOOGLETRANSLATE(E4463, ""zh"", ""en"")"),"Qualitative text")</f>
        <v>Qualitative text</v>
      </c>
    </row>
    <row r="4464" spans="1:3" ht="13" x14ac:dyDescent="0.15">
      <c r="A4464" s="1" t="str">
        <f ca="1">IFERROR(__xludf.DUMMYFUNCTION("GOOGLETRANSLATE(A4464, ""zh"", ""en"")"),"Sustainable Supply Chain Management COSL 2022 ESG Report 29 The company is committed to accelerating the pace of green and low-carbon development, integrating green development concepts throughout the entire procurement and supply chain process, focusing "&amp;"on promoting green procurement, building a green supply chain, and actively integrating green development into equipment construction and development.")</f>
        <v>Sustainable Supply Chain Management COSL 2022 ESG Report 29 The company is committed to accelerating the pace of green and low-carbon development, integrating green development concepts throughout the entire procurement and supply chain process, focusing on promoting green procurement, building a green supply chain, and actively integrating green development into equipment construction and development.</v>
      </c>
      <c r="B4464" s="1" t="str">
        <f ca="1">IFERROR(__xludf.DUMMYFUNCTION("GOOGLETRANSLATE(A4464, ""zh"", ""en"")"),"supply chain management")</f>
        <v>supply chain management</v>
      </c>
      <c r="C4464" s="1" t="str">
        <f ca="1">IFERROR(__xludf.DUMMYFUNCTION("GOOGLETRANSLATE(E4464, ""zh"", ""en"")"),"Qualitative text")</f>
        <v>Qualitative text</v>
      </c>
    </row>
    <row r="4465" spans="1:3" ht="13" x14ac:dyDescent="0.15">
      <c r="A4465" s="1" t="str">
        <f ca="1">IFERROR(__xludf.DUMMYFUNCTION("GOOGLETRANSLATE(A4465, ""zh"", ""en"")"),"COSL 2022 ESG Report 13 Director and Senior Management Compensation and Appraisal The Board of Directors has established a Compensation and Appraisal Committee responsible for developing and conducting appraisals of directors, supervisors, and senior mana"&amp;"gement personnel, and for formulating and reviewing compensation policies and plans for directors, supervisors, and senior management personnel.")</f>
        <v>COSL 2022 ESG Report 13 Director and Senior Management Compensation and Appraisal The Board of Directors has established a Compensation and Appraisal Committee responsible for developing and conducting appraisals of directors, supervisors, and senior management personnel, and for formulating and reviewing compensation policies and plans for directors, supervisors, and senior management personnel.</v>
      </c>
      <c r="B4465" s="1" t="str">
        <f ca="1">IFERROR(__xludf.DUMMYFUNCTION("GOOGLETRANSLATE(A4465, ""zh"", ""en"")"),"Organizational structure and operations")</f>
        <v>Organizational structure and operations</v>
      </c>
      <c r="C4465" s="1" t="str">
        <f ca="1">IFERROR(__xludf.DUMMYFUNCTION("GOOGLETRANSLATE(E4465, ""zh"", ""en"")"),"Qualitative text")</f>
        <v>Qualitative text</v>
      </c>
    </row>
    <row r="4466" spans="1:3" ht="13" x14ac:dyDescent="0.15">
      <c r="A4466" s="1" t="str">
        <f ca="1">IFERROR(__xludf.DUMMYFUNCTION("GOOGLETRANSLATE(A4466, ""zh"", ""en"")"),"As of 2022, the company has systematically developed curriculum frameworks for 17 main occupations, including marine exploration, seismic source workers, and oil drillers. The curriculum covers four dimensions: basic knowledge, professional knowledge, ope"&amp;"rational skills, and technical management. A total of 2,926 courses have been developed, with a total training time of 31,837 minutes.")</f>
        <v>As of 2022, the company has systematically developed curriculum frameworks for 17 main occupations, including marine exploration, seismic source workers, and oil drillers. The curriculum covers four dimensions: basic knowledge, professional knowledge, operational skills, and technical management. A total of 2,926 courses have been developed, with a total training time of 31,837 minutes.</v>
      </c>
      <c r="B4466" s="1" t="str">
        <f ca="1">IFERROR(__xludf.DUMMYFUNCTION("GOOGLETRANSLATE(A4466, ""zh"", ""en"")"),"staff")</f>
        <v>staff</v>
      </c>
      <c r="C4466" s="1" t="str">
        <f ca="1">IFERROR(__xludf.DUMMYFUNCTION("GOOGLETRANSLATE(E4466, ""zh"", ""en"")"),"Quantitative Text")</f>
        <v>Quantitative Text</v>
      </c>
    </row>
    <row r="4467" spans="1:3" ht="13" x14ac:dyDescent="0.15">
      <c r="A4467" s="1" t="str">
        <f ca="1">IFERROR(__xludf.DUMMYFUNCTION("GOOGLETRANSLATE(A4467, ""zh"", ""en"")"),"Shanghai Electric Group Co., Ltd. (107) In 2022, Shanghai Electric developed a strategic talent map based on the group's strategic plan, focusing on building three talent teams to attract strategic scientists, high-end talents, and innovative teams to pro"&amp;"mote the practical transformation of talent strategy into talent reserves.")</f>
        <v>Shanghai Electric Group Co., Ltd. (107) In 2022, Shanghai Electric developed a strategic talent map based on the group's strategic plan, focusing on building three talent teams to attract strategic scientists, high-end talents, and innovative teams to promote the practical transformation of talent strategy into talent reserves.</v>
      </c>
      <c r="B4467" s="1" t="str">
        <f ca="1">IFERROR(__xludf.DUMMYFUNCTION("GOOGLETRANSLATE(A4467, ""zh"", ""en"")"),"Organizational structure and operations")</f>
        <v>Organizational structure and operations</v>
      </c>
      <c r="C4467" s="1" t="str">
        <f ca="1">IFERROR(__xludf.DUMMYFUNCTION("GOOGLETRANSLATE(E4467, ""zh"", ""en"")"),"Qualitative text")</f>
        <v>Qualitative text</v>
      </c>
    </row>
    <row r="4468" spans="1:3" ht="13" x14ac:dyDescent="0.15">
      <c r="A4468" s="1" t="str">
        <f ca="1">IFERROR(__xludf.DUMMYFUNCTION("GOOGLETRANSLATE(A4468, ""zh"", ""en"")"),"Each cultural and sports club regularly organizes a variety of activities so that employees of different ages, genders, hobbies, needs and conditions can participate in appropriate activities to help the majority of employees devote themselves to work wit"&amp;"h greater enthusiasm, healthier bodies and a more positive attitude.")</f>
        <v>Each cultural and sports club regularly organizes a variety of activities so that employees of different ages, genders, hobbies, needs and conditions can participate in appropriate activities to help the majority of employees devote themselves to work with greater enthusiasm, healthier bodies and a more positive attitude.</v>
      </c>
      <c r="B4468" s="1" t="str">
        <f ca="1">IFERROR(__xludf.DUMMYFUNCTION("GOOGLETRANSLATE(A4468, ""zh"", ""en"")"),"staff")</f>
        <v>staff</v>
      </c>
      <c r="C4468" s="1" t="str">
        <f ca="1">IFERROR(__xludf.DUMMYFUNCTION("GOOGLETRANSLATE(E4468, ""zh"", ""en"")"),"Qualitative text")</f>
        <v>Qualitative text</v>
      </c>
    </row>
    <row r="4469" spans="1:3" ht="13" x14ac:dyDescent="0.15">
      <c r="A4469" s="1" t="str">
        <f ca="1">IFERROR(__xludf.DUMMYFUNCTION("GOOGLETRANSLATE(A4469, ""zh"", ""en"")"),"In order to standardize the meeting methods and voting procedures of the Board of Supervisors and improve the corporate governance structure of the Company, the Company has formulated the Rules of Procedure for the Board of Supervisors in accordance with "&amp;"domestic and overseas regulatory laws and regulations for listed companies and the Company's Articles of Association, which specifically stipulates the powers, composition, meeting system, meeting procedures, information disclosure, etc. of the Board of S"&amp;"upervisors.")</f>
        <v>In order to standardize the meeting methods and voting procedures of the Board of Supervisors and improve the corporate governance structure of the Company, the Company has formulated the Rules of Procedure for the Board of Supervisors in accordance with domestic and overseas regulatory laws and regulations for listed companies and the Company's Articles of Association, which specifically stipulates the powers, composition, meeting system, meeting procedures, information disclosure, etc. of the Board of Supervisors.</v>
      </c>
      <c r="B4469" s="1" t="str">
        <f ca="1">IFERROR(__xludf.DUMMYFUNCTION("GOOGLETRANSLATE(A4469, ""zh"", ""en"")"),"Organizational structure and operations")</f>
        <v>Organizational structure and operations</v>
      </c>
      <c r="C4469" s="1" t="str">
        <f ca="1">IFERROR(__xludf.DUMMYFUNCTION("GOOGLETRANSLATE(E4469, ""zh"", ""en"")"),"Qualitative text")</f>
        <v>Qualitative text</v>
      </c>
    </row>
    <row r="4470" spans="1:3" ht="13" x14ac:dyDescent="0.15">
      <c r="A4470" s="1" t="str">
        <f ca="1">IFERROR(__xludf.DUMMYFUNCTION("GOOGLETRANSLATE(A4470, ""zh"", ""en"")"),"In 2022, the Company's Board of Supervisors will continue to improve its supervisory thinking, content, and methods, strengthen system construction, adhere to a problem-oriented approach, and focus on key areas where risk control is weak in the Company's "&amp;"production and operations and prone to problems, identify and supervise problems, conduct in-depth investigations and research, and strengthen the application of results to prevent and mitigate risks.")</f>
        <v>In 2022, the Company's Board of Supervisors will continue to improve its supervisory thinking, content, and methods, strengthen system construction, adhere to a problem-oriented approach, and focus on key areas where risk control is weak in the Company's production and operations and prone to problems, identify and supervise problems, conduct in-depth investigations and research, and strengthen the application of results to prevent and mitigate risks.</v>
      </c>
      <c r="B4470" s="1" t="str">
        <f ca="1">IFERROR(__xludf.DUMMYFUNCTION("GOOGLETRANSLATE(A4470, ""zh"", ""en"")"),"Organizational structure and operations")</f>
        <v>Organizational structure and operations</v>
      </c>
      <c r="C4470" s="1" t="str">
        <f ca="1">IFERROR(__xludf.DUMMYFUNCTION("GOOGLETRANSLATE(E4470, ""zh"", ""en"")"),"Qualitative text")</f>
        <v>Qualitative text</v>
      </c>
    </row>
    <row r="4471" spans="1:3" ht="13" x14ac:dyDescent="0.15">
      <c r="A4471" s="1" t="str">
        <f ca="1">IFERROR(__xludf.DUMMYFUNCTION("GOOGLETRANSLATE(A4471, ""zh"", ""en"")"),"Sinopec is the only Chinese company to have received this award in the past decade for its successful implementation and innovative initiatives in its Chaoyang Project training system for young talents. This has further enhanced Sinopec's brand reputation"&amp;" and the international influence of Chinese companies in human resources management, particularly in the field of talent learning and development.")</f>
        <v>Sinopec is the only Chinese company to have received this award in the past decade for its successful implementation and innovative initiatives in its Chaoyang Project training system for young talents. This has further enhanced Sinopec's brand reputation and the international influence of Chinese companies in human resources management, particularly in the field of talent learning and development.</v>
      </c>
      <c r="B4471" s="1" t="str">
        <f ca="1">IFERROR(__xludf.DUMMYFUNCTION("GOOGLETRANSLATE(A4471, ""zh"", ""en"")"),"staff")</f>
        <v>staff</v>
      </c>
      <c r="C4471" s="1" t="str">
        <f ca="1">IFERROR(__xludf.DUMMYFUNCTION("GOOGLETRANSLATE(E4471, ""zh"", ""en"")"),"Qualitative text")</f>
        <v>Qualitative text</v>
      </c>
    </row>
    <row r="4472" spans="1:3" ht="13" x14ac:dyDescent="0.15">
      <c r="A4472" s="1" t="str">
        <f ca="1">IFERROR(__xludf.DUMMYFUNCTION("GOOGLETRANSLATE(A4472, ""zh"", ""en"")"),"The company has established and continuously improved its employee salary and welfare security system. In accordance with relevant national and local policies and regulations, it has paid social insurance and housing provident funds for employees, includi"&amp;"ng pension, medical, work-related injury, maternity, unemployment, etc., on time and in full. It has established a unified enterprise annuity system and organized the establishment of enterprise supplementary medical insurance.")</f>
        <v>The company has established and continuously improved its employee salary and welfare security system. In accordance with relevant national and local policies and regulations, it has paid social insurance and housing provident funds for employees, including pension, medical, work-related injury, maternity, unemployment, etc., on time and in full. It has established a unified enterprise annuity system and organized the establishment of enterprise supplementary medical insurance.</v>
      </c>
      <c r="B4472" s="1" t="str">
        <f ca="1">IFERROR(__xludf.DUMMYFUNCTION("GOOGLETRANSLATE(A4472, ""zh"", ""en"")"),"staff")</f>
        <v>staff</v>
      </c>
      <c r="C4472" s="1" t="str">
        <f ca="1">IFERROR(__xludf.DUMMYFUNCTION("GOOGLETRANSLATE(E4472, ""zh"", ""en"")"),"Qualitative text")</f>
        <v>Qualitative text</v>
      </c>
    </row>
    <row r="4473" spans="1:3" ht="13" x14ac:dyDescent="0.15">
      <c r="A4473" s="1" t="str">
        <f ca="1">IFERROR(__xludf.DUMMYFUNCTION("GOOGLETRANSLATE(A4473, ""zh"", ""en"")"),"Focusing on the national supply-side reform, the company has built an integrated supply chain service platform to effectively aggregate the fragmented demands of downstream end-users and integrate upstream production enterprises, effectively eliminating t"&amp;"he intermediate multi-level wholesale system, guiding production enterprises to produce rationally, improving industrial concentration and promoting orderly development of the industry.")</f>
        <v>Focusing on the national supply-side reform, the company has built an integrated supply chain service platform to effectively aggregate the fragmented demands of downstream end-users and integrate upstream production enterprises, effectively eliminating the intermediate multi-level wholesale system, guiding production enterprises to produce rationally, improving industrial concentration and promoting orderly development of the industry.</v>
      </c>
      <c r="B4473" s="1" t="str">
        <f ca="1">IFERROR(__xludf.DUMMYFUNCTION("GOOGLETRANSLATE(A4473, ""zh"", ""en"")"),"supply chain management")</f>
        <v>supply chain management</v>
      </c>
      <c r="C4473" s="1" t="str">
        <f ca="1">IFERROR(__xludf.DUMMYFUNCTION("GOOGLETRANSLATE(E4473, ""zh"", ""en"")"),"Qualitative text")</f>
        <v>Qualitative text</v>
      </c>
    </row>
    <row r="4474" spans="1:3" ht="13" x14ac:dyDescent="0.15">
      <c r="A4474" s="1" t="str">
        <f ca="1">IFERROR(__xludf.DUMMYFUNCTION("GOOGLETRANSLATE(A4474, ""zh"", ""en"")"),"This report is primarily compiled based on the Guiding Opinions of the State-owned Assets Supervision and Administration Commission of the State Council on the Fulfillment of Social Responsibilities by State-owned Enterprises, the Chinese Academy of Socia"&amp;"l Sciences' Guidelines on Corporate Social Responsibility Reporting (CASSESG5.0), and the Shanghai Stock Exchange's Guidelines on Self-Regulatory Supervision of Listed Companies No. 1, among other factors.")</f>
        <v>This report is primarily compiled based on the Guiding Opinions of the State-owned Assets Supervision and Administration Commission of the State Council on the Fulfillment of Social Responsibilities by State-owned Enterprises, the Chinese Academy of Social Sciences' Guidelines on Corporate Social Responsibility Reporting (CASSESG5.0), and the Shanghai Stock Exchange's Guidelines on Self-Regulatory Supervision of Listed Companies No. 1, among other factors.</v>
      </c>
      <c r="B4474" s="1" t="str">
        <f ca="1">IFERROR(__xludf.DUMMYFUNCTION("GOOGLETRANSLATE(A4474, ""zh"", ""en"")"),"irrelevant text")</f>
        <v>irrelevant text</v>
      </c>
      <c r="C4474" s="1" t="str">
        <f ca="1">IFERROR(__xludf.DUMMYFUNCTION("GOOGLETRANSLATE(E4474, ""zh"", ""en"")"),"irrelevant text")</f>
        <v>irrelevant text</v>
      </c>
    </row>
    <row r="4475" spans="1:3" ht="13" x14ac:dyDescent="0.15">
      <c r="A4475" s="1" t="str">
        <f ca="1">IFERROR(__xludf.DUMMYFUNCTION("GOOGLETRANSLATE(A4475, ""zh"", ""en"")"),"59 CITIC Securities 2022 Annual Social Responsibility Report The company's asset management business provides customized asset portfolio services for individual clients' investment needs, including fixed income substitution, diversified value-added retire"&amp;"ment reserves, and children's education, enabling diversified asset investment, diversified style portfolios, and diversified investment manager allocation.")</f>
        <v>59 CITIC Securities 2022 Annual Social Responsibility Report The company's asset management business provides customized asset portfolio services for individual clients' investment needs, including fixed income substitution, diversified value-added retirement reserves, and children's education, enabling diversified asset investment, diversified style portfolios, and diversified investment manager allocation.</v>
      </c>
      <c r="B4475" s="1" t="str">
        <f ca="1">IFERROR(__xludf.DUMMYFUNCTION("GOOGLETRANSLATE(A4475, ""zh"", ""en"")"),"Customers and Consumers")</f>
        <v>Customers and Consumers</v>
      </c>
      <c r="C4475" s="1" t="str">
        <f ca="1">IFERROR(__xludf.DUMMYFUNCTION("GOOGLETRANSLATE(E4475, ""zh"", ""en"")"),"Qualitative text")</f>
        <v>Qualitative text</v>
      </c>
    </row>
    <row r="4476" spans="1:3" ht="13" x14ac:dyDescent="0.15">
      <c r="A4476" s="1" t="str">
        <f ca="1">IFERROR(__xludf.DUMMYFUNCTION("GOOGLETRANSLATE(A4476, ""zh"", ""en"")"),"In 2022, the Finance Company and Cangqiao Community of Tianshui Street, Gongshu District, jointly launched the volunteer activities of welcoming the Asian Games, creating civilization and promoting volunteer style, vigorously promoting the Lei Feng spirit"&amp;" of the new era and the volunteer spirit of dedication, friendship, mutual assistance and progress, and better welcoming the arrival of the Asian Games and further serving the community and society.")</f>
        <v>In 2022, the Finance Company and Cangqiao Community of Tianshui Street, Gongshu District, jointly launched the volunteer activities of welcoming the Asian Games, creating civilization and promoting volunteer style, vigorously promoting the Lei Feng spirit of the new era and the volunteer spirit of dedication, friendship, mutual assistance and progress, and better welcoming the arrival of the Asian Games and further serving the community and society.</v>
      </c>
      <c r="B4476" s="1" t="str">
        <f ca="1">IFERROR(__xludf.DUMMYFUNCTION("GOOGLETRANSLATE(A4476, ""zh"", ""en"")"),"Public welfare and volunteer service")</f>
        <v>Public welfare and volunteer service</v>
      </c>
      <c r="C4476" s="1" t="str">
        <f ca="1">IFERROR(__xludf.DUMMYFUNCTION("GOOGLETRANSLATE(E4476, ""zh"", ""en"")"),"Qualitative text")</f>
        <v>Qualitative text</v>
      </c>
    </row>
    <row r="4477" spans="1:3" ht="13" x14ac:dyDescent="0.15">
      <c r="A4477" s="1" t="str">
        <f ca="1">IFERROR(__xludf.DUMMYFUNCTION("GOOGLETRANSLATE(A4477, ""zh"", ""en"")"),"The company has established a money laundering risk management framework at the corporate level and set up anti-money laundering working committees related to investment banking, wealth management, asset management, financial markets and other businesses "&amp;"to effectively leverage the subjective initiative of the business level and promote the business departments to actively manage the money laundering risks of customers and businesses.")</f>
        <v>The company has established a money laundering risk management framework at the corporate level and set up anti-money laundering working committees related to investment banking, wealth management, asset management, financial markets and other businesses to effectively leverage the subjective initiative of the business level and promote the business departments to actively manage the money laundering risks of customers and businesses.</v>
      </c>
      <c r="B4477" s="1" t="str">
        <f ca="1">IFERROR(__xludf.DUMMYFUNCTION("GOOGLETRANSLATE(A4477, ""zh"", ""en"")"),"Anti-corruption and anti-money laundering")</f>
        <v>Anti-corruption and anti-money laundering</v>
      </c>
      <c r="C4477" s="1" t="str">
        <f ca="1">IFERROR(__xludf.DUMMYFUNCTION("GOOGLETRANSLATE(E4477, ""zh"", ""en"")"),"Qualitative text")</f>
        <v>Qualitative text</v>
      </c>
    </row>
    <row r="4478" spans="1:3" ht="13" x14ac:dyDescent="0.15">
      <c r="A4478" s="1" t="str">
        <f ca="1">IFERROR(__xludf.DUMMYFUNCTION("GOOGLETRANSLATE(A4478, ""zh"", ""en"")"),"As of the end of the reporting period, the Company had 9 directors, including 2 executive directors, 4 non-executive directors, 3 independent non-executive directors, and 5 supervisors, including 2 employee representative supervisors. The chairpersons of "&amp;"the Audit Committee, the Remuneration and Appraisal Committee, the Related Party Transactions Control Committee, and the Nomination Committee were all independent directors.")</f>
        <v>As of the end of the reporting period, the Company had 9 directors, including 2 executive directors, 4 non-executive directors, 3 independent non-executive directors, and 5 supervisors, including 2 employee representative supervisors. The chairpersons of the Audit Committee, the Remuneration and Appraisal Committee, the Related Party Transactions Control Committee, and the Nomination Committee were all independent directors.</v>
      </c>
      <c r="B4478" s="1" t="str">
        <f ca="1">IFERROR(__xludf.DUMMYFUNCTION("GOOGLETRANSLATE(A4478, ""zh"", ""en"")"),"Organizational structure and operations")</f>
        <v>Organizational structure and operations</v>
      </c>
      <c r="C4478" s="1" t="str">
        <f ca="1">IFERROR(__xludf.DUMMYFUNCTION("GOOGLETRANSLATE(E4478, ""zh"", ""en"")"),"Quantitative Text")</f>
        <v>Quantitative Text</v>
      </c>
    </row>
    <row r="4479" spans="1:3" ht="13" x14ac:dyDescent="0.15">
      <c r="A4479" s="1" t="str">
        <f ca="1">IFERROR(__xludf.DUMMYFUNCTION("GOOGLETRANSLATE(A4479, ""zh"", ""en"")"),"The business middle platform construction project focuses on refined management, building a business middle platform based on cloud-native architecture, building a digital supply chain, and establishing an accounting system. It steadily promotes business "&amp;"and financial integration and financial sharing, realizes automatic data transmission and interconnection, and releases more middle and back-end manpower to continuously improve management efficiency.")</f>
        <v>The business middle platform construction project focuses on refined management, building a business middle platform based on cloud-native architecture, building a digital supply chain, and establishing an accounting system. It steadily promotes business and financial integration and financial sharing, realizes automatic data transmission and interconnection, and releases more middle and back-end manpower to continuously improve management efficiency.</v>
      </c>
      <c r="B4479" s="1" t="str">
        <f ca="1">IFERROR(__xludf.DUMMYFUNCTION("GOOGLETRANSLATE(A4479, ""zh"", ""en"")"),"supply chain management")</f>
        <v>supply chain management</v>
      </c>
      <c r="C4479" s="1" t="str">
        <f ca="1">IFERROR(__xludf.DUMMYFUNCTION("GOOGLETRANSLATE(E4479, ""zh"", ""en"")"),"Qualitative text")</f>
        <v>Qualitative text</v>
      </c>
    </row>
    <row r="4480" spans="1:3" ht="13" x14ac:dyDescent="0.15">
      <c r="A4480" s="1" t="str">
        <f ca="1">IFERROR(__xludf.DUMMYFUNCTION("GOOGLETRANSLATE(A4480, ""zh"", ""en"")"),"In August 2022, the Haier UK Hoover Foundation partnered with the UK children's charity Box4Kids to help seriously ill children realize their wish to watch a rugby match.")</f>
        <v>In August 2022, the Haier UK Hoover Foundation partnered with the UK children's charity Box4Kids to help seriously ill children realize their wish to watch a rugby match.</v>
      </c>
      <c r="B4480" s="1" t="str">
        <f ca="1">IFERROR(__xludf.DUMMYFUNCTION("GOOGLETRANSLATE(A4480, ""zh"", ""en"")"),"Public welfare and volunteer service")</f>
        <v>Public welfare and volunteer service</v>
      </c>
      <c r="C4480" s="1" t="str">
        <f ca="1">IFERROR(__xludf.DUMMYFUNCTION("GOOGLETRANSLATE(E4480, ""zh"", ""en"")"),"Qualitative text")</f>
        <v>Qualitative text</v>
      </c>
    </row>
    <row r="4481" spans="1:3" ht="13" x14ac:dyDescent="0.15">
      <c r="A4481" s="1" t="str">
        <f ca="1">IFERROR(__xludf.DUMMYFUNCTION("GOOGLETRANSLATE(A4481, ""zh"", ""en"")"),"In Argentina, we provided material support to improve local education levels by donating supplies needed for initial classroom construction, addressing the lack of and obsolete teaching equipment, and significantly improving the teaching environment. We s"&amp;"ponsored basketball and football teams for local middle school students and donated T-shirts to express our support for young people.")</f>
        <v>In Argentina, we provided material support to improve local education levels by donating supplies needed for initial classroom construction, addressing the lack of and obsolete teaching equipment, and significantly improving the teaching environment. We sponsored basketball and football teams for local middle school students and donated T-shirts to express our support for young people.</v>
      </c>
      <c r="B4481" s="1" t="str">
        <f ca="1">IFERROR(__xludf.DUMMYFUNCTION("GOOGLETRANSLATE(A4481, ""zh"", ""en"")"),"Public welfare and volunteer service")</f>
        <v>Public welfare and volunteer service</v>
      </c>
      <c r="C4481" s="1" t="str">
        <f ca="1">IFERROR(__xludf.DUMMYFUNCTION("GOOGLETRANSLATE(E4481, ""zh"", ""en"")"),"Qualitative text")</f>
        <v>Qualitative text</v>
      </c>
    </row>
    <row r="4482" spans="1:3" ht="13" x14ac:dyDescent="0.15">
      <c r="A4482" s="1" t="str">
        <f ca="1">IFERROR(__xludf.DUMMYFUNCTION("GOOGLETRANSLATE(A4482, ""zh"", ""en"")"),"In order to train local experts, we have signed a long-term agreement with the Tajik Metallurgical Institute to recruit local students and provide internship opportunities for students. We have also raised funds to implement joint projects to train Tajik "&amp;"students at eight Chinese universities, including the Hunan Nonferrous Metals Research Institute, Northwest University, and Lanzhou University.")</f>
        <v>In order to train local experts, we have signed a long-term agreement with the Tajik Metallurgical Institute to recruit local students and provide internship opportunities for students. We have also raised funds to implement joint projects to train Tajik students at eight Chinese universities, including the Hunan Nonferrous Metals Research Institute, Northwest University, and Lanzhou University.</v>
      </c>
      <c r="B4482" s="1" t="str">
        <f ca="1">IFERROR(__xludf.DUMMYFUNCTION("GOOGLETRANSLATE(A4482, ""zh"", ""en"")"),"Promoting employment")</f>
        <v>Promoting employment</v>
      </c>
      <c r="C4482" s="1" t="str">
        <f ca="1">IFERROR(__xludf.DUMMYFUNCTION("GOOGLETRANSLATE(E4482, ""zh"", ""en"")"),"Qualitative text")</f>
        <v>Qualitative text</v>
      </c>
    </row>
    <row r="4483" spans="1:3" ht="13" x14ac:dyDescent="0.15">
      <c r="A4483" s="1" t="str">
        <f ca="1">IFERROR(__xludf.DUMMYFUNCTION("GOOGLETRANSLATE(A4483, ""zh"", ""en"")"),"At this conference, Wuhan Renfu donated the drug Ambrisentan to Beijing Yanchuang Charity Foundation free of charge. The purpose is to provide free public welfare drugs to patients with pulmonary arterial hypertension to reduce the overall treatment costs"&amp;" of patients, so that more patients can receive standardized treatment in the early stage of the disease and benefit fully and permanently.")</f>
        <v>At this conference, Wuhan Renfu donated the drug Ambrisentan to Beijing Yanchuang Charity Foundation free of charge. The purpose is to provide free public welfare drugs to patients with pulmonary arterial hypertension to reduce the overall treatment costs of patients, so that more patients can receive standardized treatment in the early stage of the disease and benefit fully and permanently.</v>
      </c>
      <c r="B4483" s="1" t="str">
        <f ca="1">IFERROR(__xludf.DUMMYFUNCTION("GOOGLETRANSLATE(A4483, ""zh"", ""en"")"),"Public welfare and volunteer service")</f>
        <v>Public welfare and volunteer service</v>
      </c>
      <c r="C4483" s="1" t="str">
        <f ca="1">IFERROR(__xludf.DUMMYFUNCTION("GOOGLETRANSLATE(E4483, ""zh"", ""en"")"),"Qualitative text")</f>
        <v>Qualitative text</v>
      </c>
    </row>
    <row r="4484" spans="1:3" ht="13" x14ac:dyDescent="0.15">
      <c r="A4484" s="1" t="str">
        <f ca="1">IFERROR(__xludf.DUMMYFUNCTION("GOOGLETRANSLATE(A4484, ""zh"", ""en"")"),"Yichang Renfu further optimized its quality management system and revised its quality manual, subdividing quality management elements. In particular, it further standardized requirements in the areas of quality management, technology transfer, product shi"&amp;"pment management, and outsourcing activities during the R&amp;D phase, providing strong guarantees for the company's compliant and efficient business expansion.")</f>
        <v>Yichang Renfu further optimized its quality management system and revised its quality manual, subdividing quality management elements. In particular, it further standardized requirements in the areas of quality management, technology transfer, product shipment management, and outsourcing activities during the R&amp;D phase, providing strong guarantees for the company's compliant and efficient business expansion.</v>
      </c>
      <c r="B4484" s="1" t="str">
        <f ca="1">IFERROR(__xludf.DUMMYFUNCTION("GOOGLETRANSLATE(A4484, ""zh"", ""en"")"),"Product quality")</f>
        <v>Product quality</v>
      </c>
      <c r="C4484" s="1" t="str">
        <f ca="1">IFERROR(__xludf.DUMMYFUNCTION("GOOGLETRANSLATE(E4484, ""zh"", ""en"")"),"Qualitative text")</f>
        <v>Qualitative text</v>
      </c>
    </row>
    <row r="4485" spans="1:3" ht="13" x14ac:dyDescent="0.15">
      <c r="A4485" s="1" t="str">
        <f ca="1">IFERROR(__xludf.DUMMYFUNCTION("GOOGLETRANSLATE(A4485, ""zh"", ""en"")"),"SDIC Capital 2022 ESG Report About This Report 0203 Board of Directors ESG Governance Statement 2022 The world is undergoing unprecedented changes, accelerating, climate change intensifies, global capital markets continue to fluctuate, and domestic econom"&amp;"ic development uncertainty increases. Multiple challenges are intertwined and superimposed.")</f>
        <v>SDIC Capital 2022 ESG Report About This Report 0203 Board of Directors ESG Governance Statement 2022 The world is undergoing unprecedented changes, accelerating, climate change intensifies, global capital markets continue to fluctuate, and domestic economic development uncertainty increases. Multiple challenges are intertwined and superimposed.</v>
      </c>
      <c r="B4485" s="1" t="str">
        <f ca="1">IFERROR(__xludf.DUMMYFUNCTION("GOOGLETRANSLATE(A4485, ""zh"", ""en"")"),"Addressing climate change")</f>
        <v>Addressing climate change</v>
      </c>
      <c r="C4485" s="1" t="str">
        <f ca="1">IFERROR(__xludf.DUMMYFUNCTION("GOOGLETRANSLATE(E4485, ""zh"", ""en"")"),"Qualitative text")</f>
        <v>Qualitative text</v>
      </c>
    </row>
    <row r="4486" spans="1:3" ht="13" x14ac:dyDescent="0.15">
      <c r="A4486" s="1" t="str">
        <f ca="1">IFERROR(__xludf.DUMMYFUNCTION("GOOGLETRANSLATE(A4486, ""zh"", ""en"")"),"In 2022, the company held special meetings, daily visits, technical discussions and other forms to complete the on-site training of more than 50 key suppliers. The number of on-site participants reached 509. The training content combined the typical impac"&amp;"t cases that occurred in daily business and technical exchanges.")</f>
        <v>In 2022, the company held special meetings, daily visits, technical discussions and other forms to complete the on-site training of more than 50 key suppliers. The number of on-site participants reached 509. The training content combined the typical impact cases that occurred in daily business and technical exchanges.</v>
      </c>
      <c r="B4486" s="1" t="str">
        <f ca="1">IFERROR(__xludf.DUMMYFUNCTION("GOOGLETRANSLATE(A4486, ""zh"", ""en"")"),"supply chain management")</f>
        <v>supply chain management</v>
      </c>
      <c r="C4486" s="1" t="str">
        <f ca="1">IFERROR(__xludf.DUMMYFUNCTION("GOOGLETRANSLATE(E4486, ""zh"", ""en"")"),"Quantitative Text")</f>
        <v>Quantitative Text</v>
      </c>
    </row>
    <row r="4487" spans="1:3" ht="13" x14ac:dyDescent="0.15">
      <c r="A4487" s="1" t="str">
        <f ca="1">IFERROR(__xludf.DUMMYFUNCTION("GOOGLETRANSLATE(A4487, ""zh"", ""en"")"),"Through the legal management department system to improve the all-round three-dimensional anti-counterfeiting measures, adopt a combination of online and offline complaints and lawsuits to strengthen the crackdown on infringements of the company's own tra"&amp;"demarks and other illegal acts such as counterfeiting of the company's trademarks, and expand the crackdown on infringements such as copyrights, trade secrets, domain names, and trade names.")</f>
        <v>Through the legal management department system to improve the all-round three-dimensional anti-counterfeiting measures, adopt a combination of online and offline complaints and lawsuits to strengthen the crackdown on infringements of the company's own trademarks and other illegal acts such as counterfeiting of the company's trademarks, and expand the crackdown on infringements such as copyrights, trade secrets, domain names, and trade names.</v>
      </c>
      <c r="B4487" s="1" t="str">
        <f ca="1">IFERROR(__xludf.DUMMYFUNCTION("GOOGLETRANSLATE(A4487, ""zh"", ""en"")"),"Anti-unfair competition")</f>
        <v>Anti-unfair competition</v>
      </c>
      <c r="C4487" s="1" t="str">
        <f ca="1">IFERROR(__xludf.DUMMYFUNCTION("GOOGLETRANSLATE(E4487, ""zh"", ""en"")"),"Qualitative text")</f>
        <v>Qualitative text</v>
      </c>
    </row>
    <row r="4488" spans="1:3" ht="13" x14ac:dyDescent="0.15">
      <c r="A4488" s="1" t="str">
        <f ca="1">IFERROR(__xludf.DUMMYFUNCTION("GOOGLETRANSLATE(A4488, ""zh"", ""en"")"),"Apply for and obtain energy-saving certification, environmental protection certification, low blue light certification, ultra-high-definition certification, DTMB certification, etc. To adapt to the internationalization strategy, the company's products exp"&amp;"orted to Europe, North and South America, Australia, Africa, the Middle East, Southeast Asia and emerging market countries have all passed local compulsory certification and are subject to strict review by various institutions.")</f>
        <v>Apply for and obtain energy-saving certification, environmental protection certification, low blue light certification, ultra-high-definition certification, DTMB certification, etc. To adapt to the internationalization strategy, the company's products exported to Europe, North and South America, Australia, Africa, the Middle East, Southeast Asia and emerging market countries have all passed local compulsory certification and are subject to strict review by various institutions.</v>
      </c>
      <c r="B4488" s="1" t="str">
        <f ca="1">IFERROR(__xludf.DUMMYFUNCTION("GOOGLETRANSLATE(A4488, ""zh"", ""en"")"),"Product quality")</f>
        <v>Product quality</v>
      </c>
      <c r="C4488" s="1" t="str">
        <f ca="1">IFERROR(__xludf.DUMMYFUNCTION("GOOGLETRANSLATE(E4488, ""zh"", ""en"")"),"Qualitative text")</f>
        <v>Qualitative text</v>
      </c>
    </row>
    <row r="4489" spans="1:3" ht="13" x14ac:dyDescent="0.15">
      <c r="A4489" s="1" t="str">
        <f ca="1">IFERROR(__xludf.DUMMYFUNCTION("GOOGLETRANSLATE(A4489, ""zh"", ""en"")"),"In addition, literature data shows that the safety of Likang V01 is significantly better than that of mRNA and adenovirus vaccines, and it can be transported and stored at 28°C. Its continuous and stable supply alleviates the society's urgent demand for n"&amp;"ew crown vaccines and provides a better solution for domestic sequential booster immunization.")</f>
        <v>In addition, literature data shows that the safety of Likang V01 is significantly better than that of mRNA and adenovirus vaccines, and it can be transported and stored at 28°C. Its continuous and stable supply alleviates the society's urgent demand for new crown vaccines and provides a better solution for domestic sequential booster immunization.</v>
      </c>
      <c r="B4489" s="1" t="str">
        <f ca="1">IFERROR(__xludf.DUMMYFUNCTION("GOOGLETRANSLATE(A4489, ""zh"", ""en"")"),"Fighting the epidemic")</f>
        <v>Fighting the epidemic</v>
      </c>
      <c r="C4489" s="1" t="str">
        <f ca="1">IFERROR(__xludf.DUMMYFUNCTION("GOOGLETRANSLATE(E4489, ""zh"", ""en"")"),"Qualitative text")</f>
        <v>Qualitative text</v>
      </c>
    </row>
    <row r="4490" spans="1:3" ht="13" x14ac:dyDescent="0.15">
      <c r="A4490" s="1" t="str">
        <f ca="1">IFERROR(__xludf.DUMMYFUNCTION("GOOGLETRANSLATE(A4490, ""zh"", ""en"")"),"During routine safety inspections, safety management personnel conduct daily on-site inspections, with three shifts and 24-hour responsibility handovers. 73 factory managers conduct weekly joint safety inspections and nighttime audits and hold regular saf"&amp;"ety meetings. The HSE6S team organizes technical backbones to conduct monthly safety evaluations and assessments for each unit.")</f>
        <v>During routine safety inspections, safety management personnel conduct daily on-site inspections, with three shifts and 24-hour responsibility handovers. 73 factory managers conduct weekly joint safety inspections and nighttime audits and hold regular safety meetings. The HSE6S team organizes technical backbones to conduct monthly safety evaluations and assessments for each unit.</v>
      </c>
      <c r="B4490" s="1" t="str">
        <f ca="1">IFERROR(__xludf.DUMMYFUNCTION("GOOGLETRANSLATE(A4490, ""zh"", ""en"")"),"staff")</f>
        <v>staff</v>
      </c>
      <c r="C4490" s="1" t="str">
        <f ca="1">IFERROR(__xludf.DUMMYFUNCTION("GOOGLETRANSLATE(E4490, ""zh"", ""en"")"),"Qualitative text")</f>
        <v>Qualitative text</v>
      </c>
    </row>
    <row r="4491" spans="1:3" ht="13" x14ac:dyDescent="0.15">
      <c r="A4491" s="1" t="str">
        <f ca="1">IFERROR(__xludf.DUMMYFUNCTION("GOOGLETRANSLATE(A4491, ""zh"", ""en"")"),"Over the years, Kangyuan has been committed to the interests of patients and protecting human life and health. We have continuously increased our investment in R&amp;D and innovation, and have worked with top R&amp;D teams at home and abroad to conduct in-depth r"&amp;"esearch and strategic planning, meticulously formulate new drugs and visions, and actively and continuously contribute to building a community with a shared future for mankind.")</f>
        <v>Over the years, Kangyuan has been committed to the interests of patients and protecting human life and health. We have continuously increased our investment in R&amp;D and innovation, and have worked with top R&amp;D teams at home and abroad to conduct in-depth research and strategic planning, meticulously formulate new drugs and visions, and actively and continuously contribute to building a community with a shared future for mankind.</v>
      </c>
      <c r="B4491" s="1" t="str">
        <f ca="1">IFERROR(__xludf.DUMMYFUNCTION("GOOGLETRANSLATE(A4491, ""zh"", ""en"")"),"Product quality")</f>
        <v>Product quality</v>
      </c>
      <c r="C4491" s="1" t="str">
        <f ca="1">IFERROR(__xludf.DUMMYFUNCTION("GOOGLETRANSLATE(E4491, ""zh"", ""en"")"),"Qualitative text")</f>
        <v>Qualitative text</v>
      </c>
    </row>
    <row r="4492" spans="1:3" ht="13" x14ac:dyDescent="0.15">
      <c r="A4492" s="1" t="str">
        <f ca="1">IFERROR(__xludf.DUMMYFUNCTION("GOOGLETRANSLATE(A4492, ""zh"", ""en"")"),"Taitai Pharmaceutical's 4T boiler low nitrogen transformation and acceptance project cost RMB 380,000 to carry out a systematic transformation of the steam boiler in the boiler room, replacing the original combustion system with a natural gas low nitrogen"&amp;" system. After the transformation, the nitrogen oxide emission concentration was significantly less than 30mg, meeting the Shenzhen Environmental Protection Low Nitrogen Emission Technical Index Standard.")</f>
        <v>Taitai Pharmaceutical's 4T boiler low nitrogen transformation and acceptance project cost RMB 380,000 to carry out a systematic transformation of the steam boiler in the boiler room, replacing the original combustion system with a natural gas low nitrogen system. After the transformation, the nitrogen oxide emission concentration was significantly less than 30mg, meeting the Shenzhen Environmental Protection Low Nitrogen Emission Technical Index Standard.</v>
      </c>
      <c r="B4492" s="1" t="str">
        <f ca="1">IFERROR(__xludf.DUMMYFUNCTION("GOOGLETRANSLATE(A4492, ""zh"", ""en"")"),"Clean Technology")</f>
        <v>Clean Technology</v>
      </c>
      <c r="C4492" s="1" t="str">
        <f ca="1">IFERROR(__xludf.DUMMYFUNCTION("GOOGLETRANSLATE(E4492, ""zh"", ""en"")"),"Quantitative Text")</f>
        <v>Quantitative Text</v>
      </c>
    </row>
    <row r="4493" spans="1:3" ht="13" x14ac:dyDescent="0.15">
      <c r="A4493" s="1" t="str">
        <f ca="1">IFERROR(__xludf.DUMMYFUNCTION("GOOGLETRANSLATE(A4493, ""zh"", ""en"")"),"In 2022, the company established a safety committee covering both domestic and overseas sectors and 28 industry safety subcommittees. A professional safety team was formed, relying on the HSE6S cloud platform to improve employees' emergency response and a"&amp;"ccident risk management capabilities. Haier Smart Home regularly organizes fire and other types of emergency safety drills.")</f>
        <v>In 2022, the company established a safety committee covering both domestic and overseas sectors and 28 industry safety subcommittees. A professional safety team was formed, relying on the HSE6S cloud platform to improve employees' emergency response and accident risk management capabilities. Haier Smart Home regularly organizes fire and other types of emergency safety drills.</v>
      </c>
      <c r="B4493" s="1" t="str">
        <f ca="1">IFERROR(__xludf.DUMMYFUNCTION("GOOGLETRANSLATE(A4493, ""zh"", ""en"")"),"staff")</f>
        <v>staff</v>
      </c>
      <c r="C4493" s="1" t="str">
        <f ca="1">IFERROR(__xludf.DUMMYFUNCTION("GOOGLETRANSLATE(E4493, ""zh"", ""en"")"),"Qualitative text")</f>
        <v>Qualitative text</v>
      </c>
    </row>
    <row r="4494" spans="1:3" ht="13" x14ac:dyDescent="0.15">
      <c r="A4494" s="1" t="str">
        <f ca="1">IFERROR(__xludf.DUMMYFUNCTION("GOOGLETRANSLATE(A4494, ""zh"", ""en"")"),"In 2022, the Group and its subsidiaries carried out safety month activities through themed publicity and education activities, production safety accident warning education activities, safety training, emergency drills, safety inspections and other activit"&amp;"ies to actively mobilize employees' enthusiasm, comprehensively enhance their safety awareness and promote the construction of a safety culture.")</f>
        <v>In 2022, the Group and its subsidiaries carried out safety month activities through themed publicity and education activities, production safety accident warning education activities, safety training, emergency drills, safety inspections and other activities to actively mobilize employees' enthusiasm, comprehensively enhance their safety awareness and promote the construction of a safety culture.</v>
      </c>
      <c r="B4494" s="1" t="str">
        <f ca="1">IFERROR(__xludf.DUMMYFUNCTION("GOOGLETRANSLATE(A4494, ""zh"", ""en"")"),"staff")</f>
        <v>staff</v>
      </c>
      <c r="C4494" s="1" t="str">
        <f ca="1">IFERROR(__xludf.DUMMYFUNCTION("GOOGLETRANSLATE(E4494, ""zh"", ""en"")"),"Qualitative text")</f>
        <v>Qualitative text</v>
      </c>
    </row>
    <row r="4495" spans="1:3" ht="13" x14ac:dyDescent="0.15">
      <c r="A4495" s="1" t="str">
        <f ca="1">IFERROR(__xludf.DUMMYFUNCTION("GOOGLETRANSLATE(A4495, ""zh"", ""en"")"),"Responsible Innovation Innovation is the most important responsibility for Fosun Pharma's sustainable development. Focusing on patients and guided by clinical needs, Fosun Pharma continues to innovate, continuously strengthening independent R&amp;D and extern"&amp;"al cooperation, enriching its product pipeline, promoting inclusive healthcare, and providing patients with better quality, more accessible, and more affordable products and services.")</f>
        <v>Responsible Innovation Innovation is the most important responsibility for Fosun Pharma's sustainable development. Focusing on patients and guided by clinical needs, Fosun Pharma continues to innovate, continuously strengthening independent R&amp;D and external cooperation, enriching its product pipeline, promoting inclusive healthcare, and providing patients with better quality, more accessible, and more affordable products and services.</v>
      </c>
      <c r="B4495" s="1" t="str">
        <f ca="1">IFERROR(__xludf.DUMMYFUNCTION("GOOGLETRANSLATE(A4495, ""zh"", ""en"")"),"Technological innovation")</f>
        <v>Technological innovation</v>
      </c>
      <c r="C4495" s="1" t="str">
        <f ca="1">IFERROR(__xludf.DUMMYFUNCTION("GOOGLETRANSLATE(E4495, ""zh"", ""en"")"),"Qualitative text")</f>
        <v>Qualitative text</v>
      </c>
    </row>
    <row r="4496" spans="1:3" ht="13" x14ac:dyDescent="0.15">
      <c r="A4496" s="1" t="str">
        <f ca="1">IFERROR(__xludf.DUMMYFUNCTION("GOOGLETRANSLATE(A4496, ""zh"", ""en"")"),"Comprehensive compliance training strengthens quality management personnel's creativity and improves regulatory policy sensitivity. The number of regulatory class hours exceeds 80 hours, a year-on-year increase of 11% compared to 2021. The annual per capi"&amp;"ta quality training of Bieyao Chengling Enterprise in 2022 increased by 11% year-on-year. Risk points ensure the compliance and stable operation of the enterprise.")</f>
        <v>Comprehensive compliance training strengthens quality management personnel's creativity and improves regulatory policy sensitivity. The number of regulatory class hours exceeds 80 hours, a year-on-year increase of 11% compared to 2021. The annual per capita quality training of Bieyao Chengling Enterprise in 2022 increased by 11% year-on-year. Risk points ensure the compliance and stable operation of the enterprise.</v>
      </c>
      <c r="B4496" s="1" t="str">
        <f ca="1">IFERROR(__xludf.DUMMYFUNCTION("GOOGLETRANSLATE(A4496, ""zh"", ""en"")"),"Product quality")</f>
        <v>Product quality</v>
      </c>
      <c r="C4496" s="1" t="str">
        <f ca="1">IFERROR(__xludf.DUMMYFUNCTION("GOOGLETRANSLATE(E4496, ""zh"", ""en"")"),"Quantitative Text")</f>
        <v>Quantitative Text</v>
      </c>
    </row>
    <row r="4497" spans="1:3" ht="13" x14ac:dyDescent="0.15">
      <c r="A4497" s="1" t="str">
        <f ca="1">IFERROR(__xludf.DUMMYFUNCTION("GOOGLETRANSLATE(A4497, ""zh"", ""en"")"),"In terms of rural governance, we will innovate and build rural collective three-asset supervision, rural property rights transaction services and smart village affairs comprehensive service platforms, promote the construction of digital rural grassroots g"&amp;"overnance service scenarios, help strengthen the comprehensive service capabilities of township governments, and improve the digital and intelligent level of rural public services and social governance.")</f>
        <v>In terms of rural governance, we will innovate and build rural collective three-asset supervision, rural property rights transaction services and smart village affairs comprehensive service platforms, promote the construction of digital rural grassroots governance service scenarios, help strengthen the comprehensive service capabilities of township governments, and improve the digital and intelligent level of rural public services and social governance.</v>
      </c>
      <c r="B4497" s="1" t="str">
        <f ca="1">IFERROR(__xludf.DUMMYFUNCTION("GOOGLETRANSLATE(A4497, ""zh"", ""en"")"),"Rural assistance")</f>
        <v>Rural assistance</v>
      </c>
      <c r="C4497" s="1" t="str">
        <f ca="1">IFERROR(__xludf.DUMMYFUNCTION("GOOGLETRANSLATE(E4497, ""zh"", ""en"")"),"Qualitative text")</f>
        <v>Qualitative text</v>
      </c>
    </row>
    <row r="4498" spans="1:3" ht="13" x14ac:dyDescent="0.15">
      <c r="A4498" s="1" t="str">
        <f ca="1">IFERROR(__xludf.DUMMYFUNCTION("GOOGLETRANSLATE(A4498, ""zh"", ""en"")"),"Part of EAP Activities: Haier Smart Home launched EAP platform activities; Haier Smart Home held the Smart Home opening event; Haier Smart Home empowered employees' diversified development through colorful community activities. Note 1. Parental leave incl"&amp;"udes maternity leave, paternity leave, accompanying leave for exams, and parental leave, which was implemented in China in November 2021.")</f>
        <v>Part of EAP Activities: Haier Smart Home launched EAP platform activities; Haier Smart Home held the Smart Home opening event; Haier Smart Home empowered employees' diversified development through colorful community activities. Note 1. Parental leave includes maternity leave, paternity leave, accompanying leave for exams, and parental leave, which was implemented in China in November 2021.</v>
      </c>
      <c r="B4498" s="1" t="str">
        <f ca="1">IFERROR(__xludf.DUMMYFUNCTION("GOOGLETRANSLATE(A4498, ""zh"", ""en"")"),"staff")</f>
        <v>staff</v>
      </c>
      <c r="C4498" s="1" t="str">
        <f ca="1">IFERROR(__xludf.DUMMYFUNCTION("GOOGLETRANSLATE(E4498, ""zh"", ""en"")"),"Qualitative text")</f>
        <v>Qualitative text</v>
      </c>
    </row>
    <row r="4499" spans="1:3" ht="13" x14ac:dyDescent="0.15">
      <c r="A4499" s="1" t="str">
        <f ca="1">IFERROR(__xludf.DUMMYFUNCTION("GOOGLETRANSLATE(A4499, ""zh"", ""en"")"),"From January 8 to February 28, 2022, Haier Smart Home, adhering to the principle of maximizing human value, co-hosted the 2022 Spring Festival Opening Red Event with Sanyi Bird APP. Activities included collecting cards to share red envelopes, a home impro"&amp;"vement quiz, and other activities, providing generous Spring Festival benefits to all Haier Smart Home employees.")</f>
        <v>From January 8 to February 28, 2022, Haier Smart Home, adhering to the principle of maximizing human value, co-hosted the 2022 Spring Festival Opening Red Event with Sanyi Bird APP. Activities included collecting cards to share red envelopes, a home improvement quiz, and other activities, providing generous Spring Festival benefits to all Haier Smart Home employees.</v>
      </c>
      <c r="B4499" s="1" t="str">
        <f ca="1">IFERROR(__xludf.DUMMYFUNCTION("GOOGLETRANSLATE(A4499, ""zh"", ""en"")"),"staff")</f>
        <v>staff</v>
      </c>
      <c r="C4499" s="1" t="str">
        <f ca="1">IFERROR(__xludf.DUMMYFUNCTION("GOOGLETRANSLATE(E4499, ""zh"", ""en"")"),"Qualitative text")</f>
        <v>Qualitative text</v>
      </c>
    </row>
    <row r="4500" spans="1:3" ht="13" x14ac:dyDescent="0.15">
      <c r="A4500" s="1" t="str">
        <f ca="1">IFERROR(__xludf.DUMMYFUNCTION("GOOGLETRANSLATE(A4500, ""zh"", ""en"")"),"Conduct thorough user research during the R&amp;D phase, production phase, logistics phase, and sales phase. Build a database of user usage scenarios to verify design solutions and product performance in various user scenarios. Optimize through multiple itera"&amp;"tions to ensure the quality and safety of mass-produced products and enhance user experience satisfaction.")</f>
        <v>Conduct thorough user research during the R&amp;D phase, production phase, logistics phase, and sales phase. Build a database of user usage scenarios to verify design solutions and product performance in various user scenarios. Optimize through multiple iterations to ensure the quality and safety of mass-produced products and enhance user experience satisfaction.</v>
      </c>
      <c r="B4500" s="1" t="str">
        <f ca="1">IFERROR(__xludf.DUMMYFUNCTION("GOOGLETRANSLATE(A4500, ""zh"", ""en"")"),"Product quality")</f>
        <v>Product quality</v>
      </c>
      <c r="C4500" s="1" t="str">
        <f ca="1">IFERROR(__xludf.DUMMYFUNCTION("GOOGLETRANSLATE(E4500, ""zh"", ""en"")"),"Qualitative text")</f>
        <v>Qualitative text</v>
      </c>
    </row>
    <row r="4501" spans="1:3" ht="13" x14ac:dyDescent="0.15">
      <c r="A4501" s="1" t="str">
        <f ca="1">IFERROR(__xludf.DUMMYFUNCTION("GOOGLETRANSLATE(A4501, ""zh"", ""en"")"),"We have clearly defined the complaint handling procedures, time limits, and completion requirements for whistleblowers, and have dedicated personnel responsible for verifying and handling reported information. We will effectively protect the personal and "&amp;"property safety of whistleblowers, ensure confidentiality of reported information, and severely address any threats or acts of retaliation.")</f>
        <v>We have clearly defined the complaint handling procedures, time limits, and completion requirements for whistleblowers, and have dedicated personnel responsible for verifying and handling reported information. We will effectively protect the personal and property safety of whistleblowers, ensure confidentiality of reported information, and severely address any threats or acts of retaliation.</v>
      </c>
      <c r="B4501" s="1" t="str">
        <f ca="1">IFERROR(__xludf.DUMMYFUNCTION("GOOGLETRANSLATE(A4501, ""zh"", ""en"")"),"Reporting System")</f>
        <v>Reporting System</v>
      </c>
      <c r="C4501" s="1" t="str">
        <f ca="1">IFERROR(__xludf.DUMMYFUNCTION("GOOGLETRANSLATE(E4501, ""zh"", ""en"")"),"Qualitative text")</f>
        <v>Qualitative text</v>
      </c>
    </row>
    <row r="4502" spans="1:3" ht="13" x14ac:dyDescent="0.15">
      <c r="A4502" s="1" t="str">
        <f ca="1">IFERROR(__xludf.DUMMYFUNCTION("GOOGLETRANSLATE(A4502, ""zh"", ""en"")"),"Tibet Everest Company firmly abides by the Company Law of the People's Republic of China, the Securities Law of the People's Republic of China, the Shanghai Stock Exchange's Stock Listing Rules, the Code of Corporate Governance for Listed Companies and ot"&amp;"her relevant laws, regulations and normative documents, and on this basis, continuously strengthens the construction and improvement of the corporate governance structure.")</f>
        <v>Tibet Everest Company firmly abides by the Company Law of the People's Republic of China, the Securities Law of the People's Republic of China, the Shanghai Stock Exchange's Stock Listing Rules, the Code of Corporate Governance for Listed Companies and other relevant laws, regulations and normative documents, and on this basis, continuously strengthens the construction and improvement of the corporate governance structure.</v>
      </c>
      <c r="B4502" s="1" t="str">
        <f ca="1">IFERROR(__xludf.DUMMYFUNCTION("GOOGLETRANSLATE(A4502, ""zh"", ""en"")"),"Organizational structure and operations")</f>
        <v>Organizational structure and operations</v>
      </c>
      <c r="C4502" s="1" t="str">
        <f ca="1">IFERROR(__xludf.DUMMYFUNCTION("GOOGLETRANSLATE(E4502, ""zh"", ""en"")"),"Qualitative text")</f>
        <v>Qualitative text</v>
      </c>
    </row>
    <row r="4503" spans="1:3" ht="13" x14ac:dyDescent="0.15">
      <c r="A4503" s="1" t="str">
        <f ca="1">IFERROR(__xludf.DUMMYFUNCTION("GOOGLETRANSLATE(A4503, ""zh"", ""en"")"),"The percentage of male employees participating in training and the percentage of female employees participating in training disclosed in the China Construction Bank Social Responsibility Report refer to the percentage of employees participating in online "&amp;"and offline training of China Construction Bank as of the end of the reporting period, excluding domestic and overseas subsidiaries.")</f>
        <v>The percentage of male employees participating in training and the percentage of female employees participating in training disclosed in the China Construction Bank Social Responsibility Report refer to the percentage of employees participating in online and offline training of China Construction Bank as of the end of the reporting period, excluding domestic and overseas subsidiaries.</v>
      </c>
      <c r="B4503" s="1" t="str">
        <f ca="1">IFERROR(__xludf.DUMMYFUNCTION("GOOGLETRANSLATE(A4503, ""zh"", ""en"")"),"staff")</f>
        <v>staff</v>
      </c>
      <c r="C4503" s="1" t="str">
        <f ca="1">IFERROR(__xludf.DUMMYFUNCTION("GOOGLETRANSLATE(E4503, ""zh"", ""en"")"),"Quantitative Text")</f>
        <v>Quantitative Text</v>
      </c>
    </row>
    <row r="4504" spans="1:3" ht="13" x14ac:dyDescent="0.15">
      <c r="A4504" s="1" t="str">
        <f ca="1">IFERROR(__xludf.DUMMYFUNCTION("GOOGLETRANSLATE(A4504, ""zh"", ""en"")"),"The OA Integrity Column updated 59 anti-corruption cases throughout the year. Our attitude and goal are to ensure the accessibility of anti-corruption publicity. Fosun Pharma strengthens internal governance and control to guide employees. The official web"&amp;"site of the pharmacy has an Integrity and Compliance column on its homepage. In OA, we oppose all forms of access and corruption.")</f>
        <v>The OA Integrity Column updated 59 anti-corruption cases throughout the year. Our attitude and goal are to ensure the accessibility of anti-corruption publicity. Fosun Pharma strengthens internal governance and control to guide employees. The official website of the pharmacy has an Integrity and Compliance column on its homepage. In OA, we oppose all forms of access and corruption.</v>
      </c>
      <c r="B4504" s="1" t="str">
        <f ca="1">IFERROR(__xludf.DUMMYFUNCTION("GOOGLETRANSLATE(A4504, ""zh"", ""en"")"),"Anti-corruption and anti-money laundering")</f>
        <v>Anti-corruption and anti-money laundering</v>
      </c>
      <c r="C4504" s="1" t="str">
        <f ca="1">IFERROR(__xludf.DUMMYFUNCTION("GOOGLETRANSLATE(E4504, ""zh"", ""en"")"),"Quantitative Text")</f>
        <v>Quantitative Text</v>
      </c>
    </row>
    <row r="4505" spans="1:3" ht="13" x14ac:dyDescent="0.15">
      <c r="A4505" s="1" t="str">
        <f ca="1">IFERROR(__xludf.DUMMYFUNCTION("GOOGLETRANSLATE(A4505, ""zh"", ""en"")"),"According to incomplete statistics, we have communicated with stakeholders at all levels or governments and departments in charge of exchange losses more than 100 times throughout the year, including 20 exchanges with provincial leaders, leading the healt"&amp;"hy development of the industry, participating in policy formulation and making suggestions.")</f>
        <v>According to incomplete statistics, we have communicated with stakeholders at all levels or governments and departments in charge of exchange losses more than 100 times throughout the year, including 20 exchanges with provincial leaders, leading the healthy development of the industry, participating in policy formulation and making suggestions.</v>
      </c>
      <c r="B4505" s="1" t="str">
        <f ca="1">IFERROR(__xludf.DUMMYFUNCTION("GOOGLETRANSLATE(A4505, ""zh"", ""en"")"),"Tax transparency")</f>
        <v>Tax transparency</v>
      </c>
      <c r="C4505" s="1" t="str">
        <f ca="1">IFERROR(__xludf.DUMMYFUNCTION("GOOGLETRANSLATE(E4505, ""zh"", ""en"")"),"Quantitative Text")</f>
        <v>Quantitative Text</v>
      </c>
    </row>
    <row r="4506" spans="1:3" ht="13" x14ac:dyDescent="0.15">
      <c r="A4506" s="1" t="str">
        <f ca="1">IFERROR(__xludf.DUMMYFUNCTION("GOOGLETRANSLATE(A4506, ""zh"", ""en"")"),"The company attaches great importance to the construction of the cadre and staff team. In accordance with General Secretary Xi Jinping's 20-character requirements for state-owned enterprise leaders and the five strict standards for leaders in the new era,"&amp;" we adhere to the correct orientation of selecting and employing people, strengthen the training and selection of young cadres, and use the 2022 Social Responsibility Report 18")</f>
        <v>The company attaches great importance to the construction of the cadre and staff team. In accordance with General Secretary Xi Jinping's 20-character requirements for state-owned enterprise leaders and the five strict standards for leaders in the new era, we adhere to the correct orientation of selecting and employing people, strengthen the training and selection of young cadres, and use the 2022 Social Responsibility Report 18</v>
      </c>
      <c r="B4506" s="1" t="str">
        <f ca="1">IFERROR(__xludf.DUMMYFUNCTION("GOOGLETRANSLATE(A4506, ""zh"", ""en"")"),"staff")</f>
        <v>staff</v>
      </c>
      <c r="C4506" s="1" t="str">
        <f ca="1">IFERROR(__xludf.DUMMYFUNCTION("GOOGLETRANSLATE(E4506, ""zh"", ""en"")"),"Qualitative text")</f>
        <v>Qualitative text</v>
      </c>
    </row>
    <row r="4507" spans="1:3" ht="13" x14ac:dyDescent="0.15">
      <c r="A4507" s="1" t="str">
        <f ca="1">IFERROR(__xludf.DUMMYFUNCTION("GOOGLETRANSLATE(A4507, ""zh"", ""en"")"),"The company attaches great importance to environmental education and publicity. It sorts out and summarizes the national key ecological and environmental protection policies every quarter and distributes them to all directly affiliated units. It compiles "&amp;"an environmental protection training course matrix based on the company's business characteristics and organizes the development of training courseware. It establishes a team of full-time environmental protection management personnel and carries out speci"&amp;"al training.")</f>
        <v>The company attaches great importance to environmental education and publicity. It sorts out and summarizes the national key ecological and environmental protection policies every quarter and distributes them to all directly affiliated units. It compiles an environmental protection training course matrix based on the company's business characteristics and organizes the development of training courseware. It establishes a team of full-time environmental protection management personnel and carries out special training.</v>
      </c>
      <c r="B4507" s="1" t="str">
        <f ca="1">IFERROR(__xludf.DUMMYFUNCTION("GOOGLETRANSLATE(A4507, ""zh"", ""en"")"),"Environmental Policy")</f>
        <v>Environmental Policy</v>
      </c>
      <c r="C4507" s="1" t="str">
        <f ca="1">IFERROR(__xludf.DUMMYFUNCTION("GOOGLETRANSLATE(E4507, ""zh"", ""en"")"),"Qualitative text")</f>
        <v>Qualitative text</v>
      </c>
    </row>
    <row r="4508" spans="1:3" ht="13" x14ac:dyDescent="0.15">
      <c r="A4508" s="1" t="str">
        <f ca="1">IFERROR(__xludf.DUMMYFUNCTION("GOOGLETRANSLATE(A4508, ""zh"", ""en"")"),"In 2022, the BBS flexible worker behavior safety inspection activities continued to focus on seven high-risk work activities, including high-altitude work, open flame work, mechanical protection, electrical safety, heavy lifting, confined space, pQg proce"&amp;"ss explosion-proof safety, etc., guiding employees to discover and stop unsafe behaviors and change unsafe conditions.")</f>
        <v>In 2022, the BBS flexible worker behavior safety inspection activities continued to focus on seven high-risk work activities, including high-altitude work, open flame work, mechanical protection, electrical safety, heavy lifting, confined space, pQg process explosion-proof safety, etc., guiding employees to discover and stop unsafe behaviors and change unsafe conditions.</v>
      </c>
      <c r="B4508" s="1" t="str">
        <f ca="1">IFERROR(__xludf.DUMMYFUNCTION("GOOGLETRANSLATE(A4508, ""zh"", ""en"")"),"staff")</f>
        <v>staff</v>
      </c>
      <c r="C4508" s="1" t="str">
        <f ca="1">IFERROR(__xludf.DUMMYFUNCTION("GOOGLETRANSLATE(E4508, ""zh"", ""en"")"),"Qualitative text")</f>
        <v>Qualitative text</v>
      </c>
    </row>
    <row r="4509" spans="1:3" ht="13" x14ac:dyDescent="0.15">
      <c r="A4509" s="1" t="str">
        <f ca="1">IFERROR(__xludf.DUMMYFUNCTION("GOOGLETRANSLATE(A4509, ""zh"", ""en"")"),"The Company's Board of Directors has established an ESG Committee to oversee the Company's ESG-related matters on behalf of the Board of Directors and perform relevant ESG governance responsibilities. For details on its composition, responsibilities, auth"&amp;"ority, and rules of procedure, please refer to the Implementation Rules of the Environmental, Social and Governance Committee of the Board of Directors of Haier Smart Home Co., Ltd.")</f>
        <v>The Company's Board of Directors has established an ESG Committee to oversee the Company's ESG-related matters on behalf of the Board of Directors and perform relevant ESG governance responsibilities. For details on its composition, responsibilities, authority, and rules of procedure, please refer to the Implementation Rules of the Environmental, Social and Governance Committee of the Board of Directors of Haier Smart Home Co., Ltd.</v>
      </c>
      <c r="B4509" s="1" t="str">
        <f ca="1">IFERROR(__xludf.DUMMYFUNCTION("GOOGLETRANSLATE(A4509, ""zh"", ""en"")"),"Organizational structure and operations")</f>
        <v>Organizational structure and operations</v>
      </c>
      <c r="C4509" s="1" t="str">
        <f ca="1">IFERROR(__xludf.DUMMYFUNCTION("GOOGLETRANSLATE(E4509, ""zh"", ""en"")"),"Qualitative text")</f>
        <v>Qualitative text</v>
      </c>
    </row>
    <row r="4510" spans="1:3" ht="13" x14ac:dyDescent="0.15">
      <c r="A4510" s="1" t="str">
        <f ca="1">IFERROR(__xludf.DUMMYFUNCTION("GOOGLETRANSLATE(A4510, ""zh"", ""en"")"),"We always prioritize user privacy and security through the following measures to ensure user information security: internal constraints and external supervision. We establish a top-down privacy management organization system by establishing positions such"&amp;" as Chief Privacy Officer and Privacy Specialist for each product, and coordinate oversight of the company's privacy management matters.")</f>
        <v>We always prioritize user privacy and security through the following measures to ensure user information security: internal constraints and external supervision. We establish a top-down privacy management organization system by establishing positions such as Chief Privacy Officer and Privacy Specialist for each product, and coordinate oversight of the company's privacy management matters.</v>
      </c>
      <c r="B4510" s="1" t="str">
        <f ca="1">IFERROR(__xludf.DUMMYFUNCTION("GOOGLETRANSLATE(A4510, ""zh"", ""en"")"),"Data security")</f>
        <v>Data security</v>
      </c>
      <c r="C4510" s="1" t="str">
        <f ca="1">IFERROR(__xludf.DUMMYFUNCTION("GOOGLETRANSLATE(E4510, ""zh"", ""en"")"),"Qualitative text")</f>
        <v>Qualitative text</v>
      </c>
    </row>
    <row r="4511" spans="1:3" ht="13" x14ac:dyDescent="0.15">
      <c r="A4511" s="1" t="str">
        <f ca="1">IFERROR(__xludf.DUMMYFUNCTION("GOOGLETRANSLATE(A4511, ""zh"", ""en"")"),"In July 2022, COSL carried out a mangrove planting campaign at Niuwangling Tidal Flat in Xiaogui Village, Aotou, Daya Bay, with the theme of promoting blue carbon sinks and popularizing mangroves. The campaign planted a field of mangrove saplings to promo"&amp;"te ecological civilization, enhance public awareness of biodiversity conservation, and implement the concept of green and low-carbon development.")</f>
        <v>In July 2022, COSL carried out a mangrove planting campaign at Niuwangling Tidal Flat in Xiaogui Village, Aotou, Daya Bay, with the theme of promoting blue carbon sinks and popularizing mangroves. The campaign planted a field of mangrove saplings to promote ecological civilization, enhance public awareness of biodiversity conservation, and implement the concept of green and low-carbon development.</v>
      </c>
      <c r="B4511" s="1" t="str">
        <f ca="1">IFERROR(__xludf.DUMMYFUNCTION("GOOGLETRANSLATE(A4511, ""zh"", ""en"")"),"biodiversity")</f>
        <v>biodiversity</v>
      </c>
      <c r="C4511" s="1" t="str">
        <f ca="1">IFERROR(__xludf.DUMMYFUNCTION("GOOGLETRANSLATE(E4511, ""zh"", ""en"")"),"Qualitative text")</f>
        <v>Qualitative text</v>
      </c>
    </row>
    <row r="4512" spans="1:3" ht="13" x14ac:dyDescent="0.15">
      <c r="A4512" s="1" t="str">
        <f ca="1">IFERROR(__xludf.DUMMYFUNCTION("GOOGLETRANSLATE(A4512, ""zh"", ""en"")"),"We regard promoting the all-round development of our employees as one of our important development goals. We protect the human rights of our employees, value their physical and mental health and life safety, build a platform for their growth, promote loca"&amp;"l employment, and strive to create an inclusive, equal, trusting and collaborative work environment to achieve the unity of our company's values ​​and those of our employees.")</f>
        <v>We regard promoting the all-round development of our employees as one of our important development goals. We protect the human rights of our employees, value their physical and mental health and life safety, build a platform for their growth, promote local employment, and strive to create an inclusive, equal, trusting and collaborative work environment to achieve the unity of our company's values ​​and those of our employees.</v>
      </c>
      <c r="B4512" s="1" t="str">
        <f ca="1">IFERROR(__xludf.DUMMYFUNCTION("GOOGLETRANSLATE(A4512, ""zh"", ""en"")"),"staff")</f>
        <v>staff</v>
      </c>
      <c r="C4512" s="1" t="str">
        <f ca="1">IFERROR(__xludf.DUMMYFUNCTION("GOOGLETRANSLATE(E4512, ""zh"", ""en"")"),"Qualitative text")</f>
        <v>Qualitative text</v>
      </c>
    </row>
    <row r="4513" spans="1:3" ht="13" x14ac:dyDescent="0.15">
      <c r="A4513" s="1" t="str">
        <f ca="1">IFERROR(__xludf.DUMMYFUNCTION("GOOGLETRANSLATE(A4513, ""zh"", ""en"")"),"PetroChina regards promoting the coordinated development of economy and society as an important corporate goal, focusing on people's livelihood and social progress, enhancing regional development capabilities, shouldering product social responsibility, de"&amp;"voting itself to rural revitalization, poverty alleviation, community construction, environmental protection, and social welfare activities, and striving to promote the harmonious development of economy and society.")</f>
        <v>PetroChina regards promoting the coordinated development of economy and society as an important corporate goal, focusing on people's livelihood and social progress, enhancing regional development capabilities, shouldering product social responsibility, devoting itself to rural revitalization, poverty alleviation, community construction, environmental protection, and social welfare activities, and striving to promote the harmonious development of economy and society.</v>
      </c>
      <c r="B4513" s="1" t="str">
        <f ca="1">IFERROR(__xludf.DUMMYFUNCTION("GOOGLETRANSLATE(A4513, ""zh"", ""en"")"),"Public welfare and volunteer service")</f>
        <v>Public welfare and volunteer service</v>
      </c>
      <c r="C4513" s="1" t="str">
        <f ca="1">IFERROR(__xludf.DUMMYFUNCTION("GOOGLETRANSLATE(E4513, ""zh"", ""en"")"),"Qualitative text")</f>
        <v>Qualitative text</v>
      </c>
    </row>
    <row r="4514" spans="1:3" ht="13" x14ac:dyDescent="0.15">
      <c r="A4514" s="1" t="str">
        <f ca="1">IFERROR(__xludf.DUMMYFUNCTION("GOOGLETRANSLATE(A4514, ""zh"", ""en"")"),"Exploring Smart Energy, Public Open Day, Popularizing Shale Gas Knowledge, Public Open Events, Embracing a Dual-Carbon Win-Win Future, Geothermal Science Exhibition, Shale Gas Special Science Popularization Event, Visiting the Yangtze River Science Popula"&amp;"rization Summer Camp, Red Scarf's Exploration of Industrial Patriotism Road, and other six science popularization activities were recognized as outstanding activities for the 2022 National Science Popularization Day.")</f>
        <v>Exploring Smart Energy, Public Open Day, Popularizing Shale Gas Knowledge, Public Open Events, Embracing a Dual-Carbon Win-Win Future, Geothermal Science Exhibition, Shale Gas Special Science Popularization Event, Visiting the Yangtze River Science Popularization Summer Camp, Red Scarf's Exploration of Industrial Patriotism Road, and other six science popularization activities were recognized as outstanding activities for the 2022 National Science Popularization Day.</v>
      </c>
      <c r="B4514" s="1" t="str">
        <f ca="1">IFERROR(__xludf.DUMMYFUNCTION("GOOGLETRANSLATE(A4514, ""zh"", ""en"")"),"Technological innovation")</f>
        <v>Technological innovation</v>
      </c>
      <c r="C4514" s="1" t="str">
        <f ca="1">IFERROR(__xludf.DUMMYFUNCTION("GOOGLETRANSLATE(E4514, ""zh"", ""en"")"),"Quantitative Text")</f>
        <v>Quantitative Text</v>
      </c>
    </row>
    <row r="4515" spans="1:3" ht="13" x14ac:dyDescent="0.15">
      <c r="A4515" s="1" t="str">
        <f ca="1">IFERROR(__xludf.DUMMYFUNCTION("GOOGLETRANSLATE(A4515, ""zh"", ""en"")"),"This time, the Enfu Orange charity trip visited Fengjie, Chongqing. Five years of Enfu's golden fruit and poetic Fengjie's fragrant oranges have helped build a high-quality public welfare agricultural product brand, achieve rural revitalization, explore m"&amp;"ore new cooperation models through government-enterprise collaboration, and promote Fengjie's urban culture through walking tours, contributing to urban renewal and development.")</f>
        <v>This time, the Enfu Orange charity trip visited Fengjie, Chongqing. Five years of Enfu's golden fruit and poetic Fengjie's fragrant oranges have helped build a high-quality public welfare agricultural product brand, achieve rural revitalization, explore more new cooperation models through government-enterprise collaboration, and promote Fengjie's urban culture through walking tours, contributing to urban renewal and development.</v>
      </c>
      <c r="B4515" s="1" t="str">
        <f ca="1">IFERROR(__xludf.DUMMYFUNCTION("GOOGLETRANSLATE(A4515, ""zh"", ""en"")"),"Public welfare and volunteer service")</f>
        <v>Public welfare and volunteer service</v>
      </c>
      <c r="C4515" s="1" t="str">
        <f ca="1">IFERROR(__xludf.DUMMYFUNCTION("GOOGLETRANSLATE(E4515, ""zh"", ""en"")"),"Qualitative text")</f>
        <v>Qualitative text</v>
      </c>
    </row>
    <row r="4516" spans="1:3" ht="13" x14ac:dyDescent="0.15">
      <c r="A4516" s="1" t="str">
        <f ca="1">IFERROR(__xludf.DUMMYFUNCTION("GOOGLETRANSLATE(A4516, ""zh"", ""en"")"),"The company accelerated the merger and reorganization of listed companies, successively splitting A-shares of Wuchan Huanneng and A-shares of Wuchan Jinlun into A-shares Jinlun, becoming the first state-owned holding company in China to have listed compan"&amp;"ies at all three levels: parent, subsidiary, and grandchild. The company took the lead in exploring the collaborative governance mechanism of state-owned holding parent and subsidiary listed companies in the province and even the country, and achieved cer"&amp;"tain demonstration results.")</f>
        <v>The company accelerated the merger and reorganization of listed companies, successively splitting A-shares of Wuchan Huanneng and A-shares of Wuchan Jinlun into A-shares Jinlun, becoming the first state-owned holding company in China to have listed companies at all three levels: parent, subsidiary, and grandchild. The company took the lead in exploring the collaborative governance mechanism of state-owned holding parent and subsidiary listed companies in the province and even the country, and achieved certain demonstration results.</v>
      </c>
      <c r="B4516" s="1" t="str">
        <f ca="1">IFERROR(__xludf.DUMMYFUNCTION("GOOGLETRANSLATE(A4516, ""zh"", ""en"")"),"Organizational structure and operations")</f>
        <v>Organizational structure and operations</v>
      </c>
      <c r="C4516" s="1" t="str">
        <f ca="1">IFERROR(__xludf.DUMMYFUNCTION("GOOGLETRANSLATE(E4516, ""zh"", ""en"")"),"Qualitative text")</f>
        <v>Qualitative text</v>
      </c>
    </row>
    <row r="4517" spans="1:3" ht="13" x14ac:dyDescent="0.15">
      <c r="A4517" s="1" t="str">
        <f ca="1">IFERROR(__xludf.DUMMYFUNCTION("GOOGLETRANSLATE(A4517, ""zh"", ""en"")"),"The company has compiled the Sinopec Education and Training System Outline to provide path planning and strategic guidance for the rapid growth of talents and the continuous improvement of organizational capabilities. It also organizes grassroots front-li"&amp;"ne employees to exchange training work experiences, improve the quality of grassroots front-line employee training, and accelerate the joint construction and sharing of high-quality training resources.")</f>
        <v>The company has compiled the Sinopec Education and Training System Outline to provide path planning and strategic guidance for the rapid growth of talents and the continuous improvement of organizational capabilities. It also organizes grassroots front-line employees to exchange training work experiences, improve the quality of grassroots front-line employee training, and accelerate the joint construction and sharing of high-quality training resources.</v>
      </c>
      <c r="B4517" s="1" t="str">
        <f ca="1">IFERROR(__xludf.DUMMYFUNCTION("GOOGLETRANSLATE(A4517, ""zh"", ""en"")"),"staff")</f>
        <v>staff</v>
      </c>
      <c r="C4517" s="1" t="str">
        <f ca="1">IFERROR(__xludf.DUMMYFUNCTION("GOOGLETRANSLATE(E4517, ""zh"", ""en"")"),"Qualitative text")</f>
        <v>Qualitative text</v>
      </c>
    </row>
    <row r="4518" spans="1:3" ht="13" x14ac:dyDescent="0.15">
      <c r="A4518" s="1" t="str">
        <f ca="1">IFERROR(__xludf.DUMMYFUNCTION("GOOGLETRANSLATE(A4518, ""zh"", ""en"")"),"Maintaining biodiversity in water bodies; clearly stating in the system that no deforestation is allowed; avoiding ecological protection redline areas; avoiding ecologically sensitive areas such as forest parks and natural forests as much as possible; min"&amp;"imizing ecological damage; and if damage is caused to the ecology, ecological restoration must be carried out in accordance with the requirements of the competent authorities of the ecologically sensitive areas.")</f>
        <v>Maintaining biodiversity in water bodies; clearly stating in the system that no deforestation is allowed; avoiding ecological protection redline areas; avoiding ecologically sensitive areas such as forest parks and natural forests as much as possible; minimizing ecological damage; and if damage is caused to the ecology, ecological restoration must be carried out in accordance with the requirements of the competent authorities of the ecologically sensitive areas.</v>
      </c>
      <c r="B4518" s="1" t="str">
        <f ca="1">IFERROR(__xludf.DUMMYFUNCTION("GOOGLETRANSLATE(A4518, ""zh"", ""en"")"),"biodiversity")</f>
        <v>biodiversity</v>
      </c>
      <c r="C4518" s="1" t="str">
        <f ca="1">IFERROR(__xludf.DUMMYFUNCTION("GOOGLETRANSLATE(E4518, ""zh"", ""en"")"),"Qualitative text")</f>
        <v>Qualitative text</v>
      </c>
    </row>
    <row r="4519" spans="1:3" ht="13" x14ac:dyDescent="0.15">
      <c r="A4519" s="1" t="str">
        <f ca="1">IFERROR(__xludf.DUMMYFUNCTION("GOOGLETRANSLATE(A4519, ""zh"", ""en"")"),"Gather high-quality resources from upstream and downstream of the company's industrial chain, rely on the core platform of private channel operation to innovatively carry out the YOUNG Life Festival in the community cloud, use the innovative thinking of y"&amp;"oung employees to empower the development of community public welfare activities, lead the community people to a high-quality life, and promote the construction of future community public welfare.")</f>
        <v>Gather high-quality resources from upstream and downstream of the company's industrial chain, rely on the core platform of private channel operation to innovatively carry out the YOUNG Life Festival in the community cloud, use the innovative thinking of young employees to empower the development of community public welfare activities, lead the community people to a high-quality life, and promote the construction of future community public welfare.</v>
      </c>
      <c r="B4519" s="1" t="str">
        <f ca="1">IFERROR(__xludf.DUMMYFUNCTION("GOOGLETRANSLATE(A4519, ""zh"", ""en"")"),"Public welfare and volunteer service")</f>
        <v>Public welfare and volunteer service</v>
      </c>
      <c r="C4519" s="1" t="str">
        <f ca="1">IFERROR(__xludf.DUMMYFUNCTION("GOOGLETRANSLATE(E4519, ""zh"", ""en"")"),"Qualitative text")</f>
        <v>Qualitative text</v>
      </c>
    </row>
    <row r="4520" spans="1:3" ht="13" x14ac:dyDescent="0.15">
      <c r="A4520" s="1" t="str">
        <f ca="1">IFERROR(__xludf.DUMMYFUNCTION("GOOGLETRANSLATE(A4520, ""zh"", ""en"")"),"Through continuous investment transactions and market-making services, as well as derivatives instrument creation services, CITIC Securities has extensively collaborated with enterprises in the fields of steel, petrochemicals, building materials, chemical"&amp;"s, forestry, and new energy, assisting governments in various regions in promoting pilot projects for climate investment and financing and enhancing carbon sink capacity. Its carbon sink cooperative reserves are industry-leading.")</f>
        <v>Through continuous investment transactions and market-making services, as well as derivatives instrument creation services, CITIC Securities has extensively collaborated with enterprises in the fields of steel, petrochemicals, building materials, chemicals, forestry, and new energy, assisting governments in various regions in promoting pilot projects for climate investment and financing and enhancing carbon sink capacity. Its carbon sink cooperative reserves are industry-leading.</v>
      </c>
      <c r="B4520" s="1" t="str">
        <f ca="1">IFERROR(__xludf.DUMMYFUNCTION("GOOGLETRANSLATE(A4520, ""zh"", ""en"")"),"Addressing climate change")</f>
        <v>Addressing climate change</v>
      </c>
      <c r="C4520" s="1" t="str">
        <f ca="1">IFERROR(__xludf.DUMMYFUNCTION("GOOGLETRANSLATE(E4520, ""zh"", ""en"")"),"Qualitative text")</f>
        <v>Qualitative text</v>
      </c>
    </row>
    <row r="4521" spans="1:3" ht="13" x14ac:dyDescent="0.15">
      <c r="A4521" s="1" t="str">
        <f ca="1">IFERROR(__xludf.DUMMYFUNCTION("GOOGLETRANSLATE(A4521, ""zh"", ""en"")"),"The Social Responsibility Committee of the Board of Directors is responsible for researching and formulating the Group's social responsibility strategy and internal policies, reviewing and deciding plans and measures for fulfilling social responsibilities"&amp;", supervising the Group's social responsibility working group to promote the implementation of plans, and supervising, inspecting, and evaluating the Group's fulfillment of social responsibilities and making recommendations.")</f>
        <v>The Social Responsibility Committee of the Board of Directors is responsible for researching and formulating the Group's social responsibility strategy and internal policies, reviewing and deciding plans and measures for fulfilling social responsibilities, supervising the Group's social responsibility working group to promote the implementation of plans, and supervising, inspecting, and evaluating the Group's fulfillment of social responsibilities and making recommendations.</v>
      </c>
      <c r="B4521" s="1" t="str">
        <f ca="1">IFERROR(__xludf.DUMMYFUNCTION("GOOGLETRANSLATE(A4521, ""zh"", ""en"")"),"Organizational structure and operations")</f>
        <v>Organizational structure and operations</v>
      </c>
      <c r="C4521" s="1" t="str">
        <f ca="1">IFERROR(__xludf.DUMMYFUNCTION("GOOGLETRANSLATE(E4521, ""zh"", ""en"")"),"Qualitative text")</f>
        <v>Qualitative text</v>
      </c>
    </row>
    <row r="4522" spans="1:3" ht="13" x14ac:dyDescent="0.15">
      <c r="A4522" s="1" t="str">
        <f ca="1">IFERROR(__xludf.DUMMYFUNCTION("GOOGLETRANSLATE(A4522, ""zh"", ""en"")"),"During the development of tobramycin inhalation solution, Kangyuan conducted the first Phase III clinical study in China for the treatment of bronchiectasis associated with Pseudomonas aeruginosa infection. This was the first study in the world to use bac"&amp;"terial load and patient quality of life as dual endpoints, with a double-positive significant efficacy conclusion for the primary endpoint.")</f>
        <v>During the development of tobramycin inhalation solution, Kangyuan conducted the first Phase III clinical study in China for the treatment of bronchiectasis associated with Pseudomonas aeruginosa infection. This was the first study in the world to use bacterial load and patient quality of life as dual endpoints, with a double-positive significant efficacy conclusion for the primary endpoint.</v>
      </c>
      <c r="B4522" s="1" t="str">
        <f ca="1">IFERROR(__xludf.DUMMYFUNCTION("GOOGLETRANSLATE(A4522, ""zh"", ""en"")"),"Technological innovation")</f>
        <v>Technological innovation</v>
      </c>
      <c r="C4522" s="1" t="str">
        <f ca="1">IFERROR(__xludf.DUMMYFUNCTION("GOOGLETRANSLATE(E4522, ""zh"", ""en"")"),"Qualitative text")</f>
        <v>Qualitative text</v>
      </c>
    </row>
    <row r="4523" spans="1:3" ht="13" x14ac:dyDescent="0.15">
      <c r="A4523" s="1" t="str">
        <f ca="1">IFERROR(__xludf.DUMMYFUNCTION("GOOGLETRANSLATE(A4523, ""zh"", ""en"")"),"Livzon Group conducts human rights due diligence annually covering all its operations and business-related activities. The due diligence includes prohibitions on forced labor, child labor, freedom of association, equal pay for equal work, anti-discriminat"&amp;"ion, and the right to collective bargaining, among other human rights protection clauses within the company's labor, employment, and code of conduct.")</f>
        <v>Livzon Group conducts human rights due diligence annually covering all its operations and business-related activities. The due diligence includes prohibitions on forced labor, child labor, freedom of association, equal pay for equal work, anti-discrimination, and the right to collective bargaining, among other human rights protection clauses within the company's labor, employment, and code of conduct.</v>
      </c>
      <c r="B4523" s="1" t="str">
        <f ca="1">IFERROR(__xludf.DUMMYFUNCTION("GOOGLETRANSLATE(A4523, ""zh"", ""en"")"),"staff")</f>
        <v>staff</v>
      </c>
      <c r="C4523" s="1" t="str">
        <f ca="1">IFERROR(__xludf.DUMMYFUNCTION("GOOGLETRANSLATE(E4523, ""zh"", ""en"")"),"Qualitative text")</f>
        <v>Qualitative text</v>
      </c>
    </row>
    <row r="4524" spans="1:3" ht="13" x14ac:dyDescent="0.15">
      <c r="A4524" s="1" t="str">
        <f ca="1">IFERROR(__xludf.DUMMYFUNCTION("GOOGLETRANSLATE(A4524, ""zh"", ""en"")"),"This drill improved the emergency first aid and collaboration capabilities of employees. For example, they were able to quickly cut off the power supply and evacuate the rescue route in the event of an electric shock accident. This helped employees furthe"&amp;"r familiarize themselves with and apply emergency rescue knowledge, rescue procedures and methods. It also improved the feasibility and reliability of the emergency plan.")</f>
        <v>This drill improved the emergency first aid and collaboration capabilities of employees. For example, they were able to quickly cut off the power supply and evacuate the rescue route in the event of an electric shock accident. This helped employees further familiarize themselves with and apply emergency rescue knowledge, rescue procedures and methods. It also improved the feasibility and reliability of the emergency plan.</v>
      </c>
      <c r="B4524" s="1" t="str">
        <f ca="1">IFERROR(__xludf.DUMMYFUNCTION("GOOGLETRANSLATE(A4524, ""zh"", ""en"")"),"staff")</f>
        <v>staff</v>
      </c>
      <c r="C4524" s="1" t="str">
        <f ca="1">IFERROR(__xludf.DUMMYFUNCTION("GOOGLETRANSLATE(E4524, ""zh"", ""en"")"),"Qualitative text")</f>
        <v>Qualitative text</v>
      </c>
    </row>
    <row r="4525" spans="1:3" ht="13" x14ac:dyDescent="0.15">
      <c r="A4525" s="1" t="str">
        <f ca="1">IFERROR(__xludf.DUMMYFUNCTION("GOOGLETRANSLATE(A4525, ""zh"", ""en"")"),"We adopt a combination of online and offline training methods to organize and carry out a variety of training activities, such as new employee induction training, management training, employee job training, on-the-job master's and doctoral degree programs"&amp;", etc., to continuously improve employees' soft and hard skills, meet their own development needs, and build a talent echelon that matches the needs of business development.")</f>
        <v>We adopt a combination of online and offline training methods to organize and carry out a variety of training activities, such as new employee induction training, management training, employee job training, on-the-job master's and doctoral degree programs, etc., to continuously improve employees' soft and hard skills, meet their own development needs, and build a talent echelon that matches the needs of business development.</v>
      </c>
      <c r="B4525" s="1" t="str">
        <f ca="1">IFERROR(__xludf.DUMMYFUNCTION("GOOGLETRANSLATE(A4525, ""zh"", ""en"")"),"staff")</f>
        <v>staff</v>
      </c>
      <c r="C4525" s="1" t="str">
        <f ca="1">IFERROR(__xludf.DUMMYFUNCTION("GOOGLETRANSLATE(E4525, ""zh"", ""en"")"),"Qualitative text")</f>
        <v>Qualitative text</v>
      </c>
    </row>
    <row r="4526" spans="1:3" ht="13" x14ac:dyDescent="0.15">
      <c r="A4526" s="1" t="str">
        <f ca="1">IFERROR(__xludf.DUMMYFUNCTION("GOOGLETRANSLATE(A4526, ""zh"", ""en"")"),"2022 Social Responsibility Report 4.6.3 Protecting the Right to Report Health Care has formulated and publicly disclosed reporting and complaint management regulations, clarifying that all employees, customers, and suppliers of the Group have the right to"&amp;" report corruption, bribery, fraud, and other illegal and disciplinary violations, fully protecting the reporting rights of employees and partners.")</f>
        <v>2022 Social Responsibility Report 4.6.3 Protecting the Right to Report Health Care has formulated and publicly disclosed reporting and complaint management regulations, clarifying that all employees, customers, and suppliers of the Group have the right to report corruption, bribery, fraud, and other illegal and disciplinary violations, fully protecting the reporting rights of employees and partners.</v>
      </c>
      <c r="B4526" s="1" t="str">
        <f ca="1">IFERROR(__xludf.DUMMYFUNCTION("GOOGLETRANSLATE(A4526, ""zh"", ""en"")"),"Reporting System")</f>
        <v>Reporting System</v>
      </c>
      <c r="C4526" s="1" t="str">
        <f ca="1">IFERROR(__xludf.DUMMYFUNCTION("GOOGLETRANSLATE(E4526, ""zh"", ""en"")"),"Qualitative text")</f>
        <v>Qualitative text</v>
      </c>
    </row>
    <row r="4527" spans="1:3" ht="13" x14ac:dyDescent="0.15">
      <c r="A4527" s="1" t="str">
        <f ca="1">IFERROR(__xludf.DUMMYFUNCTION("GOOGLETRANSLATE(A4527, ""zh"", ""en"")"),"After its establishment, the workstation will provide professional business guidance, rights protection assistance, publicity and training services to create a rights protection assistance workstation with distinct characteristics of equipment manufacturi"&amp;"ng enterprises, helping Shanghai Electric establish a more efficient comprehensive intellectual property management system and build a healthier intellectual property protection ecosystem.")</f>
        <v>After its establishment, the workstation will provide professional business guidance, rights protection assistance, publicity and training services to create a rights protection assistance workstation with distinct characteristics of equipment manufacturing enterprises, helping Shanghai Electric establish a more efficient comprehensive intellectual property management system and build a healthier intellectual property protection ecosystem.</v>
      </c>
      <c r="B4527" s="1" t="str">
        <f ca="1">IFERROR(__xludf.DUMMYFUNCTION("GOOGLETRANSLATE(A4527, ""zh"", ""en"")"),"Intellectual Property Protection")</f>
        <v>Intellectual Property Protection</v>
      </c>
      <c r="C4527" s="1" t="str">
        <f ca="1">IFERROR(__xludf.DUMMYFUNCTION("GOOGLETRANSLATE(E4527, ""zh"", ""en"")"),"Qualitative text")</f>
        <v>Qualitative text</v>
      </c>
    </row>
    <row r="4528" spans="1:3" ht="13" x14ac:dyDescent="0.15">
      <c r="A4528" s="1" t="str">
        <f ca="1">IFERROR(__xludf.DUMMYFUNCTION("GOOGLETRANSLATE(A4528, ""zh"", ""en"")"),"The Shanghai Branch implemented a high-quality service project to serve specialized, sophisticated, and innovative enterprises. The project involved launching special activities, innovating exclusive products, providing specialized services, and allocatin"&amp;"g special policies. The four themes effectively improved the quality and efficiency of services for specialized, sophisticated, and innovative enterprises, helped enhance the resilience of the industrial chain and supply chain, and continuously strengthen"&amp;"ed the internal driving force for innovation and development.")</f>
        <v>The Shanghai Branch implemented a high-quality service project to serve specialized, sophisticated, and innovative enterprises. The project involved launching special activities, innovating exclusive products, providing specialized services, and allocating special policies. The four themes effectively improved the quality and efficiency of services for specialized, sophisticated, and innovative enterprises, helped enhance the resilience of the industrial chain and supply chain, and continuously strengthened the internal driving force for innovation and development.</v>
      </c>
      <c r="B4528" s="1" t="str">
        <f ca="1">IFERROR(__xludf.DUMMYFUNCTION("GOOGLETRANSLATE(A4528, ""zh"", ""en"")"),"supply chain management")</f>
        <v>supply chain management</v>
      </c>
      <c r="C4528" s="1" t="str">
        <f ca="1">IFERROR(__xludf.DUMMYFUNCTION("GOOGLETRANSLATE(E4528, ""zh"", ""en"")"),"Qualitative text")</f>
        <v>Qualitative text</v>
      </c>
    </row>
    <row r="4529" spans="1:3" ht="13" x14ac:dyDescent="0.15">
      <c r="A4529" s="1" t="str">
        <f ca="1">IFERROR(__xludf.DUMMYFUNCTION("GOOGLETRANSLATE(A4529, ""zh"", ""en"")"),"The annual lost-time accident rate, excluding the factory's prevention of accident expansion and reduction of losses after the accident, is 0.101, of which the serious injury accident rate is 0. The group's internal requirement is to record accidents from"&amp;" the perspectives of human, machine, material, method, environment and management. The recordable accident rate is 0.202, and the total recordable minor injury accident rate is 0.101")</f>
        <v>The annual lost-time accident rate, excluding the factory's prevention of accident expansion and reduction of losses after the accident, is 0.101, of which the serious injury accident rate is 0. The group's internal requirement is to record accidents from the perspectives of human, machine, material, method, environment and management. The recordable accident rate is 0.202, and the total recordable minor injury accident rate is 0.101</v>
      </c>
      <c r="B4529" s="1" t="str">
        <f ca="1">IFERROR(__xludf.DUMMYFUNCTION("GOOGLETRANSLATE(A4529, ""zh"", ""en"")"),"staff")</f>
        <v>staff</v>
      </c>
      <c r="C4529" s="1" t="str">
        <f ca="1">IFERROR(__xludf.DUMMYFUNCTION("GOOGLETRANSLATE(E4529, ""zh"", ""en"")"),"Quantitative Text")</f>
        <v>Quantitative Text</v>
      </c>
    </row>
    <row r="4530" spans="1:3" ht="13" x14ac:dyDescent="0.15">
      <c r="A4530" s="1" t="str">
        <f ca="1">IFERROR(__xludf.DUMMYFUNCTION("GOOGLETRANSLATE(A4530, ""zh"", ""en"")"),"Non-recyclable packaging materials are sold to pharmaceuticals, which are special products directly related to people's health. Whether it is the inner or outer packaging of the medicine, the national recycling department must use social resources to comp"&amp;"lete the plan and strictly meet the requirements of the Drug Safety Supervision Law. Recycling of non-recyclable materials")</f>
        <v>Non-recyclable packaging materials are sold to pharmaceuticals, which are special products directly related to people's health. Whether it is the inner or outer packaging of the medicine, the national recycling department must use social resources to complete the plan and strictly meet the requirements of the Drug Safety Supervision Law. Recycling of non-recyclable materials</v>
      </c>
      <c r="B4530" s="1" t="str">
        <f ca="1">IFERROR(__xludf.DUMMYFUNCTION("GOOGLETRANSLATE(A4530, ""zh"", ""en"")"),"Waste Management")</f>
        <v>Waste Management</v>
      </c>
      <c r="C4530" s="1" t="str">
        <f ca="1">IFERROR(__xludf.DUMMYFUNCTION("GOOGLETRANSLATE(E4530, ""zh"", ""en"")"),"Qualitative text")</f>
        <v>Qualitative text</v>
      </c>
    </row>
    <row r="4531" spans="1:3" ht="13" x14ac:dyDescent="0.15">
      <c r="A4531" s="1" t="str">
        <f ca="1">IFERROR(__xludf.DUMMYFUNCTION("GOOGLETRANSLATE(A4531, ""zh"", ""en"")"),"Some member companies cooperate with upstream and downstream customers in the process of product manufacturing, transportation and sales, and use material turnover boxes to replace the packaging materials involved. The packaging materials are divided into"&amp;" 6 categories: corrugated glass, metal, disposable material boxes, paper, rubber and plastic to reduce the loss of packaging materials in the transportation process.")</f>
        <v>Some member companies cooperate with upstream and downstream customers in the process of product manufacturing, transportation and sales, and use material turnover boxes to replace the packaging materials involved. The packaging materials are divided into 6 categories: corrugated glass, metal, disposable material boxes, paper, rubber and plastic to reduce the loss of packaging materials in the transportation process.</v>
      </c>
      <c r="B4531" s="1" t="str">
        <f ca="1">IFERROR(__xludf.DUMMYFUNCTION("GOOGLETRANSLATE(A4531, ""zh"", ""en"")"),"raw materials")</f>
        <v>raw materials</v>
      </c>
      <c r="C4531" s="1" t="str">
        <f ca="1">IFERROR(__xludf.DUMMYFUNCTION("GOOGLETRANSLATE(E4531, ""zh"", ""en"")"),"Qualitative text")</f>
        <v>Qualitative text</v>
      </c>
    </row>
    <row r="4532" spans="1:3" ht="13" x14ac:dyDescent="0.15">
      <c r="A4532" s="1" t="str">
        <f ca="1">IFERROR(__xludf.DUMMYFUNCTION("GOOGLETRANSLATE(A4532, ""zh"", ""en"")"),"Participate in various activities of the Party, Labor Union and other organizations. Employees have the right to join and organize labor unions in accordance with the law. This right is incorporated into the Group's rules and regulations and implemented. "&amp;"The local minimum wage standard complies with local labor laws and regulations. The wages of flexible workers in all locations where the Group operates are higher than those of local labor unions. The Group also provides necessary facilities and funds for"&amp;" activities.")</f>
        <v>Participate in various activities of the Party, Labor Union and other organizations. Employees have the right to join and organize labor unions in accordance with the law. This right is incorporated into the Group's rules and regulations and implemented. The local minimum wage standard complies with local labor laws and regulations. The wages of flexible workers in all locations where the Group operates are higher than those of local labor unions. The Group also provides necessary facilities and funds for activities.</v>
      </c>
      <c r="B4532" s="1" t="str">
        <f ca="1">IFERROR(__xludf.DUMMYFUNCTION("GOOGLETRANSLATE(A4532, ""zh"", ""en"")"),"staff")</f>
        <v>staff</v>
      </c>
      <c r="C4532" s="1" t="str">
        <f ca="1">IFERROR(__xludf.DUMMYFUNCTION("GOOGLETRANSLATE(E4532, ""zh"", ""en"")"),"Qualitative text")</f>
        <v>Qualitative text</v>
      </c>
    </row>
    <row r="4533" spans="1:3" ht="13" x14ac:dyDescent="0.15">
      <c r="A4533" s="1" t="str">
        <f ca="1">IFERROR(__xludf.DUMMYFUNCTION("GOOGLETRANSLATE(A4533, ""zh"", ""en"")"),"In response to the problems of low permeability reservoirs in some offshore oil fields with a depth exceeding 5000m and a reservoir temperature as high as 180°C, offshore fracturing operations face the challenges of limited operating space, limited fluid "&amp;"storage capacity, and high freshwater transportation costs. COSL has developed a set of salt-resistant, fast-dissolving, low-residue 180°C ultra-high temperature seawater-based fracturing fluids.")</f>
        <v>In response to the problems of low permeability reservoirs in some offshore oil fields with a depth exceeding 5000m and a reservoir temperature as high as 180°C, offshore fracturing operations face the challenges of limited operating space, limited fluid storage capacity, and high freshwater transportation costs. COSL has developed a set of salt-resistant, fast-dissolving, low-residue 180°C ultra-high temperature seawater-based fracturing fluids.</v>
      </c>
      <c r="B4533" s="1" t="str">
        <f ca="1">IFERROR(__xludf.DUMMYFUNCTION("GOOGLETRANSLATE(A4533, ""zh"", ""en"")"),"Clean Technology")</f>
        <v>Clean Technology</v>
      </c>
      <c r="C4533" s="1" t="str">
        <f ca="1">IFERROR(__xludf.DUMMYFUNCTION("GOOGLETRANSLATE(E4533, ""zh"", ""en"")"),"Qualitative text")</f>
        <v>Qualitative text</v>
      </c>
    </row>
    <row r="4534" spans="1:3" ht="13" x14ac:dyDescent="0.15">
      <c r="A4534" s="1" t="str">
        <f ca="1">IFERROR(__xludf.DUMMYFUNCTION("GOOGLETRANSLATE(A4534, ""zh"", ""en"")"),"In terms of complaint distribution, the Bank received a total of 224,224 consumer complaints in 2022, a year-on-year decrease of 8.45%. The complaint incidence rate decreased from 337 in 2021 to 303 per million customers, and the average number of complai"&amp;"nts decreased from 17.2 in 2021 to 15.7.")</f>
        <v>In terms of complaint distribution, the Bank received a total of 224,224 consumer complaints in 2022, a year-on-year decrease of 8.45%. The complaint incidence rate decreased from 337 in 2021 to 303 per million customers, and the average number of complaints decreased from 17.2 in 2021 to 15.7.</v>
      </c>
      <c r="B4534" s="1" t="str">
        <f ca="1">IFERROR(__xludf.DUMMYFUNCTION("GOOGLETRANSLATE(A4534, ""zh"", ""en"")"),"Customers and Consumers")</f>
        <v>Customers and Consumers</v>
      </c>
      <c r="C4534" s="1" t="str">
        <f ca="1">IFERROR(__xludf.DUMMYFUNCTION("GOOGLETRANSLATE(E4534, ""zh"", ""en"")"),"Quantitative Text")</f>
        <v>Quantitative Text</v>
      </c>
    </row>
    <row r="4535" spans="1:3" ht="13" x14ac:dyDescent="0.15">
      <c r="A4535" s="1" t="str">
        <f ca="1">IFERROR(__xludf.DUMMYFUNCTION("GOOGLETRANSLATE(A4535, ""zh"", ""en"")"),"COSL 2022 ESG Report 44 Health Training and Psychological Counseling The company conscientiously implements laws and regulations on occupational disease prevention and control, guides employees to understand the occupational disease hazards in their workp"&amp;"laces, and encourages them to fully master the knowledge of occupational disease prevention and control, effectively enhancing their self-protection awareness.")</f>
        <v>COSL 2022 ESG Report 44 Health Training and Psychological Counseling The company conscientiously implements laws and regulations on occupational disease prevention and control, guides employees to understand the occupational disease hazards in their workplaces, and encourages them to fully master the knowledge of occupational disease prevention and control, effectively enhancing their self-protection awareness.</v>
      </c>
      <c r="B4535" s="1" t="str">
        <f ca="1">IFERROR(__xludf.DUMMYFUNCTION("GOOGLETRANSLATE(A4535, ""zh"", ""en"")"),"staff")</f>
        <v>staff</v>
      </c>
      <c r="C4535" s="1" t="str">
        <f ca="1">IFERROR(__xludf.DUMMYFUNCTION("GOOGLETRANSLATE(E4535, ""zh"", ""en"")"),"Qualitative text")</f>
        <v>Qualitative text</v>
      </c>
    </row>
    <row r="4536" spans="1:3" ht="13" x14ac:dyDescent="0.15">
      <c r="A4536" s="1" t="str">
        <f ca="1">IFERROR(__xludf.DUMMYFUNCTION("GOOGLETRANSLATE(A4536, ""zh"", ""en"")"),"In 2022, 11 mixing water tank inclined ladders were renovated and put into use at the cementing operation site to reduce the risk of employees falling when getting on and off the water tanks and ensure the safety of the operators. Safety education and tra"&amp;"ining The company firmly established the concept that inadequate training is a major safety hazard and continued to carry out safety publicity, education and training.")</f>
        <v>In 2022, 11 mixing water tank inclined ladders were renovated and put into use at the cementing operation site to reduce the risk of employees falling when getting on and off the water tanks and ensure the safety of the operators. Safety education and training The company firmly established the concept that inadequate training is a major safety hazard and continued to carry out safety publicity, education and training.</v>
      </c>
      <c r="B4536" s="1" t="str">
        <f ca="1">IFERROR(__xludf.DUMMYFUNCTION("GOOGLETRANSLATE(A4536, ""zh"", ""en"")"),"staff")</f>
        <v>staff</v>
      </c>
      <c r="C4536" s="1" t="str">
        <f ca="1">IFERROR(__xludf.DUMMYFUNCTION("GOOGLETRANSLATE(E4536, ""zh"", ""en"")"),"Quantitative Text")</f>
        <v>Quantitative Text</v>
      </c>
    </row>
    <row r="4537" spans="1:3" ht="13" x14ac:dyDescent="0.15">
      <c r="A4537" s="1" t="str">
        <f ca="1">IFERROR(__xludf.DUMMYFUNCTION("GOOGLETRANSLATE(A4537, ""zh"", ""en"")"),"While the production line has reached the 2010 Pharma version of the GMP standard requirements, the Group has actively promoted the production line through the United States, Europe, Japan, Australia, and other pharmaceutical member companies to internati"&amp;"onalize and encourage member companies to participate in pharmaceutical GMP audit certification in Brazil.")</f>
        <v>While the production line has reached the 2010 Pharma version of the GMP standard requirements, the Group has actively promoted the production line through the United States, Europe, Japan, Australia, and other pharmaceutical member companies to internationalize and encourage member companies to participate in pharmaceutical GMP audit certification in Brazil.</v>
      </c>
      <c r="B4537" s="1" t="str">
        <f ca="1">IFERROR(__xludf.DUMMYFUNCTION("GOOGLETRANSLATE(A4537, ""zh"", ""en"")"),"Product quality")</f>
        <v>Product quality</v>
      </c>
      <c r="C4537" s="1" t="str">
        <f ca="1">IFERROR(__xludf.DUMMYFUNCTION("GOOGLETRANSLATE(E4537, ""zh"", ""en"")"),"Qualitative text")</f>
        <v>Qualitative text</v>
      </c>
    </row>
    <row r="4538" spans="1:3" ht="13" x14ac:dyDescent="0.15">
      <c r="A4538" s="1" t="str">
        <f ca="1">IFERROR(__xludf.DUMMYFUNCTION("GOOGLETRANSLATE(A4538, ""zh"", ""en"")"),"The impact on the sustainable development of Shenma shares is very high. 5152 Outlook for 2022 Outlook for economic and social development in 2022 From the perspective of the international environment, the impact of the new crown pneumonia epidemic on the"&amp;" global economy will continue. The world economic situation is still a critical period for industrial development and industrial upgrading.")</f>
        <v>The impact on the sustainable development of Shenma shares is very high. 5152 Outlook for 2022 Outlook for economic and social development in 2022 From the perspective of the international environment, the impact of the new crown pneumonia epidemic on the global economy will continue. The world economic situation is still a critical period for industrial development and industrial upgrading.</v>
      </c>
      <c r="B4538" s="1" t="str">
        <f ca="1">IFERROR(__xludf.DUMMYFUNCTION("GOOGLETRANSLATE(A4538, ""zh"", ""en"")"),"Fighting the epidemic")</f>
        <v>Fighting the epidemic</v>
      </c>
      <c r="C4538" s="1" t="str">
        <f ca="1">IFERROR(__xludf.DUMMYFUNCTION("GOOGLETRANSLATE(E4538, ""zh"", ""en"")"),"Qualitative text")</f>
        <v>Qualitative text</v>
      </c>
    </row>
    <row r="4539" spans="1:3" ht="13" x14ac:dyDescent="0.15">
      <c r="A4539" s="1" t="str">
        <f ca="1">IFERROR(__xludf.DUMMYFUNCTION("GOOGLETRANSLATE(A4539, ""zh"", ""en"")"),"P19 Community Investment B8. Community Investment General Disclosure: Policies on using community engagement to understand the needs of the communities in which it operates and to ensure that its business activities take community interests into account. "&amp;"P5558 Key Performance Indicators B8.1 Focus on areas of contribution such as education, environment, suitability of labor needs, health, culture, and sports.")</f>
        <v>P19 Community Investment B8. Community Investment General Disclosure: Policies on using community engagement to understand the needs of the communities in which it operates and to ensure that its business activities take community interests into account. P5558 Key Performance Indicators B8.1 Focus on areas of contribution such as education, environment, suitability of labor needs, health, culture, and sports.</v>
      </c>
      <c r="B4539" s="1" t="str">
        <f ca="1">IFERROR(__xludf.DUMMYFUNCTION("GOOGLETRANSLATE(A4539, ""zh"", ""en"")"),"Public welfare and volunteer service")</f>
        <v>Public welfare and volunteer service</v>
      </c>
      <c r="C4539" s="1" t="str">
        <f ca="1">IFERROR(__xludf.DUMMYFUNCTION("GOOGLETRANSLATE(E4539, ""zh"", ""en"")"),"Qualitative text")</f>
        <v>Qualitative text</v>
      </c>
    </row>
    <row r="4540" spans="1:3" ht="13" x14ac:dyDescent="0.15">
      <c r="A4540" s="1" t="str">
        <f ca="1">IFERROR(__xludf.DUMMYFUNCTION("GOOGLETRANSLATE(A4540, ""zh"", ""en"")"),"Our Anti-Corruption System 2022 Corporate Social Responsibility Report 21 Strengthening supervision of bidding projects is one of the daily tasks of the anti-corruption inspectors in their business activities and cooperation with third-party suppliers.")</f>
        <v>Our Anti-Corruption System 2022 Corporate Social Responsibility Report 21 Strengthening supervision of bidding projects is one of the daily tasks of the anti-corruption inspectors in their business activities and cooperation with third-party suppliers.</v>
      </c>
      <c r="B4540" s="1" t="str">
        <f ca="1">IFERROR(__xludf.DUMMYFUNCTION("GOOGLETRANSLATE(A4540, ""zh"", ""en"")"),"Anti-corruption and anti-money laundering")</f>
        <v>Anti-corruption and anti-money laundering</v>
      </c>
      <c r="C4540" s="1" t="str">
        <f ca="1">IFERROR(__xludf.DUMMYFUNCTION("GOOGLETRANSLATE(E4540, ""zh"", ""en"")"),"Qualitative text")</f>
        <v>Qualitative text</v>
      </c>
    </row>
    <row r="4541" spans="1:3" ht="13" x14ac:dyDescent="0.15">
      <c r="A4541" s="1" t="str">
        <f ca="1">IFERROR(__xludf.DUMMYFUNCTION("GOOGLETRANSLATE(A4541, ""zh"", ""en"")"),"Case Study: SDIC UBS Fund conducted a customer satisfaction survey, with customer satisfaction reaching 92.66% and customer service satisfaction rate reaching 99.04%. The number of customer complaints decreased by 37.21% year-on-year. SDIC Capital adheres"&amp;" to its customer-first service philosophy and is committed to providing high-quality services to customers.")</f>
        <v>Case Study: SDIC UBS Fund conducted a customer satisfaction survey, with customer satisfaction reaching 92.66% and customer service satisfaction rate reaching 99.04%. The number of customer complaints decreased by 37.21% year-on-year. SDIC Capital adheres to its customer-first service philosophy and is committed to providing high-quality services to customers.</v>
      </c>
      <c r="B4541" s="1" t="str">
        <f ca="1">IFERROR(__xludf.DUMMYFUNCTION("GOOGLETRANSLATE(A4541, ""zh"", ""en"")"),"Customers and Consumers")</f>
        <v>Customers and Consumers</v>
      </c>
      <c r="C4541" s="1" t="str">
        <f ca="1">IFERROR(__xludf.DUMMYFUNCTION("GOOGLETRANSLATE(E4541, ""zh"", ""en"")"),"Quantitative Text")</f>
        <v>Quantitative Text</v>
      </c>
    </row>
    <row r="4542" spans="1:3" ht="13" x14ac:dyDescent="0.15">
      <c r="A4542" s="1" t="str">
        <f ca="1">IFERROR(__xludf.DUMMYFUNCTION("GOOGLETRANSLATE(A4542, ""zh"", ""en"")"),"The training focused on the Interim Measures for the Administration of Property Rights Registration of State-Invested Enterprises, the Measures for the Supervision and Administration of State-Owned Asset Transactions in Enterprises, and the Guidelines for"&amp;" the Administration of Enterprise Asset Appraisal. The training combined practical cases of company property rights management to explain the responsibilities, authority, business processes, and policy requirements of property rights management, and enhan"&amp;"ced the professional level of personnel.")</f>
        <v>The training focused on the Interim Measures for the Administration of Property Rights Registration of State-Invested Enterprises, the Measures for the Supervision and Administration of State-Owned Asset Transactions in Enterprises, and the Guidelines for the Administration of Enterprise Asset Appraisal. The training combined practical cases of company property rights management to explain the responsibilities, authority, business processes, and policy requirements of property rights management, and enhanced the professional level of personnel.</v>
      </c>
      <c r="B4542" s="1" t="str">
        <f ca="1">IFERROR(__xludf.DUMMYFUNCTION("GOOGLETRANSLATE(A4542, ""zh"", ""en"")"),"Organizational structure and operations")</f>
        <v>Organizational structure and operations</v>
      </c>
      <c r="C4542" s="1" t="str">
        <f ca="1">IFERROR(__xludf.DUMMYFUNCTION("GOOGLETRANSLATE(E4542, ""zh"", ""en"")"),"Qualitative text")</f>
        <v>Qualitative text</v>
      </c>
    </row>
    <row r="4543" spans="1:3" ht="13" x14ac:dyDescent="0.15">
      <c r="A4543" s="1" t="str">
        <f ca="1">IFERROR(__xludf.DUMMYFUNCTION("GOOGLETRANSLATE(A4543, ""zh"", ""en"")"),"The company regularly conducts simulated recall drills to quickly respond to problems and effectively and efficiently solve them when they occur. According to the results of the user satisfaction survey, Hisense TV user satisfaction in 2022 was 85 points,"&amp;" an increase of 1.3 points year-on-year, ranking first among the 10 brands in the industry, higher than the industry level. User and market issues")</f>
        <v>The company regularly conducts simulated recall drills to quickly respond to problems and effectively and efficiently solve them when they occur. According to the results of the user satisfaction survey, Hisense TV user satisfaction in 2022 was 85 points, an increase of 1.3 points year-on-year, ranking first among the 10 brands in the industry, higher than the industry level. User and market issues</v>
      </c>
      <c r="B4543" s="1" t="str">
        <f ca="1">IFERROR(__xludf.DUMMYFUNCTION("GOOGLETRANSLATE(A4543, ""zh"", ""en"")"),"Product quality")</f>
        <v>Product quality</v>
      </c>
      <c r="C4543" s="1" t="str">
        <f ca="1">IFERROR(__xludf.DUMMYFUNCTION("GOOGLETRANSLATE(E4543, ""zh"", ""en"")"),"Quantitative Text")</f>
        <v>Quantitative Text</v>
      </c>
    </row>
    <row r="4544" spans="1:3" ht="13" x14ac:dyDescent="0.15">
      <c r="A4544" s="1" t="str">
        <f ca="1">IFERROR(__xludf.DUMMYFUNCTION("GOOGLETRANSLATE(A4544, ""zh"", ""en"")"),"Safety education and training for all employees, emergency management, the company continuously improves employees' safety awareness and conducts all-round and multi-dimensional training. It provides safety and fire protection knowledge training to all em"&amp;"ployees every quarter. It has established a three-level emergency plan management system for the company, including comprehensive emergency plans, special emergency plans and on-site disposal plans.")</f>
        <v>Safety education and training for all employees, emergency management, the company continuously improves employees' safety awareness and conducts all-round and multi-dimensional training. It provides safety and fire protection knowledge training to all employees every quarter. It has established a three-level emergency plan management system for the company, including comprehensive emergency plans, special emergency plans and on-site disposal plans.</v>
      </c>
      <c r="B4544" s="1" t="str">
        <f ca="1">IFERROR(__xludf.DUMMYFUNCTION("GOOGLETRANSLATE(A4544, ""zh"", ""en"")"),"staff")</f>
        <v>staff</v>
      </c>
      <c r="C4544" s="1" t="str">
        <f ca="1">IFERROR(__xludf.DUMMYFUNCTION("GOOGLETRANSLATE(E4544, ""zh"", ""en"")"),"Qualitative text")</f>
        <v>Qualitative text</v>
      </c>
    </row>
    <row r="4545" spans="1:3" ht="13" x14ac:dyDescent="0.15">
      <c r="A4545" s="1" t="str">
        <f ca="1">IFERROR(__xludf.DUMMYFUNCTION("GOOGLETRANSLATE(A4545, ""zh"", ""en"")"),"Safety Activities and Safety Improvements Hisense Visual's three bases in Huangdao, Jiangmen, and Guiyang actively mobilized and encouraged employees to participate in safety matters. A total of 238 safety improvements were made. Safety engineers conducte"&amp;"d 33 safety innovation projects in areas such as equipment intrinsic safety, safety management models, and the development of information management methods.")</f>
        <v>Safety Activities and Safety Improvements Hisense Visual's three bases in Huangdao, Jiangmen, and Guiyang actively mobilized and encouraged employees to participate in safety matters. A total of 238 safety improvements were made. Safety engineers conducted 33 safety innovation projects in areas such as equipment intrinsic safety, safety management models, and the development of information management methods.</v>
      </c>
      <c r="B4545" s="1" t="str">
        <f ca="1">IFERROR(__xludf.DUMMYFUNCTION("GOOGLETRANSLATE(A4545, ""zh"", ""en"")"),"staff")</f>
        <v>staff</v>
      </c>
      <c r="C4545" s="1" t="str">
        <f ca="1">IFERROR(__xludf.DUMMYFUNCTION("GOOGLETRANSLATE(E4545, ""zh"", ""en"")"),"Quantitative Text")</f>
        <v>Quantitative Text</v>
      </c>
    </row>
    <row r="4546" spans="1:3" ht="13" x14ac:dyDescent="0.15">
      <c r="A4546" s="1" t="str">
        <f ca="1">IFERROR(__xludf.DUMMYFUNCTION("GOOGLETRANSLATE(A4546, ""zh"", ""en"")"),"In the era of the Internet of Things (IoT), Haier's smart home ecosystem is actively building IoT communities, including the food and clothing ecosystems. The ecosystems are constantly upgraded and iterated to keep pace with the times, bringing more and m"&amp;"ore smart life experiences to users around the world and constantly satisfying their beautiful vision of an ideal home.")</f>
        <v>In the era of the Internet of Things (IoT), Haier's smart home ecosystem is actively building IoT communities, including the food and clothing ecosystems. The ecosystems are constantly upgraded and iterated to keep pace with the times, bringing more and more smart life experiences to users around the world and constantly satisfying their beautiful vision of an ideal home.</v>
      </c>
      <c r="B4546" s="1" t="str">
        <f ca="1">IFERROR(__xludf.DUMMYFUNCTION("GOOGLETRANSLATE(A4546, ""zh"", ""en"")"),"Technological innovation")</f>
        <v>Technological innovation</v>
      </c>
      <c r="C4546" s="1" t="str">
        <f ca="1">IFERROR(__xludf.DUMMYFUNCTION("GOOGLETRANSLATE(E4546, ""zh"", ""en"")"),"Qualitative text")</f>
        <v>Qualitative text</v>
      </c>
    </row>
    <row r="4547" spans="1:3" ht="13" x14ac:dyDescent="0.15">
      <c r="A4547" s="1" t="str">
        <f ca="1">IFERROR(__xludf.DUMMYFUNCTION("GOOGLETRANSLATE(A4547, ""zh"", ""en"")"),"In 2022, we established a project team to promote employee innovation achievements in small and micro production units. We held selection activities such as the ""One Person, One Product"" Maker Pioneer and promoted outstanding cases and innovative achiev"&amp;"ements in Haier Smart Home's internal newspapers, official WeChat accounts, etc., achieving good demonstration and incentive effects.")</f>
        <v>In 2022, we established a project team to promote employee innovation achievements in small and micro production units. We held selection activities such as the "One Person, One Product" Maker Pioneer and promoted outstanding cases and innovative achievements in Haier Smart Home's internal newspapers, official WeChat accounts, etc., achieving good demonstration and incentive effects.</v>
      </c>
      <c r="B4547" s="1" t="str">
        <f ca="1">IFERROR(__xludf.DUMMYFUNCTION("GOOGLETRANSLATE(A4547, ""zh"", ""en"")"),"staff")</f>
        <v>staff</v>
      </c>
      <c r="C4547" s="1" t="str">
        <f ca="1">IFERROR(__xludf.DUMMYFUNCTION("GOOGLETRANSLATE(E4547, ""zh"", ""en"")"),"Qualitative text")</f>
        <v>Qualitative text</v>
      </c>
    </row>
    <row r="4548" spans="1:3" ht="13" x14ac:dyDescent="0.15">
      <c r="A4548" s="1" t="str">
        <f ca="1">IFERROR(__xludf.DUMMYFUNCTION("GOOGLETRANSLATE(A4548, ""zh"", ""en"")"),"Business development adheres to three principles and adopts four-level linkage. It has been recognized by the industry and has won awards from multiple parties. Service management has first-class standards and strict requirements. With the active guidance"&amp;" of national policies, smart health care, as an important part of the new economy, has attracted more and more attention from all walks of life and is also an inevitable trend in the elderly care service industry.")</f>
        <v>Business development adheres to three principles and adopts four-level linkage. It has been recognized by the industry and has won awards from multiple parties. Service management has first-class standards and strict requirements. With the active guidance of national policies, smart health care, as an important part of the new economy, has attracted more and more attention from all walks of life and is also an inevitable trend in the elderly care service industry.</v>
      </c>
      <c r="B4548" s="1" t="str">
        <f ca="1">IFERROR(__xludf.DUMMYFUNCTION("GOOGLETRANSLATE(A4548, ""zh"", ""en"")"),"Technological innovation")</f>
        <v>Technological innovation</v>
      </c>
      <c r="C4548" s="1" t="str">
        <f ca="1">IFERROR(__xludf.DUMMYFUNCTION("GOOGLETRANSLATE(E4548, ""zh"", ""en"")"),"Qualitative text")</f>
        <v>Qualitative text</v>
      </c>
    </row>
    <row r="4549" spans="1:3" ht="13" x14ac:dyDescent="0.15">
      <c r="A4549" s="1" t="str">
        <f ca="1">IFERROR(__xludf.DUMMYFUNCTION("GOOGLETRANSLATE(A4549, ""zh"", ""en"")"),"The Kunming Jinma Center project provides educational public welfare services. It regularly organizes parent-child classroom public welfare activities for children in the area, providing them with parent-child activities of various themes, covering nearly"&amp;" 2,000 children. It also holds monthly children's council activities to allow children to participate in community governance and actively build a child-friendly community.")</f>
        <v>The Kunming Jinma Center project provides educational public welfare services. It regularly organizes parent-child classroom public welfare activities for children in the area, providing them with parent-child activities of various themes, covering nearly 2,000 children. It also holds monthly children's council activities to allow children to participate in community governance and actively build a child-friendly community.</v>
      </c>
      <c r="B4549" s="1" t="str">
        <f ca="1">IFERROR(__xludf.DUMMYFUNCTION("GOOGLETRANSLATE(A4549, ""zh"", ""en"")"),"Public welfare and volunteer service")</f>
        <v>Public welfare and volunteer service</v>
      </c>
      <c r="C4549" s="1" t="str">
        <f ca="1">IFERROR(__xludf.DUMMYFUNCTION("GOOGLETRANSLATE(E4549, ""zh"", ""en"")"),"Quantitative Text")</f>
        <v>Quantitative Text</v>
      </c>
    </row>
    <row r="4550" spans="1:3" ht="13" x14ac:dyDescent="0.15">
      <c r="A4550" s="1" t="str">
        <f ca="1">IFERROR(__xludf.DUMMYFUNCTION("GOOGLETRANSLATE(A4550, ""zh"", ""en"")"),"We will continuously improve the quality management system, carry out in-depth quality improvement actions, comprehensively promote the construction of quality infrastructure such as measurement standards, certification, accreditation, inspection and test"&amp;"ing, create excellent products and outstanding brands, enhance the company's brand influence and reputation, and strive to provide consumers with clean, high-quality and diverse products and services.")</f>
        <v>We will continuously improve the quality management system, carry out in-depth quality improvement actions, comprehensively promote the construction of quality infrastructure such as measurement standards, certification, accreditation, inspection and testing, create excellent products and outstanding brands, enhance the company's brand influence and reputation, and strive to provide consumers with clean, high-quality and diverse products and services.</v>
      </c>
      <c r="B4550" s="1" t="str">
        <f ca="1">IFERROR(__xludf.DUMMYFUNCTION("GOOGLETRANSLATE(A4550, ""zh"", ""en"")"),"Product quality")</f>
        <v>Product quality</v>
      </c>
      <c r="C4550" s="1" t="str">
        <f ca="1">IFERROR(__xludf.DUMMYFUNCTION("GOOGLETRANSLATE(E4550, ""zh"", ""en"")"),"Qualitative text")</f>
        <v>Qualitative text</v>
      </c>
    </row>
    <row r="4551" spans="1:3" ht="13" x14ac:dyDescent="0.15">
      <c r="A4551" s="1" t="str">
        <f ca="1">IFERROR(__xludf.DUMMYFUNCTION("GOOGLETRANSLATE(A4551, ""zh"", ""en"")"),"5. Total greenhouse gas emissions (million tons of CO2 equivalent) The total greenhouse gas emissions disclosed in the Environmental, Social and Governance (ESG) report refer to the sum of direct and indirect greenhouse gas emissions generated by subsidia"&amp;"ries of China National Petroleum Corporation in 2022.")</f>
        <v>5. Total greenhouse gas emissions (million tons of CO2 equivalent) The total greenhouse gas emissions disclosed in the Environmental, Social and Governance (ESG) report refer to the sum of direct and indirect greenhouse gas emissions generated by subsidiaries of China National Petroleum Corporation in 2022.</v>
      </c>
      <c r="B4551" s="1" t="str">
        <f ca="1">IFERROR(__xludf.DUMMYFUNCTION("GOOGLETRANSLATE(A4551, ""zh"", ""en"")"),"carbon emissions")</f>
        <v>carbon emissions</v>
      </c>
      <c r="C4551" s="1" t="str">
        <f ca="1">IFERROR(__xludf.DUMMYFUNCTION("GOOGLETRANSLATE(E4551, ""zh"", ""en"")"),"Qualitative text")</f>
        <v>Qualitative text</v>
      </c>
    </row>
    <row r="4552" spans="1:3" ht="13" x14ac:dyDescent="0.15">
      <c r="A4552" s="1" t="str">
        <f ca="1">IFERROR(__xludf.DUMMYFUNCTION("GOOGLETRANSLATE(A4552, ""zh"", ""en"")"),"The company develops and builds a carbon asset management and control platform to strengthen the centralized management of carbon assets, standardize the performance management of carbon market trading companies, promote the standardized management of car"&amp;"bon assets and the development of carbon asset projects, actively track the national voluntary emission reduction project policies, and encourage branches, subsidiaries and subordinate units to promote the development of national voluntary emission reduct"&amp;"ion projects.")</f>
        <v>The company develops and builds a carbon asset management and control platform to strengthen the centralized management of carbon assets, standardize the performance management of carbon market trading companies, promote the standardized management of carbon assets and the development of carbon asset projects, actively track the national voluntary emission reduction project policies, and encourage branches, subsidiaries and subordinate units to promote the development of national voluntary emission reduction projects.</v>
      </c>
      <c r="B4552" s="1" t="str">
        <f ca="1">IFERROR(__xludf.DUMMYFUNCTION("GOOGLETRANSLATE(A4552, ""zh"", ""en"")"),"carbon emissions")</f>
        <v>carbon emissions</v>
      </c>
      <c r="C4552" s="1" t="str">
        <f ca="1">IFERROR(__xludf.DUMMYFUNCTION("GOOGLETRANSLATE(E4552, ""zh"", ""en"")"),"Qualitative text")</f>
        <v>Qualitative text</v>
      </c>
    </row>
    <row r="4553" spans="1:3" ht="13" x14ac:dyDescent="0.15">
      <c r="A4553" s="1" t="str">
        <f ca="1">IFERROR(__xludf.DUMMYFUNCTION("GOOGLETRANSLATE(A4553, ""zh"", ""en"")"),"By combining internal and external training, domestic and international integration, and the combination of non-academic and academic qualifications, we strive to build a service platform with entrepreneurship education and training as its core, and train"&amp;"ing, consulting and cooperation as its main content, and strive to create an international platform, ecological and professional domestic first-class corporate university, and an international business school with unique characteristics.")</f>
        <v>By combining internal and external training, domestic and international integration, and the combination of non-academic and academic qualifications, we strive to build a service platform with entrepreneurship education and training as its core, and training, consulting and cooperation as its main content, and strive to create an international platform, ecological and professional domestic first-class corporate university, and an international business school with unique characteristics.</v>
      </c>
      <c r="B4553" s="1" t="str">
        <f ca="1">IFERROR(__xludf.DUMMYFUNCTION("GOOGLETRANSLATE(A4553, ""zh"", ""en"")"),"staff")</f>
        <v>staff</v>
      </c>
      <c r="C4553" s="1" t="str">
        <f ca="1">IFERROR(__xludf.DUMMYFUNCTION("GOOGLETRANSLATE(E4553, ""zh"", ""en"")"),"Qualitative text")</f>
        <v>Qualitative text</v>
      </c>
    </row>
    <row r="4554" spans="1:3" ht="13" x14ac:dyDescent="0.15">
      <c r="A4554" s="1" t="str">
        <f ca="1">IFERROR(__xludf.DUMMYFUNCTION("GOOGLETRANSLATE(A4554, ""zh"", ""en"")"),"We actively respond to the Chadian government's ""One Tree Per Person"" reforestation program and carry out community investment. We actively help improve the production and living conditions of community residents and provide support to surrounding commu"&amp;"nities in environmental sanitation, education, public facilities, and community activities based on their actual needs. We actively assume social responsibility.")</f>
        <v>We actively respond to the Chadian government's "One Tree Per Person" reforestation program and carry out community investment. We actively help improve the production and living conditions of community residents and provide support to surrounding communities in environmental sanitation, education, public facilities, and community activities based on their actual needs. We actively assume social responsibility.</v>
      </c>
      <c r="B4554" s="1" t="str">
        <f ca="1">IFERROR(__xludf.DUMMYFUNCTION("GOOGLETRANSLATE(A4554, ""zh"", ""en"")"),"Public welfare and volunteer service")</f>
        <v>Public welfare and volunteer service</v>
      </c>
      <c r="C4554" s="1" t="str">
        <f ca="1">IFERROR(__xludf.DUMMYFUNCTION("GOOGLETRANSLATE(E4554, ""zh"", ""en"")"),"Qualitative text")</f>
        <v>Qualitative text</v>
      </c>
    </row>
    <row r="4555" spans="1:3" ht="13" x14ac:dyDescent="0.15">
      <c r="A4555" s="1" t="str">
        <f ca="1">IFERROR(__xludf.DUMMYFUNCTION("GOOGLETRANSLATE(A4555, ""zh"", ""en"")"),"We actively organize employees to participate in the company's corporate culture club activities, Women's Day activities, autumn outings, team-building activities, group corporate culture micro-video competitions, online running badminton competitions, yo"&amp;"uth employee gatherings, summer camps for employees' children, calligraphy and painting training, and other activities to show our care and concern for employees and effectively enhance their sense of gain and happiness.")</f>
        <v>We actively organize employees to participate in the company's corporate culture club activities, Women's Day activities, autumn outings, team-building activities, group corporate culture micro-video competitions, online running badminton competitions, youth employee gatherings, summer camps for employees' children, calligraphy and painting training, and other activities to show our care and concern for employees and effectively enhance their sense of gain and happiness.</v>
      </c>
      <c r="B4555" s="1" t="str">
        <f ca="1">IFERROR(__xludf.DUMMYFUNCTION("GOOGLETRANSLATE(A4555, ""zh"", ""en"")"),"staff")</f>
        <v>staff</v>
      </c>
      <c r="C4555" s="1" t="str">
        <f ca="1">IFERROR(__xludf.DUMMYFUNCTION("GOOGLETRANSLATE(E4555, ""zh"", ""en"")"),"Qualitative text")</f>
        <v>Qualitative text</v>
      </c>
    </row>
    <row r="4556" spans="1:3" ht="13" x14ac:dyDescent="0.15">
      <c r="A4556" s="1" t="str">
        <f ca="1">IFERROR(__xludf.DUMMYFUNCTION("GOOGLETRANSLATE(A4556, ""zh"", ""en"")"),"Shanghai Electric and Shenneng Group will leverage their respective zero-carbon manufacturing strengths to jointly develop a full industrial chain layout for offshore wind power. This will integrate the development of Hainan's offshore and deep-sea wind p"&amp;"ower projects with transmission, distribution, energy storage, and comprehensive energy management. This will help Yangpu and Hainan achieve their zero-carbon goals sooner, promoting win-win development for all parties.")</f>
        <v>Shanghai Electric and Shenneng Group will leverage their respective zero-carbon manufacturing strengths to jointly develop a full industrial chain layout for offshore wind power. This will integrate the development of Hainan's offshore and deep-sea wind power projects with transmission, distribution, energy storage, and comprehensive energy management. This will help Yangpu and Hainan achieve their zero-carbon goals sooner, promoting win-win development for all parties.</v>
      </c>
      <c r="B4556" s="1" t="str">
        <f ca="1">IFERROR(__xludf.DUMMYFUNCTION("GOOGLETRANSLATE(A4556, ""zh"", ""en"")"),"carbon emissions")</f>
        <v>carbon emissions</v>
      </c>
      <c r="C4556" s="1" t="str">
        <f ca="1">IFERROR(__xludf.DUMMYFUNCTION("GOOGLETRANSLATE(E4556, ""zh"", ""en"")"),"Qualitative text")</f>
        <v>Qualitative text</v>
      </c>
    </row>
    <row r="4557" spans="1:3" ht="13" x14ac:dyDescent="0.15">
      <c r="A4557" s="1" t="str">
        <f ca="1">IFERROR(__xludf.DUMMYFUNCTION("GOOGLETRANSLATE(A4557, ""zh"", ""en"")"),"After several years of development, the Zhongchu Zhiyun online freight platform has grown into a national digital logistics infrastructure platform integrating cargo owners, mainly manufacturers and trading companies, with over 29,000 road trucks, over 3 "&amp;"million water transport vessels, and over 20,000 logistics revenue exceeding 36.2 billion yuan.")</f>
        <v>After several years of development, the Zhongchu Zhiyun online freight platform has grown into a national digital logistics infrastructure platform integrating cargo owners, mainly manufacturers and trading companies, with over 29,000 road trucks, over 3 million water transport vessels, and over 20,000 logistics revenue exceeding 36.2 billion yuan.</v>
      </c>
      <c r="B4557" s="1" t="str">
        <f ca="1">IFERROR(__xludf.DUMMYFUNCTION("GOOGLETRANSLATE(A4557, ""zh"", ""en"")"),"supply chain management")</f>
        <v>supply chain management</v>
      </c>
      <c r="C4557" s="1" t="str">
        <f ca="1">IFERROR(__xludf.DUMMYFUNCTION("GOOGLETRANSLATE(E4557, ""zh"", ""en"")"),"Quantitative Text")</f>
        <v>Quantitative Text</v>
      </c>
    </row>
    <row r="4558" spans="1:3" ht="13" x14ac:dyDescent="0.15">
      <c r="A4558" s="1" t="str">
        <f ca="1">IFERROR(__xludf.DUMMYFUNCTION("GOOGLETRANSLATE(A4558, ""zh"", ""en"")"),"The Chinese Consulate General in Karachi highly praised the Shanghai Electric Thar Project and sent a letter of praise to the Thar Block 1 Coal-fired Power Integration Project. It fully affirmed the spirit of hard work and dedication of all project person"&amp;"nel in overcoming difficulties and highly praised the successful completion of several major milestones of the Thar Power Plant and Coal Mine Project.")</f>
        <v>The Chinese Consulate General in Karachi highly praised the Shanghai Electric Thar Project and sent a letter of praise to the Thar Block 1 Coal-fired Power Integration Project. It fully affirmed the spirit of hard work and dedication of all project personnel in overcoming difficulties and highly praised the successful completion of several major milestones of the Thar Power Plant and Coal Mine Project.</v>
      </c>
      <c r="B4558" s="1" t="str">
        <f ca="1">IFERROR(__xludf.DUMMYFUNCTION("GOOGLETRANSLATE(A4558, ""zh"", ""en"")"),"Public welfare and volunteer service")</f>
        <v>Public welfare and volunteer service</v>
      </c>
      <c r="C4558" s="1" t="str">
        <f ca="1">IFERROR(__xludf.DUMMYFUNCTION("GOOGLETRANSLATE(E4558, ""zh"", ""en"")"),"Qualitative text")</f>
        <v>Qualitative text</v>
      </c>
    </row>
    <row r="4559" spans="1:3" ht="13" x14ac:dyDescent="0.15">
      <c r="A4559" s="1" t="str">
        <f ca="1">IFERROR(__xludf.DUMMYFUNCTION("GOOGLETRANSLATE(A4559, ""zh"", ""en"")"),"As of the end of the year, the total number of employees is 20,000, of which www..cn regards talents as the core capital of the company's development, continuously improves the channels for improving employees' abilities, actively carries out various trai"&amp;"nings, guides employees to establish the awareness of self-learning and development, and strives to build a talent echelon with streamlined personnel, excellent quality and reasonable results.")</f>
        <v>As of the end of the year, the total number of employees is 20,000, of which www..cn regards talents as the core capital of the company's development, continuously improves the channels for improving employees' abilities, actively carries out various trainings, guides employees to establish the awareness of self-learning and development, and strives to build a talent echelon with streamlined personnel, excellent quality and reasonable results.</v>
      </c>
      <c r="B4559" s="1" t="str">
        <f ca="1">IFERROR(__xludf.DUMMYFUNCTION("GOOGLETRANSLATE(A4559, ""zh"", ""en"")"),"staff")</f>
        <v>staff</v>
      </c>
      <c r="C4559" s="1" t="str">
        <f ca="1">IFERROR(__xludf.DUMMYFUNCTION("GOOGLETRANSLATE(E4559, ""zh"", ""en"")"),"Quantitative Text")</f>
        <v>Quantitative Text</v>
      </c>
    </row>
    <row r="4560" spans="1:3" ht="13" x14ac:dyDescent="0.15">
      <c r="A4560" s="1" t="str">
        <f ca="1">IFERROR(__xludf.DUMMYFUNCTION("GOOGLETRANSLATE(A4560, ""zh"", ""en"")"),"Gongfu Software 101 List Golden Purple Bamboo Award Industry Empowerment Best Case Award Shanghai Electric Group Co., Ltd. 91 To build a sustainable supply chain, convey and practice the concept of sustainable development, Shanghai Electric has set clear "&amp;"requirements for corporate ESG performance in its Supplier Code of Conduct.")</f>
        <v>Gongfu Software 101 List Golden Purple Bamboo Award Industry Empowerment Best Case Award Shanghai Electric Group Co., Ltd. 91 To build a sustainable supply chain, convey and practice the concept of sustainable development, Shanghai Electric has set clear requirements for corporate ESG performance in its Supplier Code of Conduct.</v>
      </c>
      <c r="B4560" s="1" t="str">
        <f ca="1">IFERROR(__xludf.DUMMYFUNCTION("GOOGLETRANSLATE(A4560, ""zh"", ""en"")"),"supply chain management")</f>
        <v>supply chain management</v>
      </c>
      <c r="C4560" s="1" t="str">
        <f ca="1">IFERROR(__xludf.DUMMYFUNCTION("GOOGLETRANSLATE(E4560, ""zh"", ""en"")"),"Qualitative text")</f>
        <v>Qualitative text</v>
      </c>
    </row>
    <row r="4561" spans="1:3" ht="13" x14ac:dyDescent="0.15">
      <c r="A4561" s="1" t="str">
        <f ca="1">IFERROR(__xludf.DUMMYFUNCTION("GOOGLETRANSLATE(A4561, ""zh"", ""en"")"),"At the same time, we have added and refined the safety and environmental protection reward and punishment requirements in the safety production and environmental protection performance evaluation and assessment methods, and benchmarked the enterprise safe"&amp;"ty production standardization construction and grading methods. We have also added relevant requirements such as safety production standardization self-assessment, performance evaluation, grading and review in the implementation details of safety producti"&amp;"on standardization construction.")</f>
        <v>At the same time, we have added and refined the safety and environmental protection reward and punishment requirements in the safety production and environmental protection performance evaluation and assessment methods, and benchmarked the enterprise safety production standardization construction and grading methods. We have also added relevant requirements such as safety production standardization self-assessment, performance evaluation, grading and review in the implementation details of safety production standardization construction.</v>
      </c>
      <c r="B4561" s="1" t="str">
        <f ca="1">IFERROR(__xludf.DUMMYFUNCTION("GOOGLETRANSLATE(A4561, ""zh"", ""en"")"),"Environmental Policy")</f>
        <v>Environmental Policy</v>
      </c>
      <c r="C4561" s="1" t="str">
        <f ca="1">IFERROR(__xludf.DUMMYFUNCTION("GOOGLETRANSLATE(E4561, ""zh"", ""en"")"),"Qualitative text")</f>
        <v>Qualitative text</v>
      </c>
    </row>
    <row r="4562" spans="1:3" ht="13" x14ac:dyDescent="0.15">
      <c r="A4562" s="1" t="str">
        <f ca="1">IFERROR(__xludf.DUMMYFUNCTION("GOOGLETRANSLATE(A4562, ""zh"", ""en"")"),"44 Joincare Pharmaceutical Group Co., Ltd. 6.3 Popularizing Medical Products. The Group upholds its corporate mission of ""Health for Tomorrow,"" focusing on the healthcare and pharmaceutical sectors, striving to improve the accessibility and affordabilit"&amp;"y of medicines, advocating for the rational use of medicines, and assuming obligations and responsibilities for the popularization of medical products both domestically and internationally.")</f>
        <v>44 Joincare Pharmaceutical Group Co., Ltd. 6.3 Popularizing Medical Products. The Group upholds its corporate mission of "Health for Tomorrow," focusing on the healthcare and pharmaceutical sectors, striving to improve the accessibility and affordability of medicines, advocating for the rational use of medicines, and assuming obligations and responsibilities for the popularization of medical products both domestically and internationally.</v>
      </c>
      <c r="B4562" s="1" t="str">
        <f ca="1">IFERROR(__xludf.DUMMYFUNCTION("GOOGLETRANSLATE(A4562, ""zh"", ""en"")"),"Product quality")</f>
        <v>Product quality</v>
      </c>
      <c r="C4562" s="1" t="str">
        <f ca="1">IFERROR(__xludf.DUMMYFUNCTION("GOOGLETRANSLATE(E4562, ""zh"", ""en"")"),"Qualitative text")</f>
        <v>Qualitative text</v>
      </c>
    </row>
    <row r="4563" spans="1:3" ht="13" x14ac:dyDescent="0.15">
      <c r="A4563" s="1" t="str">
        <f ca="1">IFERROR(__xludf.DUMMYFUNCTION("GOOGLETRANSLATE(A4563, ""zh"", ""en"")"),"Compared with salbutamol, a similar emergency medicine for asthma and COPD, Lisutong can reduce the risk of adverse reactions such as tachycardia and hypokalemia, while significantly improving patients' lung function, reducing the risk of outpatient admis"&amp;"sion and readmission, shortening hospitalization time, and providing patients with a safer and more effective treatment option.")</f>
        <v>Compared with salbutamol, a similar emergency medicine for asthma and COPD, Lisutong can reduce the risk of adverse reactions such as tachycardia and hypokalemia, while significantly improving patients' lung function, reducing the risk of outpatient admission and readmission, shortening hospitalization time, and providing patients with a safer and more effective treatment option.</v>
      </c>
      <c r="B4563" s="1" t="str">
        <f ca="1">IFERROR(__xludf.DUMMYFUNCTION("GOOGLETRANSLATE(A4563, ""zh"", ""en"")"),"Product quality")</f>
        <v>Product quality</v>
      </c>
      <c r="C4563" s="1" t="str">
        <f ca="1">IFERROR(__xludf.DUMMYFUNCTION("GOOGLETRANSLATE(E4563, ""zh"", ""en"")"),"Qualitative text")</f>
        <v>Qualitative text</v>
      </c>
    </row>
    <row r="4564" spans="1:3" ht="13" x14ac:dyDescent="0.15">
      <c r="A4564" s="1" t="str">
        <f ca="1">IFERROR(__xludf.DUMMYFUNCTION("GOOGLETRANSLATE(A4564, ""zh"", ""en"")"),"To facilitate employee feedback channels, we have developed and strictly adhered to reporting and complaint management regulations and established a formal reporting and appeals mechanism to provide employees with a smooth and confidential complaint chann"&amp;"el. This supports all employees in promptly filing complaints or reporting violations of labor rights and other incidents that cause dissatisfaction.")</f>
        <v>To facilitate employee feedback channels, we have developed and strictly adhered to reporting and complaint management regulations and established a formal reporting and appeals mechanism to provide employees with a smooth and confidential complaint channel. This supports all employees in promptly filing complaints or reporting violations of labor rights and other incidents that cause dissatisfaction.</v>
      </c>
      <c r="B4564" s="1" t="str">
        <f ca="1">IFERROR(__xludf.DUMMYFUNCTION("GOOGLETRANSLATE(A4564, ""zh"", ""en"")"),"Reporting System")</f>
        <v>Reporting System</v>
      </c>
      <c r="C4564" s="1" t="str">
        <f ca="1">IFERROR(__xludf.DUMMYFUNCTION("GOOGLETRANSLATE(E4564, ""zh"", ""en"")"),"Qualitative text")</f>
        <v>Qualitative text</v>
      </c>
    </row>
    <row r="4565" spans="1:3" ht="13" x14ac:dyDescent="0.15">
      <c r="A4565" s="1" t="str">
        <f ca="1">IFERROR(__xludf.DUMMYFUNCTION("GOOGLETRANSLATE(A4565, ""zh"", ""en"")"),"Better meeting clinical needs is the eternal pursuit of pharmaceutical companies. We are committed to providing high-quality, safe, accessible and affordable medical products and services to society, continuously promoting the improvement of industry capa"&amp;"bilities, actively shouldering environmental protection responsibilities, empowering employees, giving back to the community, devoting ourselves to social welfare and promoting social development.")</f>
        <v>Better meeting clinical needs is the eternal pursuit of pharmaceutical companies. We are committed to providing high-quality, safe, accessible and affordable medical products and services to society, continuously promoting the improvement of industry capabilities, actively shouldering environmental protection responsibilities, empowering employees, giving back to the community, devoting ourselves to social welfare and promoting social development.</v>
      </c>
      <c r="B4565" s="1" t="str">
        <f ca="1">IFERROR(__xludf.DUMMYFUNCTION("GOOGLETRANSLATE(A4565, ""zh"", ""en"")"),"Public welfare and volunteer service")</f>
        <v>Public welfare and volunteer service</v>
      </c>
      <c r="C4565" s="1" t="str">
        <f ca="1">IFERROR(__xludf.DUMMYFUNCTION("GOOGLETRANSLATE(E4565, ""zh"", ""en"")"),"Qualitative text")</f>
        <v>Qualitative text</v>
      </c>
    </row>
    <row r="4566" spans="1:3" ht="13" x14ac:dyDescent="0.15">
      <c r="A4566" s="1" t="str">
        <f ca="1">IFERROR(__xludf.DUMMYFUNCTION("GOOGLETRANSLATE(A4566, ""zh"", ""en"")"),"46. ​​When developing and expanding overseas markets, the Group has taken into account local economic development, medical and health standards, and the pricing of similar products to formulate reasonable prices that are consistent with the current develo"&amp;"pment status of the region and avoid increasing the financial burden on patients.")</f>
        <v>46. ​​When developing and expanding overseas markets, the Group has taken into account local economic development, medical and health standards, and the pricing of similar products to formulate reasonable prices that are consistent with the current development status of the region and avoid increasing the financial burden on patients.</v>
      </c>
      <c r="B4566" s="1" t="str">
        <f ca="1">IFERROR(__xludf.DUMMYFUNCTION("GOOGLETRANSLATE(A4566, ""zh"", ""en"")"),"Product quality")</f>
        <v>Product quality</v>
      </c>
      <c r="C4566" s="1" t="str">
        <f ca="1">IFERROR(__xludf.DUMMYFUNCTION("GOOGLETRANSLATE(E4566, ""zh"", ""en"")"),"Qualitative text")</f>
        <v>Qualitative text</v>
      </c>
    </row>
    <row r="4567" spans="1:3" ht="13" x14ac:dyDescent="0.15">
      <c r="A4567" s="1" t="str">
        <f ca="1">IFERROR(__xludf.DUMMYFUNCTION("GOOGLETRANSLATE(A4567, ""zh"", ""en"")"),"As an enabler, Shanghai Electric provides cities with the transformation and upgrading of traditional infrastructure, such as intelligent transportation infrastructure, smart energy infrastructure, etc., and integrates multiple businesses such as industri"&amp;"al Internet, rail transportation, sewage treatment, and smart elevators to provide more optimized and efficient intelligent infrastructure solutions.")</f>
        <v>As an enabler, Shanghai Electric provides cities with the transformation and upgrading of traditional infrastructure, such as intelligent transportation infrastructure, smart energy infrastructure, etc., and integrates multiple businesses such as industrial Internet, rail transportation, sewage treatment, and smart elevators to provide more optimized and efficient intelligent infrastructure solutions.</v>
      </c>
      <c r="B4567" s="1" t="str">
        <f ca="1">IFERROR(__xludf.DUMMYFUNCTION("GOOGLETRANSLATE(A4567, ""zh"", ""en"")"),"Technological innovation")</f>
        <v>Technological innovation</v>
      </c>
      <c r="C4567" s="1" t="str">
        <f ca="1">IFERROR(__xludf.DUMMYFUNCTION("GOOGLETRANSLATE(E4567, ""zh"", ""en"")"),"Qualitative text")</f>
        <v>Qualitative text</v>
      </c>
    </row>
    <row r="4568" spans="1:3" ht="13" x14ac:dyDescent="0.15">
      <c r="A4568" s="1" t="str">
        <f ca="1">IFERROR(__xludf.DUMMYFUNCTION("GOOGLETRANSLATE(A4568, ""zh"", ""en"")"),"In 2022, based on the actual work situation, three systems were formulated and revised, including the working rules of the Leading Group for Party Conduct, Clean Government Construction and Anti-Corruption Work, the Interim Implementation Measures of the "&amp;"Party Committee of China National Storage and Development Co., Ltd. on the Construction of a Comprehensive Supervision System, and the Implementation Rules of the Party Committee of China National Storage and Development Co., Ltd. on Inspection Work.")</f>
        <v>In 2022, based on the actual work situation, three systems were formulated and revised, including the working rules of the Leading Group for Party Conduct, Clean Government Construction and Anti-Corruption Work, the Interim Implementation Measures of the Party Committee of China National Storage and Development Co., Ltd. on the Construction of a Comprehensive Supervision System, and the Implementation Rules of the Party Committee of China National Storage and Development Co., Ltd. on Inspection Work.</v>
      </c>
      <c r="B4568" s="1" t="str">
        <f ca="1">IFERROR(__xludf.DUMMYFUNCTION("GOOGLETRANSLATE(A4568, ""zh"", ""en"")"),"Anti-corruption and anti-money laundering")</f>
        <v>Anti-corruption and anti-money laundering</v>
      </c>
      <c r="C4568" s="1" t="str">
        <f ca="1">IFERROR(__xludf.DUMMYFUNCTION("GOOGLETRANSLATE(E4568, ""zh"", ""en"")"),"Qualitative text")</f>
        <v>Qualitative text</v>
      </c>
    </row>
    <row r="4569" spans="1:3" ht="13" x14ac:dyDescent="0.15">
      <c r="A4569" s="1" t="str">
        <f ca="1">IFERROR(__xludf.DUMMYFUNCTION("GOOGLETRANSLATE(A4569, ""zh"", ""en"")"),"The meeting conveyed and studied the important speech delivered by Xi Jinping at the 40th collective study session of the Political Bureau of the CPC Central Committee. It reviewed and summarized the Group's work on Party conduct and clean governance over"&amp;" the past year, examined and analyzed the main problems, and made arrangements for further promoting the Group's work on Party conduct and clean governance.")</f>
        <v>The meeting conveyed and studied the important speech delivered by Xi Jinping at the 40th collective study session of the Political Bureau of the CPC Central Committee. It reviewed and summarized the Group's work on Party conduct and clean governance over the past year, examined and analyzed the main problems, and made arrangements for further promoting the Group's work on Party conduct and clean governance.</v>
      </c>
      <c r="B4569" s="1" t="str">
        <f ca="1">IFERROR(__xludf.DUMMYFUNCTION("GOOGLETRANSLATE(A4569, ""zh"", ""en"")"),"Anti-corruption and anti-money laundering")</f>
        <v>Anti-corruption and anti-money laundering</v>
      </c>
      <c r="C4569" s="1" t="str">
        <f ca="1">IFERROR(__xludf.DUMMYFUNCTION("GOOGLETRANSLATE(E4569, ""zh"", ""en"")"),"Qualitative text")</f>
        <v>Qualitative text</v>
      </c>
    </row>
    <row r="4570" spans="1:3" ht="13" x14ac:dyDescent="0.15">
      <c r="A4570" s="1" t="str">
        <f ca="1">IFERROR(__xludf.DUMMYFUNCTION("GOOGLETRANSLATE(A4570, ""zh"", ""en"")"),"In 2022, Haier Smart Home will focus on developing intelligent, low-carbon, and scenario-based products. Focusing on product lines such as refrigerators, air conditioners, kitchen appliances, water heaters, water purifiers, and washing machines, the compa"&amp;"ny will continue to advance the formulation of industry-leading standards and actively participate in industry exchange activities to promote the implementation and application of innovative achievements.")</f>
        <v>In 2022, Haier Smart Home will focus on developing intelligent, low-carbon, and scenario-based products. Focusing on product lines such as refrigerators, air conditioners, kitchen appliances, water heaters, water purifiers, and washing machines, the company will continue to advance the formulation of industry-leading standards and actively participate in industry exchange activities to promote the implementation and application of innovative achievements.</v>
      </c>
      <c r="B4570" s="1" t="str">
        <f ca="1">IFERROR(__xludf.DUMMYFUNCTION("GOOGLETRANSLATE(A4570, ""zh"", ""en"")"),"Technological innovation")</f>
        <v>Technological innovation</v>
      </c>
      <c r="C4570" s="1" t="str">
        <f ca="1">IFERROR(__xludf.DUMMYFUNCTION("GOOGLETRANSLATE(E4570, ""zh"", ""en"")"),"Qualitative text")</f>
        <v>Qualitative text</v>
      </c>
    </row>
    <row r="4571" spans="1:3" ht="13" x14ac:dyDescent="0.15">
      <c r="A4571" s="1" t="str">
        <f ca="1">IFERROR(__xludf.DUMMYFUNCTION("GOOGLETRANSLATE(A4571, ""zh"", ""en"")"),"The company has established corresponding management systems for supplier selection, procurement process, material management, etc. to standardize the process and eliminate the occurrence of fraud or deception. At the same time, the company strengthens th"&amp;"e control of procurement accounting, regularly reviews the account books and strictly investigates any discrepancies between the book records. Any violations found will be dealt with strictly.")</f>
        <v>The company has established corresponding management systems for supplier selection, procurement process, material management, etc. to standardize the process and eliminate the occurrence of fraud or deception. At the same time, the company strengthens the control of procurement accounting, regularly reviews the account books and strictly investigates any discrepancies between the book records. Any violations found will be dealt with strictly.</v>
      </c>
      <c r="B4571" s="1" t="str">
        <f ca="1">IFERROR(__xludf.DUMMYFUNCTION("GOOGLETRANSLATE(A4571, ""zh"", ""en"")"),"Anti-corruption and anti-money laundering")</f>
        <v>Anti-corruption and anti-money laundering</v>
      </c>
      <c r="C4571" s="1" t="str">
        <f ca="1">IFERROR(__xludf.DUMMYFUNCTION("GOOGLETRANSLATE(E4571, ""zh"", ""en"")"),"Qualitative text")</f>
        <v>Qualitative text</v>
      </c>
    </row>
    <row r="4572" spans="1:3" ht="13" x14ac:dyDescent="0.15">
      <c r="A4572" s="1" t="str">
        <f ca="1">IFERROR(__xludf.DUMMYFUNCTION("GOOGLETRANSLATE(A4572, ""zh"", ""en"")"),"Haier Smart Home was named the UK's Best Employer in 2023. In January 2023, the internationally renowned Top Employers Institute, a leading employer research organization, announced the UK's Best Employers list for 2023. Haier Smart Home was the only Chin"&amp;"ese home appliance company on the list.")</f>
        <v>Haier Smart Home was named the UK's Best Employer in 2023. In January 2023, the internationally renowned Top Employers Institute, a leading employer research organization, announced the UK's Best Employers list for 2023. Haier Smart Home was the only Chinese home appliance company on the list.</v>
      </c>
      <c r="B4572" s="1" t="str">
        <f ca="1">IFERROR(__xludf.DUMMYFUNCTION("GOOGLETRANSLATE(A4572, ""zh"", ""en"")"),"staff")</f>
        <v>staff</v>
      </c>
      <c r="C4572" s="1" t="str">
        <f ca="1">IFERROR(__xludf.DUMMYFUNCTION("GOOGLETRANSLATE(E4572, ""zh"", ""en"")"),"Quantitative Text")</f>
        <v>Quantitative Text</v>
      </c>
    </row>
    <row r="4573" spans="1:3" ht="13" x14ac:dyDescent="0.15">
      <c r="A4573" s="1" t="str">
        <f ca="1">IFERROR(__xludf.DUMMYFUNCTION("GOOGLETRANSLATE(A4573, ""zh"", ""en"")"),"Through special inspections, management supervision and other means, we verify the integrity of the enterprise's occupational health file data, the effectiveness of on-site occupational disease protection facilities, the rationality of the configuration o"&amp;"f occupational disease protection supplies, the coverage rate of occupational disease hazard job physical examinations, and put forward requirements and suggestions for improvement in management, process and technology.")</f>
        <v>Through special inspections, management supervision and other means, we verify the integrity of the enterprise's occupational health file data, the effectiveness of on-site occupational disease protection facilities, the rationality of the configuration of occupational disease protection supplies, the coverage rate of occupational disease hazard job physical examinations, and put forward requirements and suggestions for improvement in management, process and technology.</v>
      </c>
      <c r="B4573" s="1" t="str">
        <f ca="1">IFERROR(__xludf.DUMMYFUNCTION("GOOGLETRANSLATE(A4573, ""zh"", ""en"")"),"staff")</f>
        <v>staff</v>
      </c>
      <c r="C4573" s="1" t="str">
        <f ca="1">IFERROR(__xludf.DUMMYFUNCTION("GOOGLETRANSLATE(E4573, ""zh"", ""en"")"),"Qualitative text")</f>
        <v>Qualitative text</v>
      </c>
    </row>
    <row r="4574" spans="1:3" ht="13" x14ac:dyDescent="0.15">
      <c r="A4574" s="1" t="str">
        <f ca="1">IFERROR(__xludf.DUMMYFUNCTION("GOOGLETRANSLATE(A4574, ""zh"", ""en"")"),"In response to the new hazardous chemicals regulations in 2022, logistics experts were hired to conduct practical safety training in logistics. A total of 6 special training sessions were organized throughout the year, with 13 experts invited. The trainin"&amp;"g covered specific practical aspects such as general cargo by water, road, hazardous cargo by water, road, hazardous chemical loading and unloading, and ethylene oxide logistics.")</f>
        <v>In response to the new hazardous chemicals regulations in 2022, logistics experts were hired to conduct practical safety training in logistics. A total of 6 special training sessions were organized throughout the year, with 13 experts invited. The training covered specific practical aspects such as general cargo by water, road, hazardous cargo by water, road, hazardous chemical loading and unloading, and ethylene oxide logistics.</v>
      </c>
      <c r="B4574" s="1" t="str">
        <f ca="1">IFERROR(__xludf.DUMMYFUNCTION("GOOGLETRANSLATE(A4574, ""zh"", ""en"")"),"Chemical Safety")</f>
        <v>Chemical Safety</v>
      </c>
      <c r="C4574" s="1" t="str">
        <f ca="1">IFERROR(__xludf.DUMMYFUNCTION("GOOGLETRANSLATE(E4574, ""zh"", ""en"")"),"Quantitative Text")</f>
        <v>Quantitative Text</v>
      </c>
    </row>
    <row r="4575" spans="1:3" ht="13" x14ac:dyDescent="0.15">
      <c r="A4575" s="1" t="str">
        <f ca="1">IFERROR(__xludf.DUMMYFUNCTION("GOOGLETRANSLATE(A4575, ""zh"", ""en"")"),"28 Joincare Pharmaceutical Group Co., Ltd. 5.2 Quality Risk Control Joincare attaches great importance to product quality risk control. We establish quality risk management procedures and risk management plans in accordance with external laws and regulati"&amp;"ons. These procedures standardize the identification, analysis, evaluation, control, and review processes of quality risk management.")</f>
        <v>28 Joincare Pharmaceutical Group Co., Ltd. 5.2 Quality Risk Control Joincare attaches great importance to product quality risk control. We establish quality risk management procedures and risk management plans in accordance with external laws and regulations. These procedures standardize the identification, analysis, evaluation, control, and review processes of quality risk management.</v>
      </c>
      <c r="B4575" s="1" t="str">
        <f ca="1">IFERROR(__xludf.DUMMYFUNCTION("GOOGLETRANSLATE(A4575, ""zh"", ""en"")"),"Product quality")</f>
        <v>Product quality</v>
      </c>
      <c r="C4575" s="1" t="str">
        <f ca="1">IFERROR(__xludf.DUMMYFUNCTION("GOOGLETRANSLATE(E4575, ""zh"", ""en"")"),"Qualitative text")</f>
        <v>Qualitative text</v>
      </c>
    </row>
    <row r="4576" spans="1:3" ht="13" x14ac:dyDescent="0.15">
      <c r="A4576" s="1" t="str">
        <f ca="1">IFERROR(__xludf.DUMMYFUNCTION("GOOGLETRANSLATE(A4576, ""zh"", ""en"")"),"PetroChina will continuously optimize its energy and carbon flows, implement process reengineering around carbon dioxide reduction, reuse, and resource utilization, actively deploy new energy, new materials, and new industries, build a CCUS industry chain"&amp;", accelerate the realization of clean energy supply and the scale of the carbon industry, and promote a green and low-carbon transformation.")</f>
        <v>PetroChina will continuously optimize its energy and carbon flows, implement process reengineering around carbon dioxide reduction, reuse, and resource utilization, actively deploy new energy, new materials, and new industries, build a CCUS industry chain, accelerate the realization of clean energy supply and the scale of the carbon industry, and promote a green and low-carbon transformation.</v>
      </c>
      <c r="B4576" s="1" t="str">
        <f ca="1">IFERROR(__xludf.DUMMYFUNCTION("GOOGLETRANSLATE(A4576, ""zh"", ""en"")"),"carbon emissions")</f>
        <v>carbon emissions</v>
      </c>
      <c r="C4576" s="1" t="str">
        <f ca="1">IFERROR(__xludf.DUMMYFUNCTION("GOOGLETRANSLATE(E4576, ""zh"", ""en"")"),"Qualitative text")</f>
        <v>Qualitative text</v>
      </c>
    </row>
    <row r="4577" spans="1:3" ht="13" x14ac:dyDescent="0.15">
      <c r="A4577" s="1" t="str">
        <f ca="1">IFERROR(__xludf.DUMMYFUNCTION("GOOGLETRANSLATE(A4577, ""zh"", ""en"")"),"Each production subsidiary of the Group establishes an energy management system based on actual production conditions. Through on-site investigation, data verification and energy data analysis, the company's energy utilization level is determined to fully"&amp;" tap the company's energy-saving potential and formulate practical energy-saving measures to ensure efficient and orderly progress of energy management work.")</f>
        <v>Each production subsidiary of the Group establishes an energy management system based on actual production conditions. Through on-site investigation, data verification and energy data analysis, the company's energy utilization level is determined to fully tap the company's energy-saving potential and formulate practical energy-saving measures to ensure efficient and orderly progress of energy management work.</v>
      </c>
      <c r="B4577" s="1" t="str">
        <f ca="1">IFERROR(__xludf.DUMMYFUNCTION("GOOGLETRANSLATE(A4577, ""zh"", ""en"")"),"Energy and resource consumption")</f>
        <v>Energy and resource consumption</v>
      </c>
      <c r="C4577" s="1" t="str">
        <f ca="1">IFERROR(__xludf.DUMMYFUNCTION("GOOGLETRANSLATE(E4577, ""zh"", ""en"")"),"Qualitative text")</f>
        <v>Qualitative text</v>
      </c>
    </row>
    <row r="4578" spans="1:3" ht="13" x14ac:dyDescent="0.15">
      <c r="A4578" s="1" t="str">
        <f ca="1">IFERROR(__xludf.DUMMYFUNCTION("GOOGLETRANSLATE(A4578, ""zh"", ""en"")"),"Puhui Health 0638 Joincare Pharmaceutical Group Co., Ltd. 6.1 Focus on R&amp;D and Innovation The Group focuses on product R&amp;D and innovation, actively engages in the development of innovative drugs with high barriers to entry and complex formulations, and co"&amp;"ntinuously strengthens the development of R&amp;D technology platforms such as inhaled drug delivery, antibody technology, sustained-release microspheres, and complex injections.")</f>
        <v>Puhui Health 0638 Joincare Pharmaceutical Group Co., Ltd. 6.1 Focus on R&amp;D and Innovation The Group focuses on product R&amp;D and innovation, actively engages in the development of innovative drugs with high barriers to entry and complex formulations, and continuously strengthens the development of R&amp;D technology platforms such as inhaled drug delivery, antibody technology, sustained-release microspheres, and complex injections.</v>
      </c>
      <c r="B4578" s="1" t="str">
        <f ca="1">IFERROR(__xludf.DUMMYFUNCTION("GOOGLETRANSLATE(A4578, ""zh"", ""en"")"),"Technological innovation")</f>
        <v>Technological innovation</v>
      </c>
      <c r="C4578" s="1" t="str">
        <f ca="1">IFERROR(__xludf.DUMMYFUNCTION("GOOGLETRANSLATE(E4578, ""zh"", ""en"")"),"Qualitative text")</f>
        <v>Qualitative text</v>
      </c>
    </row>
    <row r="4579" spans="1:3" ht="13" x14ac:dyDescent="0.15">
      <c r="A4579" s="1" t="str">
        <f ca="1">IFERROR(__xludf.DUMMYFUNCTION("GOOGLETRANSLATE(A4579, ""zh"", ""en"")"),"Focusing on the smart water industry's needs for sensor miniaturization, digitalization, intelligence, systematization, networking, and multi-parameter integration, Shanghai Electric Digital Ecology Co., Ltd. was successfully shortlisted as one of the top"&amp;" ten rising companies and won the Most Popular Company award for its multiple core water quality sensor technologies developed in conjunction with software platforms.")</f>
        <v>Focusing on the smart water industry's needs for sensor miniaturization, digitalization, intelligence, systematization, networking, and multi-parameter integration, Shanghai Electric Digital Ecology Co., Ltd. was successfully shortlisted as one of the top ten rising companies and won the Most Popular Company award for its multiple core water quality sensor technologies developed in conjunction with software platforms.</v>
      </c>
      <c r="B4579" s="1" t="str">
        <f ca="1">IFERROR(__xludf.DUMMYFUNCTION("GOOGLETRANSLATE(A4579, ""zh"", ""en"")"),"Water resources")</f>
        <v>Water resources</v>
      </c>
      <c r="C4579" s="1" t="str">
        <f ca="1">IFERROR(__xludf.DUMMYFUNCTION("GOOGLETRANSLATE(E4579, ""zh"", ""en"")"),"Qualitative text")</f>
        <v>Qualitative text</v>
      </c>
    </row>
    <row r="4580" spans="1:3" ht="13" x14ac:dyDescent="0.15">
      <c r="A4580" s="1" t="str">
        <f ca="1">IFERROR(__xludf.DUMMYFUNCTION("GOOGLETRANSLATE(A4580, ""zh"", ""en"")"),"The company's board of directors attaches great importance to sustainable development management and integrates environmental, social and governance (ESG) into the company's operations. It has established an effective ESG management mechanism, formed a go"&amp;"vernance structure with clear levels and clear division of labor, effectively controlled ESG-related risks, and promoted the continuous improvement of the company's governance level.")</f>
        <v>The company's board of directors attaches great importance to sustainable development management and integrates environmental, social and governance (ESG) into the company's operations. It has established an effective ESG management mechanism, formed a governance structure with clear levels and clear division of labor, effectively controlled ESG-related risks, and promoted the continuous improvement of the company's governance level.</v>
      </c>
      <c r="B4580" s="1" t="str">
        <f ca="1">IFERROR(__xludf.DUMMYFUNCTION("GOOGLETRANSLATE(A4580, ""zh"", ""en"")"),"Organizational structure and operations")</f>
        <v>Organizational structure and operations</v>
      </c>
      <c r="C4580" s="1" t="str">
        <f ca="1">IFERROR(__xludf.DUMMYFUNCTION("GOOGLETRANSLATE(E4580, ""zh"", ""en"")"),"Qualitative text")</f>
        <v>Qualitative text</v>
      </c>
    </row>
    <row r="4581" spans="1:3" ht="13" x14ac:dyDescent="0.15">
      <c r="A4581" s="1" t="str">
        <f ca="1">IFERROR(__xludf.DUMMYFUNCTION("GOOGLETRANSLATE(A4581, ""zh"", ""en"")"),"Dima Shared Care Fund is established to help employees overcome temporary financial difficulties caused by emergencies, enhance the sense of belonging and cohesion of all employees, and form an effective care mechanism within the group. The group has esta"&amp;"blished the Dima Shared Care Fund and strengthened relevant management methods to effectively help employees overcome difficulties.")</f>
        <v>Dima Shared Care Fund is established to help employees overcome temporary financial difficulties caused by emergencies, enhance the sense of belonging and cohesion of all employees, and form an effective care mechanism within the group. The group has established the Dima Shared Care Fund and strengthened relevant management methods to effectively help employees overcome difficulties.</v>
      </c>
      <c r="B4581" s="1" t="str">
        <f ca="1">IFERROR(__xludf.DUMMYFUNCTION("GOOGLETRANSLATE(A4581, ""zh"", ""en"")"),"staff")</f>
        <v>staff</v>
      </c>
      <c r="C4581" s="1" t="str">
        <f ca="1">IFERROR(__xludf.DUMMYFUNCTION("GOOGLETRANSLATE(E4581, ""zh"", ""en"")"),"Qualitative text")</f>
        <v>Qualitative text</v>
      </c>
    </row>
    <row r="4582" spans="1:3" ht="13" x14ac:dyDescent="0.15">
      <c r="A4582" s="1" t="str">
        <f ca="1">IFERROR(__xludf.DUMMYFUNCTION("GOOGLETRANSLATE(A4582, ""zh"", ""en"")"),"The company has formulated customer account business regulations and operating guidelines, data security management implementation details, brokerage business investor suitability management implementation details and trial systems, etc., and has carried "&amp;"out layered control from the management structure, data processing, application system, terminal service and other aspects, and coordinated with security awareness promotion to strictly protect customer privacy and security.")</f>
        <v>The company has formulated customer account business regulations and operating guidelines, data security management implementation details, brokerage business investor suitability management implementation details and trial systems, etc., and has carried out layered control from the management structure, data processing, application system, terminal service and other aspects, and coordinated with security awareness promotion to strictly protect customer privacy and security.</v>
      </c>
      <c r="B4582" s="1" t="str">
        <f ca="1">IFERROR(__xludf.DUMMYFUNCTION("GOOGLETRANSLATE(A4582, ""zh"", ""en"")"),"Data security")</f>
        <v>Data security</v>
      </c>
      <c r="C4582" s="1" t="str">
        <f ca="1">IFERROR(__xludf.DUMMYFUNCTION("GOOGLETRANSLATE(E4582, ""zh"", ""en"")"),"Qualitative text")</f>
        <v>Qualitative text</v>
      </c>
    </row>
    <row r="4583" spans="1:3" ht="13" x14ac:dyDescent="0.15">
      <c r="A4583" s="1" t="str">
        <f ca="1">IFERROR(__xludf.DUMMYFUNCTION("GOOGLETRANSLATE(A4583, ""zh"", ""en"")"),"Under the premise of controllable risks, China Construction Bank provides users with personal financial services such as credit card limit increases, installment discounts, points mall benefits redemption, etc. based on carbon ledgers, thereby promoting a"&amp;" new low-carbon lifestyle, guiding consumers to actively practice low-carbon living concepts, and helping to achieve green city construction through universal action.")</f>
        <v>Under the premise of controllable risks, China Construction Bank provides users with personal financial services such as credit card limit increases, installment discounts, points mall benefits redemption, etc. based on carbon ledgers, thereby promoting a new low-carbon lifestyle, guiding consumers to actively practice low-carbon living concepts, and helping to achieve green city construction through universal action.</v>
      </c>
      <c r="B4583" s="1" t="str">
        <f ca="1">IFERROR(__xludf.DUMMYFUNCTION("GOOGLETRANSLATE(A4583, ""zh"", ""en"")"),"carbon emissions")</f>
        <v>carbon emissions</v>
      </c>
      <c r="C4583" s="1" t="str">
        <f ca="1">IFERROR(__xludf.DUMMYFUNCTION("GOOGLETRANSLATE(E4583, ""zh"", ""en"")"),"Qualitative text")</f>
        <v>Qualitative text</v>
      </c>
    </row>
    <row r="4584" spans="1:3" ht="13" x14ac:dyDescent="0.15">
      <c r="A4584" s="1" t="str">
        <f ca="1">IFERROR(__xludf.DUMMYFUNCTION("GOOGLETRANSLATE(A4584, ""zh"", ""en"")"),"P3943P4445P4953P55582. Never participate in any behavior that disregards or tramples on human rights. Safeguard the rights and interests of employees. Treat employees of different nationalities, races, genders, religious beliefs, and cultural backgrounds "&amp;"fairly and impartially. Eliminate the use of child labor, resist forced labor, and protect the rights and interests of female employees.")</f>
        <v>P3943P4445P4953P55582. Never participate in any behavior that disregards or tramples on human rights. Safeguard the rights and interests of employees. Treat employees of different nationalities, races, genders, religious beliefs, and cultural backgrounds fairly and impartially. Eliminate the use of child labor, resist forced labor, and protect the rights and interests of female employees.</v>
      </c>
      <c r="B4584" s="1" t="str">
        <f ca="1">IFERROR(__xludf.DUMMYFUNCTION("GOOGLETRANSLATE(A4584, ""zh"", ""en"")"),"staff")</f>
        <v>staff</v>
      </c>
      <c r="C4584" s="1" t="str">
        <f ca="1">IFERROR(__xludf.DUMMYFUNCTION("GOOGLETRANSLATE(E4584, ""zh"", ""en"")"),"Qualitative text")</f>
        <v>Qualitative text</v>
      </c>
    </row>
    <row r="4585" spans="1:3" ht="13" x14ac:dyDescent="0.15">
      <c r="A4585" s="1" t="str">
        <f ca="1">IFERROR(__xludf.DUMMYFUNCTION("GOOGLETRANSLATE(A4585, ""zh"", ""en"")"),"Special quiz on pictorial cases strengthens digital security. Special quiz on pictorial cases strengthens digital security. Public welfare is well-known. Leveraging the company's internet resources and the high-quality appearance of PC lock screen pictori"&amp;"als, we launched online public welfare pictorials, reaching hundreds of millions of users and widely promoting various public welfare projects.")</f>
        <v>Special quiz on pictorial cases strengthens digital security. Special quiz on pictorial cases strengthens digital security. Public welfare is well-known. Leveraging the company's internet resources and the high-quality appearance of PC lock screen pictorials, we launched online public welfare pictorials, reaching hundreds of millions of users and widely promoting various public welfare projects.</v>
      </c>
      <c r="B4585" s="1" t="str">
        <f ca="1">IFERROR(__xludf.DUMMYFUNCTION("GOOGLETRANSLATE(A4585, ""zh"", ""en"")"),"Public welfare and volunteer service")</f>
        <v>Public welfare and volunteer service</v>
      </c>
      <c r="C4585" s="1" t="str">
        <f ca="1">IFERROR(__xludf.DUMMYFUNCTION("GOOGLETRANSLATE(E4585, ""zh"", ""en"")"),"Qualitative text")</f>
        <v>Qualitative text</v>
      </c>
    </row>
    <row r="4586" spans="1:3" ht="13" x14ac:dyDescent="0.15">
      <c r="A4586" s="1" t="str">
        <f ca="1">IFERROR(__xludf.DUMMYFUNCTION("GOOGLETRANSLATE(A4586, ""zh"", ""en"")"),"In 2022, the company actively coordinated the construction of domestic and overseas supply chains based on its development strategy, completed the optimization and reform of the supply chain organization, and designed the top-level international supply ch"&amp;"ain. It also released 12 international supply chain system documents applicable to the world, laying a good foundation for the company's international industrial chain and supply chain construction to be further improved.")</f>
        <v>In 2022, the company actively coordinated the construction of domestic and overseas supply chains based on its development strategy, completed the optimization and reform of the supply chain organization, and designed the top-level international supply chain. It also released 12 international supply chain system documents applicable to the world, laying a good foundation for the company's international industrial chain and supply chain construction to be further improved.</v>
      </c>
      <c r="B4586" s="1" t="str">
        <f ca="1">IFERROR(__xludf.DUMMYFUNCTION("GOOGLETRANSLATE(A4586, ""zh"", ""en"")"),"supply chain management")</f>
        <v>supply chain management</v>
      </c>
      <c r="C4586" s="1" t="str">
        <f ca="1">IFERROR(__xludf.DUMMYFUNCTION("GOOGLETRANSLATE(E4586, ""zh"", ""en"")"),"Qualitative text")</f>
        <v>Qualitative text</v>
      </c>
    </row>
    <row r="4587" spans="1:3" ht="13" x14ac:dyDescent="0.15">
      <c r="A4587" s="1" t="str">
        <f ca="1">IFERROR(__xludf.DUMMYFUNCTION("GOOGLETRANSLATE(A4587, ""zh"", ""en"")"),"Over the past five years, under the guidance of new financial concepts, China Construction Bank has undergone profound changes in its business logic, service boundaries, growth paradigm, and value pursuit. While maintaining the development of the first gr"&amp;"owth curve of traditional businesses, it has fully exerted its efforts on the second development curve to achieve sustainable development, thus strengthening its foundation and broadening its prospects.")</f>
        <v>Over the past five years, under the guidance of new financial concepts, China Construction Bank has undergone profound changes in its business logic, service boundaries, growth paradigm, and value pursuit. While maintaining the development of the first growth curve of traditional businesses, it has fully exerted its efforts on the second development curve to achieve sustainable development, thus strengthening its foundation and broadening its prospects.</v>
      </c>
      <c r="B4587" s="1" t="str">
        <f ca="1">IFERROR(__xludf.DUMMYFUNCTION("GOOGLETRANSLATE(A4587, ""zh"", ""en"")"),"irrelevant text")</f>
        <v>irrelevant text</v>
      </c>
      <c r="C4587" s="1" t="str">
        <f ca="1">IFERROR(__xludf.DUMMYFUNCTION("GOOGLETRANSLATE(E4587, ""zh"", ""en"")"),"irrelevant text")</f>
        <v>irrelevant text</v>
      </c>
    </row>
    <row r="4588" spans="1:3" ht="13" x14ac:dyDescent="0.15">
      <c r="A4588" s="1" t="str">
        <f ca="1">IFERROR(__xludf.DUMMYFUNCTION("GOOGLETRANSLATE(A4588, ""zh"", ""en"")"),"The Rural Revitalization Loan product package focuses on serving the credit needs of corporate clients involved in agriculture. It mainly covers rural infrastructure projects, rural public service institutions, leading agricultural industrialization enter"&amp;"prises and other corporate clients involved in agriculture. 37 offline corporate credit products involving agriculture have been launched, including high-standard farmland loans and facility agriculture loans.")</f>
        <v>The Rural Revitalization Loan product package focuses on serving the credit needs of corporate clients involved in agriculture. It mainly covers rural infrastructure projects, rural public service institutions, leading agricultural industrialization enterprises and other corporate clients involved in agriculture. 37 offline corporate credit products involving agriculture have been launched, including high-standard farmland loans and facility agriculture loans.</v>
      </c>
      <c r="B4588" s="1" t="str">
        <f ca="1">IFERROR(__xludf.DUMMYFUNCTION("GOOGLETRANSLATE(A4588, ""zh"", ""en"")"),"Rural assistance")</f>
        <v>Rural assistance</v>
      </c>
      <c r="C4588" s="1" t="str">
        <f ca="1">IFERROR(__xludf.DUMMYFUNCTION("GOOGLETRANSLATE(E4588, ""zh"", ""en"")"),"Quantitative Text")</f>
        <v>Quantitative Text</v>
      </c>
    </row>
    <row r="4589" spans="1:3" ht="13" x14ac:dyDescent="0.15">
      <c r="A4589" s="1" t="str">
        <f ca="1">IFERROR(__xludf.DUMMYFUNCTION("GOOGLETRANSLATE(A4589, ""zh"", ""en"")"),"CDE is committed to resolving customers' emission reduction pain points and actively taking action to achieve carbon peak and carbon neutrality. It has comprehensively upgraded the power management systems of various platforms, reducing the platform's dai"&amp;"ly fuel consumption for dynamic positioning from 29 tons per day to 22 tons per day, and to 14 tons per day when at anchor, receiving unanimous praise from major oil companies.")</f>
        <v>CDE is committed to resolving customers' emission reduction pain points and actively taking action to achieve carbon peak and carbon neutrality. It has comprehensively upgraded the power management systems of various platforms, reducing the platform's daily fuel consumption for dynamic positioning from 29 tons per day to 22 tons per day, and to 14 tons per day when at anchor, receiving unanimous praise from major oil companies.</v>
      </c>
      <c r="B4589" s="1" t="str">
        <f ca="1">IFERROR(__xludf.DUMMYFUNCTION("GOOGLETRANSLATE(A4589, ""zh"", ""en"")"),"carbon emissions")</f>
        <v>carbon emissions</v>
      </c>
      <c r="C4589" s="1" t="str">
        <f ca="1">IFERROR(__xludf.DUMMYFUNCTION("GOOGLETRANSLATE(E4589, ""zh"", ""en"")"),"Quantitative Text")</f>
        <v>Quantitative Text</v>
      </c>
    </row>
    <row r="4590" spans="1:3" ht="13" x14ac:dyDescent="0.15">
      <c r="A4590" s="1" t="str">
        <f ca="1">IFERROR(__xludf.DUMMYFUNCTION("GOOGLETRANSLATE(A4590, ""zh"", ""en"")"),"China Construction Bank Corporation 2022 Social Responsibility Report 58 Target: Conduct bank-wide energy audits from 2022 to 2026. Gradually implement energy-saving renovation projects based on the results of energy audits. Give priority to non-hazardous"&amp;" LED lamps when adding or replacing lighting fixtures.")</f>
        <v>China Construction Bank Corporation 2022 Social Responsibility Report 58 Target: Conduct bank-wide energy audits from 2022 to 2026. Gradually implement energy-saving renovation projects based on the results of energy audits. Give priority to non-hazardous LED lamps when adding or replacing lighting fixtures.</v>
      </c>
      <c r="B4590" s="1" t="str">
        <f ca="1">IFERROR(__xludf.DUMMYFUNCTION("GOOGLETRANSLATE(A4590, ""zh"", ""en"")"),"Audit work")</f>
        <v>Audit work</v>
      </c>
      <c r="C4590" s="1" t="str">
        <f ca="1">IFERROR(__xludf.DUMMYFUNCTION("GOOGLETRANSLATE(E4590, ""zh"", ""en"")"),"Qualitative text")</f>
        <v>Qualitative text</v>
      </c>
    </row>
    <row r="4591" spans="1:3" ht="13" x14ac:dyDescent="0.15">
      <c r="A4591" s="1" t="str">
        <f ca="1">IFERROR(__xludf.DUMMYFUNCTION("GOOGLETRANSLATE(A4591, ""zh"", ""en"")"),"Under the premise of meeting compliance requirements, Erye Pharmaceuticals has upgraded its salt residue waste disposal method from an external third-party disposal method to incineration disposal, which has increased operating costs but brought unpredict"&amp;"able environmental impacts.")</f>
        <v>Under the premise of meeting compliance requirements, Erye Pharmaceuticals has upgraded its salt residue waste disposal method from an external third-party disposal method to incineration disposal, which has increased operating costs but brought unpredictable environmental impacts.</v>
      </c>
      <c r="B4591" s="1" t="str">
        <f ca="1">IFERROR(__xludf.DUMMYFUNCTION("GOOGLETRANSLATE(A4591, ""zh"", ""en"")"),"Waste Management")</f>
        <v>Waste Management</v>
      </c>
      <c r="C4591" s="1" t="str">
        <f ca="1">IFERROR(__xludf.DUMMYFUNCTION("GOOGLETRANSLATE(E4591, ""zh"", ""en"")"),"Qualitative text")</f>
        <v>Qualitative text</v>
      </c>
    </row>
    <row r="4592" spans="1:3" ht="13" x14ac:dyDescent="0.15">
      <c r="A4592" s="1" t="str">
        <f ca="1">IFERROR(__xludf.DUMMYFUNCTION("GOOGLETRANSLATE(A4592, ""zh"", ""en"")"),"All parties involved jointly explore new paths for organically integrating new financial talent cultivation with national strategies, improve the professional discipline training jointly cultivated by banks and schools, focus on talent cultivation, open u"&amp;"p talent cultivation channels, and build platforms such as the joint construction of colleges, industry-education integration training bases, so as to integrate technical and application-oriented talents into the arena of industry, academia, research and "&amp;"application.")</f>
        <v>All parties involved jointly explore new paths for organically integrating new financial talent cultivation with national strategies, improve the professional discipline training jointly cultivated by banks and schools, focus on talent cultivation, open up talent cultivation channels, and build platforms such as the joint construction of colleges, industry-education integration training bases, so as to integrate technical and application-oriented talents into the arena of industry, academia, research and application.</v>
      </c>
      <c r="B4592" s="1" t="str">
        <f ca="1">IFERROR(__xludf.DUMMYFUNCTION("GOOGLETRANSLATE(A4592, ""zh"", ""en"")"),"Promoting employment")</f>
        <v>Promoting employment</v>
      </c>
      <c r="C4592" s="1" t="str">
        <f ca="1">IFERROR(__xludf.DUMMYFUNCTION("GOOGLETRANSLATE(E4592, ""zh"", ""en"")"),"Qualitative text")</f>
        <v>Qualitative text</v>
      </c>
    </row>
    <row r="4593" spans="1:3" ht="13" x14ac:dyDescent="0.15">
      <c r="A4593" s="1" t="str">
        <f ca="1">IFERROR(__xludf.DUMMYFUNCTION("GOOGLETRANSLATE(A4593, ""zh"", ""en"")"),"Interspersed with visits to leading companies, the students will improve their professional capabilities. In recent years, the competition in the pharmaceutical industry has intensified, and the requirements for R&amp;D speed and quality have been increased. "&amp;"Strengthen management capabilities, gain a first-hand understanding of the entire R&amp;D process, break down team barriers, further expand the scale of Fosun Pharma's global R&amp;D center, and establish a holistic awareness of R&amp;D.")</f>
        <v>Interspersed with visits to leading companies, the students will improve their professional capabilities. In recent years, the competition in the pharmaceutical industry has intensified, and the requirements for R&amp;D speed and quality have been increased. Strengthen management capabilities, gain a first-hand understanding of the entire R&amp;D process, break down team barriers, further expand the scale of Fosun Pharma's global R&amp;D center, and establish a holistic awareness of R&amp;D.</v>
      </c>
      <c r="B4593" s="1" t="str">
        <f ca="1">IFERROR(__xludf.DUMMYFUNCTION("GOOGLETRANSLATE(A4593, ""zh"", ""en"")"),"Technological innovation")</f>
        <v>Technological innovation</v>
      </c>
      <c r="C4593" s="1" t="str">
        <f ca="1">IFERROR(__xludf.DUMMYFUNCTION("GOOGLETRANSLATE(E4593, ""zh"", ""en"")"),"Qualitative text")</f>
        <v>Qualitative text</v>
      </c>
    </row>
    <row r="4594" spans="1:3" ht="13" x14ac:dyDescent="0.15">
      <c r="A4594" s="1" t="str">
        <f ca="1">IFERROR(__xludf.DUMMYFUNCTION("GOOGLETRANSLATE(A4594, ""zh"", ""en"")"),"In 2022, the company's board of directors convened 6 shareholders' meetings, including 1 annual shareholders' meeting and 5 extraordinary shareholders' meetings. All of them adopted a combination of on-site voting and online voting. A total of 22 proposal"&amp;"s were reviewed and approved, ensuring shareholders' rights to know, participate, make decisions, etc.")</f>
        <v>In 2022, the company's board of directors convened 6 shareholders' meetings, including 1 annual shareholders' meeting and 5 extraordinary shareholders' meetings. All of them adopted a combination of on-site voting and online voting. A total of 22 proposals were reviewed and approved, ensuring shareholders' rights to know, participate, make decisions, etc.</v>
      </c>
      <c r="B4594" s="1" t="str">
        <f ca="1">IFERROR(__xludf.DUMMYFUNCTION("GOOGLETRANSLATE(A4594, ""zh"", ""en"")"),"Shareholder and creditor rights")</f>
        <v>Shareholder and creditor rights</v>
      </c>
      <c r="C4594" s="1" t="str">
        <f ca="1">IFERROR(__xludf.DUMMYFUNCTION("GOOGLETRANSLATE(E4594, ""zh"", ""en"")"),"Quantitative Text")</f>
        <v>Quantitative Text</v>
      </c>
    </row>
    <row r="4595" spans="1:3" ht="13" x14ac:dyDescent="0.15">
      <c r="A4595" s="1" t="str">
        <f ca="1">IFERROR(__xludf.DUMMYFUNCTION("GOOGLETRANSLATE(A4595, ""zh"", ""en"")"),"From June to September 2022, the Group conducted the sixth EHS Management Month activity for its EHS professionals. The number of EHS professionals at Fosun Pharma Group exceeded 120, distributed in various domestic member companies, helping to identify p"&amp;"otential hazards in waste-free cities and safeguarding health and safety.")</f>
        <v>From June to September 2022, the Group conducted the sixth EHS Management Month activity for its EHS professionals. The number of EHS professionals at Fosun Pharma Group exceeded 120, distributed in various domestic member companies, helping to identify potential hazards in waste-free cities and safeguarding health and safety.</v>
      </c>
      <c r="B4595" s="1" t="str">
        <f ca="1">IFERROR(__xludf.DUMMYFUNCTION("GOOGLETRANSLATE(A4595, ""zh"", ""en"")"),"staff")</f>
        <v>staff</v>
      </c>
      <c r="C4595" s="1" t="str">
        <f ca="1">IFERROR(__xludf.DUMMYFUNCTION("GOOGLETRANSLATE(E4595, ""zh"", ""en"")"),"Quantitative Text")</f>
        <v>Quantitative Text</v>
      </c>
    </row>
    <row r="4596" spans="1:3" ht="13" x14ac:dyDescent="0.15">
      <c r="A4596" s="1" t="str">
        <f ca="1">IFERROR(__xludf.DUMMYFUNCTION("GOOGLETRANSLATE(A4596, ""zh"", ""en"")"),"Completed information security. The company strictly complied with the provisions of relevant laws and regulations such as the Information Disclosure Management Measures for Listed Companies and other normative documents, disclosed information truthfully,"&amp;" accurately, promptly and completely without any information disclosure violations. Successfully completed the preparation and disclosure of 4 regular reports and 76 interim announcements.")</f>
        <v>Completed information security. The company strictly complied with the provisions of relevant laws and regulations such as the Information Disclosure Management Measures for Listed Companies and other normative documents, disclosed information truthfully, accurately, promptly and completely without any information disclosure violations. Successfully completed the preparation and disclosure of 4 regular reports and 76 interim announcements.</v>
      </c>
      <c r="B4596" s="1" t="str">
        <f ca="1">IFERROR(__xludf.DUMMYFUNCTION("GOOGLETRANSLATE(A4596, ""zh"", ""en"")"),"Information Disclosure and Investor Communication")</f>
        <v>Information Disclosure and Investor Communication</v>
      </c>
      <c r="C4596" s="1" t="str">
        <f ca="1">IFERROR(__xludf.DUMMYFUNCTION("GOOGLETRANSLATE(E4596, ""zh"", ""en"")"),"Quantitative Text")</f>
        <v>Quantitative Text</v>
      </c>
    </row>
    <row r="4597" spans="1:3" ht="13" x14ac:dyDescent="0.15">
      <c r="A4597" s="1" t="str">
        <f ca="1">IFERROR(__xludf.DUMMYFUNCTION("GOOGLETRANSLATE(A4597, ""zh"", ""en"")"),"In 2021, we will continue to follow the company's overall social responsibility plan, increase resources and funds in production safety, employee care, business ethics, rural revitalization, charity, and employment solutions, and deeply integrate them wit"&amp;"h the company's development strategy, gradually embarking on a path of responsibility with Shenma's characteristics.")</f>
        <v>In 2021, we will continue to follow the company's overall social responsibility plan, increase resources and funds in production safety, employee care, business ethics, rural revitalization, charity, and employment solutions, and deeply integrate them with the company's development strategy, gradually embarking on a path of responsibility with Shenma's characteristics.</v>
      </c>
      <c r="B4597" s="1" t="str">
        <f ca="1">IFERROR(__xludf.DUMMYFUNCTION("GOOGLETRANSLATE(A4597, ""zh"", ""en"")"),"Public welfare and volunteer service")</f>
        <v>Public welfare and volunteer service</v>
      </c>
      <c r="C4597" s="1" t="str">
        <f ca="1">IFERROR(__xludf.DUMMYFUNCTION("GOOGLETRANSLATE(E4597, ""zh"", ""en"")"),"Qualitative text")</f>
        <v>Qualitative text</v>
      </c>
    </row>
    <row r="4598" spans="1:3" ht="13" x14ac:dyDescent="0.15">
      <c r="A4598" s="1" t="str">
        <f ca="1">IFERROR(__xludf.DUMMYFUNCTION("GOOGLETRANSLATE(A4598, ""zh"", ""en"")"),"The company's industrial structure spans the two major industries of chemical and chemical fiber. Through the implementation of an integrated strategy, a new industrial structure has been formed with nylon 66 salt, the Discipline Inspection Commission, th"&amp;"e Board of Directors, the Supervisory Board, and nylon 66 salt intermediate products, nylon 66 slices, industrial yarn cord fabrics and other leading products as the pillars, and raw and auxiliary materials and related products as the support.")</f>
        <v>The company's industrial structure spans the two major industries of chemical and chemical fiber. Through the implementation of an integrated strategy, a new industrial structure has been formed with nylon 66 salt, the Discipline Inspection Commission, the Board of Directors, the Supervisory Board, and nylon 66 salt intermediate products, nylon 66 slices, industrial yarn cord fabrics and other leading products as the pillars, and raw and auxiliary materials and related products as the support.</v>
      </c>
      <c r="B4598" s="1" t="str">
        <f ca="1">IFERROR(__xludf.DUMMYFUNCTION("GOOGLETRANSLATE(A4598, ""zh"", ""en"")"),"raw materials")</f>
        <v>raw materials</v>
      </c>
      <c r="C4598" s="1" t="str">
        <f ca="1">IFERROR(__xludf.DUMMYFUNCTION("GOOGLETRANSLATE(E4598, ""zh"", ""en"")"),"Qualitative text")</f>
        <v>Qualitative text</v>
      </c>
    </row>
    <row r="4599" spans="1:3" ht="13" x14ac:dyDescent="0.15">
      <c r="A4599" s="1" t="str">
        <f ca="1">IFERROR(__xludf.DUMMYFUNCTION("GOOGLETRANSLATE(A4599, ""zh"", ""en"")"),"In 2018, the company participated in many domestic and international exchange conferences, including the Asia-Pacific Electronics Association Conference, China Internet Civilization Conference, China Digital Economy Expo, World Internet Conference, the 12"&amp;"th China Digital Publishing Expo, China Unicom Partner Conference, etc., contributing to the development of the industry and creating a good external environment for the company's development.")</f>
        <v>In 2018, the company participated in many domestic and international exchange conferences, including the Asia-Pacific Electronics Association Conference, China Internet Civilization Conference, China Digital Economy Expo, World Internet Conference, the 12th China Digital Publishing Expo, China Unicom Partner Conference, etc., contributing to the development of the industry and creating a good external environment for the company's development.</v>
      </c>
      <c r="B4599" s="1" t="str">
        <f ca="1">IFERROR(__xludf.DUMMYFUNCTION("GOOGLETRANSLATE(A4599, ""zh"", ""en"")"),"Technological innovation")</f>
        <v>Technological innovation</v>
      </c>
      <c r="C4599" s="1" t="str">
        <f ca="1">IFERROR(__xludf.DUMMYFUNCTION("GOOGLETRANSLATE(E4599, ""zh"", ""en"")"),"Qualitative text")</f>
        <v>Qualitative text</v>
      </c>
    </row>
    <row r="4600" spans="1:3" ht="13" x14ac:dyDescent="0.15">
      <c r="A4600" s="1" t="str">
        <f ca="1">IFERROR(__xludf.DUMMYFUNCTION("GOOGLETRANSLATE(A4600, ""zh"", ""en"")"),"Smart property technology empowers efficient and high-quality service systems, deepens the system, and improves standards. In 2022, Dongyuan Renzhi Group combined equipment and facility maintenance and renovation with technology. Through cost-effectivenes"&amp;"s analysis, it compiled six technological innovation projects, such as facial recognition and Dongyuan King Kong unmanned operation, to form a list of smart community products.")</f>
        <v>Smart property technology empowers efficient and high-quality service systems, deepens the system, and improves standards. In 2022, Dongyuan Renzhi Group combined equipment and facility maintenance and renovation with technology. Through cost-effectiveness analysis, it compiled six technological innovation projects, such as facial recognition and Dongyuan King Kong unmanned operation, to form a list of smart community products.</v>
      </c>
      <c r="B4600" s="1" t="str">
        <f ca="1">IFERROR(__xludf.DUMMYFUNCTION("GOOGLETRANSLATE(A4600, ""zh"", ""en"")"),"Technological innovation")</f>
        <v>Technological innovation</v>
      </c>
      <c r="C4600" s="1" t="str">
        <f ca="1">IFERROR(__xludf.DUMMYFUNCTION("GOOGLETRANSLATE(E4600, ""zh"", ""en"")"),"Qualitative text")</f>
        <v>Qualitative text</v>
      </c>
    </row>
    <row r="4601" spans="1:3" ht="13" x14ac:dyDescent="0.15">
      <c r="A4601" s="1" t="str">
        <f ca="1">IFERROR(__xludf.DUMMYFUNCTION("GOOGLETRANSLATE(A4601, ""zh"", ""en"")"),"As of December 2022, the company's asset management department has invested in green bonds, rural revitalization bonds and other bonds with a total balance of RMB 31.392 billion. It has participated in 8 rural revitalization bonds with a total amount of R"&amp;"MB 8.65 billion. The raised funds will be used for rural revitalization, green ecological protection, spring plowing and other areas of agriculture, rural areas and farmers.")</f>
        <v>As of December 2022, the company's asset management department has invested in green bonds, rural revitalization bonds and other bonds with a total balance of RMB 31.392 billion. It has participated in 8 rural revitalization bonds with a total amount of RMB 8.65 billion. The raised funds will be used for rural revitalization, green ecological protection, spring plowing and other areas of agriculture, rural areas and farmers.</v>
      </c>
      <c r="B4601" s="1" t="str">
        <f ca="1">IFERROR(__xludf.DUMMYFUNCTION("GOOGLETRANSLATE(A4601, ""zh"", ""en"")"),"Rural assistance")</f>
        <v>Rural assistance</v>
      </c>
      <c r="C4601" s="1" t="str">
        <f ca="1">IFERROR(__xludf.DUMMYFUNCTION("GOOGLETRANSLATE(E4601, ""zh"", ""en"")"),"Quantitative Text")</f>
        <v>Quantitative Text</v>
      </c>
    </row>
    <row r="4602" spans="1:3" ht="13" x14ac:dyDescent="0.15">
      <c r="A4602" s="1" t="str">
        <f ca="1">IFERROR(__xludf.DUMMYFUNCTION("GOOGLETRANSLATE(A4602, ""zh"", ""en"")"),"Materiality Analysis: CITIC Securities maintains good communication with key stakeholders and systematically conducts a materiality assessment process for ESG issues. By comprehensively considering the company's strategy and stakeholder demands, combined "&amp;"with external expert opinions, we identify key ESG issues of concern to stakeholders and disclose them in the report.")</f>
        <v>Materiality Analysis: CITIC Securities maintains good communication with key stakeholders and systematically conducts a materiality assessment process for ESG issues. By comprehensively considering the company's strategy and stakeholder demands, combined with external expert opinions, we identify key ESG issues of concern to stakeholders and disclose them in the report.</v>
      </c>
      <c r="B4602" s="1" t="str">
        <f ca="1">IFERROR(__xludf.DUMMYFUNCTION("GOOGLETRANSLATE(A4602, ""zh"", ""en"")"),"Information Disclosure and Investor Communication")</f>
        <v>Information Disclosure and Investor Communication</v>
      </c>
      <c r="C4602" s="1" t="str">
        <f ca="1">IFERROR(__xludf.DUMMYFUNCTION("GOOGLETRANSLATE(E4602, ""zh"", ""en"")"),"Qualitative text")</f>
        <v>Qualitative text</v>
      </c>
    </row>
    <row r="4603" spans="1:3" ht="13" x14ac:dyDescent="0.15">
      <c r="A4603" s="1" t="str">
        <f ca="1">IFERROR(__xludf.DUMMYFUNCTION("GOOGLETRANSLATE(A4603, ""zh"", ""en"")"),"We focus on our core business and strictly adhere to the financial nature of serving the real economy and the investment needs of the people. We operate in compliance with regulations, with integrity and trustworthiness. We aim to be profitable, but never"&amp;" profit-driven. We adhere to the boundaries of financial services, company operations, personal knowledge, and employee capabilities, and we do what we can and cannot.")</f>
        <v>We focus on our core business and strictly adhere to the financial nature of serving the real economy and the investment needs of the people. We operate in compliance with regulations, with integrity and trustworthiness. We aim to be profitable, but never profit-driven. We adhere to the boundaries of financial services, company operations, personal knowledge, and employee capabilities, and we do what we can and cannot.</v>
      </c>
      <c r="B4603" s="1" t="str">
        <f ca="1">IFERROR(__xludf.DUMMYFUNCTION("GOOGLETRANSLATE(A4603, ""zh"", ""en"")"),"irrelevant text")</f>
        <v>irrelevant text</v>
      </c>
      <c r="C4603" s="1" t="str">
        <f ca="1">IFERROR(__xludf.DUMMYFUNCTION("GOOGLETRANSLATE(E4603, ""zh"", ""en"")"),"irrelevant text")</f>
        <v>irrelevant text</v>
      </c>
    </row>
    <row r="4604" spans="1:3" ht="13" x14ac:dyDescent="0.15">
      <c r="A4604" s="1" t="str">
        <f ca="1">IFERROR(__xludf.DUMMYFUNCTION("GOOGLETRANSLATE(A4604, ""zh"", ""en"")"),"In the fields of pumped hydro storage, molten salt storage, compressed air storage, flywheel storage, etc., Shanghai Electric is expanding its energy storage business by leveraging its existing industrial foundation of nuclear power boilers, steam turbine"&amp;"s, and generators. This effectively integrates traditional manufacturing advantages with emerging energy storage businesses, forming a healthy development pattern for the vast new energy storage market.")</f>
        <v>In the fields of pumped hydro storage, molten salt storage, compressed air storage, flywheel storage, etc., Shanghai Electric is expanding its energy storage business by leveraging its existing industrial foundation of nuclear power boilers, steam turbines, and generators. This effectively integrates traditional manufacturing advantages with emerging energy storage businesses, forming a healthy development pattern for the vast new energy storage market.</v>
      </c>
      <c r="B4604" s="1" t="str">
        <f ca="1">IFERROR(__xludf.DUMMYFUNCTION("GOOGLETRANSLATE(A4604, ""zh"", ""en"")"),"Energy and resource consumption")</f>
        <v>Energy and resource consumption</v>
      </c>
      <c r="C4604" s="1" t="str">
        <f ca="1">IFERROR(__xludf.DUMMYFUNCTION("GOOGLETRANSLATE(E4604, ""zh"", ""en"")"),"Qualitative text")</f>
        <v>Qualitative text</v>
      </c>
    </row>
    <row r="4605" spans="1:3" ht="13" x14ac:dyDescent="0.15">
      <c r="A4605" s="1" t="str">
        <f ca="1">IFERROR(__xludf.DUMMYFUNCTION("GOOGLETRANSLATE(A4605, ""zh"", ""en"")"),"The company's subsidiary, Chuangling Bio, continues to strengthen its cooperation with well-known health and pharmaceutical companies such as Fang Huichuntang and Zhizhonghe. It has introduced its Dendrobium officinale series products to Fang Huichuntang "&amp;"Traditional Chinese Medicine Clinic for sale. It has also collaborated with Zhizhonghe Pharmaceutical to produce forest dendrobium wine for health and wellness. In collaboration with the Yalin Institute, it has successfully developed and launched chewable"&amp;" Ganoderma lucidum tablets.")</f>
        <v>The company's subsidiary, Chuangling Bio, continues to strengthen its cooperation with well-known health and pharmaceutical companies such as Fang Huichuntang and Zhizhonghe. It has introduced its Dendrobium officinale series products to Fang Huichuntang Traditional Chinese Medicine Clinic for sale. It has also collaborated with Zhizhonghe Pharmaceutical to produce forest dendrobium wine for health and wellness. In collaboration with the Yalin Institute, it has successfully developed and launched chewable Ganoderma lucidum tablets.</v>
      </c>
      <c r="B4605" s="1" t="str">
        <f ca="1">IFERROR(__xludf.DUMMYFUNCTION("GOOGLETRANSLATE(A4605, ""zh"", ""en"")"),"Product quality")</f>
        <v>Product quality</v>
      </c>
      <c r="C4605" s="1" t="str">
        <f ca="1">IFERROR(__xludf.DUMMYFUNCTION("GOOGLETRANSLATE(E4605, ""zh"", ""en"")"),"Qualitative text")</f>
        <v>Qualitative text</v>
      </c>
    </row>
    <row r="4606" spans="1:3" ht="13" x14ac:dyDescent="0.15">
      <c r="A4606" s="1" t="str">
        <f ca="1">IFERROR(__xludf.DUMMYFUNCTION("GOOGLETRANSLATE(A4606, ""zh"", ""en"")"),"We successfully jointly applied for a provincial-level joint postgraduate training base with Zhejiang University and Zhejiang Gongshang University. We will continue to make good use of the unified campus recruitment platform and carefully identify future "&amp;"opportunities. In 2022, we will coordinate all member units to participate in 15 talent recruitment fairs. We will recruit more than 1,500 talents through various means such as cloud recruitment and school-enterprise cooperation.")</f>
        <v>We successfully jointly applied for a provincial-level joint postgraduate training base with Zhejiang University and Zhejiang Gongshang University. We will continue to make good use of the unified campus recruitment platform and carefully identify future opportunities. In 2022, we will coordinate all member units to participate in 15 talent recruitment fairs. We will recruit more than 1,500 talents through various means such as cloud recruitment and school-enterprise cooperation.</v>
      </c>
      <c r="B4606" s="1" t="str">
        <f ca="1">IFERROR(__xludf.DUMMYFUNCTION("GOOGLETRANSLATE(A4606, ""zh"", ""en"")"),"Promoting employment")</f>
        <v>Promoting employment</v>
      </c>
      <c r="C4606" s="1" t="str">
        <f ca="1">IFERROR(__xludf.DUMMYFUNCTION("GOOGLETRANSLATE(E4606, ""zh"", ""en"")"),"Quantitative Text")</f>
        <v>Quantitative Text</v>
      </c>
    </row>
    <row r="4607" spans="1:3" ht="13" x14ac:dyDescent="0.15">
      <c r="A4607" s="1" t="str">
        <f ca="1">IFERROR(__xludf.DUMMYFUNCTION("GOOGLETRANSLATE(A4607, ""zh"", ""en"")"),"We increased our efforts to attract in-demand talent, applied for three National Thousand Talents awards, promoted the recruitment of two Japanese elderly care service experts by Jinshi Company, successfully recruited over 40 key personnel from the future"&amp;"s and spot financial team, and guided the Zhejiang Oil Center to successfully recruit a recent doctoral graduate from the University of the Chinese Academy of Sciences who completed his postdoctoral research.")</f>
        <v>We increased our efforts to attract in-demand talent, applied for three National Thousand Talents awards, promoted the recruitment of two Japanese elderly care service experts by Jinshi Company, successfully recruited over 40 key personnel from the futures and spot financial team, and guided the Zhejiang Oil Center to successfully recruit a recent doctoral graduate from the University of the Chinese Academy of Sciences who completed his postdoctoral research.</v>
      </c>
      <c r="B4607" s="1" t="str">
        <f ca="1">IFERROR(__xludf.DUMMYFUNCTION("GOOGLETRANSLATE(A4607, ""zh"", ""en"")"),"staff")</f>
        <v>staff</v>
      </c>
      <c r="C4607" s="1" t="str">
        <f ca="1">IFERROR(__xludf.DUMMYFUNCTION("GOOGLETRANSLATE(E4607, ""zh"", ""en"")"),"Quantitative Text")</f>
        <v>Quantitative Text</v>
      </c>
    </row>
    <row r="4608" spans="1:3" ht="13" x14ac:dyDescent="0.15">
      <c r="A4608" s="1" t="str">
        <f ca="1">IFERROR(__xludf.DUMMYFUNCTION("GOOGLETRANSLATE(A4608, ""zh"", ""en"")"),"The patent application was jointly filed by Dima Industry and Chongqing University of Posts and Telecommunications. The Chongqing Municipal Key Project of Technology Innovation and Application Development, Special Vehicle Multimodal Collaboration and Tran"&amp;"sport Control System R&amp;D and Application in Typical Scenarios, was successfully approved and successfully obtained the first batch of funds allocated by the Municipal Science and Technology Bureau.")</f>
        <v>The patent application was jointly filed by Dima Industry and Chongqing University of Posts and Telecommunications. The Chongqing Municipal Key Project of Technology Innovation and Application Development, Special Vehicle Multimodal Collaboration and Transport Control System R&amp;D and Application in Typical Scenarios, was successfully approved and successfully obtained the first batch of funds allocated by the Municipal Science and Technology Bureau.</v>
      </c>
      <c r="B4608" s="1" t="str">
        <f ca="1">IFERROR(__xludf.DUMMYFUNCTION("GOOGLETRANSLATE(A4608, ""zh"", ""en"")"),"Technological innovation")</f>
        <v>Technological innovation</v>
      </c>
      <c r="C4608" s="1" t="str">
        <f ca="1">IFERROR(__xludf.DUMMYFUNCTION("GOOGLETRANSLATE(E4608, ""zh"", ""en"")"),"Quantitative Text")</f>
        <v>Quantitative Text</v>
      </c>
    </row>
    <row r="4609" spans="1:3" ht="13" x14ac:dyDescent="0.15">
      <c r="A4609" s="1" t="str">
        <f ca="1">IFERROR(__xludf.DUMMYFUNCTION("GOOGLETRANSLATE(A4609, ""zh"", ""en"")"),"Promote mentor-apprentice work, closely combine job requirements and specific training goals, conduct differentiated assessments for each mentor-apprentice pair to ensure that apprentices can master basic knowledge and operational skills. In 2022, 22 ment"&amp;"or-apprentice pairs were paired and assessments were carried out to promote the orderly inheritance of professional skills and the career development of employees.")</f>
        <v>Promote mentor-apprentice work, closely combine job requirements and specific training goals, conduct differentiated assessments for each mentor-apprentice pair to ensure that apprentices can master basic knowledge and operational skills. In 2022, 22 mentor-apprentice pairs were paired and assessments were carried out to promote the orderly inheritance of professional skills and the career development of employees.</v>
      </c>
      <c r="B4609" s="1" t="str">
        <f ca="1">IFERROR(__xludf.DUMMYFUNCTION("GOOGLETRANSLATE(A4609, ""zh"", ""en"")"),"staff")</f>
        <v>staff</v>
      </c>
      <c r="C4609" s="1" t="str">
        <f ca="1">IFERROR(__xludf.DUMMYFUNCTION("GOOGLETRANSLATE(E4609, ""zh"", ""en"")"),"Quantitative Text")</f>
        <v>Quantitative Text</v>
      </c>
    </row>
    <row r="4610" spans="1:3" ht="13" x14ac:dyDescent="0.15">
      <c r="A4610" s="1" t="str">
        <f ca="1">IFERROR(__xludf.DUMMYFUNCTION("GOOGLETRANSLATE(A4610, ""zh"", ""en"")"),"The Risk Management Committee listened to reports on compliance risk management and the bank's case prevention and control work, supervised the comprehensive promotion of employee behavior management, continuously improved the accountability mechanism, de"&amp;"epened operational risk management, and learned in detail about case prevention management. It also pointed out that case accountability should be strengthened to enhance the effectiveness of employee behavior management.")</f>
        <v>The Risk Management Committee listened to reports on compliance risk management and the bank's case prevention and control work, supervised the comprehensive promotion of employee behavior management, continuously improved the accountability mechanism, deepened operational risk management, and learned in detail about case prevention management. It also pointed out that case accountability should be strengthened to enhance the effectiveness of employee behavior management.</v>
      </c>
      <c r="B4610" s="1" t="str">
        <f ca="1">IFERROR(__xludf.DUMMYFUNCTION("GOOGLETRANSLATE(A4610, ""zh"", ""en"")"),"staff")</f>
        <v>staff</v>
      </c>
      <c r="C4610" s="1" t="str">
        <f ca="1">IFERROR(__xludf.DUMMYFUNCTION("GOOGLETRANSLATE(E4610, ""zh"", ""en"")"),"Qualitative text")</f>
        <v>Qualitative text</v>
      </c>
    </row>
    <row r="4611" spans="1:3" ht="13" x14ac:dyDescent="0.15">
      <c r="A4611" s="1" t="str">
        <f ca="1">IFERROR(__xludf.DUMMYFUNCTION("GOOGLETRANSLATE(A4611, ""zh"", ""en"")"),"Yanshan Petrochemical uses the high-temperature waste heat of about 100°C from the catalytic jet fuel hydrogenation and SZorb catalytic gasoline adsorption desulfurization units to drive a first-class absorption heat pump unit to increase the low-temperat"&amp;"ure waste heat of 30-50°C to generate medium-temperature waste heat of 60-70°C as a heating source, thereby replacing the original coal-fired boiler for heating.")</f>
        <v>Yanshan Petrochemical uses the high-temperature waste heat of about 100°C from the catalytic jet fuel hydrogenation and SZorb catalytic gasoline adsorption desulfurization units to drive a first-class absorption heat pump unit to increase the low-temperature waste heat of 30-50°C to generate medium-temperature waste heat of 60-70°C as a heating source, thereby replacing the original coal-fired boiler for heating.</v>
      </c>
      <c r="B4611" s="1" t="str">
        <f ca="1">IFERROR(__xludf.DUMMYFUNCTION("GOOGLETRANSLATE(A4611, ""zh"", ""en"")"),"Waste Management")</f>
        <v>Waste Management</v>
      </c>
      <c r="C4611" s="1" t="str">
        <f ca="1">IFERROR(__xludf.DUMMYFUNCTION("GOOGLETRANSLATE(E4611, ""zh"", ""en"")"),"Quantitative Text")</f>
        <v>Quantitative Text</v>
      </c>
    </row>
    <row r="4612" spans="1:3" ht="13" x14ac:dyDescent="0.15">
      <c r="A4612" s="1" t="str">
        <f ca="1">IFERROR(__xludf.DUMMYFUNCTION("GOOGLETRANSLATE(A4612, ""zh"", ""en"")"),"The company leverages its internal strengths and experience in technology research and development to strengthen research and analysis on carbon footprint accounting and evaluation of petrochemical products. It has established carbon footprint accounting "&amp;"and evaluation methods and models for products such as aviation kerosene, lubricant base oil, polypropylene, and paraxylene, and calculates greenhouse gas emissions throughout the product life cycle.")</f>
        <v>The company leverages its internal strengths and experience in technology research and development to strengthen research and analysis on carbon footprint accounting and evaluation of petrochemical products. It has established carbon footprint accounting and evaluation methods and models for products such as aviation kerosene, lubricant base oil, polypropylene, and paraxylene, and calculates greenhouse gas emissions throughout the product life cycle.</v>
      </c>
      <c r="B4612" s="1" t="str">
        <f ca="1">IFERROR(__xludf.DUMMYFUNCTION("GOOGLETRANSLATE(A4612, ""zh"", ""en"")"),"carbon emissions")</f>
        <v>carbon emissions</v>
      </c>
      <c r="C4612" s="1" t="str">
        <f ca="1">IFERROR(__xludf.DUMMYFUNCTION("GOOGLETRANSLATE(E4612, ""zh"", ""en"")"),"Qualitative text")</f>
        <v>Qualitative text</v>
      </c>
    </row>
    <row r="4613" spans="1:3" ht="13" x14ac:dyDescent="0.15">
      <c r="A4613" s="1" t="str">
        <f ca="1">IFERROR(__xludf.DUMMYFUNCTION("GOOGLETRANSLATE(A4613, ""zh"", ""en"")"),"Implementing the Incentive Measures for Innovation Research Results of Wuchan Zhongda Group Co., Ltd., 53 innovative research projects were launched. After rigorous project review and final evaluation, 3 first prizes, 3 second prizes, and 6 third prizes w"&amp;"ere selected for annual innovative research and development results. 39 innovative achievements recognized by the competent industry departments were directly awarded without review.")</f>
        <v>Implementing the Incentive Measures for Innovation Research Results of Wuchan Zhongda Group Co., Ltd., 53 innovative research projects were launched. After rigorous project review and final evaluation, 3 first prizes, 3 second prizes, and 6 third prizes were selected for annual innovative research and development results. 39 innovative achievements recognized by the competent industry departments were directly awarded without review.</v>
      </c>
      <c r="B4613" s="1" t="str">
        <f ca="1">IFERROR(__xludf.DUMMYFUNCTION("GOOGLETRANSLATE(A4613, ""zh"", ""en"")"),"Technological innovation")</f>
        <v>Technological innovation</v>
      </c>
      <c r="C4613" s="1" t="str">
        <f ca="1">IFERROR(__xludf.DUMMYFUNCTION("GOOGLETRANSLATE(E4613, ""zh"", ""en"")"),"Quantitative Text")</f>
        <v>Quantitative Text</v>
      </c>
    </row>
    <row r="4614" spans="1:3" ht="13" x14ac:dyDescent="0.15">
      <c r="A4614" s="1" t="str">
        <f ca="1">IFERROR(__xludf.DUMMYFUNCTION("GOOGLETRANSLATE(A4614, ""zh"", ""en"")"),"Leveraging the advantages of integrated services in the bulk commodity supply chain, relying on the supply and delivery of steel, cement, cables, and other products, and supported by financial services, we provide services to Pingyang County, Cangnan Coun"&amp;"ty, and other units in the areas of raw material supply, supply chain finance, and modern logistics system upgrades in the warp knitting and plastic knitting industry cluster.")</f>
        <v>Leveraging the advantages of integrated services in the bulk commodity supply chain, relying on the supply and delivery of steel, cement, cables, and other products, and supported by financial services, we provide services to Pingyang County, Cangnan County, and other units in the areas of raw material supply, supply chain finance, and modern logistics system upgrades in the warp knitting and plastic knitting industry cluster.</v>
      </c>
      <c r="B4614" s="1" t="str">
        <f ca="1">IFERROR(__xludf.DUMMYFUNCTION("GOOGLETRANSLATE(A4614, ""zh"", ""en"")"),"supply chain management")</f>
        <v>supply chain management</v>
      </c>
      <c r="C4614" s="1" t="str">
        <f ca="1">IFERROR(__xludf.DUMMYFUNCTION("GOOGLETRANSLATE(E4614, ""zh"", ""en"")"),"Qualitative text")</f>
        <v>Qualitative text</v>
      </c>
    </row>
    <row r="4615" spans="1:3" ht="13" x14ac:dyDescent="0.15">
      <c r="A4615" s="1" t="str">
        <f ca="1">IFERROR(__xludf.DUMMYFUNCTION("GOOGLETRANSLATE(A4615, ""zh"", ""en"")"),"To strengthen supervision and better track the entire life cycle of waste, Erye Pharmaceutical's Suzhou base has launched an online waste scanning system. It has set facility identification QR codes at waste generation facilities, storage facilities, and "&amp;"self-use and disposal facilities, and posted hazardous waste packaging QR codes on hazardous waste packaging.")</f>
        <v>To strengthen supervision and better track the entire life cycle of waste, Erye Pharmaceutical's Suzhou base has launched an online waste scanning system. It has set facility identification QR codes at waste generation facilities, storage facilities, and self-use and disposal facilities, and posted hazardous waste packaging QR codes on hazardous waste packaging.</v>
      </c>
      <c r="B4615" s="1" t="str">
        <f ca="1">IFERROR(__xludf.DUMMYFUNCTION("GOOGLETRANSLATE(A4615, ""zh"", ""en"")"),"Waste Management")</f>
        <v>Waste Management</v>
      </c>
      <c r="C4615" s="1" t="str">
        <f ca="1">IFERROR(__xludf.DUMMYFUNCTION("GOOGLETRANSLATE(E4615, ""zh"", ""en"")"),"Qualitative text")</f>
        <v>Qualitative text</v>
      </c>
    </row>
    <row r="4616" spans="1:3" ht="13" x14ac:dyDescent="0.15">
      <c r="A4616" s="1" t="str">
        <f ca="1">IFERROR(__xludf.DUMMYFUNCTION("GOOGLETRANSLATE(A4616, ""zh"", ""en"")"),"We regularly hold supplier seminars, symposiums, and professional training activities to publicize the company's procurement policies, supplier management concepts, company operating conditions, and the latest developments, creating a cooperative evaluati"&amp;"on standard consisting of quantitative performance, buyer evaluation, and user unit evaluation to create a win-win business atmosphere.")</f>
        <v>We regularly hold supplier seminars, symposiums, and professional training activities to publicize the company's procurement policies, supplier management concepts, company operating conditions, and the latest developments, creating a cooperative evaluation standard consisting of quantitative performance, buyer evaluation, and user unit evaluation to create a win-win business atmosphere.</v>
      </c>
      <c r="B4616" s="1" t="str">
        <f ca="1">IFERROR(__xludf.DUMMYFUNCTION("GOOGLETRANSLATE(A4616, ""zh"", ""en"")"),"supply chain management")</f>
        <v>supply chain management</v>
      </c>
      <c r="C4616" s="1" t="str">
        <f ca="1">IFERROR(__xludf.DUMMYFUNCTION("GOOGLETRANSLATE(E4616, ""zh"", ""en"")"),"Qualitative text")</f>
        <v>Qualitative text</v>
      </c>
    </row>
    <row r="4617" spans="1:3" ht="13" x14ac:dyDescent="0.15">
      <c r="A4617" s="1" t="str">
        <f ca="1">IFERROR(__xludf.DUMMYFUNCTION("GOOGLETRANSLATE(A4617, ""zh"", ""en"")"),"On the basis of in-depth study of the causes of external accidents, we classified the accumulated accidents caused by collision, running or collision, and required member companies to conduct self-inspection and self-examination of internal hidden dangers"&amp;" in a timely manner in 2021. There were 2 accidents caused by collision and collision by moving objects, and we achieved comprehensive investigation and elimination of similar hidden dangers.")</f>
        <v>On the basis of in-depth study of the causes of external accidents, we classified the accumulated accidents caused by collision, running or collision, and required member companies to conduct self-inspection and self-examination of internal hidden dangers in a timely manner in 2021. There were 2 accidents caused by collision and collision by moving objects, and we achieved comprehensive investigation and elimination of similar hidden dangers.</v>
      </c>
      <c r="B4617" s="1" t="str">
        <f ca="1">IFERROR(__xludf.DUMMYFUNCTION("GOOGLETRANSLATE(A4617, ""zh"", ""en"")"),"staff")</f>
        <v>staff</v>
      </c>
      <c r="C4617" s="1" t="str">
        <f ca="1">IFERROR(__xludf.DUMMYFUNCTION("GOOGLETRANSLATE(E4617, ""zh"", ""en"")"),"Quantitative Text")</f>
        <v>Quantitative Text</v>
      </c>
    </row>
    <row r="4618" spans="1:3" ht="13" x14ac:dyDescent="0.15">
      <c r="A4618" s="1" t="str">
        <f ca="1">IFERROR(__xludf.DUMMYFUNCTION("GOOGLETRANSLATE(A4618, ""zh"", ""en"")"),"The company has established and continuously improved rules and regulations such as collective consultation, employee representative conference, open democratic management, and formulated a democratic management work plan to protect employees' legal right"&amp;"s such as the right to know, the right to participate, and the right to supervise. It encourages employees to fully participate in the company's democratic management so that every employee can contribute to the company's development.")</f>
        <v>The company has established and continuously improved rules and regulations such as collective consultation, employee representative conference, open democratic management, and formulated a democratic management work plan to protect employees' legal rights such as the right to know, the right to participate, and the right to supervise. It encourages employees to fully participate in the company's democratic management so that every employee can contribute to the company's development.</v>
      </c>
      <c r="B4618" s="1" t="str">
        <f ca="1">IFERROR(__xludf.DUMMYFUNCTION("GOOGLETRANSLATE(A4618, ""zh"", ""en"")"),"staff")</f>
        <v>staff</v>
      </c>
      <c r="C4618" s="1" t="str">
        <f ca="1">IFERROR(__xludf.DUMMYFUNCTION("GOOGLETRANSLATE(E4618, ""zh"", ""en"")"),"Qualitative text")</f>
        <v>Qualitative text</v>
      </c>
    </row>
    <row r="4619" spans="1:3" ht="13" x14ac:dyDescent="0.15">
      <c r="A4619" s="1" t="str">
        <f ca="1">IFERROR(__xludf.DUMMYFUNCTION("GOOGLETRANSLATE(A4619, ""zh"", ""en"")"),"In 2022, the company launched a pilot project for the construction of a zero-waste group and released a pilot work plan for the construction of a zero-waste group, a waste-free group construction indicator system, evaluation indicators for the creation of"&amp;" zero-waste enterprises, and an implementation plan for special safety rectification work in the disposal of hazardous wastes. It also carried out various solid waste reduction projects.")</f>
        <v>In 2022, the company launched a pilot project for the construction of a zero-waste group and released a pilot work plan for the construction of a zero-waste group, a waste-free group construction indicator system, evaluation indicators for the creation of zero-waste enterprises, and an implementation plan for special safety rectification work in the disposal of hazardous wastes. It also carried out various solid waste reduction projects.</v>
      </c>
      <c r="B4619" s="1" t="str">
        <f ca="1">IFERROR(__xludf.DUMMYFUNCTION("GOOGLETRANSLATE(A4619, ""zh"", ""en"")"),"Waste Management")</f>
        <v>Waste Management</v>
      </c>
      <c r="C4619" s="1" t="str">
        <f ca="1">IFERROR(__xludf.DUMMYFUNCTION("GOOGLETRANSLATE(E4619, ""zh"", ""en"")"),"Qualitative text")</f>
        <v>Qualitative text</v>
      </c>
    </row>
    <row r="4620" spans="1:3" ht="13" x14ac:dyDescent="0.15">
      <c r="A4620" s="1" t="str">
        <f ca="1">IFERROR(__xludf.DUMMYFUNCTION("GOOGLETRANSLATE(A4620, ""zh"", ""en"")"),"The integration of production and marketing has brought Longshang products from the fields to thousands of households. Sinopec continues to optimize its production, supply, and marketing operations, leveraging its advantages in channels, marketing, and tr"&amp;"affic. It explores and creates a unique support model that leverages channels to drive sales, sales to drive industries, and industries to drive revitalization. This strengthens Dongxiang's hematopoietic function and drives income growth for the people.")</f>
        <v>The integration of production and marketing has brought Longshang products from the fields to thousands of households. Sinopec continues to optimize its production, supply, and marketing operations, leveraging its advantages in channels, marketing, and traffic. It explores and creates a unique support model that leverages channels to drive sales, sales to drive industries, and industries to drive revitalization. This strengthens Dongxiang's hematopoietic function and drives income growth for the people.</v>
      </c>
      <c r="B4620" s="1" t="str">
        <f ca="1">IFERROR(__xludf.DUMMYFUNCTION("GOOGLETRANSLATE(A4620, ""zh"", ""en"")"),"Rural assistance")</f>
        <v>Rural assistance</v>
      </c>
      <c r="C4620" s="1" t="str">
        <f ca="1">IFERROR(__xludf.DUMMYFUNCTION("GOOGLETRANSLATE(E4620, ""zh"", ""en"")"),"Qualitative text")</f>
        <v>Qualitative text</v>
      </c>
    </row>
    <row r="4621" spans="1:3" ht="13" x14ac:dyDescent="0.15">
      <c r="A4621" s="1" t="str">
        <f ca="1">IFERROR(__xludf.DUMMYFUNCTION("GOOGLETRANSLATE(A4621, ""zh"", ""en"")"),"Improve service efficiency and establish a unified information-based and standardized customer service evaluation system. After customers use e-wallets to refuel, the system immediately pushes service evaluation information to their mobile phones. Custome"&amp;"rs can evaluate service quality based on six aspects: service experience, venue environment, product recommendations, queue time, equipment facilities, payment, and invoicing.")</f>
        <v>Improve service efficiency and establish a unified information-based and standardized customer service evaluation system. After customers use e-wallets to refuel, the system immediately pushes service evaluation information to their mobile phones. Customers can evaluate service quality based on six aspects: service experience, venue environment, product recommendations, queue time, equipment facilities, payment, and invoicing.</v>
      </c>
      <c r="B4621" s="1" t="str">
        <f ca="1">IFERROR(__xludf.DUMMYFUNCTION("GOOGLETRANSLATE(A4621, ""zh"", ""en"")"),"Customers and Consumers")</f>
        <v>Customers and Consumers</v>
      </c>
      <c r="C4621" s="1" t="str">
        <f ca="1">IFERROR(__xludf.DUMMYFUNCTION("GOOGLETRANSLATE(E4621, ""zh"", ""en"")"),"Qualitative text")</f>
        <v>Qualitative text</v>
      </c>
    </row>
    <row r="4622" spans="1:3" ht="13" x14ac:dyDescent="0.15">
      <c r="A4622" s="1" t="str">
        <f ca="1">IFERROR(__xludf.DUMMYFUNCTION("GOOGLETRANSLATE(A4622, ""zh"", ""en"")"),"Community communication mechanism and community impact assessment. Sinopec has established an environmental information disclosure system to promptly disclose environmental information in accordance with laws and regulations. Pollution notice boards have "&amp;"been set up outside pollution emission sites to publicize environmental information such as the site's main processes, major pollutant types, and discharge volumes, and a complaint hotline has been posted.")</f>
        <v>Community communication mechanism and community impact assessment. Sinopec has established an environmental information disclosure system to promptly disclose environmental information in accordance with laws and regulations. Pollution notice boards have been set up outside pollution emission sites to publicize environmental information such as the site's main processes, major pollutant types, and discharge volumes, and a complaint hotline has been posted.</v>
      </c>
      <c r="B4622" s="1" t="str">
        <f ca="1">IFERROR(__xludf.DUMMYFUNCTION("GOOGLETRANSLATE(A4622, ""zh"", ""en"")"),"Environmental Policy")</f>
        <v>Environmental Policy</v>
      </c>
      <c r="C4622" s="1" t="str">
        <f ca="1">IFERROR(__xludf.DUMMYFUNCTION("GOOGLETRANSLATE(E4622, ""zh"", ""en"")"),"Qualitative text")</f>
        <v>Qualitative text</v>
      </c>
    </row>
    <row r="4623" spans="1:3" ht="13" x14ac:dyDescent="0.15">
      <c r="A4623" s="1" t="str">
        <f ca="1">IFERROR(__xludf.DUMMYFUNCTION("GOOGLETRANSLATE(A4623, ""zh"", ""en"")"),"COSL 2022 ESG Report 15 Comprehensive Risk Management Internal Control Management Internal Control System and Institutional Development Internal Control System Training Internal Control Assessment The company focuses on strategic issues and risks to stren"&amp;"gthen the top-level design of its institutional system and continuously improves its demand-oriented, business-driven, collaborative and efficient global institutional system.")</f>
        <v>COSL 2022 ESG Report 15 Comprehensive Risk Management Internal Control Management Internal Control System and Institutional Development Internal Control System Training Internal Control Assessment The company focuses on strategic issues and risks to strengthen the top-level design of its institutional system and continuously improves its demand-oriented, business-driven, collaborative and efficient global institutional system.</v>
      </c>
      <c r="B4623" s="1" t="str">
        <f ca="1">IFERROR(__xludf.DUMMYFUNCTION("GOOGLETRANSLATE(A4623, ""zh"", ""en"")"),"Organizational structure and operations")</f>
        <v>Organizational structure and operations</v>
      </c>
      <c r="C4623" s="1" t="str">
        <f ca="1">IFERROR(__xludf.DUMMYFUNCTION("GOOGLETRANSLATE(E4623, ""zh"", ""en"")"),"Qualitative text")</f>
        <v>Qualitative text</v>
      </c>
    </row>
    <row r="4624" spans="1:3" ht="13" x14ac:dyDescent="0.15">
      <c r="A4624" s="1" t="str">
        <f ca="1">IFERROR(__xludf.DUMMYFUNCTION("GOOGLETRANSLATE(A4624, ""zh"", ""en"")"),"In 1996, we successfully developed high-efficiency, thin-diameter T5 straight fluorescent lamps and became the first in the lighting industry to pass ISO9001 quality assurance system certification. We were recognized by the State Science and Technology Co"&amp;"mmission as a key high-tech enterprise in the National Torch Program. We were awarded the National Eighth Five-Year Plan Technology Transformation Project Award by the State Economic and Trade Commission.")</f>
        <v>In 1996, we successfully developed high-efficiency, thin-diameter T5 straight fluorescent lamps and became the first in the lighting industry to pass ISO9001 quality assurance system certification. We were recognized by the State Science and Technology Commission as a key high-tech enterprise in the National Torch Program. We were awarded the National Eighth Five-Year Plan Technology Transformation Project Award by the State Economic and Trade Commission.</v>
      </c>
      <c r="B4624" s="1" t="str">
        <f ca="1">IFERROR(__xludf.DUMMYFUNCTION("GOOGLETRANSLATE(A4624, ""zh"", ""en"")"),"Technological innovation")</f>
        <v>Technological innovation</v>
      </c>
      <c r="C4624" s="1" t="str">
        <f ca="1">IFERROR(__xludf.DUMMYFUNCTION("GOOGLETRANSLATE(E4624, ""zh"", ""en"")"),"Qualitative text")</f>
        <v>Qualitative text</v>
      </c>
    </row>
    <row r="4625" spans="1:3" ht="13" x14ac:dyDescent="0.15">
      <c r="A4625" s="1" t="str">
        <f ca="1">IFERROR(__xludf.DUMMYFUNCTION("GOOGLETRANSLATE(A4625, ""zh"", ""en"")"),"6. Production Safety: Building a Safe Factory. The company conscientiously implements the national and local government's production safety laws, regulations and rules and regulations, and effectively strengthens the responsibility for production safety. "&amp;"The company has established and improved the production safety management system and formulated and revised the production safety operating procedures for corresponding production positions.")</f>
        <v>6. Production Safety: Building a Safe Factory. The company conscientiously implements the national and local government's production safety laws, regulations and rules and regulations, and effectively strengthens the responsibility for production safety. The company has established and improved the production safety management system and formulated and revised the production safety operating procedures for corresponding production positions.</v>
      </c>
      <c r="B4625" s="1" t="str">
        <f ca="1">IFERROR(__xludf.DUMMYFUNCTION("GOOGLETRANSLATE(A4625, ""zh"", ""en"")"),"staff")</f>
        <v>staff</v>
      </c>
      <c r="C4625" s="1" t="str">
        <f ca="1">IFERROR(__xludf.DUMMYFUNCTION("GOOGLETRANSLATE(E4625, ""zh"", ""en"")"),"Qualitative text")</f>
        <v>Qualitative text</v>
      </c>
    </row>
    <row r="4626" spans="1:3" ht="13" x14ac:dyDescent="0.15">
      <c r="A4626" s="1" t="str">
        <f ca="1">IFERROR(__xludf.DUMMYFUNCTION("GOOGLETRANSLATE(A4626, ""zh"", ""en"")"),"982022 Social Responsibility Report: Spending Summer Vacation Together, Cute Kids Enter the Electric Industry. As a key initiative to promote practical employee services, Shanghai Electric has bridged the gap between the Group and its employees and their "&amp;"families. The event invited the adorable second generation of electricians to visit their parents' workplaces and endeavors.")</f>
        <v>982022 Social Responsibility Report: Spending Summer Vacation Together, Cute Kids Enter the Electric Industry. As a key initiative to promote practical employee services, Shanghai Electric has bridged the gap between the Group and its employees and their families. The event invited the adorable second generation of electricians to visit their parents' workplaces and endeavors.</v>
      </c>
      <c r="B4626" s="1" t="str">
        <f ca="1">IFERROR(__xludf.DUMMYFUNCTION("GOOGLETRANSLATE(A4626, ""zh"", ""en"")"),"staff")</f>
        <v>staff</v>
      </c>
      <c r="C4626" s="1" t="str">
        <f ca="1">IFERROR(__xludf.DUMMYFUNCTION("GOOGLETRANSLATE(E4626, ""zh"", ""en"")"),"Qualitative text")</f>
        <v>Qualitative text</v>
      </c>
    </row>
    <row r="4627" spans="1:3" ht="13" x14ac:dyDescent="0.15">
      <c r="A4627" s="1" t="str">
        <f ca="1">IFERROR(__xludf.DUMMYFUNCTION("GOOGLETRANSLATE(A4627, ""zh"", ""en"")"),"The company manages suppliers strictly in accordance with the quality management system such as GMPGSP, starting from supplier development, supplier certification, supplier performance evaluation and risk management to supplier termination, and establishe"&amp;"s a standardized supplier management system to manage the entire supplier life cycle.")</f>
        <v>The company manages suppliers strictly in accordance with the quality management system such as GMPGSP, starting from supplier development, supplier certification, supplier performance evaluation and risk management to supplier termination, and establishes a standardized supplier management system to manage the entire supplier life cycle.</v>
      </c>
      <c r="B4627" s="1" t="str">
        <f ca="1">IFERROR(__xludf.DUMMYFUNCTION("GOOGLETRANSLATE(A4627, ""zh"", ""en"")"),"supply chain management")</f>
        <v>supply chain management</v>
      </c>
      <c r="C4627" s="1" t="str">
        <f ca="1">IFERROR(__xludf.DUMMYFUNCTION("GOOGLETRANSLATE(E4627, ""zh"", ""en"")"),"Qualitative text")</f>
        <v>Qualitative text</v>
      </c>
    </row>
    <row r="4628" spans="1:3" ht="13" x14ac:dyDescent="0.15">
      <c r="A4628" s="1" t="str">
        <f ca="1">IFERROR(__xludf.DUMMYFUNCTION("GOOGLETRANSLATE(A4628, ""zh"", ""en"")"),"Upon completion, the project will become the largest centralized photovoltaic project in Shanghai, generating approximately 140 million kWh of electricity annually, saving approximately 43,400 tons of standard coal and reducing carbon dioxide emissions by"&amp;" approximately 108,300 tons. This will significantly increase the proportion of clean energy in Chongming and help build Chongming into a beautiful countryside and a world-class ecological island.")</f>
        <v>Upon completion, the project will become the largest centralized photovoltaic project in Shanghai, generating approximately 140 million kWh of electricity annually, saving approximately 43,400 tons of standard coal and reducing carbon dioxide emissions by approximately 108,300 tons. This will significantly increase the proportion of clean energy in Chongming and help build Chongming into a beautiful countryside and a world-class ecological island.</v>
      </c>
      <c r="B4628" s="1" t="str">
        <f ca="1">IFERROR(__xludf.DUMMYFUNCTION("GOOGLETRANSLATE(A4628, ""zh"", ""en"")"),"Energy and resource consumption")</f>
        <v>Energy and resource consumption</v>
      </c>
      <c r="C4628" s="1" t="str">
        <f ca="1">IFERROR(__xludf.DUMMYFUNCTION("GOOGLETRANSLATE(E4628, ""zh"", ""en"")"),"Quantitative Text")</f>
        <v>Quantitative Text</v>
      </c>
    </row>
    <row r="4629" spans="1:3" ht="13" x14ac:dyDescent="0.15">
      <c r="A4629" s="1" t="str">
        <f ca="1">IFERROR(__xludf.DUMMYFUNCTION("GOOGLETRANSLATE(A4629, ""zh"", ""en"")"),"Dolby 1Q Dolby Laboratories International Technical Services Shanghai Co., Ltd. Shenzhen Branch deepens its presence in the display industry chain through its controlling stake in Changelight Optoelectronics, accelerating the development and promotion of "&amp;"new technologies such as MiniLED, MicroLED, and UHDA certification. Allion Digital Testing Shenzhen Co., Ltd.")</f>
        <v>Dolby 1Q Dolby Laboratories International Technical Services Shanghai Co., Ltd. Shenzhen Branch deepens its presence in the display industry chain through its controlling stake in Changelight Optoelectronics, accelerating the development and promotion of new technologies such as MiniLED, MicroLED, and UHDA certification. Allion Digital Testing Shenzhen Co., Ltd.</v>
      </c>
      <c r="B4629" s="1" t="str">
        <f ca="1">IFERROR(__xludf.DUMMYFUNCTION("GOOGLETRANSLATE(A4629, ""zh"", ""en"")"),"Technological innovation")</f>
        <v>Technological innovation</v>
      </c>
      <c r="C4629" s="1" t="str">
        <f ca="1">IFERROR(__xludf.DUMMYFUNCTION("GOOGLETRANSLATE(E4629, ""zh"", ""en"")"),"Qualitative text")</f>
        <v>Qualitative text</v>
      </c>
    </row>
    <row r="4630" spans="1:3" ht="13" x14ac:dyDescent="0.15">
      <c r="A4630" s="1" t="str">
        <f ca="1">IFERROR(__xludf.DUMMYFUNCTION("GOOGLETRANSLATE(A4630, ""zh"", ""en"")"),"72 Joincare Pharmaceutical Group Co., Ltd. 8.2.1 Energy Management The Group strictly abides by the Energy Conservation Law of the People's Republic of China, the Clean Production Promotion Law of the People's Republic of China and other laws and regulati"&amp;"ons, and continuously strengthens the development of its energy management system by referring to energy management system standards such as ISO50001.")</f>
        <v>72 Joincare Pharmaceutical Group Co., Ltd. 8.2.1 Energy Management The Group strictly abides by the Energy Conservation Law of the People's Republic of China, the Clean Production Promotion Law of the People's Republic of China and other laws and regulations, and continuously strengthens the development of its energy management system by referring to energy management system standards such as ISO50001.</v>
      </c>
      <c r="B4630" s="1" t="str">
        <f ca="1">IFERROR(__xludf.DUMMYFUNCTION("GOOGLETRANSLATE(A4630, ""zh"", ""en"")"),"Energy and resource consumption")</f>
        <v>Energy and resource consumption</v>
      </c>
      <c r="C4630" s="1" t="str">
        <f ca="1">IFERROR(__xludf.DUMMYFUNCTION("GOOGLETRANSLATE(E4630, ""zh"", ""en"")"),"Qualitative text")</f>
        <v>Qualitative text</v>
      </c>
    </row>
    <row r="4631" spans="1:3" ht="13" x14ac:dyDescent="0.15">
      <c r="A4631" s="1" t="str">
        <f ca="1">IFERROR(__xludf.DUMMYFUNCTION("GOOGLETRANSLATE(A4631, ""zh"", ""en"")"),"In 2022, we promoted the platformization, systematization and standardization of occupational health and safety production systems. We upgraded 22 procedural documents, 88 management systems, 429 factory-level systems and 20 basic records for occupational"&amp;" health management, providing a more reliable system guarantee for safe production and employee health.")</f>
        <v>In 2022, we promoted the platformization, systematization and standardization of occupational health and safety production systems. We upgraded 22 procedural documents, 88 management systems, 429 factory-level systems and 20 basic records for occupational health management, providing a more reliable system guarantee for safe production and employee health.</v>
      </c>
      <c r="B4631" s="1" t="str">
        <f ca="1">IFERROR(__xludf.DUMMYFUNCTION("GOOGLETRANSLATE(A4631, ""zh"", ""en"")"),"staff")</f>
        <v>staff</v>
      </c>
      <c r="C4631" s="1" t="str">
        <f ca="1">IFERROR(__xludf.DUMMYFUNCTION("GOOGLETRANSLATE(E4631, ""zh"", ""en"")"),"Quantitative Text")</f>
        <v>Quantitative Text</v>
      </c>
    </row>
    <row r="4632" spans="1:3" ht="13" x14ac:dyDescent="0.15">
      <c r="A4632" s="1" t="str">
        <f ca="1">IFERROR(__xludf.DUMMYFUNCTION("GOOGLETRANSLATE(A4632, ""zh"", ""en"")"),"The upgraded nursery is dominated by pink. Walls are covered with the usage agreement and breastfeeding tips. It's equipped with soft sofas, rest tables and chairs, dedicated storage racks, a refrigerator, mother and baby books, a large gift pack, and oth"&amp;"er amenities to meet the special needs of working mothers and provide a comfortable and private breastfeeding space.")</f>
        <v>The upgraded nursery is dominated by pink. Walls are covered with the usage agreement and breastfeeding tips. It's equipped with soft sofas, rest tables and chairs, dedicated storage racks, a refrigerator, mother and baby books, a large gift pack, and other amenities to meet the special needs of working mothers and provide a comfortable and private breastfeeding space.</v>
      </c>
      <c r="B4632" s="1" t="str">
        <f ca="1">IFERROR(__xludf.DUMMYFUNCTION("GOOGLETRANSLATE(A4632, ""zh"", ""en"")"),"staff")</f>
        <v>staff</v>
      </c>
      <c r="C4632" s="1" t="str">
        <f ca="1">IFERROR(__xludf.DUMMYFUNCTION("GOOGLETRANSLATE(E4632, ""zh"", ""en"")"),"Qualitative text")</f>
        <v>Qualitative text</v>
      </c>
    </row>
    <row r="4633" spans="1:3" ht="13" x14ac:dyDescent="0.15">
      <c r="A4633" s="1" t="str">
        <f ca="1">IFERROR(__xludf.DUMMYFUNCTION("GOOGLETRANSLATE(A4633, ""zh"", ""en"")"),"5 About this Report China National Petroleum Corporation was founded on November 5, 1999, through the restructuring of the former China National Petroleum Corporation (now China National Petroleum Corporation, abbreviated as CNPC).")</f>
        <v>5 About this Report China National Petroleum Corporation was founded on November 5, 1999, through the restructuring of the former China National Petroleum Corporation (now China National Petroleum Corporation, abbreviated as CNPC).</v>
      </c>
      <c r="B4633" s="1" t="str">
        <f ca="1">IFERROR(__xludf.DUMMYFUNCTION("GOOGLETRANSLATE(A4633, ""zh"", ""en"")"),"Organizational structure and operations")</f>
        <v>Organizational structure and operations</v>
      </c>
      <c r="C4633" s="1" t="str">
        <f ca="1">IFERROR(__xludf.DUMMYFUNCTION("GOOGLETRANSLATE(E4633, ""zh"", ""en"")"),"Qualitative text")</f>
        <v>Qualitative text</v>
      </c>
    </row>
    <row r="4634" spans="1:3" ht="13" x14ac:dyDescent="0.15">
      <c r="A4634" s="1" t="str">
        <f ca="1">IFERROR(__xludf.DUMMYFUNCTION("GOOGLETRANSLATE(A4634, ""zh"", ""en"")"),"In 2022, the company held the 8th Employee Representative Conference to discuss and pass the proposal to upgrade the employee care program. It decided to continue to implement the Love Relief Fund policy and upgrade the employee mutual aid program and Hic"&amp;"are Maker Protection Mechanism to help employees with serious illnesses and their families overcome difficulties.")</f>
        <v>In 2022, the company held the 8th Employee Representative Conference to discuss and pass the proposal to upgrade the employee care program. It decided to continue to implement the Love Relief Fund policy and upgrade the employee mutual aid program and Hicare Maker Protection Mechanism to help employees with serious illnesses and their families overcome difficulties.</v>
      </c>
      <c r="B4634" s="1" t="str">
        <f ca="1">IFERROR(__xludf.DUMMYFUNCTION("GOOGLETRANSLATE(A4634, ""zh"", ""en"")"),"staff")</f>
        <v>staff</v>
      </c>
      <c r="C4634" s="1" t="str">
        <f ca="1">IFERROR(__xludf.DUMMYFUNCTION("GOOGLETRANSLATE(E4634, ""zh"", ""en"")"),"Qualitative text")</f>
        <v>Qualitative text</v>
      </c>
    </row>
    <row r="4635" spans="1:3" ht="13" x14ac:dyDescent="0.15">
      <c r="A4635" s="1" t="str">
        <f ca="1">IFERROR(__xludf.DUMMYFUNCTION("GOOGLETRANSLATE(A4635, ""zh"", ""en"")"),"Signed strategic cooperation agreements with many companies to make agreements on product development, delivery, service interaction, etc. Strengthened exchanges and communication with suppliers on social responsibility in daily management of upstream and"&amp;" downstream companies. Regularly promoted the company's close cooperation with suppliers in terms of integrity, quality, environmental protection, etc. through online training.")</f>
        <v>Signed strategic cooperation agreements with many companies to make agreements on product development, delivery, service interaction, etc. Strengthened exchanges and communication with suppliers on social responsibility in daily management of upstream and downstream companies. Regularly promoted the company's close cooperation with suppliers in terms of integrity, quality, environmental protection, etc. through online training.</v>
      </c>
      <c r="B4635" s="1" t="str">
        <f ca="1">IFERROR(__xludf.DUMMYFUNCTION("GOOGLETRANSLATE(A4635, ""zh"", ""en"")"),"supply chain management")</f>
        <v>supply chain management</v>
      </c>
      <c r="C4635" s="1" t="str">
        <f ca="1">IFERROR(__xludf.DUMMYFUNCTION("GOOGLETRANSLATE(E4635, ""zh"", ""en"")"),"Qualitative text")</f>
        <v>Qualitative text</v>
      </c>
    </row>
    <row r="4636" spans="1:3" ht="13" x14ac:dyDescent="0.15">
      <c r="A4636" s="1" t="str">
        <f ca="1">IFERROR(__xludf.DUMMYFUNCTION("GOOGLETRANSLATE(A4636, ""zh"", ""en"")"),"Haibin Pharmaceutical Quality Training, Kangyuan Haibin's Third Cultural Development Activity Case Study, 2022 Kangyuan Haibin's Third Cultural Development Activity 312022 Social Responsibility Report 5.4 Supply Chain Quality Management Supply chain quali"&amp;"ty management is the focus of Kangyuan's work to ensure product quality.")</f>
        <v>Haibin Pharmaceutical Quality Training, Kangyuan Haibin's Third Cultural Development Activity Case Study, 2022 Kangyuan Haibin's Third Cultural Development Activity 312022 Social Responsibility Report 5.4 Supply Chain Quality Management Supply chain quality management is the focus of Kangyuan's work to ensure product quality.</v>
      </c>
      <c r="B4636" s="1" t="str">
        <f ca="1">IFERROR(__xludf.DUMMYFUNCTION("GOOGLETRANSLATE(A4636, ""zh"", ""en"")"),"supply chain management")</f>
        <v>supply chain management</v>
      </c>
      <c r="C4636" s="1" t="str">
        <f ca="1">IFERROR(__xludf.DUMMYFUNCTION("GOOGLETRANSLATE(E4636, ""zh"", ""en"")"),"Qualitative text")</f>
        <v>Qualitative text</v>
      </c>
    </row>
    <row r="4637" spans="1:3" ht="13" x14ac:dyDescent="0.15">
      <c r="A4637" s="1" t="str">
        <f ca="1">IFERROR(__xludf.DUMMYFUNCTION("GOOGLETRANSLATE(A4637, ""zh"", ""en"")"),"Supplier access, supplier environmental and social risk management, Haier Smart Home focuses on suppliers' performance in environmental and social risk management, including labor rights and business ethics, and has formulated management measures such as "&amp;"the Haier Group Business Code of Conduct and the Supplier Code of Conduct to urge suppliers to fulfill their environmental and social responsibilities.")</f>
        <v>Supplier access, supplier environmental and social risk management, Haier Smart Home focuses on suppliers' performance in environmental and social risk management, including labor rights and business ethics, and has formulated management measures such as the Haier Group Business Code of Conduct and the Supplier Code of Conduct to urge suppliers to fulfill their environmental and social responsibilities.</v>
      </c>
      <c r="B4637" s="1" t="str">
        <f ca="1">IFERROR(__xludf.DUMMYFUNCTION("GOOGLETRANSLATE(A4637, ""zh"", ""en"")"),"supply chain management")</f>
        <v>supply chain management</v>
      </c>
      <c r="C4637" s="1" t="str">
        <f ca="1">IFERROR(__xludf.DUMMYFUNCTION("GOOGLETRANSLATE(E4637, ""zh"", ""en"")"),"Qualitative text")</f>
        <v>Qualitative text</v>
      </c>
    </row>
    <row r="4638" spans="1:3" ht="13" x14ac:dyDescent="0.15">
      <c r="A4638" s="1" t="str">
        <f ca="1">IFERROR(__xludf.DUMMYFUNCTION("GOOGLETRANSLATE(A4638, ""zh"", ""en"")"),"The Baowu Green Carbon Private Equity Investment Fund, jointly initiated by China Baowu Jianxin Investment Green Development Fund, completed the signing of the agreement in December 2021 and was officially launched in March 2022, marking the entry of one "&amp;"of the largest carbon neutrality theme funds in the domestic market into the fast lane.")</f>
        <v>The Baowu Green Carbon Private Equity Investment Fund, jointly initiated by China Baowu Jianxin Investment Green Development Fund, completed the signing of the agreement in December 2021 and was officially launched in March 2022, marking the entry of one of the largest carbon neutrality theme funds in the domestic market into the fast lane.</v>
      </c>
      <c r="B4638" s="1" t="str">
        <f ca="1">IFERROR(__xludf.DUMMYFUNCTION("GOOGLETRANSLATE(A4638, ""zh"", ""en"")"),"carbon emissions")</f>
        <v>carbon emissions</v>
      </c>
      <c r="C4638" s="1" t="str">
        <f ca="1">IFERROR(__xludf.DUMMYFUNCTION("GOOGLETRANSLATE(E4638, ""zh"", ""en"")"),"Qualitative text")</f>
        <v>Qualitative text</v>
      </c>
    </row>
    <row r="4639" spans="1:3" ht="13" x14ac:dyDescent="0.15">
      <c r="A4639" s="1" t="str">
        <f ca="1">IFERROR(__xludf.DUMMYFUNCTION("GOOGLETRANSLATE(A4639, ""zh"", ""en"")"),"During the reporting period, Tibet Everest responded to the Shanghai Stock Exchange's information disclosure supervision letter regarding Tibet Everest Resources Co., Ltd.'s 2022 semi-annual report, supplemented the disclosure with relevant information, f"&amp;"urther improved the company's information disclosure system, and enhanced the company's information disclosure level.")</f>
        <v>During the reporting period, Tibet Everest responded to the Shanghai Stock Exchange's information disclosure supervision letter regarding Tibet Everest Resources Co., Ltd.'s 2022 semi-annual report, supplemented the disclosure with relevant information, further improved the company's information disclosure system, and enhanced the company's information disclosure level.</v>
      </c>
      <c r="B4639" s="1" t="str">
        <f ca="1">IFERROR(__xludf.DUMMYFUNCTION("GOOGLETRANSLATE(A4639, ""zh"", ""en"")"),"Information Disclosure and Investor Communication")</f>
        <v>Information Disclosure and Investor Communication</v>
      </c>
      <c r="C4639" s="1" t="str">
        <f ca="1">IFERROR(__xludf.DUMMYFUNCTION("GOOGLETRANSLATE(E4639, ""zh"", ""en"")"),"Qualitative text")</f>
        <v>Qualitative text</v>
      </c>
    </row>
    <row r="4640" spans="1:3" ht="13" x14ac:dyDescent="0.15">
      <c r="A4640" s="1" t="str">
        <f ca="1">IFERROR(__xludf.DUMMYFUNCTION("GOOGLETRANSLATE(A4640, ""zh"", ""en"")"),"The discarded electronic information products disclosed in the China Construction Bank Social Responsibility Report refer to the total number of discarded electronic information products of the China Construction Bank Head Office and 37 branches during th"&amp;"e reporting period, including microcomputers, monitors, terminals, servers, notebook computers, ordinary laser printers and servers.")</f>
        <v>The discarded electronic information products disclosed in the China Construction Bank Social Responsibility Report refer to the total number of discarded electronic information products of the China Construction Bank Head Office and 37 branches during the reporting period, including microcomputers, monitors, terminals, servers, notebook computers, ordinary laser printers and servers.</v>
      </c>
      <c r="B4640" s="1" t="str">
        <f ca="1">IFERROR(__xludf.DUMMYFUNCTION("GOOGLETRANSLATE(A4640, ""zh"", ""en"")"),"Waste Management")</f>
        <v>Waste Management</v>
      </c>
      <c r="C4640" s="1" t="str">
        <f ca="1">IFERROR(__xludf.DUMMYFUNCTION("GOOGLETRANSLATE(E4640, ""zh"", ""en"")"),"Quantitative Text")</f>
        <v>Quantitative Text</v>
      </c>
    </row>
    <row r="4641" spans="1:3" ht="13" x14ac:dyDescent="0.15">
      <c r="A4641" s="1" t="str">
        <f ca="1">IFERROR(__xludf.DUMMYFUNCTION("GOOGLETRANSLATE(A4641, ""zh"", ""en"")"),"The Workers' Harbor Service provides a place for outdoor workers and other workers to rest and relax. It also provides public services. It also provides humane services to special groups such as the elderly, the weak, the sick, the disabled, and pregnant "&amp;"women. It also provides public education and publicity. It also enhances the relationship with the general public, including outdoor workers.")</f>
        <v>The Workers' Harbor Service provides a place for outdoor workers and other workers to rest and relax. It also provides public services. It also provides humane services to special groups such as the elderly, the weak, the sick, the disabled, and pregnant women. It also provides public education and publicity. It also enhances the relationship with the general public, including outdoor workers.</v>
      </c>
      <c r="B4641" s="1" t="str">
        <f ca="1">IFERROR(__xludf.DUMMYFUNCTION("GOOGLETRANSLATE(A4641, ""zh"", ""en"")"),"Public welfare and volunteer service")</f>
        <v>Public welfare and volunteer service</v>
      </c>
      <c r="C4641" s="1" t="str">
        <f ca="1">IFERROR(__xludf.DUMMYFUNCTION("GOOGLETRANSLATE(E4641, ""zh"", ""en"")"),"Qualitative text")</f>
        <v>Qualitative text</v>
      </c>
    </row>
    <row r="4642" spans="1:3" ht="13" x14ac:dyDescent="0.15">
      <c r="A4642" s="1" t="str">
        <f ca="1">IFERROR(__xludf.DUMMYFUNCTION("GOOGLETRANSLATE(A4642, ""zh"", ""en"")"),"The number of suppliers in Northeast China disclosed in China Construction Bank's Social Responsibility Report refers to the number of suppliers registered in Northeast China among all real-name registered suppliers in China Construction Bank's supplier d"&amp;"atabase, excluding domestic and overseas subsidiaries, as of the end of the reporting period.")</f>
        <v>The number of suppliers in Northeast China disclosed in China Construction Bank's Social Responsibility Report refers to the number of suppliers registered in Northeast China among all real-name registered suppliers in China Construction Bank's supplier database, excluding domestic and overseas subsidiaries, as of the end of the reporting period.</v>
      </c>
      <c r="B4642" s="1" t="str">
        <f ca="1">IFERROR(__xludf.DUMMYFUNCTION("GOOGLETRANSLATE(A4642, ""zh"", ""en"")"),"supply chain management")</f>
        <v>supply chain management</v>
      </c>
      <c r="C4642" s="1" t="str">
        <f ca="1">IFERROR(__xludf.DUMMYFUNCTION("GOOGLETRANSLATE(E4642, ""zh"", ""en"")"),"Qualitative text")</f>
        <v>Qualitative text</v>
      </c>
    </row>
    <row r="4643" spans="1:3" ht="13" x14ac:dyDescent="0.15">
      <c r="A4643" s="1" t="str">
        <f ca="1">IFERROR(__xludf.DUMMYFUNCTION("GOOGLETRANSLATE(A4643, ""zh"", ""en"")"),"The number of suppliers in the western region disclosed in the China Construction Bank's Social Responsibility Report refers to the number of suppliers registered in the western region among all real-name registered suppliers in the supplier database of C"&amp;"hina Construction Bank (excluding domestic and overseas subsidiaries) as of the end of the reporting period.")</f>
        <v>The number of suppliers in the western region disclosed in the China Construction Bank's Social Responsibility Report refers to the number of suppliers registered in the western region among all real-name registered suppliers in the supplier database of China Construction Bank (excluding domestic and overseas subsidiaries) as of the end of the reporting period.</v>
      </c>
      <c r="B4643" s="1" t="str">
        <f ca="1">IFERROR(__xludf.DUMMYFUNCTION("GOOGLETRANSLATE(A4643, ""zh"", ""en"")"),"supply chain management")</f>
        <v>supply chain management</v>
      </c>
      <c r="C4643" s="1" t="str">
        <f ca="1">IFERROR(__xludf.DUMMYFUNCTION("GOOGLETRANSLATE(E4643, ""zh"", ""en"")"),"Qualitative text")</f>
        <v>Qualitative text</v>
      </c>
    </row>
    <row r="4644" spans="1:3" ht="13" x14ac:dyDescent="0.15">
      <c r="A4644" s="1" t="str">
        <f ca="1">IFERROR(__xludf.DUMMYFUNCTION("GOOGLETRANSLATE(A4644, ""zh"", ""en"")"),"The number of suppliers in the central region disclosed in the China Construction Bank's Social Responsibility Report refers to the number of suppliers registered in the central region among all real-name registered suppliers in the supplier database of C"&amp;"hina Construction Bank (excluding domestic and overseas subsidiaries) as of the end of the reporting period.")</f>
        <v>The number of suppliers in the central region disclosed in the China Construction Bank's Social Responsibility Report refers to the number of suppliers registered in the central region among all real-name registered suppliers in the supplier database of China Construction Bank (excluding domestic and overseas subsidiaries) as of the end of the reporting period.</v>
      </c>
      <c r="B4644" s="1" t="str">
        <f ca="1">IFERROR(__xludf.DUMMYFUNCTION("GOOGLETRANSLATE(A4644, ""zh"", ""en"")"),"supply chain management")</f>
        <v>supply chain management</v>
      </c>
      <c r="C4644" s="1" t="str">
        <f ca="1">IFERROR(__xludf.DUMMYFUNCTION("GOOGLETRANSLATE(E4644, ""zh"", ""en"")"),"Qualitative text")</f>
        <v>Qualitative text</v>
      </c>
    </row>
    <row r="4645" spans="1:3" ht="13" x14ac:dyDescent="0.15">
      <c r="A4645" s="1" t="str">
        <f ca="1">IFERROR(__xludf.DUMMYFUNCTION("GOOGLETRANSLATE(A4645, ""zh"", ""en"")"),"In 2022, Livzon Group once again hired an external third-party organization to conduct a satisfaction survey on all employees based on the Gallup system and Kincentric model, covering 16 dimensions including engagement, work-life balance, career developme"&amp;"nt opportunities, diversity and inclusion, performance management, and employer brand.")</f>
        <v>In 2022, Livzon Group once again hired an external third-party organization to conduct a satisfaction survey on all employees based on the Gallup system and Kincentric model, covering 16 dimensions including engagement, work-life balance, career development opportunities, diversity and inclusion, performance management, and employer brand.</v>
      </c>
      <c r="B4645" s="1" t="str">
        <f ca="1">IFERROR(__xludf.DUMMYFUNCTION("GOOGLETRANSLATE(A4645, ""zh"", ""en"")"),"staff")</f>
        <v>staff</v>
      </c>
      <c r="C4645" s="1" t="str">
        <f ca="1">IFERROR(__xludf.DUMMYFUNCTION("GOOGLETRANSLATE(E4645, ""zh"", ""en"")"),"Quantitative Text")</f>
        <v>Quantitative Text</v>
      </c>
    </row>
    <row r="4646" spans="1:3" ht="13" x14ac:dyDescent="0.15">
      <c r="A4646" s="1" t="str">
        <f ca="1">IFERROR(__xludf.DUMMYFUNCTION("GOOGLETRANSLATE(A4646, ""zh"", ""en"")"),"552022 Social Responsibility Report 7.2.1 Employee Structure Jiankangyuan continues to increase its efforts to attract talent, actively carries out social recruitment, campus recruitment and other activities, and continuously expands recruitment channels "&amp;"through recruitment methods including online recruitment, internal referrals, headhunting cooperation, and government agency cooperation to strengthen the group's talent pool.")</f>
        <v>552022 Social Responsibility Report 7.2.1 Employee Structure Jiankangyuan continues to increase its efforts to attract talent, actively carries out social recruitment, campus recruitment and other activities, and continuously expands recruitment channels through recruitment methods including online recruitment, internal referrals, headhunting cooperation, and government agency cooperation to strengthen the group's talent pool.</v>
      </c>
      <c r="B4646" s="1" t="str">
        <f ca="1">IFERROR(__xludf.DUMMYFUNCTION("GOOGLETRANSLATE(A4646, ""zh"", ""en"")"),"staff")</f>
        <v>staff</v>
      </c>
      <c r="C4646" s="1" t="str">
        <f ca="1">IFERROR(__xludf.DUMMYFUNCTION("GOOGLETRANSLATE(E4646, ""zh"", ""en"")"),"Qualitative text")</f>
        <v>Qualitative text</v>
      </c>
    </row>
    <row r="4647" spans="1:3" ht="13" x14ac:dyDescent="0.15">
      <c r="A4647" s="1" t="str">
        <f ca="1">IFERROR(__xludf.DUMMYFUNCTION("GOOGLETRANSLATE(A4647, ""zh"", ""en"")"),"This clinical trial, chaired by Academician Zhong Nanshan, pioneered the world's first dual clinical efficacy study endpoints of bacterial load change and bronchiectasis patient quality of life score, achieving the world's first double-positive significan"&amp;"t efficacy conclusion and good safety, providing solid and reliable data support for the successful launch of the drug.")</f>
        <v>This clinical trial, chaired by Academician Zhong Nanshan, pioneered the world's first dual clinical efficacy study endpoints of bacterial load change and bronchiectasis patient quality of life score, achieving the world's first double-positive significant efficacy conclusion and good safety, providing solid and reliable data support for the successful launch of the drug.</v>
      </c>
      <c r="B4647" s="1" t="str">
        <f ca="1">IFERROR(__xludf.DUMMYFUNCTION("GOOGLETRANSLATE(A4647, ""zh"", ""en"")"),"Fighting the epidemic")</f>
        <v>Fighting the epidemic</v>
      </c>
      <c r="C4647" s="1" t="str">
        <f ca="1">IFERROR(__xludf.DUMMYFUNCTION("GOOGLETRANSLATE(E4647, ""zh"", ""en"")"),"Qualitative text")</f>
        <v>Qualitative text</v>
      </c>
    </row>
    <row r="4648" spans="1:3" ht="13" x14ac:dyDescent="0.15">
      <c r="A4648" s="1" t="str">
        <f ca="1">IFERROR(__xludf.DUMMYFUNCTION("GOOGLETRANSLATE(A4648, ""zh"", ""en"")"),"The magazine has collaborated with the Internet Society of China, the Mangrove Foundation, the Beijing Association for Science and Technology, and other organizations on numerous public welfare activities, reaching hundreds of millions of users. It has co"&amp;"ntributed to various fields, including cultivating online literacy among young people, improving the scientific literacy of the general public, caring for people with autism, protecting endangered animals, and celebrating national events.")</f>
        <v>The magazine has collaborated with the Internet Society of China, the Mangrove Foundation, the Beijing Association for Science and Technology, and other organizations on numerous public welfare activities, reaching hundreds of millions of users. It has contributed to various fields, including cultivating online literacy among young people, improving the scientific literacy of the general public, caring for people with autism, protecting endangered animals, and celebrating national events.</v>
      </c>
      <c r="B4648" s="1" t="str">
        <f ca="1">IFERROR(__xludf.DUMMYFUNCTION("GOOGLETRANSLATE(A4648, ""zh"", ""en"")"),"Public welfare and volunteer service")</f>
        <v>Public welfare and volunteer service</v>
      </c>
      <c r="C4648" s="1" t="str">
        <f ca="1">IFERROR(__xludf.DUMMYFUNCTION("GOOGLETRANSLATE(E4648, ""zh"", ""en"")"),"Quantitative Text")</f>
        <v>Quantitative Text</v>
      </c>
    </row>
    <row r="4649" spans="1:3" ht="13" x14ac:dyDescent="0.15">
      <c r="A4649" s="1" t="str">
        <f ca="1">IFERROR(__xludf.DUMMYFUNCTION("GOOGLETRANSLATE(A4649, ""zh"", ""en"")"),"The Compensation and Appraisal Committee reviews the structure and makes recommendations to the Board of Directors. It reviews the performance appraisal of the Company's executive directors and senior management, as well as the performance of senior manag"&amp;"ement in fulfilling their responsibilities. It also reviews the implementation of their annual compensation plans for the previous year and the current year's performance appraisal and compensation plans.")</f>
        <v>The Compensation and Appraisal Committee reviews the structure and makes recommendations to the Board of Directors. It reviews the performance appraisal of the Company's executive directors and senior management, as well as the performance of senior management in fulfilling their responsibilities. It also reviews the implementation of their annual compensation plans for the previous year and the current year's performance appraisal and compensation plans.</v>
      </c>
      <c r="B4649" s="1" t="str">
        <f ca="1">IFERROR(__xludf.DUMMYFUNCTION("GOOGLETRANSLATE(A4649, ""zh"", ""en"")"),"Organizational structure and operations")</f>
        <v>Organizational structure and operations</v>
      </c>
      <c r="C4649" s="1" t="str">
        <f ca="1">IFERROR(__xludf.DUMMYFUNCTION("GOOGLETRANSLATE(E4649, ""zh"", ""en"")"),"Qualitative text")</f>
        <v>Qualitative text</v>
      </c>
    </row>
    <row r="4650" spans="1:3" ht="13" x14ac:dyDescent="0.15">
      <c r="A4650" s="1" t="str">
        <f ca="1">IFERROR(__xludf.DUMMYFUNCTION("GOOGLETRANSLATE(A4650, ""zh"", ""en"")"),"The KOL and owner co-creation service project in Kunming Jinma Center regularly organizes parent-child classroom charity activities for children in the area, providing themed parent-child activities for nearly 2,000 children. It also holds monthly childre"&amp;"n's council activities to allow children to participate in community governance and actively build a child-friendly community.")</f>
        <v>The KOL and owner co-creation service project in Kunming Jinma Center regularly organizes parent-child classroom charity activities for children in the area, providing themed parent-child activities for nearly 2,000 children. It also holds monthly children's council activities to allow children to participate in community governance and actively build a child-friendly community.</v>
      </c>
      <c r="B4650" s="1" t="str">
        <f ca="1">IFERROR(__xludf.DUMMYFUNCTION("GOOGLETRANSLATE(A4650, ""zh"", ""en"")"),"Public welfare and volunteer service")</f>
        <v>Public welfare and volunteer service</v>
      </c>
      <c r="C4650" s="1" t="str">
        <f ca="1">IFERROR(__xludf.DUMMYFUNCTION("GOOGLETRANSLATE(E4650, ""zh"", ""en"")"),"Quantitative Text")</f>
        <v>Quantitative Text</v>
      </c>
    </row>
    <row r="4651" spans="1:3" ht="13" x14ac:dyDescent="0.15">
      <c r="A4651" s="1" t="str">
        <f ca="1">IFERROR(__xludf.DUMMYFUNCTION("GOOGLETRANSLATE(A4651, ""zh"", ""en"")"),"3. In response to the national strategy to consolidate and expand the results of poverty alleviation, during the reporting period, the company donated RMB 300,000 to Xiao County to purchase corn harvesters, RMB 50,000 to maintain the hazelnut forest in Ta"&amp;"oxu Village, Zhuangli Township, and RMB 63,000 of special funds to purchase agricultural products from Xiao County. The above three items have invested a total of RMB 413,000 in assistance funds.")</f>
        <v>3. In response to the national strategy to consolidate and expand the results of poverty alleviation, during the reporting period, the company donated RMB 300,000 to Xiao County to purchase corn harvesters, RMB 50,000 to maintain the hazelnut forest in Taoxu Village, Zhuangli Township, and RMB 63,000 of special funds to purchase agricultural products from Xiao County. The above three items have invested a total of RMB 413,000 in assistance funds.</v>
      </c>
      <c r="B4651" s="1" t="str">
        <f ca="1">IFERROR(__xludf.DUMMYFUNCTION("GOOGLETRANSLATE(A4651, ""zh"", ""en"")"),"Rural assistance")</f>
        <v>Rural assistance</v>
      </c>
      <c r="C4651" s="1" t="str">
        <f ca="1">IFERROR(__xludf.DUMMYFUNCTION("GOOGLETRANSLATE(E4651, ""zh"", ""en"")"),"Quantitative Text")</f>
        <v>Quantitative Text</v>
      </c>
    </row>
    <row r="4652" spans="1:3" ht="13" x14ac:dyDescent="0.15">
      <c r="A4652" s="1" t="str">
        <f ca="1">IFERROR(__xludf.DUMMYFUNCTION("GOOGLETRANSLATE(A4652, ""zh"", ""en"")"),"Kangyuan has established a long-term mechanism to prevent controlling shareholders, actual controllers and other related parties from misappropriating the company's funds and infringing on the interests of the listed company. It has formulated a managemen"&amp;"t system to prevent controlling shareholders, actual controllers and other related parties from misappropriating the company's funds and ensure the company's stable development through systematic management.")</f>
        <v>Kangyuan has established a long-term mechanism to prevent controlling shareholders, actual controllers and other related parties from misappropriating the company's funds and infringing on the interests of the listed company. It has formulated a management system to prevent controlling shareholders, actual controllers and other related parties from misappropriating the company's funds and ensure the company's stable development through systematic management.</v>
      </c>
      <c r="B4652" s="1" t="str">
        <f ca="1">IFERROR(__xludf.DUMMYFUNCTION("GOOGLETRANSLATE(A4652, ""zh"", ""en"")"),"Shareholder and creditor rights")</f>
        <v>Shareholder and creditor rights</v>
      </c>
      <c r="C4652" s="1" t="str">
        <f ca="1">IFERROR(__xludf.DUMMYFUNCTION("GOOGLETRANSLATE(E4652, ""zh"", ""en"")"),"Qualitative text")</f>
        <v>Qualitative text</v>
      </c>
    </row>
    <row r="4653" spans="1:3" ht="13" x14ac:dyDescent="0.15">
      <c r="A4653" s="1" t="str">
        <f ca="1">IFERROR(__xludf.DUMMYFUNCTION("GOOGLETRANSLATE(A4653, ""zh"", ""en"")"),"The system is integrated with the group's OA system internally and connected to platforms such as Qichacha externally. It not only realizes the interconnection of multi-platform data, but also realizes the intelligent integrated management and control of "&amp;"project industrial and commercial public opinion risks, legal litigation risks, stock price fluctuation risks, and payment execution risks, building a new project management scenario based on digitalization.")</f>
        <v>The system is integrated with the group's OA system internally and connected to platforms such as Qichacha externally. It not only realizes the interconnection of multi-platform data, but also realizes the intelligent integrated management and control of project industrial and commercial public opinion risks, legal litigation risks, stock price fluctuation risks, and payment execution risks, building a new project management scenario based on digitalization.</v>
      </c>
      <c r="B4653" s="1" t="str">
        <f ca="1">IFERROR(__xludf.DUMMYFUNCTION("GOOGLETRANSLATE(A4653, ""zh"", ""en"")"),"Legal proceedings and external sanctions")</f>
        <v>Legal proceedings and external sanctions</v>
      </c>
      <c r="C4653" s="1" t="str">
        <f ca="1">IFERROR(__xludf.DUMMYFUNCTION("GOOGLETRANSLATE(E4653, ""zh"", ""en"")"),"Qualitative text")</f>
        <v>Qualitative text</v>
      </c>
    </row>
    <row r="4654" spans="1:3" ht="13" x14ac:dyDescent="0.15">
      <c r="A4654" s="1" t="str">
        <f ca="1">IFERROR(__xludf.DUMMYFUNCTION("GOOGLETRANSLATE(A4654, ""zh"", ""en"")"),"Corporate Strategy 05 Organizational Scope Major Annual Honors 06 This report covers Hisense Visual Technology Co., Ltd. and its subsidiaries. For ease of expression, the report uses the terms ""Hisense Visual Technology Co., Ltd."", ""Company"" or ""we"""&amp;" to refer to the Company and its subsidiaries.")</f>
        <v>Corporate Strategy 05 Organizational Scope Major Annual Honors 06 This report covers Hisense Visual Technology Co., Ltd. and its subsidiaries. For ease of expression, the report uses the terms "Hisense Visual Technology Co., Ltd.", "Company" or "we" to refer to the Company and its subsidiaries.</v>
      </c>
      <c r="B4654" s="1" t="str">
        <f ca="1">IFERROR(__xludf.DUMMYFUNCTION("GOOGLETRANSLATE(A4654, ""zh"", ""en"")"),"Organizational structure and operations")</f>
        <v>Organizational structure and operations</v>
      </c>
      <c r="C4654" s="1" t="str">
        <f ca="1">IFERROR(__xludf.DUMMYFUNCTION("GOOGLETRANSLATE(E4654, ""zh"", ""en"")"),"Qualitative text")</f>
        <v>Qualitative text</v>
      </c>
    </row>
    <row r="4655" spans="1:3" ht="13" x14ac:dyDescent="0.15">
      <c r="A4655" s="1" t="str">
        <f ca="1">IFERROR(__xludf.DUMMYFUNCTION("GOOGLETRANSLATE(A4655, ""zh"", ""en"")"),"Risk Appetite Statement: Overall, the fourth quarter saw good execution of strategic and market risk tolerances, financial risk tolerances, and legal risk tolerances, all within the required indicators. Among operational risk tolerances, a small number of"&amp;" businesses exceeded the warning and limit values ​​for the accounts receivable indicator. Relevant units actively implemented measures and the situation has returned to normal in the short term.")</f>
        <v>Risk Appetite Statement: Overall, the fourth quarter saw good execution of strategic and market risk tolerances, financial risk tolerances, and legal risk tolerances, all within the required indicators. Among operational risk tolerances, a small number of businesses exceeded the warning and limit values ​​for the accounts receivable indicator. Relevant units actively implemented measures and the situation has returned to normal in the short term.</v>
      </c>
      <c r="B4655" s="1" t="str">
        <f ca="1">IFERROR(__xludf.DUMMYFUNCTION("GOOGLETRANSLATE(A4655, ""zh"", ""en"")"),"Legal proceedings and external sanctions")</f>
        <v>Legal proceedings and external sanctions</v>
      </c>
      <c r="C4655" s="1" t="str">
        <f ca="1">IFERROR(__xludf.DUMMYFUNCTION("GOOGLETRANSLATE(E4655, ""zh"", ""en"")"),"Qualitative text")</f>
        <v>Qualitative text</v>
      </c>
    </row>
    <row r="4656" spans="1:3" ht="13" x14ac:dyDescent="0.15">
      <c r="A4656" s="1" t="str">
        <f ca="1">IFERROR(__xludf.DUMMYFUNCTION("GOOGLETRANSLATE(A4656, ""zh"", ""en"")"),"SDIC Capital's 2022 ESG Report: Financial Services for the Real Economy 5455: Working Together to Build a Better Society Customer Service SDIC Capital and its investee companies have established service hotlines and online customer service channels to ens"&amp;"ure timely and effective communication and problem solving, improving service quality and customer satisfaction.")</f>
        <v>SDIC Capital's 2022 ESG Report: Financial Services for the Real Economy 5455: Working Together to Build a Better Society Customer Service SDIC Capital and its investee companies have established service hotlines and online customer service channels to ensure timely and effective communication and problem solving, improving service quality and customer satisfaction.</v>
      </c>
      <c r="B4656" s="1" t="str">
        <f ca="1">IFERROR(__xludf.DUMMYFUNCTION("GOOGLETRANSLATE(A4656, ""zh"", ""en"")"),"Customers and Consumers")</f>
        <v>Customers and Consumers</v>
      </c>
      <c r="C4656" s="1" t="str">
        <f ca="1">IFERROR(__xludf.DUMMYFUNCTION("GOOGLETRANSLATE(E4656, ""zh"", ""en"")"),"Qualitative text")</f>
        <v>Qualitative text</v>
      </c>
    </row>
    <row r="4657" spans="1:3" ht="13" x14ac:dyDescent="0.15">
      <c r="A4657" s="1" t="str">
        <f ca="1">IFERROR(__xludf.DUMMYFUNCTION("GOOGLETRANSLATE(A4657, ""zh"", ""en"")"),"During the 32nd National Energy Conservation Publicity Week, Zhongda Environmental Energy, Zhongda Industrial, Zhongda Chemical, Zhongda Health, Zhongda Jinshi and other companies carried out in-depth environmental protection and energy conservation publi"&amp;"city activities around the theme of green, low-carbon and energy-saving leading activities, actively creating a strong atmosphere of advocating conservation, green and low-carbon.")</f>
        <v>During the 32nd National Energy Conservation Publicity Week, Zhongda Environmental Energy, Zhongda Industrial, Zhongda Chemical, Zhongda Health, Zhongda Jinshi and other companies carried out in-depth environmental protection and energy conservation publicity activities around the theme of green, low-carbon and energy-saving leading activities, actively creating a strong atmosphere of advocating conservation, green and low-carbon.</v>
      </c>
      <c r="B4657" s="1" t="str">
        <f ca="1">IFERROR(__xludf.DUMMYFUNCTION("GOOGLETRANSLATE(A4657, ""zh"", ""en"")"),"Energy and resource consumption")</f>
        <v>Energy and resource consumption</v>
      </c>
      <c r="C4657" s="1" t="str">
        <f ca="1">IFERROR(__xludf.DUMMYFUNCTION("GOOGLETRANSLATE(E4657, ""zh"", ""en"")"),"Qualitative text")</f>
        <v>Qualitative text</v>
      </c>
    </row>
    <row r="4658" spans="1:3" ht="13" x14ac:dyDescent="0.15">
      <c r="A4658" s="1" t="str">
        <f ca="1">IFERROR(__xludf.DUMMYFUNCTION("GOOGLETRANSLATE(A4658, ""zh"", ""en"")"),"Over the past year, we have vigorously promoted the comprehensive cloud transformation of our infrastructure, being the first in the industry to launch the CCB Cloud Service brand. Our server scale has expanded to 68 times that of five years ago. Our big "&amp;"data platform processes over 55 billion data entries in real time daily, effectively supporting the development and growth of various core businesses and the new financial ecosystem on the cloud.")</f>
        <v>Over the past year, we have vigorously promoted the comprehensive cloud transformation of our infrastructure, being the first in the industry to launch the CCB Cloud Service brand. Our server scale has expanded to 68 times that of five years ago. Our big data platform processes over 55 billion data entries in real time daily, effectively supporting the development and growth of various core businesses and the new financial ecosystem on the cloud.</v>
      </c>
      <c r="B4658" s="1" t="str">
        <f ca="1">IFERROR(__xludf.DUMMYFUNCTION("GOOGLETRANSLATE(A4658, ""zh"", ""en"")"),"Technological innovation")</f>
        <v>Technological innovation</v>
      </c>
      <c r="C4658" s="1" t="str">
        <f ca="1">IFERROR(__xludf.DUMMYFUNCTION("GOOGLETRANSLATE(E4658, ""zh"", ""en"")"),"Quantitative Text")</f>
        <v>Quantitative Text</v>
      </c>
    </row>
    <row r="4659" spans="1:3" ht="13" x14ac:dyDescent="0.15">
      <c r="A4659" s="1" t="str">
        <f ca="1">IFERROR(__xludf.DUMMYFUNCTION("GOOGLETRANSLATE(A4659, ""zh"", ""en"")"),"We will continue to tap into digital productivity, embed digital thinking into every teaching project, break down barriers of time and space, and provide lifelong learning opportunities for students of all ages, regions, and professions. We will grow upwa"&amp;"rd and take root downward, transforming the CCB learning platform into a network space and spiritual home that serves society, serves strategy, and serves employees.")</f>
        <v>We will continue to tap into digital productivity, embed digital thinking into every teaching project, break down barriers of time and space, and provide lifelong learning opportunities for students of all ages, regions, and professions. We will grow upward and take root downward, transforming the CCB learning platform into a network space and spiritual home that serves society, serves strategy, and serves employees.</v>
      </c>
      <c r="B4659" s="1" t="str">
        <f ca="1">IFERROR(__xludf.DUMMYFUNCTION("GOOGLETRANSLATE(A4659, ""zh"", ""en"")"),"staff")</f>
        <v>staff</v>
      </c>
      <c r="C4659" s="1" t="str">
        <f ca="1">IFERROR(__xludf.DUMMYFUNCTION("GOOGLETRANSLATE(E4659, ""zh"", ""en"")"),"Qualitative text")</f>
        <v>Qualitative text</v>
      </c>
    </row>
    <row r="4660" spans="1:3" ht="13" x14ac:dyDescent="0.15">
      <c r="A4660" s="1" t="str">
        <f ca="1">IFERROR(__xludf.DUMMYFUNCTION("GOOGLETRANSLATE(A4660, ""zh"", ""en"")"),"The company will fully understand the expectations and requirements of investors and shareholders for the company, strictly abide by the company's investor relations management system, conduct regular interviews and exchanges with relevant investors, and "&amp;"promptly disclose the company's operating conditions and business progress to form an effective interaction and communication mechanism to ensure the correctness and effectiveness of the company's decision-making.")</f>
        <v>The company will fully understand the expectations and requirements of investors and shareholders for the company, strictly abide by the company's investor relations management system, conduct regular interviews and exchanges with relevant investors, and promptly disclose the company's operating conditions and business progress to form an effective interaction and communication mechanism to ensure the correctness and effectiveness of the company's decision-making.</v>
      </c>
      <c r="B4660" s="1" t="str">
        <f ca="1">IFERROR(__xludf.DUMMYFUNCTION("GOOGLETRANSLATE(A4660, ""zh"", ""en"")"),"Information Disclosure and Investor Communication")</f>
        <v>Information Disclosure and Investor Communication</v>
      </c>
      <c r="C4660" s="1" t="str">
        <f ca="1">IFERROR(__xludf.DUMMYFUNCTION("GOOGLETRANSLATE(E4660, ""zh"", ""en"")"),"Qualitative text")</f>
        <v>Qualitative text</v>
      </c>
    </row>
    <row r="4661" spans="1:3" ht="13" x14ac:dyDescent="0.15">
      <c r="A4661" s="1" t="str">
        <f ca="1">IFERROR(__xludf.DUMMYFUNCTION("GOOGLETRANSLATE(A4661, ""zh"", ""en"")"),"Employee performance results are normally distributed by department. A 360-degree competency evaluation is used to develop personalized performance evaluation plans for each employee. The Group assesses the management teams of each member company to ensur"&amp;"e targeted improvement plans for employees, ensuring the effective implementation of key performance indicators and the performance and competence of a performance culture.")</f>
        <v>Employee performance results are normally distributed by department. A 360-degree competency evaluation is used to develop personalized performance evaluation plans for each employee. The Group assesses the management teams of each member company to ensure targeted improvement plans for employees, ensuring the effective implementation of key performance indicators and the performance and competence of a performance culture.</v>
      </c>
      <c r="B4661" s="1" t="str">
        <f ca="1">IFERROR(__xludf.DUMMYFUNCTION("GOOGLETRANSLATE(A4661, ""zh"", ""en"")"),"staff")</f>
        <v>staff</v>
      </c>
      <c r="C4661" s="1" t="str">
        <f ca="1">IFERROR(__xludf.DUMMYFUNCTION("GOOGLETRANSLATE(E4661, ""zh"", ""en"")"),"Qualitative text")</f>
        <v>Qualitative text</v>
      </c>
    </row>
    <row r="4662" spans="1:3" ht="13" x14ac:dyDescent="0.15">
      <c r="A4662" s="1" t="str">
        <f ca="1">IFERROR(__xludf.DUMMYFUNCTION("GOOGLETRANSLATE(A4662, ""zh"", ""en"")"),"At the same time, the company has formulated a full-process employment system for recruitment, on-the-job probation and resignation, and standardized the management of all recruitment behaviors. It requires all employees to be fully aware of and conscious"&amp;"ly abide by the company's recruitment system, process assessment and resignation-related matters, and strives to create a fair, just, open and harmonious working environment for employees.")</f>
        <v>At the same time, the company has formulated a full-process employment system for recruitment, on-the-job probation and resignation, and standardized the management of all recruitment behaviors. It requires all employees to be fully aware of and consciously abide by the company's recruitment system, process assessment and resignation-related matters, and strives to create a fair, just, open and harmonious working environment for employees.</v>
      </c>
      <c r="B4662" s="1" t="str">
        <f ca="1">IFERROR(__xludf.DUMMYFUNCTION("GOOGLETRANSLATE(A4662, ""zh"", ""en"")"),"staff")</f>
        <v>staff</v>
      </c>
      <c r="C4662" s="1" t="str">
        <f ca="1">IFERROR(__xludf.DUMMYFUNCTION("GOOGLETRANSLATE(E4662, ""zh"", ""en"")"),"Qualitative text")</f>
        <v>Qualitative text</v>
      </c>
    </row>
    <row r="4663" spans="1:3" ht="13" x14ac:dyDescent="0.15">
      <c r="A4663" s="1" t="str">
        <f ca="1">IFERROR(__xludf.DUMMYFUNCTION("GOOGLETRANSLATE(A4663, ""zh"", ""en"")"),"Professors gathered at the FosunHealth booth to discuss topics such as gout, osteoporosis, and other related diagnosis and treatment knowledge. The Cloud Guardian platform will be launched in January 2022, as well as the difficulties faced by rural doctor"&amp;"s in clinical diagnosis and treatment. The electronic version of the Village Doctor Diagnosis and Treatment Pocket Book is available free of charge to all participants.")</f>
        <v>Professors gathered at the FosunHealth booth to discuss topics such as gout, osteoporosis, and other related diagnosis and treatment knowledge. The Cloud Guardian platform will be launched in January 2022, as well as the difficulties faced by rural doctors in clinical diagnosis and treatment. The electronic version of the Village Doctor Diagnosis and Treatment Pocket Book is available free of charge to all participants.</v>
      </c>
      <c r="B4663" s="1" t="str">
        <f ca="1">IFERROR(__xludf.DUMMYFUNCTION("GOOGLETRANSLATE(A4663, ""zh"", ""en"")"),"Public welfare and volunteer service")</f>
        <v>Public welfare and volunteer service</v>
      </c>
      <c r="C4663" s="1" t="str">
        <f ca="1">IFERROR(__xludf.DUMMYFUNCTION("GOOGLETRANSLATE(E4663, ""zh"", ""en"")"),"Qualitative text")</f>
        <v>Qualitative text</v>
      </c>
    </row>
    <row r="4664" spans="1:3" ht="13" x14ac:dyDescent="0.15">
      <c r="A4664" s="1" t="str">
        <f ca="1">IFERROR(__xludf.DUMMYFUNCTION("GOOGLETRANSLATE(A4664, ""zh"", ""en"")"),"The company is committed to continuously providing customers with efficient and high-quality services. In 2022, the scope of application of QR codes on chemical product Internet packaging was expanded. The QR code query function for Sinopec's chemical pro"&amp;"duct quality inspection forms was launched on the Sinopec e-commerce platform. The chemical product quality inspection forms of 37 companies were integrated into the e-commerce platform.")</f>
        <v>The company is committed to continuously providing customers with efficient and high-quality services. In 2022, the scope of application of QR codes on chemical product Internet packaging was expanded. The QR code query function for Sinopec's chemical product quality inspection forms was launched on the Sinopec e-commerce platform. The chemical product quality inspection forms of 37 companies were integrated into the e-commerce platform.</v>
      </c>
      <c r="B4664" s="1" t="str">
        <f ca="1">IFERROR(__xludf.DUMMYFUNCTION("GOOGLETRANSLATE(A4664, ""zh"", ""en"")"),"Product quality")</f>
        <v>Product quality</v>
      </c>
      <c r="C4664" s="1" t="str">
        <f ca="1">IFERROR(__xludf.DUMMYFUNCTION("GOOGLETRANSLATE(E4664, ""zh"", ""en"")"),"Quantitative Text")</f>
        <v>Quantitative Text</v>
      </c>
    </row>
    <row r="4665" spans="1:3" ht="13" x14ac:dyDescent="0.15">
      <c r="A4665" s="1" t="str">
        <f ca="1">IFERROR(__xludf.DUMMYFUNCTION("GOOGLETRANSLATE(A4665, ""zh"", ""en"")"),"The company's ESG leadership team is responsible for coordinating the implementation of ESG strategies, managing the ESG performance of relevant departments and subsidiaries, organizing ESG issue materiality assessments, risk assessments and control, coor"&amp;"dinating the preparation of ESG reports, and reporting to the Board's Development Strategy and ESG Committee.")</f>
        <v>The company's ESG leadership team is responsible for coordinating the implementation of ESG strategies, managing the ESG performance of relevant departments and subsidiaries, organizing ESG issue materiality assessments, risk assessments and control, coordinating the preparation of ESG reports, and reporting to the Board's Development Strategy and ESG Committee.</v>
      </c>
      <c r="B4665" s="1" t="str">
        <f ca="1">IFERROR(__xludf.DUMMYFUNCTION("GOOGLETRANSLATE(A4665, ""zh"", ""en"")"),"Organizational structure and operations")</f>
        <v>Organizational structure and operations</v>
      </c>
      <c r="C4665" s="1" t="str">
        <f ca="1">IFERROR(__xludf.DUMMYFUNCTION("GOOGLETRANSLATE(E4665, ""zh"", ""en"")"),"Qualitative text")</f>
        <v>Qualitative text</v>
      </c>
    </row>
    <row r="4666" spans="1:3" ht="13" x14ac:dyDescent="0.15">
      <c r="A4666" s="1" t="str">
        <f ca="1">IFERROR(__xludf.DUMMYFUNCTION("GOOGLETRANSLATE(A4666, ""zh"", ""en"")"),"To further implement the Group's ""One Body, Two Wings"" strategy and strengthen the company's financial services and pharmaceutical businesses, the second pharmaceutical fund, Taizhou Zhongda Pharmaceutical Fund, was successfully established in November "&amp;"2022 with a total fund size of RMB 500 million. The fund will focus on investing in emerging industries such as life science and health new drug creation and precision medicine.")</f>
        <v>To further implement the Group's "One Body, Two Wings" strategy and strengthen the company's financial services and pharmaceutical businesses, the second pharmaceutical fund, Taizhou Zhongda Pharmaceutical Fund, was successfully established in November 2022 with a total fund size of RMB 500 million. The fund will focus on investing in emerging industries such as life science and health new drug creation and precision medicine.</v>
      </c>
      <c r="B4666" s="1" t="str">
        <f ca="1">IFERROR(__xludf.DUMMYFUNCTION("GOOGLETRANSLATE(A4666, ""zh"", ""en"")"),"Technological innovation")</f>
        <v>Technological innovation</v>
      </c>
      <c r="C4666" s="1" t="str">
        <f ca="1">IFERROR(__xludf.DUMMYFUNCTION("GOOGLETRANSLATE(E4666, ""zh"", ""en"")"),"Quantitative Text")</f>
        <v>Quantitative Text</v>
      </c>
    </row>
    <row r="4667" spans="1:3" ht="13" x14ac:dyDescent="0.15">
      <c r="A4667" s="1" t="str">
        <f ca="1">IFERROR(__xludf.DUMMYFUNCTION("GOOGLETRANSLATE(A4667, ""zh"", ""en"")"),"We provide employees with diverse training support and smooth promotion channels. We continue to implement the restricted stock incentive plan, establish collaborative relationships with suppliers to help them improve product competitiveness, and establis"&amp;"h extensive cooperation with hospitals, universities and other institutions to carry out basic industry research, cultivate scientific research talents and promote the establishment of industry standards.")</f>
        <v>We provide employees with diverse training support and smooth promotion channels. We continue to implement the restricted stock incentive plan, establish collaborative relationships with suppliers to help them improve product competitiveness, and establish extensive cooperation with hospitals, universities and other institutions to carry out basic industry research, cultivate scientific research talents and promote the establishment of industry standards.</v>
      </c>
      <c r="B4667" s="1" t="str">
        <f ca="1">IFERROR(__xludf.DUMMYFUNCTION("GOOGLETRANSLATE(A4667, ""zh"", ""en"")"),"staff")</f>
        <v>staff</v>
      </c>
      <c r="C4667" s="1" t="str">
        <f ca="1">IFERROR(__xludf.DUMMYFUNCTION("GOOGLETRANSLATE(E4667, ""zh"", ""en"")"),"Qualitative text")</f>
        <v>Qualitative text</v>
      </c>
    </row>
    <row r="4668" spans="1:3" ht="13" x14ac:dyDescent="0.15">
      <c r="A4668" s="1" t="str">
        <f ca="1">IFERROR(__xludf.DUMMYFUNCTION("GOOGLETRANSLATE(A4668, ""zh"", ""en"")"),"Verification Opinion: Based on the above methodology and verification conducted, we are satisfied that the information and data contained in Fosun Pharma's 2022 Corporate Social Responsibility Report are accurate and reliable, and provide a fair and objec"&amp;"tive representation of Fosun Pharma's sustainable development activities in 2022.")</f>
        <v>Verification Opinion: Based on the above methodology and verification conducted, we are satisfied that the information and data contained in Fosun Pharma's 2022 Corporate Social Responsibility Report are accurate and reliable, and provide a fair and objective representation of Fosun Pharma's sustainable development activities in 2022.</v>
      </c>
      <c r="B4668" s="1" t="str">
        <f ca="1">IFERROR(__xludf.DUMMYFUNCTION("GOOGLETRANSLATE(A4668, ""zh"", ""en"")"),"irrelevant text")</f>
        <v>irrelevant text</v>
      </c>
      <c r="C4668" s="1" t="str">
        <f ca="1">IFERROR(__xludf.DUMMYFUNCTION("GOOGLETRANSLATE(E4668, ""zh"", ""en"")"),"irrelevant text")</f>
        <v>irrelevant text</v>
      </c>
    </row>
    <row r="4669" spans="1:3" ht="13" x14ac:dyDescent="0.15">
      <c r="A4669" s="1" t="str">
        <f ca="1">IFERROR(__xludf.DUMMYFUNCTION("GOOGLETRANSLATE(A4669, ""zh"", ""en"")"),"Climate risk analysis and response measures Response measures Risk type Risk description Transition risk Market risk Society's attention to climate change and sustainable development is increasing. In the future, more consumers will tend to use green and "&amp;"low-carbon products and services, reducing demand for traditional energy products with high carbon emission intensity.")</f>
        <v>Climate risk analysis and response measures Response measures Risk type Risk description Transition risk Market risk Society's attention to climate change and sustainable development is increasing. In the future, more consumers will tend to use green and low-carbon products and services, reducing demand for traditional energy products with high carbon emission intensity.</v>
      </c>
      <c r="B4669" s="1" t="str">
        <f ca="1">IFERROR(__xludf.DUMMYFUNCTION("GOOGLETRANSLATE(A4669, ""zh"", ""en"")"),"Addressing climate change")</f>
        <v>Addressing climate change</v>
      </c>
      <c r="C4669" s="1" t="str">
        <f ca="1">IFERROR(__xludf.DUMMYFUNCTION("GOOGLETRANSLATE(E4669, ""zh"", ""en"")"),"Qualitative text")</f>
        <v>Qualitative text</v>
      </c>
    </row>
    <row r="4670" spans="1:3" ht="13" x14ac:dyDescent="0.15">
      <c r="A4670" s="1" t="str">
        <f ca="1">IFERROR(__xludf.DUMMYFUNCTION("GOOGLETRANSLATE(A4670, ""zh"", ""en"")"),"15. Ratio of female managers to total employees The ratio of female managers to total employees disclosed in the Environmental, Social and Governance (ESG) report refers to the ratio of female employees in management positions employed by PetroChina Compa"&amp;"ny Limited to the total number of employees in 2022.")</f>
        <v>15. Ratio of female managers to total employees The ratio of female managers to total employees disclosed in the Environmental, Social and Governance (ESG) report refers to the ratio of female employees in management positions employed by PetroChina Company Limited to the total number of employees in 2022.</v>
      </c>
      <c r="B4670" s="1" t="str">
        <f ca="1">IFERROR(__xludf.DUMMYFUNCTION("GOOGLETRANSLATE(A4670, ""zh"", ""en"")"),"staff")</f>
        <v>staff</v>
      </c>
      <c r="C4670" s="1" t="str">
        <f ca="1">IFERROR(__xludf.DUMMYFUNCTION("GOOGLETRANSLATE(E4670, ""zh"", ""en"")"),"Qualitative text")</f>
        <v>Qualitative text</v>
      </c>
    </row>
    <row r="4671" spans="1:3" ht="13" x14ac:dyDescent="0.15">
      <c r="A4671" s="1" t="str">
        <f ca="1">IFERROR(__xludf.DUMMYFUNCTION("GOOGLETRANSLATE(A4671, ""zh"", ""en"")"),"7. Indirect greenhouse gas emissions (2 million tons of CO2 equivalent) The indirect greenhouse gas emissions disclosed in the Environmental, Social and Governance (ESG) report refer to the indirect greenhouse gas emissions implied by the net purchase of "&amp;"electricity and heat by subsidiaries of PetroChina Company Limited in 2022.")</f>
        <v>7. Indirect greenhouse gas emissions (2 million tons of CO2 equivalent) The indirect greenhouse gas emissions disclosed in the Environmental, Social and Governance (ESG) report refer to the indirect greenhouse gas emissions implied by the net purchase of electricity and heat by subsidiaries of PetroChina Company Limited in 2022.</v>
      </c>
      <c r="B4671" s="1" t="str">
        <f ca="1">IFERROR(__xludf.DUMMYFUNCTION("GOOGLETRANSLATE(A4671, ""zh"", ""en"")"),"carbon emissions")</f>
        <v>carbon emissions</v>
      </c>
      <c r="C4671" s="1" t="str">
        <f ca="1">IFERROR(__xludf.DUMMYFUNCTION("GOOGLETRANSLATE(E4671, ""zh"", ""en"")"),"Quantitative Text")</f>
        <v>Quantitative Text</v>
      </c>
    </row>
    <row r="4672" spans="1:3" ht="13" x14ac:dyDescent="0.15">
      <c r="A4672" s="1" t="str">
        <f ca="1">IFERROR(__xludf.DUMMYFUNCTION("GOOGLETRANSLATE(A4672, ""zh"", ""en"")"),"Polish the distinctive brand of Party building and carry the banner of the Party member assault team. 49 Shanghai Electric Group Co., Ltd. 502022 Social Responsibility Report Shanghai Electric has always focused on the quality development and ideological "&amp;"construction of Party members and continuously promoted the deep integration of Party leadership and corporate governance. Deep integration of Party building work and production and operation.")</f>
        <v>Polish the distinctive brand of Party building and carry the banner of the Party member assault team. 49 Shanghai Electric Group Co., Ltd. 502022 Social Responsibility Report Shanghai Electric has always focused on the quality development and ideological construction of Party members and continuously promoted the deep integration of Party leadership and corporate governance. Deep integration of Party building work and production and operation.</v>
      </c>
      <c r="B4672" s="1" t="str">
        <f ca="1">IFERROR(__xludf.DUMMYFUNCTION("GOOGLETRANSLATE(A4672, ""zh"", ""en"")"),"Organizational structure and operations")</f>
        <v>Organizational structure and operations</v>
      </c>
      <c r="C4672" s="1" t="str">
        <f ca="1">IFERROR(__xludf.DUMMYFUNCTION("GOOGLETRANSLATE(E4672, ""zh"", ""en"")"),"Qualitative text")</f>
        <v>Qualitative text</v>
      </c>
    </row>
    <row r="4673" spans="1:3" ht="13" x14ac:dyDescent="0.15">
      <c r="A4673" s="1" t="str">
        <f ca="1">IFERROR(__xludf.DUMMYFUNCTION("GOOGLETRANSLATE(A4673, ""zh"", ""en"")"),"The Group has also completed the compilation of an environmental risk management and control guidance manual. Through comprehensive identification and a standardized hierarchical management and control system, it has sorted out various risk prevention and"&amp;" control measures, consolidated the basic guidance of corporate environmental risk management, and urged companies to complete 40 key environmental governance projects and promoted the implementation of clean production audits in 24 companies.")</f>
        <v>The Group has also completed the compilation of an environmental risk management and control guidance manual. Through comprehensive identification and a standardized hierarchical management and control system, it has sorted out various risk prevention and control measures, consolidated the basic guidance of corporate environmental risk management, and urged companies to complete 40 key environmental governance projects and promoted the implementation of clean production audits in 24 companies.</v>
      </c>
      <c r="B4673" s="1" t="str">
        <f ca="1">IFERROR(__xludf.DUMMYFUNCTION("GOOGLETRANSLATE(A4673, ""zh"", ""en"")"),"Environmental Policy")</f>
        <v>Environmental Policy</v>
      </c>
      <c r="C4673" s="1" t="str">
        <f ca="1">IFERROR(__xludf.DUMMYFUNCTION("GOOGLETRANSLATE(E4673, ""zh"", ""en"")"),"Quantitative Text")</f>
        <v>Quantitative Text</v>
      </c>
    </row>
    <row r="4674" spans="1:3" ht="13" x14ac:dyDescent="0.15">
      <c r="A4674" s="1" t="str">
        <f ca="1">IFERROR(__xludf.DUMMYFUNCTION("GOOGLETRANSLATE(A4674, ""zh"", ""en"")"),"The process room currently has 15 members, including 5 senior engineers and 1 senior technician. It is a young, energetic, innovative, challenging and quality-oriented team with strong execution. It has won honors such as the National Machinery Industry E"&amp;"xcellent Quality Management Group, Shanghai Excellent Quality Management Group, and Shanghai Science and Technology Progress First Prize.")</f>
        <v>The process room currently has 15 members, including 5 senior engineers and 1 senior technician. It is a young, energetic, innovative, challenging and quality-oriented team with strong execution. It has won honors such as the National Machinery Industry Excellent Quality Management Group, Shanghai Excellent Quality Management Group, and Shanghai Science and Technology Progress First Prize.</v>
      </c>
      <c r="B4674" s="1" t="str">
        <f ca="1">IFERROR(__xludf.DUMMYFUNCTION("GOOGLETRANSLATE(A4674, ""zh"", ""en"")"),"staff")</f>
        <v>staff</v>
      </c>
      <c r="C4674" s="1" t="str">
        <f ca="1">IFERROR(__xludf.DUMMYFUNCTION("GOOGLETRANSLATE(E4674, ""zh"", ""en"")"),"Quantitative Text")</f>
        <v>Quantitative Text</v>
      </c>
    </row>
    <row r="4675" spans="1:3" ht="13" x14ac:dyDescent="0.15">
      <c r="A4675" s="1" t="str">
        <f ca="1">IFERROR(__xludf.DUMMYFUNCTION("GOOGLETRANSLATE(A4675, ""zh"", ""en"")"),"In March, at the 14th Annual Corporate Social Responsibility Summit of the Pakistan National Environment and Health Forum, the Shanghai Electric Thar Power Plant Project won the Corporate Social Responsibility Award. The Thar Coal Mine Project received th"&amp;"e Outstanding Public Health and Safety Award, the Outstanding Educational Responsibility Award, and the Outstanding Community Development Service Award. The Green Energy Initiative Award was also presented.")</f>
        <v>In March, at the 14th Annual Corporate Social Responsibility Summit of the Pakistan National Environment and Health Forum, the Shanghai Electric Thar Power Plant Project won the Corporate Social Responsibility Award. The Thar Coal Mine Project received the Outstanding Public Health and Safety Award, the Outstanding Educational Responsibility Award, and the Outstanding Community Development Service Award. The Green Energy Initiative Award was also presented.</v>
      </c>
      <c r="B4675" s="1" t="str">
        <f ca="1">IFERROR(__xludf.DUMMYFUNCTION("GOOGLETRANSLATE(A4675, ""zh"", ""en"")"),"Public welfare and volunteer service")</f>
        <v>Public welfare and volunteer service</v>
      </c>
      <c r="C4675" s="1" t="str">
        <f ca="1">IFERROR(__xludf.DUMMYFUNCTION("GOOGLETRANSLATE(E4675, ""zh"", ""en"")"),"Quantitative Text")</f>
        <v>Quantitative Text</v>
      </c>
    </row>
    <row r="4676" spans="1:3" ht="13" x14ac:dyDescent="0.15">
      <c r="A4676" s="1" t="str">
        <f ca="1">IFERROR(__xludf.DUMMYFUNCTION("GOOGLETRANSLATE(A4676, ""zh"", ""en"")"),"Haier Smart Home attaches great importance to the impact of climate change on its operations and became a supporter of the Task Force on Climate-related Financial Disclosure (TCFD) initiative this year.")</f>
        <v>Haier Smart Home attaches great importance to the impact of climate change on its operations and became a supporter of the Task Force on Climate-related Financial Disclosure (TCFD) initiative this year.</v>
      </c>
      <c r="B4676" s="1" t="str">
        <f ca="1">IFERROR(__xludf.DUMMYFUNCTION("GOOGLETRANSLATE(A4676, ""zh"", ""en"")"),"Addressing climate change")</f>
        <v>Addressing climate change</v>
      </c>
      <c r="C4676" s="1" t="str">
        <f ca="1">IFERROR(__xludf.DUMMYFUNCTION("GOOGLETRANSLATE(E4676, ""zh"", ""en"")"),"Qualitative text")</f>
        <v>Qualitative text</v>
      </c>
    </row>
    <row r="4677" spans="1:3" ht="13" x14ac:dyDescent="0.15">
      <c r="A4677" s="1" t="str">
        <f ca="1">IFERROR(__xludf.DUMMYFUNCTION("GOOGLETRANSLATE(A4677, ""zh"", ""en"")"),"The company guides and manages sustainable development practices through the shareholders' meeting, the board of directors, its special committees, the board of supervisors, and the management team under the responsibility of the president. It deeply inte"&amp;"grates the concept of sustainable development into the entire process of the company's operations, focuses on high-quality development, effectively controls environmental, social and governance risks, and continuously improves its sustainable development "&amp;"capabilities.")</f>
        <v>The company guides and manages sustainable development practices through the shareholders' meeting, the board of directors, its special committees, the board of supervisors, and the management team under the responsibility of the president. It deeply integrates the concept of sustainable development into the entire process of the company's operations, focuses on high-quality development, effectively controls environmental, social and governance risks, and continuously improves its sustainable development capabilities.</v>
      </c>
      <c r="B4677" s="1" t="str">
        <f ca="1">IFERROR(__xludf.DUMMYFUNCTION("GOOGLETRANSLATE(A4677, ""zh"", ""en"")"),"Organizational structure and operations")</f>
        <v>Organizational structure and operations</v>
      </c>
      <c r="C4677" s="1" t="str">
        <f ca="1">IFERROR(__xludf.DUMMYFUNCTION("GOOGLETRANSLATE(E4677, ""zh"", ""en"")"),"Qualitative text")</f>
        <v>Qualitative text</v>
      </c>
    </row>
    <row r="4678" spans="1:3" ht="13" x14ac:dyDescent="0.15">
      <c r="A4678" s="1" t="str">
        <f ca="1">IFERROR(__xludf.DUMMYFUNCTION("GOOGLETRANSLATE(A4678, ""zh"", ""en"")"),"In 2022, the company sent more than 100 health articles to all employees at home and abroad through HSE Garden emails and other means, continuously building a healthy culture and encouraging employees to be their own health managers. At the same time, var"&amp;"ious health lectures were held in various regions and units to create a good atmosphere for active health management.")</f>
        <v>In 2022, the company sent more than 100 health articles to all employees at home and abroad through HSE Garden emails and other means, continuously building a healthy culture and encouraging employees to be their own health managers. At the same time, various health lectures were held in various regions and units to create a good atmosphere for active health management.</v>
      </c>
      <c r="B4678" s="1" t="str">
        <f ca="1">IFERROR(__xludf.DUMMYFUNCTION("GOOGLETRANSLATE(A4678, ""zh"", ""en"")"),"staff")</f>
        <v>staff</v>
      </c>
      <c r="C4678" s="1" t="str">
        <f ca="1">IFERROR(__xludf.DUMMYFUNCTION("GOOGLETRANSLATE(E4678, ""zh"", ""en"")"),"Quantitative Text")</f>
        <v>Quantitative Text</v>
      </c>
    </row>
    <row r="4679" spans="1:3" ht="13" x14ac:dyDescent="0.15">
      <c r="A4679" s="1" t="str">
        <f ca="1">IFERROR(__xludf.DUMMYFUNCTION("GOOGLETRANSLATE(A4679, ""zh"", ""en"")"),"In order to solve the problem of female compatriots needing private space during special physiological stages such as breastfeeding and effectively enhance the sense of belonging, the Love Mommy Hut was established to provide female compatriots in the pre"&amp;"gnant and breastfeeding period with a safe, private, clean and convenient resting place, conveying meticulous care and deep love, effectively enhancing the cohesion and sense of belonging of employees.")</f>
        <v>In order to solve the problem of female compatriots needing private space during special physiological stages such as breastfeeding and effectively enhance the sense of belonging, the Love Mommy Hut was established to provide female compatriots in the pregnant and breastfeeding period with a safe, private, clean and convenient resting place, conveying meticulous care and deep love, effectively enhancing the cohesion and sense of belonging of employees.</v>
      </c>
      <c r="B4679" s="1" t="str">
        <f ca="1">IFERROR(__xludf.DUMMYFUNCTION("GOOGLETRANSLATE(A4679, ""zh"", ""en"")"),"staff")</f>
        <v>staff</v>
      </c>
      <c r="C4679" s="1" t="str">
        <f ca="1">IFERROR(__xludf.DUMMYFUNCTION("GOOGLETRANSLATE(E4679, ""zh"", ""en"")"),"Qualitative text")</f>
        <v>Qualitative text</v>
      </c>
    </row>
    <row r="4680" spans="1:3" ht="13" x14ac:dyDescent="0.15">
      <c r="A4680" s="1" t="str">
        <f ca="1">IFERROR(__xludf.DUMMYFUNCTION("GOOGLETRANSLATE(A4680, ""zh"", ""en"")"),"The construction of the security brain security operation system is based on the XaaS output of cloud security capabilities. The construction of a cloud-ground integrated digital security protection and operation system has already covered most of the lea"&amp;"ding customers at this stage. The cumulative service has exceeded more than 100 domestic and enterprise customers, including central government ministries, state-owned enterprises, large financial institutions and the three major telecommunications operat"&amp;"ors.")</f>
        <v>The construction of the security brain security operation system is based on the XaaS output of cloud security capabilities. The construction of a cloud-ground integrated digital security protection and operation system has already covered most of the leading customers at this stage. The cumulative service has exceeded more than 100 domestic and enterprise customers, including central government ministries, state-owned enterprises, large financial institutions and the three major telecommunications operators.</v>
      </c>
      <c r="B4680" s="1" t="str">
        <f ca="1">IFERROR(__xludf.DUMMYFUNCTION("GOOGLETRANSLATE(A4680, ""zh"", ""en"")"),"Data security")</f>
        <v>Data security</v>
      </c>
      <c r="C4680" s="1" t="str">
        <f ca="1">IFERROR(__xludf.DUMMYFUNCTION("GOOGLETRANSLATE(E4680, ""zh"", ""en"")"),"Quantitative Text")</f>
        <v>Quantitative Text</v>
      </c>
    </row>
    <row r="4681" spans="1:3" ht="13" x14ac:dyDescent="0.15">
      <c r="A4681" s="1" t="str">
        <f ca="1">IFERROR(__xludf.DUMMYFUNCTION("GOOGLETRANSLATE(A4681, ""zh"", ""en"")"),"The number of suppliers in the Pearl River Delta The number of suppliers disclosed in the China Construction Bank Social Responsibility Report refers to the number of suppliers registered in the East China region among all real-name registered suppliers i"&amp;"n the supplier database of China Construction Bank (excluding domestic and overseas subsidiaries) as of the end of the reporting period.")</f>
        <v>The number of suppliers in the Pearl River Delta The number of suppliers disclosed in the China Construction Bank Social Responsibility Report refers to the number of suppliers registered in the East China region among all real-name registered suppliers in the supplier database of China Construction Bank (excluding domestic and overseas subsidiaries) as of the end of the reporting period.</v>
      </c>
      <c r="B4681" s="1" t="str">
        <f ca="1">IFERROR(__xludf.DUMMYFUNCTION("GOOGLETRANSLATE(A4681, ""zh"", ""en"")"),"supply chain management")</f>
        <v>supply chain management</v>
      </c>
      <c r="C4681" s="1" t="str">
        <f ca="1">IFERROR(__xludf.DUMMYFUNCTION("GOOGLETRANSLATE(E4681, ""zh"", ""en"")"),"Qualitative text")</f>
        <v>Qualitative text</v>
      </c>
    </row>
    <row r="4682" spans="1:3" ht="13" x14ac:dyDescent="0.15">
      <c r="A4682" s="1" t="str">
        <f ca="1">IFERROR(__xludf.DUMMYFUNCTION("GOOGLETRANSLATE(A4682, ""zh"", ""en"")"),"Smart City Case Study: Hangzhou Cuiyuan Community Unmanned Bookstore Project 26272022 Service Symbiosis Focused on Customers with Direct Service to Hearts Dongyuan Renzhi Focused on Service for Every Moment of Peace of Mind Dongyuan Renzhi Always Prioriti"&amp;"zes Service Quality, Continuously Explores Service Innovation and Deepens Customers' Life Scenarios and Real Needs")</f>
        <v>Smart City Case Study: Hangzhou Cuiyuan Community Unmanned Bookstore Project 26272022 Service Symbiosis Focused on Customers with Direct Service to Hearts Dongyuan Renzhi Focused on Service for Every Moment of Peace of Mind Dongyuan Renzhi Always Prioritizes Service Quality, Continuously Explores Service Innovation and Deepens Customers' Life Scenarios and Real Needs</v>
      </c>
      <c r="B4682" s="1" t="str">
        <f ca="1">IFERROR(__xludf.DUMMYFUNCTION("GOOGLETRANSLATE(A4682, ""zh"", ""en"")"),"Customers and Consumers")</f>
        <v>Customers and Consumers</v>
      </c>
      <c r="C4682" s="1" t="str">
        <f ca="1">IFERROR(__xludf.DUMMYFUNCTION("GOOGLETRANSLATE(E4682, ""zh"", ""en"")"),"Qualitative text")</f>
        <v>Qualitative text</v>
      </c>
    </row>
    <row r="4683" spans="1:3" ht="13" x14ac:dyDescent="0.15">
      <c r="A4683" s="1" t="str">
        <f ca="1">IFERROR(__xludf.DUMMYFUNCTION("GOOGLETRANSLATE(A4683, ""zh"", ""en"")"),"In 2022, the company will continue to improve the top-level framework of the safety management system covering the entire production and operation process, track the adjustment of relevant laws and regulations, dynamically revise and issue the regulations"&amp;" on the responsibilities of the headquarters for production safety and environmental protection management, and the measures for the supervision and management of production safety. Measures for the safety supervision and management of major hazardous sou"&amp;"rces of hazardous chemicals.")</f>
        <v>In 2022, the company will continue to improve the top-level framework of the safety management system covering the entire production and operation process, track the adjustment of relevant laws and regulations, dynamically revise and issue the regulations on the responsibilities of the headquarters for production safety and environmental protection management, and the measures for the supervision and management of production safety. Measures for the safety supervision and management of major hazardous sources of hazardous chemicals.</v>
      </c>
      <c r="B4683" s="1" t="str">
        <f ca="1">IFERROR(__xludf.DUMMYFUNCTION("GOOGLETRANSLATE(A4683, ""zh"", ""en"")"),"Environmental Policy")</f>
        <v>Environmental Policy</v>
      </c>
      <c r="C4683" s="1" t="str">
        <f ca="1">IFERROR(__xludf.DUMMYFUNCTION("GOOGLETRANSLATE(E4683, ""zh"", ""en"")"),"Qualitative text")</f>
        <v>Qualitative text</v>
      </c>
    </row>
    <row r="4684" spans="1:3" ht="13" x14ac:dyDescent="0.15">
      <c r="A4684" s="1" t="str">
        <f ca="1">IFERROR(__xludf.DUMMYFUNCTION("GOOGLETRANSLATE(A4684, ""zh"", ""en"")"),"The company equips the operation site with environmental protection equipment and facilities such as oil-water separators and domestic sewage treatment plants in accordance with the standards such as the pollutant emission concentration limit for offshore"&amp;" oil exploration and development and the ship pollutant emission standards, as well as the emission standards of the country where the operation is located and the requirements of international conventions, to treat and discharge industrial wastewater and"&amp;" domestic sewage.")</f>
        <v>The company equips the operation site with environmental protection equipment and facilities such as oil-water separators and domestic sewage treatment plants in accordance with the standards such as the pollutant emission concentration limit for offshore oil exploration and development and the ship pollutant emission standards, as well as the emission standards of the country where the operation is located and the requirements of international conventions, to treat and discharge industrial wastewater and domestic sewage.</v>
      </c>
      <c r="B4684" s="1" t="str">
        <f ca="1">IFERROR(__xludf.DUMMYFUNCTION("GOOGLETRANSLATE(A4684, ""zh"", ""en"")"),"Waste Management")</f>
        <v>Waste Management</v>
      </c>
      <c r="C4684" s="1" t="str">
        <f ca="1">IFERROR(__xludf.DUMMYFUNCTION("GOOGLETRANSLATE(E4684, ""zh"", ""en"")"),"Qualitative text")</f>
        <v>Qualitative text</v>
      </c>
    </row>
    <row r="4685" spans="1:3" ht="13" x14ac:dyDescent="0.15">
      <c r="A4685" s="1" t="str">
        <f ca="1">IFERROR(__xludf.DUMMYFUNCTION("GOOGLETRANSLATE(A4685, ""zh"", ""en"")"),"During the reporting period, the number and personnel composition complied with laws, regulations and the Company's Articles of Association. The Company's shareholders' meeting approved the 2022 special provisions on the A-share incentive plan and the 202"&amp;"2 H-share employee stock ownership plan. The Company's Articles of Association set out the rules of procedure for the Board of Directors' meetings. The A-share incentive plan and the 2022 H-share employee stock ownership plan clearly defined and establish"&amp;"ed a policy for the diversity of the Board of Directors.")</f>
        <v>During the reporting period, the number and personnel composition complied with laws, regulations and the Company's Articles of Association. The Company's shareholders' meeting approved the 2022 special provisions on the A-share incentive plan and the 2022 H-share employee stock ownership plan. The Company's Articles of Association set out the rules of procedure for the Board of Directors' meetings. The A-share incentive plan and the 2022 H-share employee stock ownership plan clearly defined and established a policy for the diversity of the Board of Directors.</v>
      </c>
      <c r="B4685" s="1" t="str">
        <f ca="1">IFERROR(__xludf.DUMMYFUNCTION("GOOGLETRANSLATE(A4685, ""zh"", ""en"")"),"Organizational structure and operations")</f>
        <v>Organizational structure and operations</v>
      </c>
      <c r="C4685" s="1" t="str">
        <f ca="1">IFERROR(__xludf.DUMMYFUNCTION("GOOGLETRANSLATE(E4685, ""zh"", ""en"")"),"Qualitative text")</f>
        <v>Qualitative text</v>
      </c>
    </row>
    <row r="4686" spans="1:3" ht="13" x14ac:dyDescent="0.15">
      <c r="A4686" s="1" t="str">
        <f ca="1">IFERROR(__xludf.DUMMYFUNCTION("GOOGLETRANSLATE(A4686, ""zh"", ""en"")"),"In August 2022, Renmin Pharmaceutical and its nine subsidiaries participated in the 2022 World Health Expo, exhibiting hundreds of products to fully demonstrate the company's R&amp;D and innovation achievements. At the innovative drug promotion ceremony, two "&amp;"new Class 1.1 products, Remimazolam Besylate Injection and Fospropofol Disodium Injection, were displayed.")</f>
        <v>In August 2022, Renmin Pharmaceutical and its nine subsidiaries participated in the 2022 World Health Expo, exhibiting hundreds of products to fully demonstrate the company's R&amp;D and innovation achievements. At the innovative drug promotion ceremony, two new Class 1.1 products, Remimazolam Besylate Injection and Fospropofol Disodium Injection, were displayed.</v>
      </c>
      <c r="B4686" s="1" t="str">
        <f ca="1">IFERROR(__xludf.DUMMYFUNCTION("GOOGLETRANSLATE(A4686, ""zh"", ""en"")"),"Technological innovation")</f>
        <v>Technological innovation</v>
      </c>
      <c r="C4686" s="1" t="str">
        <f ca="1">IFERROR(__xludf.DUMMYFUNCTION("GOOGLETRANSLATE(E4686, ""zh"", ""en"")"),"Quantitative Text")</f>
        <v>Quantitative Text</v>
      </c>
    </row>
    <row r="4687" spans="1:3" ht="13" x14ac:dyDescent="0.15">
      <c r="A4687" s="1" t="str">
        <f ca="1">IFERROR(__xludf.DUMMYFUNCTION("GOOGLETRANSLATE(A4687, ""zh"", ""en"")"),"China National Petroleum Corporation 2022 Environmental, Social and Governance Report 44 Carbon Emission Management The Company implements a dual control system for total carbon emissions and intensity, breaking down total and intensity indicators to each"&amp;" branch and subsidiary, and incorporating energy conservation, emission reduction, pollution reduction and carbon reduction into the performance contracts of key management personnel of each branch and subsidiary.")</f>
        <v>China National Petroleum Corporation 2022 Environmental, Social and Governance Report 44 Carbon Emission Management The Company implements a dual control system for total carbon emissions and intensity, breaking down total and intensity indicators to each branch and subsidiary, and incorporating energy conservation, emission reduction, pollution reduction and carbon reduction into the performance contracts of key management personnel of each branch and subsidiary.</v>
      </c>
      <c r="B4687" s="1" t="str">
        <f ca="1">IFERROR(__xludf.DUMMYFUNCTION("GOOGLETRANSLATE(A4687, ""zh"", ""en"")"),"carbon emissions")</f>
        <v>carbon emissions</v>
      </c>
      <c r="C4687" s="1" t="str">
        <f ca="1">IFERROR(__xludf.DUMMYFUNCTION("GOOGLETRANSLATE(E4687, ""zh"", ""en"")"),"Qualitative text")</f>
        <v>Qualitative text</v>
      </c>
    </row>
    <row r="4688" spans="1:3" ht="13" x14ac:dyDescent="0.15">
      <c r="A4688" s="1" t="str">
        <f ca="1">IFERROR(__xludf.DUMMYFUNCTION("GOOGLETRANSLATE(A4688, ""zh"", ""en"")"),"In 2022, the company held three general meetings of shareholders, five meetings of the board of directors, eight meetings of the board of directors' special committee, and four meetings of the board of supervisors. It reviewed and approved 87 proposals, i"&amp;"ncluding the formulation of the remuneration management measures for directors and supervisors of SDIC Capital Co., Ltd. and the formulation of the comprehensive risk management measures for SDIC Capital Co., Ltd.")</f>
        <v>In 2022, the company held three general meetings of shareholders, five meetings of the board of directors, eight meetings of the board of directors' special committee, and four meetings of the board of supervisors. It reviewed and approved 87 proposals, including the formulation of the remuneration management measures for directors and supervisors of SDIC Capital Co., Ltd. and the formulation of the comprehensive risk management measures for SDIC Capital Co., Ltd.</v>
      </c>
      <c r="B4688" s="1" t="str">
        <f ca="1">IFERROR(__xludf.DUMMYFUNCTION("GOOGLETRANSLATE(A4688, ""zh"", ""en"")"),"Organizational structure and operations")</f>
        <v>Organizational structure and operations</v>
      </c>
      <c r="C4688" s="1" t="str">
        <f ca="1">IFERROR(__xludf.DUMMYFUNCTION("GOOGLETRANSLATE(E4688, ""zh"", ""en"")"),"Quantitative Text")</f>
        <v>Quantitative Text</v>
      </c>
    </row>
    <row r="4689" spans="1:3" ht="13" x14ac:dyDescent="0.15">
      <c r="A4689" s="1" t="str">
        <f ca="1">IFERROR(__xludf.DUMMYFUNCTION("GOOGLETRANSLATE(A4689, ""zh"", ""en"")"),"The senior management has established a Consumer Rights Protection Committee and regularly convenes meetings of the Consumer Protection Committee to coordinate and organize the promotion of consumer protection work. Bank leaders review complaints and cons"&amp;"umer protection public opinion reports monthly. At bank-wide meetings, they have made specific arrangements for consumer protection work, such as reducing complaints, and systematically organized and promoted it, continuously tracking its effectiveness.")</f>
        <v>The senior management has established a Consumer Rights Protection Committee and regularly convenes meetings of the Consumer Protection Committee to coordinate and organize the promotion of consumer protection work. Bank leaders review complaints and consumer protection public opinion reports monthly. At bank-wide meetings, they have made specific arrangements for consumer protection work, such as reducing complaints, and systematically organized and promoted it, continuously tracking its effectiveness.</v>
      </c>
      <c r="B4689" s="1" t="str">
        <f ca="1">IFERROR(__xludf.DUMMYFUNCTION("GOOGLETRANSLATE(A4689, ""zh"", ""en"")"),"Customers and Consumers")</f>
        <v>Customers and Consumers</v>
      </c>
      <c r="C4689" s="1" t="str">
        <f ca="1">IFERROR(__xludf.DUMMYFUNCTION("GOOGLETRANSLATE(E4689, ""zh"", ""en"")"),"Qualitative text")</f>
        <v>Qualitative text</v>
      </c>
    </row>
    <row r="4690" spans="1:3" ht="13" x14ac:dyDescent="0.15">
      <c r="A4690" s="1" t="str">
        <f ca="1">IFERROR(__xludf.DUMMYFUNCTION("GOOGLETRANSLATE(A4690, ""zh"", ""en"")"),"The Financial Vanguard protects the beautiful ecology of Jiangnan Water Village and supports enterprises in their green and low-carbon transformation. In 2022, the Suzhou Branch signed a strategic cooperation agreement with the Wujiang District Government"&amp;". Over the next five years, the Suzhou Branch will provide no less than 50 billion yuan in financing to Wujiang District's industrial enterprises, fully supporting the region's green and low-carbon transformation and upgrading.")</f>
        <v>The Financial Vanguard protects the beautiful ecology of Jiangnan Water Village and supports enterprises in their green and low-carbon transformation. In 2022, the Suzhou Branch signed a strategic cooperation agreement with the Wujiang District Government. Over the next five years, the Suzhou Branch will provide no less than 50 billion yuan in financing to Wujiang District's industrial enterprises, fully supporting the region's green and low-carbon transformation and upgrading.</v>
      </c>
      <c r="B4690" s="1" t="str">
        <f ca="1">IFERROR(__xludf.DUMMYFUNCTION("GOOGLETRANSLATE(A4690, ""zh"", ""en"")"),"Environmental Policy")</f>
        <v>Environmental Policy</v>
      </c>
      <c r="C4690" s="1" t="str">
        <f ca="1">IFERROR(__xludf.DUMMYFUNCTION("GOOGLETRANSLATE(E4690, ""zh"", ""en"")"),"Quantitative Text")</f>
        <v>Quantitative Text</v>
      </c>
    </row>
    <row r="4691" spans="1:3" ht="13" x14ac:dyDescent="0.15">
      <c r="A4691" s="1" t="str">
        <f ca="1">IFERROR(__xludf.DUMMYFUNCTION("GOOGLETRANSLATE(A4691, ""zh"", ""en"")"),"In the field of energy storage, Shanghai Electric possesses comprehensive capabilities in system-level energy storage power station design. Its containerized vanadium battery system products range from 5kW stacks to 25kW stacks and the technologically adv"&amp;"anced 50kW high-power stack. All core technologies have been patented as exclusive to Shanghai Electric and have formed independent intellectual property rights.")</f>
        <v>In the field of energy storage, Shanghai Electric possesses comprehensive capabilities in system-level energy storage power station design. Its containerized vanadium battery system products range from 5kW stacks to 25kW stacks and the technologically advanced 50kW high-power stack. All core technologies have been patented as exclusive to Shanghai Electric and have formed independent intellectual property rights.</v>
      </c>
      <c r="B4691" s="1" t="str">
        <f ca="1">IFERROR(__xludf.DUMMYFUNCTION("GOOGLETRANSLATE(A4691, ""zh"", ""en"")"),"Intellectual Property Protection")</f>
        <v>Intellectual Property Protection</v>
      </c>
      <c r="C4691" s="1" t="str">
        <f ca="1">IFERROR(__xludf.DUMMYFUNCTION("GOOGLETRANSLATE(E4691, ""zh"", ""en"")"),"Qualitative text")</f>
        <v>Qualitative text</v>
      </c>
    </row>
    <row r="4692" spans="1:3" ht="13" x14ac:dyDescent="0.15">
      <c r="A4692" s="1" t="str">
        <f ca="1">IFERROR(__xludf.DUMMYFUNCTION("GOOGLETRANSLATE(A4692, ""zh"", ""en"")"),"Haier is the only company to be included in the German authoritative organization Stiwa's freezer evaluation list. On May 25, 2022, Haier's H3R330WNA upright freezer received Stiwa's highest level of excellence certification. Its HCE321T horizontal freeze"&amp;"r and H2F220WSAA large freezer also received the excellent certification.")</f>
        <v>Haier is the only company to be included in the German authoritative organization Stiwa's freezer evaluation list. On May 25, 2022, Haier's H3R330WNA upright freezer received Stiwa's highest level of excellence certification. Its HCE321T horizontal freezer and H2F220WSAA large freezer also received the excellent certification.</v>
      </c>
      <c r="B4692" s="1" t="str">
        <f ca="1">IFERROR(__xludf.DUMMYFUNCTION("GOOGLETRANSLATE(A4692, ""zh"", ""en"")"),"Product quality")</f>
        <v>Product quality</v>
      </c>
      <c r="C4692" s="1" t="str">
        <f ca="1">IFERROR(__xludf.DUMMYFUNCTION("GOOGLETRANSLATE(E4692, ""zh"", ""en"")"),"Quantitative Text")</f>
        <v>Quantitative Text</v>
      </c>
    </row>
    <row r="4693" spans="1:3" ht="13" x14ac:dyDescent="0.15">
      <c r="A4693" s="1" t="str">
        <f ca="1">IFERROR(__xludf.DUMMYFUNCTION("GOOGLETRANSLATE(A4693, ""zh"", ""en"")"),"The company formulates and implements a policy on diversity of board members. In the nomination and appointment of directors, it comprehensively considers various factors such as professional experience, skills, knowledge, service, term of office, region,"&amp;" culture, education background, gender and age to enhance the overall sensitivity of the board of directors to more risks and effectively improve the scientific decision-making ability of the board of directors.")</f>
        <v>The company formulates and implements a policy on diversity of board members. In the nomination and appointment of directors, it comprehensively considers various factors such as professional experience, skills, knowledge, service, term of office, region, culture, education background, gender and age to enhance the overall sensitivity of the board of directors to more risks and effectively improve the scientific decision-making ability of the board of directors.</v>
      </c>
      <c r="B4693" s="1" t="str">
        <f ca="1">IFERROR(__xludf.DUMMYFUNCTION("GOOGLETRANSLATE(A4693, ""zh"", ""en"")"),"Organizational structure and operations")</f>
        <v>Organizational structure and operations</v>
      </c>
      <c r="C4693" s="1" t="str">
        <f ca="1">IFERROR(__xludf.DUMMYFUNCTION("GOOGLETRANSLATE(E4693, ""zh"", ""en"")"),"Qualitative text")</f>
        <v>Qualitative text</v>
      </c>
    </row>
    <row r="4694" spans="1:3" ht="13" x14ac:dyDescent="0.15">
      <c r="A4694" s="1" t="str">
        <f ca="1">IFERROR(__xludf.DUMMYFUNCTION("GOOGLETRANSLATE(A4694, ""zh"", ""en"")"),"The company has always attached great importance to the construction of the internal control system. Through continuous improvement of the internal control manual, continuous implementation of annual internal control self-assessment, active implementation"&amp;" of the 6.18 internal control special topic and the 11.9 risk safety day activities, etc., a set of internal control systems with relatively complete systems, relatively standardized operation and obvious results has been established.")</f>
        <v>The company has always attached great importance to the construction of the internal control system. Through continuous improvement of the internal control manual, continuous implementation of annual internal control self-assessment, active implementation of the 6.18 internal control special topic and the 11.9 risk safety day activities, etc., a set of internal control systems with relatively complete systems, relatively standardized operation and obvious results has been established.</v>
      </c>
      <c r="B4694" s="1" t="str">
        <f ca="1">IFERROR(__xludf.DUMMYFUNCTION("GOOGLETRANSLATE(A4694, ""zh"", ""en"")"),"Organizational structure and operations")</f>
        <v>Organizational structure and operations</v>
      </c>
      <c r="C4694" s="1" t="str">
        <f ca="1">IFERROR(__xludf.DUMMYFUNCTION("GOOGLETRANSLATE(E4694, ""zh"", ""en"")"),"Qualitative text")</f>
        <v>Qualitative text</v>
      </c>
    </row>
    <row r="4695" spans="1:3" ht="13" x14ac:dyDescent="0.15">
      <c r="A4695" s="1" t="str">
        <f ca="1">IFERROR(__xludf.DUMMYFUNCTION("GOOGLETRANSLATE(A4695, ""zh"", ""en"")"),"Green Footprint 0 Carbon Walker 1262022 Social Responsibility Report Since its establishment in 2015, the Electric Wind Power Blue Ribbon Volunteer Team has been committed to providing help and care for autistic children and their families, putting giving"&amp;" back to society into practice and promoting the development of public welfare and the construction of corporate spirit and culture.")</f>
        <v>Green Footprint 0 Carbon Walker 1262022 Social Responsibility Report Since its establishment in 2015, the Electric Wind Power Blue Ribbon Volunteer Team has been committed to providing help and care for autistic children and their families, putting giving back to society into practice and promoting the development of public welfare and the construction of corporate spirit and culture.</v>
      </c>
      <c r="B4695" s="1" t="str">
        <f ca="1">IFERROR(__xludf.DUMMYFUNCTION("GOOGLETRANSLATE(A4695, ""zh"", ""en"")"),"Public welfare and volunteer service")</f>
        <v>Public welfare and volunteer service</v>
      </c>
      <c r="C4695" s="1" t="str">
        <f ca="1">IFERROR(__xludf.DUMMYFUNCTION("GOOGLETRANSLATE(E4695, ""zh"", ""en"")"),"Qualitative text")</f>
        <v>Qualitative text</v>
      </c>
    </row>
    <row r="4696" spans="1:3" ht="13" x14ac:dyDescent="0.15">
      <c r="A4696" s="1" t="str">
        <f ca="1">IFERROR(__xludf.DUMMYFUNCTION("GOOGLETRANSLATE(A4696, ""zh"", ""en"")"),"Shanghai Electric 2022 Annual Quality Management Training Course 63 Shanghai Electric Group Co., Ltd. 64 2022 Social Responsibility Report On the last day of 2022, with the concerted efforts of all departments of Shanghai Electric Steam Turbine Plant, all"&amp;" shipments for the Indonesia Surabaya project were completed and shipped to the port, fulfilling our commitment to our customers.")</f>
        <v>Shanghai Electric 2022 Annual Quality Management Training Course 63 Shanghai Electric Group Co., Ltd. 64 2022 Social Responsibility Report On the last day of 2022, with the concerted efforts of all departments of Shanghai Electric Steam Turbine Plant, all shipments for the Indonesia Surabaya project were completed and shipped to the port, fulfilling our commitment to our customers.</v>
      </c>
      <c r="B4696" s="1" t="str">
        <f ca="1">IFERROR(__xludf.DUMMYFUNCTION("GOOGLETRANSLATE(A4696, ""zh"", ""en"")"),"Product quality")</f>
        <v>Product quality</v>
      </c>
      <c r="C4696" s="1" t="str">
        <f ca="1">IFERROR(__xludf.DUMMYFUNCTION("GOOGLETRANSLATE(E4696, ""zh"", ""en"")"),"Qualitative text")</f>
        <v>Qualitative text</v>
      </c>
    </row>
    <row r="4697" spans="1:3" ht="13" x14ac:dyDescent="0.15">
      <c r="A4697" s="1" t="str">
        <f ca="1">IFERROR(__xludf.DUMMYFUNCTION("GOOGLETRANSLATE(A4697, ""zh"", ""en"")"),"Livzon Group, a subsidiary of Kangyuan Healthcare, began developing dantrolene sodium for injection early on. After more than a decade of arduous exploration, it finally obtained registration approval in October 2020, becoming the first company in China t"&amp;"o successfully develop generic dantrolene sodium for injection, bringing good news to Chinese MH patients and anesthesiologists.")</f>
        <v>Livzon Group, a subsidiary of Kangyuan Healthcare, began developing dantrolene sodium for injection early on. After more than a decade of arduous exploration, it finally obtained registration approval in October 2020, becoming the first company in China to successfully develop generic dantrolene sodium for injection, bringing good news to Chinese MH patients and anesthesiologists.</v>
      </c>
      <c r="B4697" s="1" t="str">
        <f ca="1">IFERROR(__xludf.DUMMYFUNCTION("GOOGLETRANSLATE(A4697, ""zh"", ""en"")"),"Product quality")</f>
        <v>Product quality</v>
      </c>
      <c r="C4697" s="1" t="str">
        <f ca="1">IFERROR(__xludf.DUMMYFUNCTION("GOOGLETRANSLATE(E4697, ""zh"", ""en"")"),"Qualitative text")</f>
        <v>Qualitative text</v>
      </c>
    </row>
    <row r="4698" spans="1:3" ht="13" x14ac:dyDescent="0.15">
      <c r="A4698" s="1" t="str">
        <f ca="1">IFERROR(__xludf.DUMMYFUNCTION("GOOGLETRANSLATE(A4698, ""zh"", ""en"")"),"In addition, we participated in the Taohuayuan Jiulong Peak project to protect the most beautiful habitat in East China, protecting the natural museum and biological species resource library, helping to protect the ecology of Jiulong Peak and endangered w"&amp;"ildlife, and providing support for rangers who work in dangerous wild environments with scarce equipment and high workloads, promoting harmonious coexistence between man and nature.")</f>
        <v>In addition, we participated in the Taohuayuan Jiulong Peak project to protect the most beautiful habitat in East China, protecting the natural museum and biological species resource library, helping to protect the ecology of Jiulong Peak and endangered wildlife, and providing support for rangers who work in dangerous wild environments with scarce equipment and high workloads, promoting harmonious coexistence between man and nature.</v>
      </c>
      <c r="B4698" s="1" t="str">
        <f ca="1">IFERROR(__xludf.DUMMYFUNCTION("GOOGLETRANSLATE(A4698, ""zh"", ""en"")"),"biodiversity")</f>
        <v>biodiversity</v>
      </c>
      <c r="C4698" s="1" t="str">
        <f ca="1">IFERROR(__xludf.DUMMYFUNCTION("GOOGLETRANSLATE(E4698, ""zh"", ""en"")"),"Qualitative text")</f>
        <v>Qualitative text</v>
      </c>
    </row>
    <row r="4699" spans="1:3" ht="13" x14ac:dyDescent="0.15">
      <c r="A4699" s="1" t="str">
        <f ca="1">IFERROR(__xludf.DUMMYFUNCTION("GOOGLETRANSLATE(A4699, ""zh"", ""en"")"),"This training camp was coordinated by the Group's Human Resources Department and jointly organized by Guangzhou Kangyuan Haibin Pharmaceutical and Taitai Pharmaceutical. Through executive messages, team building, classroom training, outdoor quality develo"&amp;"pment activities and other activities, it helped fresh graduates quickly integrate into the company, familiarize themselves with corporate culture and core values, and enhance employees' sense of belonging to the company.")</f>
        <v>This training camp was coordinated by the Group's Human Resources Department and jointly organized by Guangzhou Kangyuan Haibin Pharmaceutical and Taitai Pharmaceutical. Through executive messages, team building, classroom training, outdoor quality development activities and other activities, it helped fresh graduates quickly integrate into the company, familiarize themselves with corporate culture and core values, and enhance employees' sense of belonging to the company.</v>
      </c>
      <c r="B4699" s="1" t="str">
        <f ca="1">IFERROR(__xludf.DUMMYFUNCTION("GOOGLETRANSLATE(A4699, ""zh"", ""en"")"),"staff")</f>
        <v>staff</v>
      </c>
      <c r="C4699" s="1" t="str">
        <f ca="1">IFERROR(__xludf.DUMMYFUNCTION("GOOGLETRANSLATE(E4699, ""zh"", ""en"")"),"Qualitative text")</f>
        <v>Qualitative text</v>
      </c>
    </row>
    <row r="4700" spans="1:3" ht="13" x14ac:dyDescent="0.15">
      <c r="A4700" s="1" t="str">
        <f ca="1">IFERROR(__xludf.DUMMYFUNCTION("GOOGLETRANSLATE(A4700, ""zh"", ""en"")"),"With the goal of building Shanghai Electric into a high-level talent hub, constructing a pyramid-shaped talent structure, and creating a high-quality talent ecosystem, we have formulated a new talent policy for the Group's new industrial track, aiming to "&amp;"gather a team of high-quality and professional cadres and talents to build a talent ecosystem for scientific and technological innovation in Shanghai Electric.")</f>
        <v>With the goal of building Shanghai Electric into a high-level talent hub, constructing a pyramid-shaped talent structure, and creating a high-quality talent ecosystem, we have formulated a new talent policy for the Group's new industrial track, aiming to gather a team of high-quality and professional cadres and talents to build a talent ecosystem for scientific and technological innovation in Shanghai Electric.</v>
      </c>
      <c r="B4700" s="1" t="str">
        <f ca="1">IFERROR(__xludf.DUMMYFUNCTION("GOOGLETRANSLATE(A4700, ""zh"", ""en"")"),"staff")</f>
        <v>staff</v>
      </c>
      <c r="C4700" s="1" t="str">
        <f ca="1">IFERROR(__xludf.DUMMYFUNCTION("GOOGLETRANSLATE(E4700, ""zh"", ""en"")"),"Qualitative text")</f>
        <v>Qualitative text</v>
      </c>
    </row>
    <row r="4701" spans="1:3" ht="13" x14ac:dyDescent="0.15">
      <c r="A4701" s="1" t="str">
        <f ca="1">IFERROR(__xludf.DUMMYFUNCTION("GOOGLETRANSLATE(A4701, ""zh"", ""en"")"),"Actions to boost employment: People's Livelihood Value (PEOPLESLIVELIHOODVALUE) Value creation. The company has indirectly created a large number of employment opportunities in the circulation, finance, real estate, industry, and elderly care industries, "&amp;"and has made positive contributions to regional economic development and social stability.")</f>
        <v>Actions to boost employment: People's Livelihood Value (PEOPLESLIVELIHOODVALUE) Value creation. The company has indirectly created a large number of employment opportunities in the circulation, finance, real estate, industry, and elderly care industries, and has made positive contributions to regional economic development and social stability.</v>
      </c>
      <c r="B4701" s="1" t="str">
        <f ca="1">IFERROR(__xludf.DUMMYFUNCTION("GOOGLETRANSLATE(A4701, ""zh"", ""en"")"),"Promoting employment")</f>
        <v>Promoting employment</v>
      </c>
      <c r="C4701" s="1" t="str">
        <f ca="1">IFERROR(__xludf.DUMMYFUNCTION("GOOGLETRANSLATE(E4701, ""zh"", ""en"")"),"Qualitative text")</f>
        <v>Qualitative text</v>
      </c>
    </row>
    <row r="4702" spans="1:3" ht="13" x14ac:dyDescent="0.15">
      <c r="A4702" s="1" t="str">
        <f ca="1">IFERROR(__xludf.DUMMYFUNCTION("GOOGLETRANSLATE(A4702, ""zh"", ""en"")"),"For example, in the tendering and procurement of many renovation projects for our office buildings in Beijing, Shanghai and Shenzhen, we required the bidding suppliers to use environmentally friendly materials and set up evaluation items related to the us"&amp;"e of environmentally friendly and new materials in the evaluation form. Under the same conditions, we will give priority to suppliers who use environmentally friendly products properly.")</f>
        <v>For example, in the tendering and procurement of many renovation projects for our office buildings in Beijing, Shanghai and Shenzhen, we required the bidding suppliers to use environmentally friendly materials and set up evaluation items related to the use of environmentally friendly and new materials in the evaluation form. Under the same conditions, we will give priority to suppliers who use environmentally friendly products properly.</v>
      </c>
      <c r="B4702" s="1" t="str">
        <f ca="1">IFERROR(__xludf.DUMMYFUNCTION("GOOGLETRANSLATE(A4702, ""zh"", ""en"")"),"Green Building")</f>
        <v>Green Building</v>
      </c>
      <c r="C4702" s="1" t="str">
        <f ca="1">IFERROR(__xludf.DUMMYFUNCTION("GOOGLETRANSLATE(E4702, ""zh"", ""en"")"),"Qualitative text")</f>
        <v>Qualitative text</v>
      </c>
    </row>
    <row r="4703" spans="1:3" ht="13" x14ac:dyDescent="0.15">
      <c r="A4703" s="1" t="str">
        <f ca="1">IFERROR(__xludf.DUMMYFUNCTION("GOOGLETRANSLATE(A4703, ""zh"", ""en"")"),"Hazardous waste management: Establish internal management methods and standards such as hazardous waste management procedures to manage the entire process of hazardous waste generation, storage, and transportation. Standardize hazardous waste storage and "&amp;"transportation processes and build hazardous waste storage warehouses in each park. Hazardous waste will be handed over to qualified third-party companies for compliant disposal.")</f>
        <v>Hazardous waste management: Establish internal management methods and standards such as hazardous waste management procedures to manage the entire process of hazardous waste generation, storage, and transportation. Standardize hazardous waste storage and transportation processes and build hazardous waste storage warehouses in each park. Hazardous waste will be handed over to qualified third-party companies for compliant disposal.</v>
      </c>
      <c r="B4703" s="1" t="str">
        <f ca="1">IFERROR(__xludf.DUMMYFUNCTION("GOOGLETRANSLATE(A4703, ""zh"", ""en"")"),"Waste Management")</f>
        <v>Waste Management</v>
      </c>
      <c r="C4703" s="1" t="str">
        <f ca="1">IFERROR(__xludf.DUMMYFUNCTION("GOOGLETRANSLATE(E4703, ""zh"", ""en"")"),"Qualitative text")</f>
        <v>Qualitative text</v>
      </c>
    </row>
    <row r="4704" spans="1:3" ht="13" x14ac:dyDescent="0.15">
      <c r="A4704" s="1" t="str">
        <f ca="1">IFERROR(__xludf.DUMMYFUNCTION("GOOGLETRANSLATE(A4704, ""zh"", ""en"")"),"Wuhan Qicheng Space takes the KOL owner co-creation model as its representative. In 2022, it deeply explored co-creation owners in different fields. 8 of them participated in co-creation activities more than 10 times. It provided a display platform for sk"&amp;"illed KOL owners, such as online live courses, to increase personal exposure while also laying the foundation for the operation of Qicheng Space.")</f>
        <v>Wuhan Qicheng Space takes the KOL owner co-creation model as its representative. In 2022, it deeply explored co-creation owners in different fields. 8 of them participated in co-creation activities more than 10 times. It provided a display platform for skilled KOL owners, such as online live courses, to increase personal exposure while also laying the foundation for the operation of Qicheng Space.</v>
      </c>
      <c r="B4704" s="1" t="str">
        <f ca="1">IFERROR(__xludf.DUMMYFUNCTION("GOOGLETRANSLATE(A4704, ""zh"", ""en"")"),"Technological innovation")</f>
        <v>Technological innovation</v>
      </c>
      <c r="C4704" s="1" t="str">
        <f ca="1">IFERROR(__xludf.DUMMYFUNCTION("GOOGLETRANSLATE(E4704, ""zh"", ""en"")"),"Quantitative Text")</f>
        <v>Quantitative Text</v>
      </c>
    </row>
    <row r="4705" spans="1:3" ht="13" x14ac:dyDescent="0.15">
      <c r="A4705" s="1" t="str">
        <f ca="1">IFERROR(__xludf.DUMMYFUNCTION("GOOGLETRANSLATE(A4705, ""zh"", ""en"")"),"As of the end of 2022, Sinopec has 24 academicians, 7 young and middle-aged experts with outstanding contributions to the country, 22 national candidates for the Hundred Thousand Talents Program, 9 high-level overseas experts, 375 people receiving special"&amp;" government subsidies, 8 winners of the China Skills Award, and 104 national technical experts.")</f>
        <v>As of the end of 2022, Sinopec has 24 academicians, 7 young and middle-aged experts with outstanding contributions to the country, 22 national candidates for the Hundred Thousand Talents Program, 9 high-level overseas experts, 375 people receiving special government subsidies, 8 winners of the China Skills Award, and 104 national technical experts.</v>
      </c>
      <c r="B4705" s="1" t="str">
        <f ca="1">IFERROR(__xludf.DUMMYFUNCTION("GOOGLETRANSLATE(A4705, ""zh"", ""en"")"),"staff")</f>
        <v>staff</v>
      </c>
      <c r="C4705" s="1" t="str">
        <f ca="1">IFERROR(__xludf.DUMMYFUNCTION("GOOGLETRANSLATE(E4705, ""zh"", ""en"")"),"Quantitative Text")</f>
        <v>Quantitative Text</v>
      </c>
    </row>
    <row r="4706" spans="1:3" ht="13" x14ac:dyDescent="0.15">
      <c r="A4706" s="1" t="str">
        <f ca="1">IFERROR(__xludf.DUMMYFUNCTION("GOOGLETRANSLATE(A4706, ""zh"", ""en"")"),"In 2022, the Environmental Protection Subcommittee of the HSE Committee optimized the environmental protection factor monitoring indicators and conducted monthly tracking and monitoring of the indicators, traceability analysis, rectification and improveme"&amp;"nt, and promoted the completion of 17 research projects and key work tasks. It completed 7 professional audits of first-level corporate standards in environmental protection and gradually improved the company's environmental protection standard system.")</f>
        <v>In 2022, the Environmental Protection Subcommittee of the HSE Committee optimized the environmental protection factor monitoring indicators and conducted monthly tracking and monitoring of the indicators, traceability analysis, rectification and improvement, and promoted the completion of 17 research projects and key work tasks. It completed 7 professional audits of first-level corporate standards in environmental protection and gradually improved the company's environmental protection standard system.</v>
      </c>
      <c r="B4706" s="1" t="str">
        <f ca="1">IFERROR(__xludf.DUMMYFUNCTION("GOOGLETRANSLATE(A4706, ""zh"", ""en"")"),"Environmental Policy")</f>
        <v>Environmental Policy</v>
      </c>
      <c r="C4706" s="1" t="str">
        <f ca="1">IFERROR(__xludf.DUMMYFUNCTION("GOOGLETRANSLATE(E4706, ""zh"", ""en"")"),"Qualitative text")</f>
        <v>Qualitative text</v>
      </c>
    </row>
    <row r="4707" spans="1:3" ht="13" x14ac:dyDescent="0.15">
      <c r="A4707" s="1" t="str">
        <f ca="1">IFERROR(__xludf.DUMMYFUNCTION("GOOGLETRANSLATE(A4707, ""zh"", ""en"")"),"4. Strategic Policies and Practices 222 Statement on Sustainable Development Strategy P3 223 Policy Commitments P22224 Integration Policy Commitments P22226 Mechanisms for Seeking Advice and Raising Concerns P67 227 Compliance with Laws and Regulations Th"&amp;"e Company did not experience any major violations of laws and regulations during the year.")</f>
        <v>4. Strategic Policies and Practices 222 Statement on Sustainable Development Strategy P3 223 Policy Commitments P22224 Integration Policy Commitments P22226 Mechanisms for Seeking Advice and Raising Concerns P67 227 Compliance with Laws and Regulations The Company did not experience any major violations of laws and regulations during the year.</v>
      </c>
      <c r="B4707" s="1" t="str">
        <f ca="1">IFERROR(__xludf.DUMMYFUNCTION("GOOGLETRANSLATE(A4707, ""zh"", ""en"")"),"Legal proceedings and external sanctions")</f>
        <v>Legal proceedings and external sanctions</v>
      </c>
      <c r="C4707" s="1" t="str">
        <f ca="1">IFERROR(__xludf.DUMMYFUNCTION("GOOGLETRANSLATE(E4707, ""zh"", ""en"")"),"Quantitative Text")</f>
        <v>Quantitative Text</v>
      </c>
    </row>
    <row r="4708" spans="1:3" ht="13" x14ac:dyDescent="0.15">
      <c r="A4708" s="1" t="str">
        <f ca="1">IFERROR(__xludf.DUMMYFUNCTION("GOOGLETRANSLATE(A4708, ""zh"", ""en"")"),"To standardize the prevention and control of hazardous chemical safety risks, the company identifies applicable provisions of chemical laws and regulations and incorporates them into the company's new safety management procedures. It also continuously str"&amp;"engthens the HSE management of logistics suppliers and updates the HSE risk list annually to guide company employees and suppliers to improve logistics safety management.")</f>
        <v>To standardize the prevention and control of hazardous chemical safety risks, the company identifies applicable provisions of chemical laws and regulations and incorporates them into the company's new safety management procedures. It also continuously strengthens the HSE management of logistics suppliers and updates the HSE risk list annually to guide company employees and suppliers to improve logistics safety management.</v>
      </c>
      <c r="B4708" s="1" t="str">
        <f ca="1">IFERROR(__xludf.DUMMYFUNCTION("GOOGLETRANSLATE(A4708, ""zh"", ""en"")"),"Chemical Safety")</f>
        <v>Chemical Safety</v>
      </c>
      <c r="C4708" s="1" t="str">
        <f ca="1">IFERROR(__xludf.DUMMYFUNCTION("GOOGLETRANSLATE(E4708, ""zh"", ""en"")"),"Qualitative text")</f>
        <v>Qualitative text</v>
      </c>
    </row>
    <row r="4709" spans="1:3" ht="13" x14ac:dyDescent="0.15">
      <c r="A4709" s="1" t="str">
        <f ca="1">IFERROR(__xludf.DUMMYFUNCTION("GOOGLETRANSLATE(A4709, ""zh"", ""en"")"),"Its subsidiary, Wupin Zhongda Cable, was selected into the list of 27 enterprises cultivated by the third batch of Zhejiang Province's Eagle Action and was shortlisted for the list of Zhejiang Province Enterprise Technology Centers to be recognized in 202"&amp;"2. In addition, it has also won honors such as Zhejiang Province's Innovative Leading Enterprise, National Intellectual Property Advantage Enterprise, Zhejiang Province Future Factory Pilot Enterprise, etc.")</f>
        <v>Its subsidiary, Wupin Zhongda Cable, was selected into the list of 27 enterprises cultivated by the third batch of Zhejiang Province's Eagle Action and was shortlisted for the list of Zhejiang Province Enterprise Technology Centers to be recognized in 2022. In addition, it has also won honors such as Zhejiang Province's Innovative Leading Enterprise, National Intellectual Property Advantage Enterprise, Zhejiang Province Future Factory Pilot Enterprise, etc.</v>
      </c>
      <c r="B4709" s="1" t="str">
        <f ca="1">IFERROR(__xludf.DUMMYFUNCTION("GOOGLETRANSLATE(A4709, ""zh"", ""en"")"),"Technological innovation")</f>
        <v>Technological innovation</v>
      </c>
      <c r="C4709" s="1" t="str">
        <f ca="1">IFERROR(__xludf.DUMMYFUNCTION("GOOGLETRANSLATE(E4709, ""zh"", ""en"")"),"Quantitative Text")</f>
        <v>Quantitative Text</v>
      </c>
    </row>
    <row r="4710" spans="1:3" ht="13" x14ac:dyDescent="0.15">
      <c r="A4710" s="1" t="str">
        <f ca="1">IFERROR(__xludf.DUMMYFUNCTION("GOOGLETRANSLATE(A4710, ""zh"", ""en"")"),"During the construction phase of the Argentina project, a special production safety leadership group was established and full-time safety management personnel were appointed to implement the Group's safety management system, safety and environmental manag"&amp;"ement system, production safety job responsibilities, and relevant requirements of the production safety accident emergency plan. Suppliers and construction units are required to strictly implement our safety requirements.")</f>
        <v>During the construction phase of the Argentina project, a special production safety leadership group was established and full-time safety management personnel were appointed to implement the Group's safety management system, safety and environmental management system, production safety job responsibilities, and relevant requirements of the production safety accident emergency plan. Suppliers and construction units are required to strictly implement our safety requirements.</v>
      </c>
      <c r="B4710" s="1" t="str">
        <f ca="1">IFERROR(__xludf.DUMMYFUNCTION("GOOGLETRANSLATE(A4710, ""zh"", ""en"")"),"staff")</f>
        <v>staff</v>
      </c>
      <c r="C4710" s="1" t="str">
        <f ca="1">IFERROR(__xludf.DUMMYFUNCTION("GOOGLETRANSLATE(E4710, ""zh"", ""en"")"),"Qualitative text")</f>
        <v>Qualitative text</v>
      </c>
    </row>
    <row r="4711" spans="1:3" ht="13" x14ac:dyDescent="0.15">
      <c r="A4711" s="1" t="str">
        <f ca="1">IFERROR(__xludf.DUMMYFUNCTION("GOOGLETRANSLATE(A4711, ""zh"", ""en"")"),"To effectively address climate change, in 2022, Joincare established a group-level climate change response team to research and analyze the current status of the Group and its production subsidiaries, identify potential climate change risks within the Gro"&amp;"up, and develop response measures to enhance the Group's overall climate risk preparedness.")</f>
        <v>To effectively address climate change, in 2022, Joincare established a group-level climate change response team to research and analyze the current status of the Group and its production subsidiaries, identify potential climate change risks within the Group, and develop response measures to enhance the Group's overall climate risk preparedness.</v>
      </c>
      <c r="B4711" s="1" t="str">
        <f ca="1">IFERROR(__xludf.DUMMYFUNCTION("GOOGLETRANSLATE(A4711, ""zh"", ""en"")"),"Addressing climate change")</f>
        <v>Addressing climate change</v>
      </c>
      <c r="C4711" s="1" t="str">
        <f ca="1">IFERROR(__xludf.DUMMYFUNCTION("GOOGLETRANSLATE(E4711, ""zh"", ""en"")"),"Qualitative text")</f>
        <v>Qualitative text</v>
      </c>
    </row>
    <row r="4712" spans="1:3" ht="13" x14ac:dyDescent="0.15">
      <c r="A4712" s="1" t="str">
        <f ca="1">IFERROR(__xludf.DUMMYFUNCTION("GOOGLETRANSLATE(A4712, ""zh"", ""en"")"),"In the coming year, we are even more determined to pursue high-quality development. We will continue to strive for excellence and persevere to inject inexhaustible new momentum for development in the next 120 years. We will live up to our mission and live"&amp;" up to the times. We will uphold the concept of openness, collaboration, and win-win cooperation, gather all partners to build a comprehensive alliance, discuss green and low-carbon development, and create a better future together.")</f>
        <v>In the coming year, we are even more determined to pursue high-quality development. We will continue to strive for excellence and persevere to inject inexhaustible new momentum for development in the next 120 years. We will live up to our mission and live up to the times. We will uphold the concept of openness, collaboration, and win-win cooperation, gather all partners to build a comprehensive alliance, discuss green and low-carbon development, and create a better future together.</v>
      </c>
      <c r="B4712" s="1" t="str">
        <f ca="1">IFERROR(__xludf.DUMMYFUNCTION("GOOGLETRANSLATE(A4712, ""zh"", ""en"")"),"irrelevant text")</f>
        <v>irrelevant text</v>
      </c>
      <c r="C4712" s="1" t="str">
        <f ca="1">IFERROR(__xludf.DUMMYFUNCTION("GOOGLETRANSLATE(E4712, ""zh"", ""en"")"),"irrelevant text")</f>
        <v>irrelevant text</v>
      </c>
    </row>
    <row r="4713" spans="1:3" ht="13" x14ac:dyDescent="0.15">
      <c r="A4713" s="1" t="str">
        <f ca="1">IFERROR(__xludf.DUMMYFUNCTION("GOOGLETRANSLATE(A4713, ""zh"", ""en"")"),"Warm Guardianship On August 17, 2022, Leng Weiqing, Chairman and Party Secretary of Shanghai Electric, and Liu Ping, Deputy Party Secretary and President, made a special trip to the Group's Beijing-based offices and companies to visit and comfort cadres a"&amp;"nd employees, inquire about their work and life needs, and express gratitude for their hard work.")</f>
        <v>Warm Guardianship On August 17, 2022, Leng Weiqing, Chairman and Party Secretary of Shanghai Electric, and Liu Ping, Deputy Party Secretary and President, made a special trip to the Group's Beijing-based offices and companies to visit and comfort cadres and employees, inquire about their work and life needs, and express gratitude for their hard work.</v>
      </c>
      <c r="B4713" s="1" t="str">
        <f ca="1">IFERROR(__xludf.DUMMYFUNCTION("GOOGLETRANSLATE(A4713, ""zh"", ""en"")"),"staff")</f>
        <v>staff</v>
      </c>
      <c r="C4713" s="1" t="str">
        <f ca="1">IFERROR(__xludf.DUMMYFUNCTION("GOOGLETRANSLATE(E4713, ""zh"", ""en"")"),"Qualitative text")</f>
        <v>Qualitative text</v>
      </c>
    </row>
    <row r="4714" spans="1:3" ht="13" x14ac:dyDescent="0.15">
      <c r="A4714" s="1" t="str">
        <f ca="1">IFERROR(__xludf.DUMMYFUNCTION("GOOGLETRANSLATE(A4714, ""zh"", ""en"")"),"We benchmarked against Shanghai Fire Protection Regulations. We conducted special inspections of key fire protection enterprises and conducted comprehensive firefighting capacity assessments to enhance firefighting equipment capabilities. We also develope"&amp;"d and released the 2022 Shanghai Electric Fire Safety Special Governance Action Plan and the Shanghai Electric 100-Day Zero Action Plan for Special Work Safety Rectification.")</f>
        <v>We benchmarked against Shanghai Fire Protection Regulations. We conducted special inspections of key fire protection enterprises and conducted comprehensive firefighting capacity assessments to enhance firefighting equipment capabilities. We also developed and released the 2022 Shanghai Electric Fire Safety Special Governance Action Plan and the Shanghai Electric 100-Day Zero Action Plan for Special Work Safety Rectification.</v>
      </c>
      <c r="B4714" s="1" t="str">
        <f ca="1">IFERROR(__xludf.DUMMYFUNCTION("GOOGLETRANSLATE(A4714, ""zh"", ""en"")"),"staff")</f>
        <v>staff</v>
      </c>
      <c r="C4714" s="1" t="str">
        <f ca="1">IFERROR(__xludf.DUMMYFUNCTION("GOOGLETRANSLATE(E4714, ""zh"", ""en"")"),"Qualitative text")</f>
        <v>Qualitative text</v>
      </c>
    </row>
    <row r="4715" spans="1:3" ht="13" x14ac:dyDescent="0.15">
      <c r="A4715" s="1" t="str">
        <f ca="1">IFERROR(__xludf.DUMMYFUNCTION("GOOGLETRANSLATE(A4715, ""zh"", ""en"")"),"Third Prize of China's Annual Patent Award: A throat structure and a biomass gasifier containing the same. The technical solution adopted by the Central Research Institute of Shanghai Electric Group Co., Ltd. significantly improves the tar removal efficie"&amp;"ncy in the biomass gasifier, improves the gasification efficiency of the system, and thus improves the energy utilization efficiency.")</f>
        <v>Third Prize of China's Annual Patent Award: A throat structure and a biomass gasifier containing the same. The technical solution adopted by the Central Research Institute of Shanghai Electric Group Co., Ltd. significantly improves the tar removal efficiency in the biomass gasifier, improves the gasification efficiency of the system, and thus improves the energy utilization efficiency.</v>
      </c>
      <c r="B4715" s="1" t="str">
        <f ca="1">IFERROR(__xludf.DUMMYFUNCTION("GOOGLETRANSLATE(A4715, ""zh"", ""en"")"),"Technological innovation")</f>
        <v>Technological innovation</v>
      </c>
      <c r="C4715" s="1" t="str">
        <f ca="1">IFERROR(__xludf.DUMMYFUNCTION("GOOGLETRANSLATE(E4715, ""zh"", ""en"")"),"Qualitative text")</f>
        <v>Qualitative text</v>
      </c>
    </row>
    <row r="4716" spans="1:3" ht="13" x14ac:dyDescent="0.15">
      <c r="A4716" s="1" t="str">
        <f ca="1">IFERROR(__xludf.DUMMYFUNCTION("GOOGLETRANSLATE(A4716, ""zh"", ""en"")"),"The winning product in the seventh batch of centralized procurement, Terbutaline Sulfate Nebulized Inhalation Solution 2ml 5mg, is Terbutaline Sulfate. Terbutaline Sulfate is the fifth inhalation preparation approved for marketing by Kangyuan Pharmaceutic"&amp;"al. It is used to relieve bronchospasm associated with bronchial asthma, chronic bronchitis, emphysema, and other lung diseases. It is suitable for adults and children.")</f>
        <v>The winning product in the seventh batch of centralized procurement, Terbutaline Sulfate Nebulized Inhalation Solution 2ml 5mg, is Terbutaline Sulfate. Terbutaline Sulfate is the fifth inhalation preparation approved for marketing by Kangyuan Pharmaceutical. It is used to relieve bronchospasm associated with bronchial asthma, chronic bronchitis, emphysema, and other lung diseases. It is suitable for adults and children.</v>
      </c>
      <c r="B4716" s="1" t="str">
        <f ca="1">IFERROR(__xludf.DUMMYFUNCTION("GOOGLETRANSLATE(A4716, ""zh"", ""en"")"),"Product quality")</f>
        <v>Product quality</v>
      </c>
      <c r="C4716" s="1" t="str">
        <f ca="1">IFERROR(__xludf.DUMMYFUNCTION("GOOGLETRANSLATE(E4716, ""zh"", ""en"")"),"Qualitative text")</f>
        <v>Qualitative text</v>
      </c>
    </row>
    <row r="4717" spans="1:3" ht="13" x14ac:dyDescent="0.15">
      <c r="A4717" s="1" t="str">
        <f ca="1">IFERROR(__xludf.DUMMYFUNCTION("GOOGLETRANSLATE(A4717, ""zh"", ""en"")"),"Shanghai Electric Group Co., Ltd. (8383) and Shanghai Institute of Dianji discuss the integration of industry and education and work together with the Shanghai Institute of Artificial Intelligence to promote the cultivation of digital talents. On October "&amp;"13, 2022, the signing ceremony of the strategic cooperation agreement between Shanghai Electric and the Shanghai Institute of Artificial Intelligence was successfully held.")</f>
        <v>Shanghai Electric Group Co., Ltd. (8383) and Shanghai Institute of Dianji discuss the integration of industry and education and work together with the Shanghai Institute of Artificial Intelligence to promote the cultivation of digital talents. On October 13, 2022, the signing ceremony of the strategic cooperation agreement between Shanghai Electric and the Shanghai Institute of Artificial Intelligence was successfully held.</v>
      </c>
      <c r="B4717" s="1" t="str">
        <f ca="1">IFERROR(__xludf.DUMMYFUNCTION("GOOGLETRANSLATE(A4717, ""zh"", ""en"")"),"Technological innovation")</f>
        <v>Technological innovation</v>
      </c>
      <c r="C4717" s="1" t="str">
        <f ca="1">IFERROR(__xludf.DUMMYFUNCTION("GOOGLETRANSLATE(E4717, ""zh"", ""en"")"),"Qualitative text")</f>
        <v>Qualitative text</v>
      </c>
    </row>
    <row r="4718" spans="1:3" ht="13" x14ac:dyDescent="0.15">
      <c r="A4718" s="1" t="str">
        <f ca="1">IFERROR(__xludf.DUMMYFUNCTION("GOOGLETRANSLATE(A4718, ""zh"", ""en"")"),"In addition, in November 2022, CCB released a research report on transition finance at the 2022 Annual Meeting of the Green Finance Committee of the China Society for Finance and Banking. The report also included a summary of the Green Capital Market Gree"&amp;"n Paper project compiled in collaboration with the Beijing Institute of Green Finance and Sustainable Development.")</f>
        <v>In addition, in November 2022, CCB released a research report on transition finance at the 2022 Annual Meeting of the Green Finance Committee of the China Society for Finance and Banking. The report also included a summary of the Green Capital Market Green Paper project compiled in collaboration with the Beijing Institute of Green Finance and Sustainable Development.</v>
      </c>
      <c r="B4718" s="1" t="str">
        <f ca="1">IFERROR(__xludf.DUMMYFUNCTION("GOOGLETRANSLATE(A4718, ""zh"", ""en"")"),"Green Finance")</f>
        <v>Green Finance</v>
      </c>
      <c r="C4718" s="1" t="str">
        <f ca="1">IFERROR(__xludf.DUMMYFUNCTION("GOOGLETRANSLATE(E4718, ""zh"", ""en"")"),"Qualitative text")</f>
        <v>Qualitative text</v>
      </c>
    </row>
    <row r="4719" spans="1:3" ht="13" x14ac:dyDescent="0.15">
      <c r="A4719" s="1" t="str">
        <f ca="1">IFERROR(__xludf.DUMMYFUNCTION("GOOGLETRANSLATE(A4719, ""zh"", ""en"")"),"The Environmental, Social and Governance Promotion Committee was established to coordinate the Bank's ESG strategic planning, deployment and coordination work. The President serves as the committee's chairperson. The committee has 34 member departments an"&amp;"d institutions, with three working groups, namely, environmental, social responsibility, information disclosure, and investor relations. With clear division of labor and close collaboration, the committee effectively promotes various ESG initiatives.")</f>
        <v>The Environmental, Social and Governance Promotion Committee was established to coordinate the Bank's ESG strategic planning, deployment and coordination work. The President serves as the committee's chairperson. The committee has 34 member departments and institutions, with three working groups, namely, environmental, social responsibility, information disclosure, and investor relations. With clear division of labor and close collaboration, the committee effectively promotes various ESG initiatives.</v>
      </c>
      <c r="B4719" s="1" t="str">
        <f ca="1">IFERROR(__xludf.DUMMYFUNCTION("GOOGLETRANSLATE(A4719, ""zh"", ""en"")"),"Organizational structure and operations")</f>
        <v>Organizational structure and operations</v>
      </c>
      <c r="C4719" s="1" t="str">
        <f ca="1">IFERROR(__xludf.DUMMYFUNCTION("GOOGLETRANSLATE(E4719, ""zh"", ""en"")"),"Qualitative text")</f>
        <v>Qualitative text</v>
      </c>
    </row>
    <row r="4720" spans="1:3" ht="13" x14ac:dyDescent="0.15">
      <c r="A4720" s="1" t="str">
        <f ca="1">IFERROR(__xludf.DUMMYFUNCTION("GOOGLETRANSLATE(A4720, ""zh"", ""en"")"),"At the same time, Suzhou Branch and Wujiang District Industry and Information Technology Department jointly compiled the CCB Wujiang District Industrial Enterprise Green Development Comprehensive Evaluation System, created a 1N comprehensive service syste"&amp;"m, launched financial service products such as Green Development Loan and Green Smart Manufacturing Loan, provided differentiated credit policies, and provided CCB solutions for the high-quality development of Wujiang District's real economy.")</f>
        <v>At the same time, Suzhou Branch and Wujiang District Industry and Information Technology Department jointly compiled the CCB Wujiang District Industrial Enterprise Green Development Comprehensive Evaluation System, created a 1N comprehensive service system, launched financial service products such as Green Development Loan and Green Smart Manufacturing Loan, provided differentiated credit policies, and provided CCB solutions for the high-quality development of Wujiang District's real economy.</v>
      </c>
      <c r="B4720" s="1" t="str">
        <f ca="1">IFERROR(__xludf.DUMMYFUNCTION("GOOGLETRANSLATE(A4720, ""zh"", ""en"")"),"Green Finance")</f>
        <v>Green Finance</v>
      </c>
      <c r="C4720" s="1" t="str">
        <f ca="1">IFERROR(__xludf.DUMMYFUNCTION("GOOGLETRANSLATE(E4720, ""zh"", ""en"")"),"Qualitative text")</f>
        <v>Qualitative text</v>
      </c>
    </row>
    <row r="4721" spans="1:3" ht="13" x14ac:dyDescent="0.15">
      <c r="A4721" s="1" t="str">
        <f ca="1">IFERROR(__xludf.DUMMYFUNCTION("GOOGLETRANSLATE(A4721, ""zh"", ""en"")"),"Green Power Purchase reminds member companies to maintain policy sensitivity and establish cooperation with integrated energy service providers and power sales companies that have the ability to install distributed renewable energy power generation system"&amp;"s. Member companies with appropriate participation conditions are encouraged to invest in and build distributed power generation for their own use.")</f>
        <v>Green Power Purchase reminds member companies to maintain policy sensitivity and establish cooperation with integrated energy service providers and power sales companies that have the ability to install distributed renewable energy power generation systems. Member companies with appropriate participation conditions are encouraged to invest in and build distributed power generation for their own use.</v>
      </c>
      <c r="B4721" s="1" t="str">
        <f ca="1">IFERROR(__xludf.DUMMYFUNCTION("GOOGLETRANSLATE(A4721, ""zh"", ""en"")"),"Energy and resource consumption")</f>
        <v>Energy and resource consumption</v>
      </c>
      <c r="C4721" s="1" t="str">
        <f ca="1">IFERROR(__xludf.DUMMYFUNCTION("GOOGLETRANSLATE(E4721, ""zh"", ""en"")"),"Qualitative text")</f>
        <v>Qualitative text</v>
      </c>
    </row>
    <row r="4722" spans="1:3" ht="13" x14ac:dyDescent="0.15">
      <c r="A4722" s="1" t="str">
        <f ca="1">IFERROR(__xludf.DUMMYFUNCTION("GOOGLETRANSLATE(A4722, ""zh"", ""en"")"),"The Group evaluates suppliers from aspects such as quality, EHS, etc., strictly abides by relevant national and local laws and regulations, and uses information technology to identify suppliers that violate regulations and include them in the system. It a"&amp;"lso reduces the management of procurement lists and continuously strengthens the risk control system of supplier management.")</f>
        <v>The Group evaluates suppliers from aspects such as quality, EHS, etc., strictly abides by relevant national and local laws and regulations, and uses information technology to identify suppliers that violate regulations and include them in the system. It also reduces the management of procurement lists and continuously strengthens the risk control system of supplier management.</v>
      </c>
      <c r="B4722" s="1" t="str">
        <f ca="1">IFERROR(__xludf.DUMMYFUNCTION("GOOGLETRANSLATE(A4722, ""zh"", ""en"")"),"supply chain management")</f>
        <v>supply chain management</v>
      </c>
      <c r="C4722" s="1" t="str">
        <f ca="1">IFERROR(__xludf.DUMMYFUNCTION("GOOGLETRANSLATE(E4722, ""zh"", ""en"")"),"Qualitative text")</f>
        <v>Qualitative text</v>
      </c>
    </row>
    <row r="4723" spans="1:3" ht="13" x14ac:dyDescent="0.15">
      <c r="A4723" s="1" t="str">
        <f ca="1">IFERROR(__xludf.DUMMYFUNCTION("GOOGLETRANSLATE(A4723, ""zh"", ""en"")"),"Information Security In 2022, Fosun Pharma Group selected a group of industrial Internet enterprises and equipment under the leadership of the Ministry of Industry and Information Technology and the Ministry of Economy and Information Technology. At the s"&amp;"ame time, the backbone network was newly deployed with industrial network security classification and grading inspections and classified as Level 2 based on the leak detection system. The system regularly inspected the infrastructure equipment and applica"&amp;"tion enterprises.")</f>
        <v>Information Security In 2022, Fosun Pharma Group selected a group of industrial Internet enterprises and equipment under the leadership of the Ministry of Industry and Information Technology and the Ministry of Economy and Information Technology. At the same time, the backbone network was newly deployed with industrial network security classification and grading inspections and classified as Level 2 based on the leak detection system. The system regularly inspected the infrastructure equipment and application enterprises.</v>
      </c>
      <c r="B4723" s="1" t="str">
        <f ca="1">IFERROR(__xludf.DUMMYFUNCTION("GOOGLETRANSLATE(A4723, ""zh"", ""en"")"),"Data security")</f>
        <v>Data security</v>
      </c>
      <c r="C4723" s="1" t="str">
        <f ca="1">IFERROR(__xludf.DUMMYFUNCTION("GOOGLETRANSLATE(E4723, ""zh"", ""en"")"),"Qualitative text")</f>
        <v>Qualitative text</v>
      </c>
    </row>
    <row r="4724" spans="1:3" ht="13" x14ac:dyDescent="0.15">
      <c r="A4724" s="1" t="str">
        <f ca="1">IFERROR(__xludf.DUMMYFUNCTION("GOOGLETRANSLATE(A4724, ""zh"", ""en"")"),"At the same time, in order to improve the service quality of member hospitals, 61 national patents have been approved for projects, and the industry's recognition and reputation have been increased. 204 provincial academic appointments have been held, an "&amp;"increase of nearly five times over last year. The management and investigation of the service capabilities of each member hospital have been carried out. A nurse training base and advanced nursing management training courses have been added.")</f>
        <v>At the same time, in order to improve the service quality of member hospitals, 61 national patents have been approved for projects, and the industry's recognition and reputation have been increased. 204 provincial academic appointments have been held, an increase of nearly five times over last year. The management and investigation of the service capabilities of each member hospital have been carried out. A nurse training base and advanced nursing management training courses have been added.</v>
      </c>
      <c r="B4724" s="1" t="str">
        <f ca="1">IFERROR(__xludf.DUMMYFUNCTION("GOOGLETRANSLATE(A4724, ""zh"", ""en"")"),"Intellectual Property Protection")</f>
        <v>Intellectual Property Protection</v>
      </c>
      <c r="C4724" s="1" t="str">
        <f ca="1">IFERROR(__xludf.DUMMYFUNCTION("GOOGLETRANSLATE(E4724, ""zh"", ""en"")"),"Quantitative Text")</f>
        <v>Quantitative Text</v>
      </c>
    </row>
    <row r="4725" spans="1:3" ht="13" x14ac:dyDescent="0.15">
      <c r="A4725" s="1" t="str">
        <f ca="1">IFERROR(__xludf.DUMMYFUNCTION("GOOGLETRANSLATE(A4725, ""zh"", ""en"")"),"2526 Build a solid safety barrier. Through the centralized publicity and implementation of the Safety Production Month activities, the effective implementation of various activities has greatly improved the safety awareness of employees, the red line awar"&amp;"eness, ideological awareness and responsibility awareness. The cord fabric company held a 2021 youth safety and environmental protection supervision training course. The safety environment and safety learning atmosphere have been significantly improved.")</f>
        <v>2526 Build a solid safety barrier. Through the centralized publicity and implementation of the Safety Production Month activities, the effective implementation of various activities has greatly improved the safety awareness of employees, the red line awareness, ideological awareness and responsibility awareness. The cord fabric company held a 2021 youth safety and environmental protection supervision training course. The safety environment and safety learning atmosphere have been significantly improved.</v>
      </c>
      <c r="B4725" s="1" t="str">
        <f ca="1">IFERROR(__xludf.DUMMYFUNCTION("GOOGLETRANSLATE(A4725, ""zh"", ""en"")"),"staff")</f>
        <v>staff</v>
      </c>
      <c r="C4725" s="1" t="str">
        <f ca="1">IFERROR(__xludf.DUMMYFUNCTION("GOOGLETRANSLATE(E4725, ""zh"", ""en"")"),"Qualitative text")</f>
        <v>Qualitative text</v>
      </c>
    </row>
    <row r="4726" spans="1:3" ht="13" x14ac:dyDescent="0.15">
      <c r="A4726" s="1" t="str">
        <f ca="1">IFERROR(__xludf.DUMMYFUNCTION("GOOGLETRANSLATE(A4726, ""zh"", ""en"")"),"Actively carry out special training on social responsibility audits and publicize the company's supply chain code of conduct. We focus on the social responsibility of the original procurement supply chain, attach importance to supplier evaluation, and com"&amp;"bine a comprehensive evaluation system to verify supplier performance, physical quality, price level, contract performance, on-site service, objection handling, and other related content.")</f>
        <v>Actively carry out special training on social responsibility audits and publicize the company's supply chain code of conduct. We focus on the social responsibility of the original procurement supply chain, attach importance to supplier evaluation, and combine a comprehensive evaluation system to verify supplier performance, physical quality, price level, contract performance, on-site service, objection handling, and other related content.</v>
      </c>
      <c r="B4726" s="1" t="str">
        <f ca="1">IFERROR(__xludf.DUMMYFUNCTION("GOOGLETRANSLATE(A4726, ""zh"", ""en"")"),"supply chain management")</f>
        <v>supply chain management</v>
      </c>
      <c r="C4726" s="1" t="str">
        <f ca="1">IFERROR(__xludf.DUMMYFUNCTION("GOOGLETRANSLATE(E4726, ""zh"", ""en"")"),"Qualitative text")</f>
        <v>Qualitative text</v>
      </c>
    </row>
    <row r="4727" spans="1:3" ht="13" x14ac:dyDescent="0.15">
      <c r="A4727" s="1" t="str">
        <f ca="1">IFERROR(__xludf.DUMMYFUNCTION("GOOGLETRANSLATE(A4727, ""zh"", ""en"")"),"The project will be launched in November 2022. A three-week learning journey will be designed for project-based learning from various departments. The offline course design will develop courses suitable for new managers, starting from the basics and progr"&amp;"essing to the advanced. The online community operation series will provide management knowledge models and tools, which will be taught in a step-by-step manner.")</f>
        <v>The project will be launched in November 2022. A three-week learning journey will be designed for project-based learning from various departments. The offline course design will develop courses suitable for new managers, starting from the basics and progressing to the advanced. The online community operation series will provide management knowledge models and tools, which will be taught in a step-by-step manner.</v>
      </c>
      <c r="B4727" s="1" t="str">
        <f ca="1">IFERROR(__xludf.DUMMYFUNCTION("GOOGLETRANSLATE(A4727, ""zh"", ""en"")"),"Organizational structure and operations")</f>
        <v>Organizational structure and operations</v>
      </c>
      <c r="C4727" s="1" t="str">
        <f ca="1">IFERROR(__xludf.DUMMYFUNCTION("GOOGLETRANSLATE(E4727, ""zh"", ""en"")"),"Qualitative text")</f>
        <v>Qualitative text</v>
      </c>
    </row>
    <row r="4728" spans="1:3" ht="13" x14ac:dyDescent="0.15">
      <c r="A4728" s="1" t="str">
        <f ca="1">IFERROR(__xludf.DUMMYFUNCTION("GOOGLETRANSLATE(A4728, ""zh"", ""en"")"),"Establish a strong intellectual property risk early warning mechanism. Ensure that employees respect the intellectual property rights of others through systems and processes. Embed intellectual property risk management control points into the various proc"&amp;"esses of product project establishment, launch, and product delisting. Strictly ensure that the company's business and R&amp;D activities are carried out without infringing on the intellectual property rights of others.")</f>
        <v>Establish a strong intellectual property risk early warning mechanism. Ensure that employees respect the intellectual property rights of others through systems and processes. Embed intellectual property risk management control points into the various processes of product project establishment, launch, and product delisting. Strictly ensure that the company's business and R&amp;D activities are carried out without infringing on the intellectual property rights of others.</v>
      </c>
      <c r="B4728" s="1" t="str">
        <f ca="1">IFERROR(__xludf.DUMMYFUNCTION("GOOGLETRANSLATE(A4728, ""zh"", ""en"")"),"Intellectual Property Protection")</f>
        <v>Intellectual Property Protection</v>
      </c>
      <c r="C4728" s="1" t="str">
        <f ca="1">IFERROR(__xludf.DUMMYFUNCTION("GOOGLETRANSLATE(E4728, ""zh"", ""en"")"),"Qualitative text")</f>
        <v>Qualitative text</v>
      </c>
    </row>
    <row r="4729" spans="1:3" ht="13" x14ac:dyDescent="0.15">
      <c r="A4729" s="1" t="str">
        <f ca="1">IFERROR(__xludf.DUMMYFUNCTION("GOOGLETRANSLATE(A4729, ""zh"", ""en"")"),"The number of suppliers in the Bohai Rim region The number of suppliers disclosed in the China Construction Bank's Social Responsibility Report refers to the number of suppliers registered in the Pearl River Delta among all real-name registered suppliers "&amp;"in the supplier database of China Construction Bank, excluding domestic and overseas subsidiaries, as of the end of the reporting period.")</f>
        <v>The number of suppliers in the Bohai Rim region The number of suppliers disclosed in the China Construction Bank's Social Responsibility Report refers to the number of suppliers registered in the Pearl River Delta among all real-name registered suppliers in the supplier database of China Construction Bank, excluding domestic and overseas subsidiaries, as of the end of the reporting period.</v>
      </c>
      <c r="B4729" s="1" t="str">
        <f ca="1">IFERROR(__xludf.DUMMYFUNCTION("GOOGLETRANSLATE(A4729, ""zh"", ""en"")"),"supply chain management")</f>
        <v>supply chain management</v>
      </c>
      <c r="C4729" s="1" t="str">
        <f ca="1">IFERROR(__xludf.DUMMYFUNCTION("GOOGLETRANSLATE(E4729, ""zh"", ""en"")"),"Qualitative text")</f>
        <v>Qualitative text</v>
      </c>
    </row>
    <row r="4730" spans="1:3" ht="13" x14ac:dyDescent="0.15">
      <c r="A4730" s="1" t="str">
        <f ca="1">IFERROR(__xludf.DUMMYFUNCTION("GOOGLETRANSLATE(A4730, ""zh"", ""en"")"),"Employees are encouraged to participate in non-bank continuing education and support them to obtain socially recognized professional qualifications. Employees who have participated in and passed professional qualification certifications and training such "&amp;"as Certified Public Accountant (CPA), Chartered Financial Analyst (CFA), Financial Risk Manager (FRM), etc. will be given priority in professional and technical positions under the same conditions.")</f>
        <v>Employees are encouraged to participate in non-bank continuing education and support them to obtain socially recognized professional qualifications. Employees who have participated in and passed professional qualification certifications and training such as Certified Public Accountant (CPA), Chartered Financial Analyst (CFA), Financial Risk Manager (FRM), etc. will be given priority in professional and technical positions under the same conditions.</v>
      </c>
      <c r="B4730" s="1" t="str">
        <f ca="1">IFERROR(__xludf.DUMMYFUNCTION("GOOGLETRANSLATE(A4730, ""zh"", ""en"")"),"staff")</f>
        <v>staff</v>
      </c>
      <c r="C4730" s="1" t="str">
        <f ca="1">IFERROR(__xludf.DUMMYFUNCTION("GOOGLETRANSLATE(E4730, ""zh"", ""en"")"),"Qualitative text")</f>
        <v>Qualitative text</v>
      </c>
    </row>
    <row r="4731" spans="1:3" ht="13" x14ac:dyDescent="0.15">
      <c r="A4731" s="1" t="str">
        <f ca="1">IFERROR(__xludf.DUMMYFUNCTION("GOOGLETRANSLATE(A4731, ""zh"", ""en"")"),"The company's board of directors consists of an audit and risk management committee, a strategy and ESG committee, a compensation and assessment committee, and a nomination committee. The company has established corresponding work systems and rules of pro"&amp;"cedure to form a corporate governance system with clear responsibilities between the authority, decision-making body, supervisory body, and management, and standardized operations, mutual coordination, and checks and balances.")</f>
        <v>The company's board of directors consists of an audit and risk management committee, a strategy and ESG committee, a compensation and assessment committee, and a nomination committee. The company has established corresponding work systems and rules of procedure to form a corporate governance system with clear responsibilities between the authority, decision-making body, supervisory body, and management, and standardized operations, mutual coordination, and checks and balances.</v>
      </c>
      <c r="B4731" s="1" t="str">
        <f ca="1">IFERROR(__xludf.DUMMYFUNCTION("GOOGLETRANSLATE(A4731, ""zh"", ""en"")"),"Organizational structure and operations")</f>
        <v>Organizational structure and operations</v>
      </c>
      <c r="C4731" s="1" t="str">
        <f ca="1">IFERROR(__xludf.DUMMYFUNCTION("GOOGLETRANSLATE(E4731, ""zh"", ""en"")"),"Qualitative text")</f>
        <v>Qualitative text</v>
      </c>
    </row>
    <row r="4732" spans="1:3" ht="13" x14ac:dyDescent="0.15">
      <c r="A4732" s="1" t="str">
        <f ca="1">IFERROR(__xludf.DUMMYFUNCTION("GOOGLETRANSLATE(A4732, ""zh"", ""en"")"),"The Heyi Qinian Elderly Care Service Trust substantially integrates financial elderly care services, focusing not only on the preservation and appreciation of elderly care funds, but also on key issues such as where to invest in elderly care after the fun"&amp;"ds have been preserved and appreciated. It provides investors with priority admission guarantees and other rights such as admission to Guotou Healthy Elderly Apartments, bridging the last mile of financial elderly care services.")</f>
        <v>The Heyi Qinian Elderly Care Service Trust substantially integrates financial elderly care services, focusing not only on the preservation and appreciation of elderly care funds, but also on key issues such as where to invest in elderly care after the funds have been preserved and appreciated. It provides investors with priority admission guarantees and other rights such as admission to Guotou Healthy Elderly Apartments, bridging the last mile of financial elderly care services.</v>
      </c>
      <c r="B4732" s="1" t="str">
        <f ca="1">IFERROR(__xludf.DUMMYFUNCTION("GOOGLETRANSLATE(A4732, ""zh"", ""en"")"),"Public welfare and volunteer service")</f>
        <v>Public welfare and volunteer service</v>
      </c>
      <c r="C4732" s="1" t="str">
        <f ca="1">IFERROR(__xludf.DUMMYFUNCTION("GOOGLETRANSLATE(E4732, ""zh"", ""en"")"),"Qualitative text")</f>
        <v>Qualitative text</v>
      </c>
    </row>
    <row r="4733" spans="1:3" ht="13" x14ac:dyDescent="0.15">
      <c r="A4733" s="1" t="str">
        <f ca="1">IFERROR(__xludf.DUMMYFUNCTION("GOOGLETRANSLATE(A4733, ""zh"", ""en"")"),"The Audit Committee is established under the Board of Directors to exercise the functions of internal control supervision and assessment. The company has established a comprehensive risk management executive leadership group to promote the construction of"&amp;" the company's internal control system. The headquarters has set up a special agency to organize and implement internal control related work. Each branch and subsidiary has established a corresponding agency to undertake the daily management of internal c"&amp;"ontrol of its unit.")</f>
        <v>The Audit Committee is established under the Board of Directors to exercise the functions of internal control supervision and assessment. The company has established a comprehensive risk management executive leadership group to promote the construction of the company's internal control system. The headquarters has set up a special agency to organize and implement internal control related work. Each branch and subsidiary has established a corresponding agency to undertake the daily management of internal control of its unit.</v>
      </c>
      <c r="B4733" s="1" t="str">
        <f ca="1">IFERROR(__xludf.DUMMYFUNCTION("GOOGLETRANSLATE(A4733, ""zh"", ""en"")"),"Audit work")</f>
        <v>Audit work</v>
      </c>
      <c r="C4733" s="1" t="str">
        <f ca="1">IFERROR(__xludf.DUMMYFUNCTION("GOOGLETRANSLATE(E4733, ""zh"", ""en"")"),"Qualitative text")</f>
        <v>Qualitative text</v>
      </c>
    </row>
    <row r="4734" spans="1:3" ht="13" x14ac:dyDescent="0.15">
      <c r="A4734" s="1" t="str">
        <f ca="1">IFERROR(__xludf.DUMMYFUNCTION("GOOGLETRANSLATE(A4734, ""zh"", ""en"")"),"11 CITIC Securities 2022 Annual Social Responsibility Report 2. Social Responsibility Management Structure CITIC Securities has established and continuously improved its social responsibility management structure, integrating social responsibility concept"&amp;"s into all aspects of daily operations and management, continuously promoting the integration of social responsibility concepts with business development, and ensuring the implementation of social responsibility work.")</f>
        <v>11 CITIC Securities 2022 Annual Social Responsibility Report 2. Social Responsibility Management Structure CITIC Securities has established and continuously improved its social responsibility management structure, integrating social responsibility concepts into all aspects of daily operations and management, continuously promoting the integration of social responsibility concepts with business development, and ensuring the implementation of social responsibility work.</v>
      </c>
      <c r="B4734" s="1" t="str">
        <f ca="1">IFERROR(__xludf.DUMMYFUNCTION("GOOGLETRANSLATE(A4734, ""zh"", ""en"")"),"Organizational structure and operations")</f>
        <v>Organizational structure and operations</v>
      </c>
      <c r="C4734" s="1" t="str">
        <f ca="1">IFERROR(__xludf.DUMMYFUNCTION("GOOGLETRANSLATE(E4734, ""zh"", ""en"")"),"Qualitative text")</f>
        <v>Qualitative text</v>
      </c>
    </row>
    <row r="4735" spans="1:3" ht="13" x14ac:dyDescent="0.15">
      <c r="A4735" s="1" t="str">
        <f ca="1">IFERROR(__xludf.DUMMYFUNCTION("GOOGLETRANSLATE(A4735, ""zh"", ""en"")"),"Strictly abide by statutory welfare guarantees. Every employee enjoys legal rights and interests such as labor remuneration, annual leave, living benefits, and labor insurance. We continue to follow the principle of equality, voluntariness, and consensus "&amp;"in entering into and amending labor contracts with employees. We purchase five social insurances and one housing fund for employees in accordance with national laws and regulations. We pay wages in full and clarify various welfare policies.")</f>
        <v>Strictly abide by statutory welfare guarantees. Every employee enjoys legal rights and interests such as labor remuneration, annual leave, living benefits, and labor insurance. We continue to follow the principle of equality, voluntariness, and consensus in entering into and amending labor contracts with employees. We purchase five social insurances and one housing fund for employees in accordance with national laws and regulations. We pay wages in full and clarify various welfare policies.</v>
      </c>
      <c r="B4735" s="1" t="str">
        <f ca="1">IFERROR(__xludf.DUMMYFUNCTION("GOOGLETRANSLATE(A4735, ""zh"", ""en"")"),"staff")</f>
        <v>staff</v>
      </c>
      <c r="C4735" s="1" t="str">
        <f ca="1">IFERROR(__xludf.DUMMYFUNCTION("GOOGLETRANSLATE(E4735, ""zh"", ""en"")"),"Qualitative text")</f>
        <v>Qualitative text</v>
      </c>
    </row>
    <row r="4736" spans="1:3" ht="13" x14ac:dyDescent="0.15">
      <c r="A4736" s="1" t="str">
        <f ca="1">IFERROR(__xludf.DUMMYFUNCTION("GOOGLETRANSLATE(A4736, ""zh"", ""en"")"),"In 2022, the company fully utilized online supervision and offline verification, cross-enterprise mutual audit, internal audit guidance and special audits to complete 100% full coverage audits of domestic and foreign companies and projects throughout the "&amp;"year. At the same time, it effectively used the audit results to strengthen the closed-loop rectification of problems and promote the company's safety and environmental protection situation to continue to be stable and positive.")</f>
        <v>In 2022, the company fully utilized online supervision and offline verification, cross-enterprise mutual audit, internal audit guidance and special audits to complete 100% full coverage audits of domestic and foreign companies and projects throughout the year. At the same time, it effectively used the audit results to strengthen the closed-loop rectification of problems and promote the company's safety and environmental protection situation to continue to be stable and positive.</v>
      </c>
      <c r="B4736" s="1" t="str">
        <f ca="1">IFERROR(__xludf.DUMMYFUNCTION("GOOGLETRANSLATE(A4736, ""zh"", ""en"")"),"Audit work")</f>
        <v>Audit work</v>
      </c>
      <c r="C4736" s="1" t="str">
        <f ca="1">IFERROR(__xludf.DUMMYFUNCTION("GOOGLETRANSLATE(E4736, ""zh"", ""en"")"),"Qualitative text")</f>
        <v>Qualitative text</v>
      </c>
    </row>
    <row r="4737" spans="1:3" ht="13" x14ac:dyDescent="0.15">
      <c r="A4737" s="1" t="str">
        <f ca="1">IFERROR(__xludf.DUMMYFUNCTION("GOOGLETRANSLATE(A4737, ""zh"", ""en"")"),"The Yin Changjiang Yin series, with its two major product brands and commercial development and operations, creates more beautiful possibilities for life. Dongyuan Zhixin has the ability to develop and operate complex spaces, focusing on both light and he"&amp;"avy assets. Relying on comprehensive commercial management capabilities throughout the investment, financing, construction, management and withdrawal cycle, it focuses on non-standard project scenarios and is committed to developing an urban renewal servi"&amp;"ce platform.")</f>
        <v>The Yin Changjiang Yin series, with its two major product brands and commercial development and operations, creates more beautiful possibilities for life. Dongyuan Zhixin has the ability to develop and operate complex spaces, focusing on both light and heavy assets. Relying on comprehensive commercial management capabilities throughout the investment, financing, construction, management and withdrawal cycle, it focuses on non-standard project scenarios and is committed to developing an urban renewal service platform.</v>
      </c>
      <c r="B4737" s="1" t="str">
        <f ca="1">IFERROR(__xludf.DUMMYFUNCTION("GOOGLETRANSLATE(A4737, ""zh"", ""en"")"),"Organizational structure and operations")</f>
        <v>Organizational structure and operations</v>
      </c>
      <c r="C4737" s="1" t="str">
        <f ca="1">IFERROR(__xludf.DUMMYFUNCTION("GOOGLETRANSLATE(E4737, ""zh"", ""en"")"),"Qualitative text")</f>
        <v>Qualitative text</v>
      </c>
    </row>
    <row r="4738" spans="1:3" ht="13" x14ac:dyDescent="0.15">
      <c r="A4738" s="1" t="str">
        <f ca="1">IFERROR(__xludf.DUMMYFUNCTION("GOOGLETRANSLATE(A4738, ""zh"", ""en"")"),"Assuming that during the test period, the company needs to pay a certain amount of carbon dioxide emission fees and continue to operate at the existing technological level without bargaining power with upstream and downstream companies, the possible impac"&amp;"t on its repayment ability is reflected in changes in the probability of default and credit rating.")</f>
        <v>Assuming that during the test period, the company needs to pay a certain amount of carbon dioxide emission fees and continue to operate at the existing technological level without bargaining power with upstream and downstream companies, the possible impact on its repayment ability is reflected in changes in the probability of default and credit rating.</v>
      </c>
      <c r="B4738" s="1" t="str">
        <f ca="1">IFERROR(__xludf.DUMMYFUNCTION("GOOGLETRANSLATE(A4738, ""zh"", ""en"")"),"carbon emissions")</f>
        <v>carbon emissions</v>
      </c>
      <c r="C4738" s="1" t="str">
        <f ca="1">IFERROR(__xludf.DUMMYFUNCTION("GOOGLETRANSLATE(E4738, ""zh"", ""en"")"),"Qualitative text")</f>
        <v>Qualitative text</v>
      </c>
    </row>
    <row r="4739" spans="1:3" ht="13" x14ac:dyDescent="0.15">
      <c r="A4739" s="1" t="str">
        <f ca="1">IFERROR(__xludf.DUMMYFUNCTION("GOOGLETRANSLATE(A4739, ""zh"", ""en"")"),"The company not only pays for the five social insurances for employees, but also distributes holiday bonuses or gifts for traditional festivals such as the Spring Festival, Dragon Boat Festival, and Mid-Autumn Festival. It also offers souvenirs for Women'"&amp;"s Day and large-scale lucky draws for Lantern Festival. At the same time, it pays attention to the health of employees, regularly provides employees with labor protection supplies, and conducts pre-employment physical examinations for new employees to eff"&amp;"ectively prevent the spread of various infectious diseases.")</f>
        <v>The company not only pays for the five social insurances for employees, but also distributes holiday bonuses or gifts for traditional festivals such as the Spring Festival, Dragon Boat Festival, and Mid-Autumn Festival. It also offers souvenirs for Women's Day and large-scale lucky draws for Lantern Festival. At the same time, it pays attention to the health of employees, regularly provides employees with labor protection supplies, and conducts pre-employment physical examinations for new employees to effectively prevent the spread of various infectious diseases.</v>
      </c>
      <c r="B4739" s="1" t="str">
        <f ca="1">IFERROR(__xludf.DUMMYFUNCTION("GOOGLETRANSLATE(A4739, ""zh"", ""en"")"),"staff")</f>
        <v>staff</v>
      </c>
      <c r="C4739" s="1" t="str">
        <f ca="1">IFERROR(__xludf.DUMMYFUNCTION("GOOGLETRANSLATE(E4739, ""zh"", ""en"")"),"Qualitative text")</f>
        <v>Qualitative text</v>
      </c>
    </row>
    <row r="4740" spans="1:3" ht="13" x14ac:dyDescent="0.15">
      <c r="A4740" s="1" t="str">
        <f ca="1">IFERROR(__xludf.DUMMYFUNCTION("GOOGLETRANSLATE(A4740, ""zh"", ""en"")"),"Sludge Disposal Xinjiaaisi Sludge Drying Workshop 04 Huanneng Company 662022 Group attaches great importance to carbon peak and carbon neutrality work, thoroughly implements the various work tasks of the Provincial Party Committee, Provincial Government a"&amp;"nd Provincial State-owned Assets Supervision and Administration Commission, strictly implements ecological and environmental protection pollution control responsibilities, and promotes the high-quality green and low-carbon development of the Group")</f>
        <v>Sludge Disposal Xinjiaaisi Sludge Drying Workshop 04 Huanneng Company 662022 Group attaches great importance to carbon peak and carbon neutrality work, thoroughly implements the various work tasks of the Provincial Party Committee, Provincial Government and Provincial State-owned Assets Supervision and Administration Commission, strictly implements ecological and environmental protection pollution control responsibilities, and promotes the high-quality green and low-carbon development of the Group</v>
      </c>
      <c r="B4740" s="1" t="str">
        <f ca="1">IFERROR(__xludf.DUMMYFUNCTION("GOOGLETRANSLATE(A4740, ""zh"", ""en"")"),"carbon emissions")</f>
        <v>carbon emissions</v>
      </c>
      <c r="C4740" s="1" t="str">
        <f ca="1">IFERROR(__xludf.DUMMYFUNCTION("GOOGLETRANSLATE(E4740, ""zh"", ""en"")"),"Qualitative text")</f>
        <v>Qualitative text</v>
      </c>
    </row>
    <row r="4741" spans="1:3" ht="13" x14ac:dyDescent="0.15">
      <c r="A4741" s="1" t="str">
        <f ca="1">IFERROR(__xludf.DUMMYFUNCTION("GOOGLETRANSLATE(A4741, ""zh"", ""en"")"),"The executive body, including senior vice presidents, vice presidents, financial directors, and board secretaries, under the leadership of the president, is the company's executive body. They are appointed by the board of directors and are accountable to "&amp;"the board of directors. They organize the company's production, operations, and other business activities in accordance with the provisions of the Company Law and the company's articles of association and the authorization of the board of directors.")</f>
        <v>The executive body, including senior vice presidents, vice presidents, financial directors, and board secretaries, under the leadership of the president, is the company's executive body. They are appointed by the board of directors and are accountable to the board of directors. They organize the company's production, operations, and other business activities in accordance with the provisions of the Company Law and the company's articles of association and the authorization of the board of directors.</v>
      </c>
      <c r="B4741" s="1" t="str">
        <f ca="1">IFERROR(__xludf.DUMMYFUNCTION("GOOGLETRANSLATE(A4741, ""zh"", ""en"")"),"Organizational structure and operations")</f>
        <v>Organizational structure and operations</v>
      </c>
      <c r="C4741" s="1" t="str">
        <f ca="1">IFERROR(__xludf.DUMMYFUNCTION("GOOGLETRANSLATE(E4741, ""zh"", ""en"")"),"Qualitative text")</f>
        <v>Qualitative text</v>
      </c>
    </row>
    <row r="4742" spans="1:3" ht="13" x14ac:dyDescent="0.15">
      <c r="A4742" s="1" t="str">
        <f ca="1">IFERROR(__xludf.DUMMYFUNCTION("GOOGLETRANSLATE(A4742, ""zh"", ""en"")"),"For the election of the Employees' Union and the Employees' Representative Conference, 1 vice-chairman of the trade union was added, 3 direct relatives of the sick and hospitalized who had major difficulties in life, 1 trade union member and 1 auditing me"&amp;"mber were added to ensure that the trade union would adhere to the first-hand visit and condolences to employees related to work-related deaths and other related matters, and to better serve the company's problems.")</f>
        <v>For the election of the Employees' Union and the Employees' Representative Conference, 1 vice-chairman of the trade union was added, 3 direct relatives of the sick and hospitalized who had major difficulties in life, 1 trade union member and 1 auditing member were added to ensure that the trade union would adhere to the first-hand visit and condolences to employees related to work-related deaths and other related matters, and to better serve the company's problems.</v>
      </c>
      <c r="B4742" s="1" t="str">
        <f ca="1">IFERROR(__xludf.DUMMYFUNCTION("GOOGLETRANSLATE(A4742, ""zh"", ""en"")"),"staff")</f>
        <v>staff</v>
      </c>
      <c r="C4742" s="1" t="str">
        <f ca="1">IFERROR(__xludf.DUMMYFUNCTION("GOOGLETRANSLATE(E4742, ""zh"", ""en"")"),"Qualitative text")</f>
        <v>Qualitative text</v>
      </c>
    </row>
    <row r="4743" spans="1:3" ht="13" x14ac:dyDescent="0.15">
      <c r="A4743" s="1" t="str">
        <f ca="1">IFERROR(__xludf.DUMMYFUNCTION("GOOGLETRANSLATE(A4743, ""zh"", ""en"")"),"Water resource management and wastewater discharge companies strictly implement soil pollution prevention and control policies and regulations. Every year, they entrust qualified units to conduct soil and groundwater testing and report to environmental pr"&amp;"otection. Water resource consumption companies firmly establish the scientific development concept and adhere to the principle of enterprise development and energy conservation and emission reduction going hand in hand. Strengthen system construction and "&amp;"optimize water use department registration.")</f>
        <v>Water resource management and wastewater discharge companies strictly implement soil pollution prevention and control policies and regulations. Every year, they entrust qualified units to conduct soil and groundwater testing and report to environmental protection. Water resource consumption companies firmly establish the scientific development concept and adhere to the principle of enterprise development and energy conservation and emission reduction going hand in hand. Strengthen system construction and optimize water use department registration.</v>
      </c>
      <c r="B4743" s="1" t="str">
        <f ca="1">IFERROR(__xludf.DUMMYFUNCTION("GOOGLETRANSLATE(A4743, ""zh"", ""en"")"),"Water resources")</f>
        <v>Water resources</v>
      </c>
      <c r="C4743" s="1" t="str">
        <f ca="1">IFERROR(__xludf.DUMMYFUNCTION("GOOGLETRANSLATE(E4743, ""zh"", ""en"")"),"Qualitative text")</f>
        <v>Qualitative text</v>
      </c>
    </row>
    <row r="4744" spans="1:3" ht="13" x14ac:dyDescent="0.15">
      <c r="A4744" s="1" t="str">
        <f ca="1">IFERROR(__xludf.DUMMYFUNCTION("GOOGLETRANSLATE(A4744, ""zh"", ""en"")"),"II. Social Welfare 1. Caring for the lives of employees in need and actively carrying out activities to provide warmth. 2022 Annual Social Responsibility Report 20. The company's labor union cares about the needs and anxieties of employees in need, goes d"&amp;"eep into the grassroots, goes deep into the front lines, goes deep into the masses, listens to the voices of employees, understands the sufferings of employees, actively solves problems for employees, and does practical things and good things.")</f>
        <v>II. Social Welfare 1. Caring for the lives of employees in need and actively carrying out activities to provide warmth. 2022 Annual Social Responsibility Report 20. The company's labor union cares about the needs and anxieties of employees in need, goes deep into the grassroots, goes deep into the front lines, goes deep into the masses, listens to the voices of employees, understands the sufferings of employees, actively solves problems for employees, and does practical things and good things.</v>
      </c>
      <c r="B4744" s="1" t="str">
        <f ca="1">IFERROR(__xludf.DUMMYFUNCTION("GOOGLETRANSLATE(A4744, ""zh"", ""en"")"),"staff")</f>
        <v>staff</v>
      </c>
      <c r="C4744" s="1" t="str">
        <f ca="1">IFERROR(__xludf.DUMMYFUNCTION("GOOGLETRANSLATE(E4744, ""zh"", ""en"")"),"Qualitative text")</f>
        <v>Qualitative text</v>
      </c>
    </row>
    <row r="4745" spans="1:3" ht="13" x14ac:dyDescent="0.15">
      <c r="A4745" s="1" t="str">
        <f ca="1">IFERROR(__xludf.DUMMYFUNCTION("GOOGLETRANSLATE(A4745, ""zh"", ""en"")"),"In terms of artificial intelligence, in response to the personalized and scenario-based characteristics of user needs in the Internet era and the differentiated service experience of smart life scenarios, we have made breakthroughs in the scenario-based s"&amp;"ervice technology of the intelligent voice service platform for multi-device and multi-state access, and the key technology of natural language processing for voice interaction scenarios.")</f>
        <v>In terms of artificial intelligence, in response to the personalized and scenario-based characteristics of user needs in the Internet era and the differentiated service experience of smart life scenarios, we have made breakthroughs in the scenario-based service technology of the intelligent voice service platform for multi-device and multi-state access, and the key technology of natural language processing for voice interaction scenarios.</v>
      </c>
      <c r="B4745" s="1" t="str">
        <f ca="1">IFERROR(__xludf.DUMMYFUNCTION("GOOGLETRANSLATE(A4745, ""zh"", ""en"")"),"Technological innovation")</f>
        <v>Technological innovation</v>
      </c>
      <c r="C4745" s="1" t="str">
        <f ca="1">IFERROR(__xludf.DUMMYFUNCTION("GOOGLETRANSLATE(E4745, ""zh"", ""en"")"),"Qualitative text")</f>
        <v>Qualitative text</v>
      </c>
    </row>
    <row r="4746" spans="1:3" ht="13" x14ac:dyDescent="0.15">
      <c r="A4746" s="1" t="str">
        <f ca="1">IFERROR(__xludf.DUMMYFUNCTION("GOOGLETRANSLATE(A4746, ""zh"", ""en"")"),"In 2022, all enterprises were asked to investigate the types of waste within their enterprises, including 207.2 tons for recycling, 6550.8 tons for incineration, and the sources and quantities of wastes to be established and strictly monitored. 207.2 tons"&amp;" for treatment and disposal, and 726.8 tons for the generation, transfer and disposal of waste.")</f>
        <v>In 2022, all enterprises were asked to investigate the types of waste within their enterprises, including 207.2 tons for recycling, 6550.8 tons for incineration, and the sources and quantities of wastes to be established and strictly monitored. 207.2 tons for treatment and disposal, and 726.8 tons for the generation, transfer and disposal of waste.</v>
      </c>
      <c r="B4746" s="1" t="str">
        <f ca="1">IFERROR(__xludf.DUMMYFUNCTION("GOOGLETRANSLATE(A4746, ""zh"", ""en"")"),"Waste Management")</f>
        <v>Waste Management</v>
      </c>
      <c r="C4746" s="1" t="str">
        <f ca="1">IFERROR(__xludf.DUMMYFUNCTION("GOOGLETRANSLATE(E4746, ""zh"", ""en"")"),"Quantitative Text")</f>
        <v>Quantitative Text</v>
      </c>
    </row>
    <row r="4747" spans="1:3" ht="13" x14ac:dyDescent="0.15">
      <c r="A4747" s="1" t="str">
        <f ca="1">IFERROR(__xludf.DUMMYFUNCTION("GOOGLETRANSLATE(A4747, ""zh"", ""en"")"),"Sign labor contracts with employees in accordance with the law and implement the national working hour standard for female employees 6763. Resolutely resist any form of child labor and forced labor, eliminate harassment, bullying, intimidation and other b"&amp;"ehaviors, ensure employees have reasonable working hours and rest and vacation rights, and ensure employees enjoy the normal national holidays.")</f>
        <v>Sign labor contracts with employees in accordance with the law and implement the national working hour standard for female employees 6763. Resolutely resist any form of child labor and forced labor, eliminate harassment, bullying, intimidation and other behaviors, ensure employees have reasonable working hours and rest and vacation rights, and ensure employees enjoy the normal national holidays.</v>
      </c>
      <c r="B4747" s="1" t="str">
        <f ca="1">IFERROR(__xludf.DUMMYFUNCTION("GOOGLETRANSLATE(A4747, ""zh"", ""en"")"),"staff")</f>
        <v>staff</v>
      </c>
      <c r="C4747" s="1" t="str">
        <f ca="1">IFERROR(__xludf.DUMMYFUNCTION("GOOGLETRANSLATE(E4747, ""zh"", ""en"")"),"Quantitative Text")</f>
        <v>Quantitative Text</v>
      </c>
    </row>
    <row r="4748" spans="1:3" ht="13" x14ac:dyDescent="0.15">
      <c r="A4748" s="1" t="str">
        <f ca="1">IFERROR(__xludf.DUMMYFUNCTION("GOOGLETRANSLATE(A4748, ""zh"", ""en"")"),"Paired assistance was provided to Luchun County, Yunnan Province, with a total expenditure of more than 1.506 million yuan. 104 cadres on secondment introduced various central enterprises to the local area for industrial support and charitable donations. "&amp;"The cadres sent by SDIC Capital contributed to the economic and social development of Tibetan areas. In 2022, SDIC Capital selected outstanding employees to serve in Tibetan areas.")</f>
        <v>Paired assistance was provided to Luchun County, Yunnan Province, with a total expenditure of more than 1.506 million yuan. 104 cadres on secondment introduced various central enterprises to the local area for industrial support and charitable donations. The cadres sent by SDIC Capital contributed to the economic and social development of Tibetan areas. In 2022, SDIC Capital selected outstanding employees to serve in Tibetan areas.</v>
      </c>
      <c r="B4748" s="1" t="str">
        <f ca="1">IFERROR(__xludf.DUMMYFUNCTION("GOOGLETRANSLATE(A4748, ""zh"", ""en"")"),"Rural assistance")</f>
        <v>Rural assistance</v>
      </c>
      <c r="C4748" s="1" t="str">
        <f ca="1">IFERROR(__xludf.DUMMYFUNCTION("GOOGLETRANSLATE(E4748, ""zh"", ""en"")"),"Quantitative Text")</f>
        <v>Quantitative Text</v>
      </c>
    </row>
    <row r="4749" spans="1:3" ht="13" x14ac:dyDescent="0.15">
      <c r="A4749" s="1" t="str">
        <f ca="1">IFERROR(__xludf.DUMMYFUNCTION("GOOGLETRANSLATE(A4749, ""zh"", ""en"")"),"Continue to improve comprehensive risk management, continuously optimize the comprehensive risk governance system from side to side and from top to bottom, strengthen the group's integrated risk collaborative management and control, consolidate the three "&amp;"lines of defense for business operation risks and compliance audits, strengthen the basic capabilities for major risk prevention, strengthen the basic capabilities for risk monitoring and early warning, and promote the expansion and upgrading of the intel"&amp;"ligent risk control system.")</f>
        <v>Continue to improve comprehensive risk management, continuously optimize the comprehensive risk governance system from side to side and from top to bottom, strengthen the group's integrated risk collaborative management and control, consolidate the three lines of defense for business operation risks and compliance audits, strengthen the basic capabilities for major risk prevention, strengthen the basic capabilities for risk monitoring and early warning, and promote the expansion and upgrading of the intelligent risk control system.</v>
      </c>
      <c r="B4749" s="1" t="str">
        <f ca="1">IFERROR(__xludf.DUMMYFUNCTION("GOOGLETRANSLATE(A4749, ""zh"", ""en"")"),"Audit work")</f>
        <v>Audit work</v>
      </c>
      <c r="C4749" s="1" t="str">
        <f ca="1">IFERROR(__xludf.DUMMYFUNCTION("GOOGLETRANSLATE(E4749, ""zh"", ""en"")"),"Qualitative text")</f>
        <v>Qualitative text</v>
      </c>
    </row>
    <row r="4750" spans="1:3" ht="13" x14ac:dyDescent="0.15">
      <c r="A4750" s="1" t="str">
        <f ca="1">IFERROR(__xludf.DUMMYFUNCTION("GOOGLETRANSLATE(A4750, ""zh"", ""en"")"),"Based on system certification and product certification, we use the self-registration system of the risk radar and the third-party risk system to obtain risk information in the first place, so as to achieve the advance, efficiency and consistency of risk "&amp;"management. We will refuse to cooperate with suppliers with negative situations such as breach of trust, contract violation, legal disputes, environmental protection penalties, etc.")</f>
        <v>Based on system certification and product certification, we use the self-registration system of the risk radar and the third-party risk system to obtain risk information in the first place, so as to achieve the advance, efficiency and consistency of risk management. We will refuse to cooperate with suppliers with negative situations such as breach of trust, contract violation, legal disputes, environmental protection penalties, etc.</v>
      </c>
      <c r="B4750" s="1" t="str">
        <f ca="1">IFERROR(__xludf.DUMMYFUNCTION("GOOGLETRANSLATE(A4750, ""zh"", ""en"")"),"Legal proceedings and external sanctions")</f>
        <v>Legal proceedings and external sanctions</v>
      </c>
      <c r="C4750" s="1" t="str">
        <f ca="1">IFERROR(__xludf.DUMMYFUNCTION("GOOGLETRANSLATE(E4750, ""zh"", ""en"")"),"Qualitative text")</f>
        <v>Qualitative text</v>
      </c>
    </row>
    <row r="4751" spans="1:3" ht="13" x14ac:dyDescent="0.15">
      <c r="A4751" s="1" t="str">
        <f ca="1">IFERROR(__xludf.DUMMYFUNCTION("GOOGLETRANSLATE(A4751, ""zh"", ""en"")"),"For management members, the company will formulate performance appraisal responsibility letters based on the positions and work divisions of management members, set appraisal indicator target values ​​and appraisal weights from aspects such as the company"&amp;"'s overall performance and the performance of each business, and strictly determine the appraisal scores and appraisal results based on the completion of each indicator.")</f>
        <v>For management members, the company will formulate performance appraisal responsibility letters based on the positions and work divisions of management members, set appraisal indicator target values ​​and appraisal weights from aspects such as the company's overall performance and the performance of each business, and strictly determine the appraisal scores and appraisal results based on the completion of each indicator.</v>
      </c>
      <c r="B4751" s="1" t="str">
        <f ca="1">IFERROR(__xludf.DUMMYFUNCTION("GOOGLETRANSLATE(A4751, ""zh"", ""en"")"),"Organizational structure and operations")</f>
        <v>Organizational structure and operations</v>
      </c>
      <c r="C4751" s="1" t="str">
        <f ca="1">IFERROR(__xludf.DUMMYFUNCTION("GOOGLETRANSLATE(E4751, ""zh"", ""en"")"),"Qualitative text")</f>
        <v>Qualitative text</v>
      </c>
    </row>
    <row r="4752" spans="1:3" ht="13" x14ac:dyDescent="0.15">
      <c r="A4752" s="1" t="str">
        <f ca="1">IFERROR(__xludf.DUMMYFUNCTION("GOOGLETRANSLATE(A4752, ""zh"", ""en"")"),"The company actively organizes and carries out collective bargaining. On the basis of extensive consultation with employee representatives, it strengthens communication between the labor union and the administrative department. The relevant clauses of the"&amp;" collective contract and special contract are jointly negotiated. After approval by the employee representative conference, the labor union representatives and the administrative representatives sign the contract so that the contract truly reflects the ne"&amp;"eds of employees and protects the rights and interests of employees.")</f>
        <v>The company actively organizes and carries out collective bargaining. On the basis of extensive consultation with employee representatives, it strengthens communication between the labor union and the administrative department. The relevant clauses of the collective contract and special contract are jointly negotiated. After approval by the employee representative conference, the labor union representatives and the administrative representatives sign the contract so that the contract truly reflects the needs of employees and protects the rights and interests of employees.</v>
      </c>
      <c r="B4752" s="1" t="str">
        <f ca="1">IFERROR(__xludf.DUMMYFUNCTION("GOOGLETRANSLATE(A4752, ""zh"", ""en"")"),"staff")</f>
        <v>staff</v>
      </c>
      <c r="C4752" s="1" t="str">
        <f ca="1">IFERROR(__xludf.DUMMYFUNCTION("GOOGLETRANSLATE(E4752, ""zh"", ""en"")"),"Qualitative text")</f>
        <v>Qualitative text</v>
      </c>
    </row>
    <row r="4753" spans="1:3" ht="13" x14ac:dyDescent="0.15">
      <c r="A4753" s="1" t="str">
        <f ca="1">IFERROR(__xludf.DUMMYFUNCTION("GOOGLETRANSLATE(A4753, ""zh"", ""en"")"),"As an equipment company deeply engaged in new energy and coal-fired power, Shanghai Electric hopes to jointly promote the implementation and incubation of this major strategic project with all participating parties and pledges to work closely with all par"&amp;"ties to create a win-win and sustainable development cooperation model through complementary advantages and mutual benefit, and contribute to the realization of the country's dual carbon goals.")</f>
        <v>As an equipment company deeply engaged in new energy and coal-fired power, Shanghai Electric hopes to jointly promote the implementation and incubation of this major strategic project with all participating parties and pledges to work closely with all parties to create a win-win and sustainable development cooperation model through complementary advantages and mutual benefit, and contribute to the realization of the country's dual carbon goals.</v>
      </c>
      <c r="B4753" s="1" t="str">
        <f ca="1">IFERROR(__xludf.DUMMYFUNCTION("GOOGLETRANSLATE(A4753, ""zh"", ""en"")"),"Energy and resource consumption")</f>
        <v>Energy and resource consumption</v>
      </c>
      <c r="C4753" s="1" t="str">
        <f ca="1">IFERROR(__xludf.DUMMYFUNCTION("GOOGLETRANSLATE(E4753, ""zh"", ""en"")"),"Qualitative text")</f>
        <v>Qualitative text</v>
      </c>
    </row>
    <row r="4754" spans="1:3" ht="13" x14ac:dyDescent="0.15">
      <c r="A4754" s="1" t="str">
        <f ca="1">IFERROR(__xludf.DUMMYFUNCTION("GOOGLETRANSLATE(A4754, ""zh"", ""en"")"),"This signing signifies that Shanghai Electric and the Shanghai Institute of Artificial Intelligence will strengthen their cooperation and leverage their strengths to form a synergy to promote the transformation and upgrading of Shanghai Electric's manufac"&amp;"turing industry, achieve complementary advantages, mutual benefit and win-win results, and achieve the overall goal of industrial transformation and upgrading, helping Shanghai Electric seize new tracks, strengthen new momentum, and reshape its core compe"&amp;"titiveness through technological innovation.")</f>
        <v>This signing signifies that Shanghai Electric and the Shanghai Institute of Artificial Intelligence will strengthen their cooperation and leverage their strengths to form a synergy to promote the transformation and upgrading of Shanghai Electric's manufacturing industry, achieve complementary advantages, mutual benefit and win-win results, and achieve the overall goal of industrial transformation and upgrading, helping Shanghai Electric seize new tracks, strengthen new momentum, and reshape its core competitiveness through technological innovation.</v>
      </c>
      <c r="B4754" s="1" t="str">
        <f ca="1">IFERROR(__xludf.DUMMYFUNCTION("GOOGLETRANSLATE(A4754, ""zh"", ""en"")"),"Technological innovation")</f>
        <v>Technological innovation</v>
      </c>
      <c r="C4754" s="1" t="str">
        <f ca="1">IFERROR(__xludf.DUMMYFUNCTION("GOOGLETRANSLATE(E4754, ""zh"", ""en"")"),"Qualitative text")</f>
        <v>Qualitative text</v>
      </c>
    </row>
    <row r="4755" spans="1:3" ht="13" x14ac:dyDescent="0.15">
      <c r="A4755" s="1" t="str">
        <f ca="1">IFERROR(__xludf.DUMMYFUNCTION("GOOGLETRANSLATE(A4755, ""zh"", ""en"")"),"In addition to the forum full of highlights and practical information, the participating investors also participated in a wonderful online tour, where they experienced real application scenarios such as Shanghai Electric's lithium battery production base,"&amp;" electric wind power, and Shantou smart energy project up close, gaining a more intuitive understanding of the strategy and practice of Shanghai Electric's new energy landscape.")</f>
        <v>In addition to the forum full of highlights and practical information, the participating investors also participated in a wonderful online tour, where they experienced real application scenarios such as Shanghai Electric's lithium battery production base, electric wind power, and Shantou smart energy project up close, gaining a more intuitive understanding of the strategy and practice of Shanghai Electric's new energy landscape.</v>
      </c>
      <c r="B4755" s="1" t="str">
        <f ca="1">IFERROR(__xludf.DUMMYFUNCTION("GOOGLETRANSLATE(A4755, ""zh"", ""en"")"),"Technological innovation")</f>
        <v>Technological innovation</v>
      </c>
      <c r="C4755" s="1" t="str">
        <f ca="1">IFERROR(__xludf.DUMMYFUNCTION("GOOGLETRANSLATE(E4755, ""zh"", ""en"")"),"Qualitative text")</f>
        <v>Qualitative text</v>
      </c>
    </row>
    <row r="4756" spans="1:3" ht="13" x14ac:dyDescent="0.15">
      <c r="A4756" s="1" t="str">
        <f ca="1">IFERROR(__xludf.DUMMYFUNCTION("GOOGLETRANSLATE(A4756, ""zh"", ""en"")"),"We also attach great importance to the selection of young scientific and technological innovation talents and actively participate in the Shanghai Haiju Yingcai Innovation and Entrepreneurship Competition. We also hold various scientific and technological"&amp;" competitions within the group, such as the E-Creation Future Competition and the 2022 Shanghai Electric Digital Technology Competition, to discover and cultivate a new generation of scientific research forces for Shanghai Electric's scientific and techno"&amp;"logical innovation.")</f>
        <v>We also attach great importance to the selection of young scientific and technological innovation talents and actively participate in the Shanghai Haiju Yingcai Innovation and Entrepreneurship Competition. We also hold various scientific and technological competitions within the group, such as the E-Creation Future Competition and the 2022 Shanghai Electric Digital Technology Competition, to discover and cultivate a new generation of scientific research forces for Shanghai Electric's scientific and technological innovation.</v>
      </c>
      <c r="B4756" s="1" t="str">
        <f ca="1">IFERROR(__xludf.DUMMYFUNCTION("GOOGLETRANSLATE(A4756, ""zh"", ""en"")"),"Technological innovation")</f>
        <v>Technological innovation</v>
      </c>
      <c r="C4756" s="1" t="str">
        <f ca="1">IFERROR(__xludf.DUMMYFUNCTION("GOOGLETRANSLATE(E4756, ""zh"", ""en"")"),"Qualitative text")</f>
        <v>Qualitative text</v>
      </c>
    </row>
    <row r="4757" spans="1:3" ht="13" x14ac:dyDescent="0.15">
      <c r="A4757" s="1" t="str">
        <f ca="1">IFERROR(__xludf.DUMMYFUNCTION("GOOGLETRANSLATE(A4757, ""zh"", ""en"")"),"The company has issued compliance management measures and a code of conduct for compliance management, which stipulates that the company's compliance management leadership body includes the board of directors, the party committee, and the president's offi"&amp;"ce. It has also established three lines of defense for compliance management: the company's functional departments and operating units are the first line of defense, the company's risk management department is the second line of defense, and the audit dep"&amp;"artment and discipline inspection department are the third line of defense.")</f>
        <v>The company has issued compliance management measures and a code of conduct for compliance management, which stipulates that the company's compliance management leadership body includes the board of directors, the party committee, and the president's office. It has also established three lines of defense for compliance management: the company's functional departments and operating units are the first line of defense, the company's risk management department is the second line of defense, and the audit department and discipline inspection department are the third line of defense.</v>
      </c>
      <c r="B4757" s="1" t="str">
        <f ca="1">IFERROR(__xludf.DUMMYFUNCTION("GOOGLETRANSLATE(A4757, ""zh"", ""en"")"),"Legal proceedings and external sanctions")</f>
        <v>Legal proceedings and external sanctions</v>
      </c>
      <c r="C4757" s="1" t="str">
        <f ca="1">IFERROR(__xludf.DUMMYFUNCTION("GOOGLETRANSLATE(E4757, ""zh"", ""en"")"),"Qualitative text")</f>
        <v>Qualitative text</v>
      </c>
    </row>
    <row r="4758" spans="1:3" ht="13" x14ac:dyDescent="0.15">
      <c r="A4758" s="1" t="str">
        <f ca="1">IFERROR(__xludf.DUMMYFUNCTION("GOOGLETRANSLATE(A4758, ""zh"", ""en"")"),"Improve product quality to meet market demand. Sales representatives conduct on-site verification. Product management departments and production units confirm acceptance and filing. The transportation center supervises and implements product recycling. Cu"&amp;"stomers raise recycling demands. 1232022. The company will strengthen and improve product and service quality standards and strive to provide consumers with diverse and high-quality products.")</f>
        <v>Improve product quality to meet market demand. Sales representatives conduct on-site verification. Product management departments and production units confirm acceptance and filing. The transportation center supervises and implements product recycling. Customers raise recycling demands. 1232022. The company will strengthen and improve product and service quality standards and strive to provide consumers with diverse and high-quality products.</v>
      </c>
      <c r="B4758" s="1" t="str">
        <f ca="1">IFERROR(__xludf.DUMMYFUNCTION("GOOGLETRANSLATE(A4758, ""zh"", ""en"")"),"Product quality")</f>
        <v>Product quality</v>
      </c>
      <c r="C4758" s="1" t="str">
        <f ca="1">IFERROR(__xludf.DUMMYFUNCTION("GOOGLETRANSLATE(E4758, ""zh"", ""en"")"),"Qualitative text")</f>
        <v>Qualitative text</v>
      </c>
    </row>
    <row r="4759" spans="1:3" ht="13" x14ac:dyDescent="0.15">
      <c r="A4759" s="1" t="str">
        <f ca="1">IFERROR(__xludf.DUMMYFUNCTION("GOOGLETRANSLATE(A4759, ""zh"", ""en"")"),"4. Occupational Health Examination Rate for Employees Exposed to Occupational Hazards The occupational health examination rate for employees exposed to occupational hazards disclosed in the Environmental, Social and Governance (ESG) report refers to the r"&amp;"atio of the number of employees exposed to occupational hazards at PetroChina Company Limited who completed occupational health examinations to the planned number of employees who underwent them in 2022.")</f>
        <v>4. Occupational Health Examination Rate for Employees Exposed to Occupational Hazards The occupational health examination rate for employees exposed to occupational hazards disclosed in the Environmental, Social and Governance (ESG) report refers to the ratio of the number of employees exposed to occupational hazards at PetroChina Company Limited who completed occupational health examinations to the planned number of employees who underwent them in 2022.</v>
      </c>
      <c r="B4759" s="1" t="str">
        <f ca="1">IFERROR(__xludf.DUMMYFUNCTION("GOOGLETRANSLATE(A4759, ""zh"", ""en"")"),"staff")</f>
        <v>staff</v>
      </c>
      <c r="C4759" s="1" t="str">
        <f ca="1">IFERROR(__xludf.DUMMYFUNCTION("GOOGLETRANSLATE(E4759, ""zh"", ""en"")"),"Qualitative text")</f>
        <v>Qualitative text</v>
      </c>
    </row>
    <row r="4760" spans="1:3" ht="13" x14ac:dyDescent="0.15">
      <c r="A4760" s="1" t="str">
        <f ca="1">IFERROR(__xludf.DUMMYFUNCTION("GOOGLETRANSLATE(A4760, ""zh"", ""en"")"),"Fully implement the Group's 14th Five-Year Plan for Talent Development. Clarify responsibilities and target tasks in a layered and classified manner. Strengthen the talent development responsibilities of headquarters departments and lines. Conduct assessm"&amp;"ents and evaluations of member units using a checklist-based, one-company-one-policy approach. In 2022, five new Zhejiang craftsmen will be appointed, one postdoctoral research workstation will be established, and two provincial-level enterprise technolog"&amp;"y centers will be established.")</f>
        <v>Fully implement the Group's 14th Five-Year Plan for Talent Development. Clarify responsibilities and target tasks in a layered and classified manner. Strengthen the talent development responsibilities of headquarters departments and lines. Conduct assessments and evaluations of member units using a checklist-based, one-company-one-policy approach. In 2022, five new Zhejiang craftsmen will be appointed, one postdoctoral research workstation will be established, and two provincial-level enterprise technology centers will be established.</v>
      </c>
      <c r="B4760" s="1" t="str">
        <f ca="1">IFERROR(__xludf.DUMMYFUNCTION("GOOGLETRANSLATE(A4760, ""zh"", ""en"")"),"staff")</f>
        <v>staff</v>
      </c>
      <c r="C4760" s="1" t="str">
        <f ca="1">IFERROR(__xludf.DUMMYFUNCTION("GOOGLETRANSLATE(E4760, ""zh"", ""en"")"),"Quantitative Text")</f>
        <v>Quantitative Text</v>
      </c>
    </row>
    <row r="4761" spans="1:3" ht="13" x14ac:dyDescent="0.15">
      <c r="A4761" s="1" t="str">
        <f ca="1">IFERROR(__xludf.DUMMYFUNCTION("GOOGLETRANSLATE(A4761, ""zh"", ""en"")"),"The company conducts employee satisfaction surveys every year and uses information technology to send satisfaction survey questionnaires to all employees. Questions in the questionnaires cover the working conditions provided by the department, guidance fo"&amp;"r personal work and career development, teamwork and work atmosphere, the care and respect given to employees by the department, and employee opinions and suggestions.")</f>
        <v>The company conducts employee satisfaction surveys every year and uses information technology to send satisfaction survey questionnaires to all employees. Questions in the questionnaires cover the working conditions provided by the department, guidance for personal work and career development, teamwork and work atmosphere, the care and respect given to employees by the department, and employee opinions and suggestions.</v>
      </c>
      <c r="B4761" s="1" t="str">
        <f ca="1">IFERROR(__xludf.DUMMYFUNCTION("GOOGLETRANSLATE(A4761, ""zh"", ""en"")"),"staff")</f>
        <v>staff</v>
      </c>
      <c r="C4761" s="1" t="str">
        <f ca="1">IFERROR(__xludf.DUMMYFUNCTION("GOOGLETRANSLATE(E4761, ""zh"", ""en"")"),"Qualitative text")</f>
        <v>Qualitative text</v>
      </c>
    </row>
    <row r="4762" spans="1:3" ht="13" x14ac:dyDescent="0.15">
      <c r="A4762" s="1" t="str">
        <f ca="1">IFERROR(__xludf.DUMMYFUNCTION("GOOGLETRANSLATE(A4762, ""zh"", ""en"")"),"The company has established a complete information security management framework. In 2022, it will focus on and actively promote the research and implementation of technical hotspots, including information security, data security, supply chain security, s"&amp;"ecurity situation awareness and refined operations, network asset attack surface management, and other aspects to improve the systematization, normalization and practical level of enterprise network security.")</f>
        <v>The company has established a complete information security management framework. In 2022, it will focus on and actively promote the research and implementation of technical hotspots, including information security, data security, supply chain security, security situation awareness and refined operations, network asset attack surface management, and other aspects to improve the systematization, normalization and practical level of enterprise network security.</v>
      </c>
      <c r="B4762" s="1" t="str">
        <f ca="1">IFERROR(__xludf.DUMMYFUNCTION("GOOGLETRANSLATE(A4762, ""zh"", ""en"")"),"Data security")</f>
        <v>Data security</v>
      </c>
      <c r="C4762" s="1" t="str">
        <f ca="1">IFERROR(__xludf.DUMMYFUNCTION("GOOGLETRANSLATE(E4762, ""zh"", ""en"")"),"Qualitative text")</f>
        <v>Qualitative text</v>
      </c>
    </row>
    <row r="4763" spans="1:3" ht="13" x14ac:dyDescent="0.15">
      <c r="A4763" s="1" t="str">
        <f ca="1">IFERROR(__xludf.DUMMYFUNCTION("GOOGLETRANSLATE(A4763, ""zh"", ""en"")"),"The company has established a cross-departmental team to assess and audit suppliers' environmental and social risks in accordance with relevant regulations. The audit content includes labor standards, health and safety, environmental protection, and busin"&amp;"ess ethics. The audit targets include direct suppliers and second-tier suppliers, including most chip and chemical material suppliers.")</f>
        <v>The company has established a cross-departmental team to assess and audit suppliers' environmental and social risks in accordance with relevant regulations. The audit content includes labor standards, health and safety, environmental protection, and business ethics. The audit targets include direct suppliers and second-tier suppliers, including most chip and chemical material suppliers.</v>
      </c>
      <c r="B4763" s="1" t="str">
        <f ca="1">IFERROR(__xludf.DUMMYFUNCTION("GOOGLETRANSLATE(A4763, ""zh"", ""en"")"),"supply chain management")</f>
        <v>supply chain management</v>
      </c>
      <c r="C4763" s="1" t="str">
        <f ca="1">IFERROR(__xludf.DUMMYFUNCTION("GOOGLETRANSLATE(E4763, ""zh"", ""en"")"),"Qualitative text")</f>
        <v>Qualitative text</v>
      </c>
    </row>
    <row r="4764" spans="1:3" ht="13" x14ac:dyDescent="0.15">
      <c r="A4764" s="1" t="str">
        <f ca="1">IFERROR(__xludf.DUMMYFUNCTION("GOOGLETRANSLATE(A4764, ""zh"", ""en"")"),"Through Vendor Managed Inventory (VMI) supply method, we have changed the supplier delivery frequency from once a day to once a week, optimized transportation routes and strengthened cooperation with local suppliers to minimize greenhouse gas emissions du"&amp;"ring transportation.")</f>
        <v>Through Vendor Managed Inventory (VMI) supply method, we have changed the supplier delivery frequency from once a day to once a week, optimized transportation routes and strengthened cooperation with local suppliers to minimize greenhouse gas emissions during transportation.</v>
      </c>
      <c r="B4764" s="1" t="str">
        <f ca="1">IFERROR(__xludf.DUMMYFUNCTION("GOOGLETRANSLATE(A4764, ""zh"", ""en"")"),"carbon emissions")</f>
        <v>carbon emissions</v>
      </c>
      <c r="C4764" s="1" t="str">
        <f ca="1">IFERROR(__xludf.DUMMYFUNCTION("GOOGLETRANSLATE(E4764, ""zh"", ""en"")"),"Qualitative text")</f>
        <v>Qualitative text</v>
      </c>
    </row>
    <row r="4765" spans="1:3" ht="13" x14ac:dyDescent="0.15">
      <c r="A4765" s="1" t="str">
        <f ca="1">IFERROR(__xludf.DUMMYFUNCTION("GOOGLETRANSLATE(A4765, ""zh"", ""en"")"),"In 2022, we conducted extensive research on suppliers whose products may contain tantalum, tin, tungsten, gold, and cobalt, mainly tin and gold. As of the end of the reporting period, we have completed the research of 1,401 suppliers, of which 44 used the"&amp;"se metals in their products and all reported that there was no conflict mineral risk in the upstream supply chain.")</f>
        <v>In 2022, we conducted extensive research on suppliers whose products may contain tantalum, tin, tungsten, gold, and cobalt, mainly tin and gold. As of the end of the reporting period, we have completed the research of 1,401 suppliers, of which 44 used these metals in their products and all reported that there was no conflict mineral risk in the upstream supply chain.</v>
      </c>
      <c r="B4765" s="1" t="str">
        <f ca="1">IFERROR(__xludf.DUMMYFUNCTION("GOOGLETRANSLATE(A4765, ""zh"", ""en"")"),"supply chain management")</f>
        <v>supply chain management</v>
      </c>
      <c r="C4765" s="1" t="str">
        <f ca="1">IFERROR(__xludf.DUMMYFUNCTION("GOOGLETRANSLATE(E4765, ""zh"", ""en"")"),"Quantitative Text")</f>
        <v>Quantitative Text</v>
      </c>
    </row>
    <row r="4766" spans="1:3" ht="13" x14ac:dyDescent="0.15">
      <c r="A4766" s="1" t="str">
        <f ca="1">IFERROR(__xludf.DUMMYFUNCTION("GOOGLETRANSLATE(A4766, ""zh"", ""en"")"),"We insist on linking total wage growth with basic labor market adaptation, enterprise economic benefits, and labor productivity. We have established a coordinated total wage determination mechanism that combines wage efficiency with effectiveness benchmar"&amp;"king and wage level regulation. We have also improved support policies for innovation, incentives, and guarantees, such as the introduction of core talent.")</f>
        <v>We insist on linking total wage growth with basic labor market adaptation, enterprise economic benefits, and labor productivity. We have established a coordinated total wage determination mechanism that combines wage efficiency with effectiveness benchmarking and wage level regulation. We have also improved support policies for innovation, incentives, and guarantees, such as the introduction of core talent.</v>
      </c>
      <c r="B4766" s="1" t="str">
        <f ca="1">IFERROR(__xludf.DUMMYFUNCTION("GOOGLETRANSLATE(A4766, ""zh"", ""en"")"),"staff")</f>
        <v>staff</v>
      </c>
      <c r="C4766" s="1" t="str">
        <f ca="1">IFERROR(__xludf.DUMMYFUNCTION("GOOGLETRANSLATE(E4766, ""zh"", ""en"")"),"Qualitative text")</f>
        <v>Qualitative text</v>
      </c>
    </row>
    <row r="4767" spans="1:3" ht="13" x14ac:dyDescent="0.15">
      <c r="A4767" s="1" t="str">
        <f ca="1">IFERROR(__xludf.DUMMYFUNCTION("GOOGLETRANSLATE(A4767, ""zh"", ""en"")"),"In 2012, the company was renamed Zhejiang Sunshine Lighting Appliance Group Co., Ltd. and won the bid for the National Semiconductor Lighting Product Financial Subsidy Promotion Project and the Shanghai Jinhongqiao Building Harbin Metro LED Lighting Proje"&amp;"ct. The company issued 55.6 million A shares in a private placement and raised more than RMB 900 million for LED R&amp;D and production.")</f>
        <v>In 2012, the company was renamed Zhejiang Sunshine Lighting Appliance Group Co., Ltd. and won the bid for the National Semiconductor Lighting Product Financial Subsidy Promotion Project and the Shanghai Jinhongqiao Building Harbin Metro LED Lighting Project. The company issued 55.6 million A shares in a private placement and raised more than RMB 900 million for LED R&amp;D and production.</v>
      </c>
      <c r="B4767" s="1" t="str">
        <f ca="1">IFERROR(__xludf.DUMMYFUNCTION("GOOGLETRANSLATE(A4767, ""zh"", ""en"")"),"Technological innovation")</f>
        <v>Technological innovation</v>
      </c>
      <c r="C4767" s="1" t="str">
        <f ca="1">IFERROR(__xludf.DUMMYFUNCTION("GOOGLETRANSLATE(E4767, ""zh"", ""en"")"),"Quantitative Text")</f>
        <v>Quantitative Text</v>
      </c>
    </row>
    <row r="4768" spans="1:3" ht="13" x14ac:dyDescent="0.15">
      <c r="A4768" s="1" t="str">
        <f ca="1">IFERROR(__xludf.DUMMYFUNCTION("GOOGLETRANSLATE(A4768, ""zh"", ""en"")"),"In the future, the two sides will focus on the new development concept of innovation, coordination, green, openness and sharing, and the goals of carbon peak by 2030 and carbon neutrality by 2060. Based on the principle of mutual support, mutual benefit a"&amp;"nd win-win, anchor the newness of the new city, plan high-quality buildings, high-standard functions and high-level services from a high starting point, and jointly build Fengxian New City into a pioneer in the dual carbon goals.")</f>
        <v>In the future, the two sides will focus on the new development concept of innovation, coordination, green, openness and sharing, and the goals of carbon peak by 2030 and carbon neutrality by 2060. Based on the principle of mutual support, mutual benefit and win-win, anchor the newness of the new city, plan high-quality buildings, high-standard functions and high-level services from a high starting point, and jointly build Fengxian New City into a pioneer in the dual carbon goals.</v>
      </c>
      <c r="B4768" s="1" t="str">
        <f ca="1">IFERROR(__xludf.DUMMYFUNCTION("GOOGLETRANSLATE(A4768, ""zh"", ""en"")"),"carbon emissions")</f>
        <v>carbon emissions</v>
      </c>
      <c r="C4768" s="1" t="str">
        <f ca="1">IFERROR(__xludf.DUMMYFUNCTION("GOOGLETRANSLATE(E4768, ""zh"", ""en"")"),"Qualitative text")</f>
        <v>Qualitative text</v>
      </c>
    </row>
    <row r="4769" spans="1:3" ht="13" x14ac:dyDescent="0.15">
      <c r="A4769" s="1" t="str">
        <f ca="1">IFERROR(__xludf.DUMMYFUNCTION("GOOGLETRANSLATE(A4769, ""zh"", ""en"")"),"While valuing our own intellectual property rights, we also pay attention to respecting and protecting the intellectual property rights of others, establish scientific and reasonable intellectual property values ​​within the company, enhance employees' aw"&amp;"areness of respecting and protecting intellectual property rights, actively fulfill the platform's corporate social responsibility, and handle any infringement of others' intellectual property rights on the business platform.")</f>
        <v>While valuing our own intellectual property rights, we also pay attention to respecting and protecting the intellectual property rights of others, establish scientific and reasonable intellectual property values ​​within the company, enhance employees' awareness of respecting and protecting intellectual property rights, actively fulfill the platform's corporate social responsibility, and handle any infringement of others' intellectual property rights on the business platform.</v>
      </c>
      <c r="B4769" s="1" t="str">
        <f ca="1">IFERROR(__xludf.DUMMYFUNCTION("GOOGLETRANSLATE(A4769, ""zh"", ""en"")"),"Intellectual Property Protection")</f>
        <v>Intellectual Property Protection</v>
      </c>
      <c r="C4769" s="1" t="str">
        <f ca="1">IFERROR(__xludf.DUMMYFUNCTION("GOOGLETRANSLATE(E4769, ""zh"", ""en"")"),"Qualitative text")</f>
        <v>Qualitative text</v>
      </c>
    </row>
    <row r="4770" spans="1:3" ht="13" x14ac:dyDescent="0.15">
      <c r="A4770" s="1" t="str">
        <f ca="1">IFERROR(__xludf.DUMMYFUNCTION("GOOGLETRANSLATE(A4770, ""zh"", ""en"")"),"In February 2022, Haier Poland donated a hand-painted refrigerator to the well-known local charity foundation WOŚP. It was successfully auctioned at the 30th WOŚP charity auction for approximately RMB 17,397, which was approximately 20% higher than the ma"&amp;"rket price. The funds were used to support the health and educational development of local children.")</f>
        <v>In February 2022, Haier Poland donated a hand-painted refrigerator to the well-known local charity foundation WOŚP. It was successfully auctioned at the 30th WOŚP charity auction for approximately RMB 17,397, which was approximately 20% higher than the market price. The funds were used to support the health and educational development of local children.</v>
      </c>
      <c r="B4770" s="1" t="str">
        <f ca="1">IFERROR(__xludf.DUMMYFUNCTION("GOOGLETRANSLATE(A4770, ""zh"", ""en"")"),"Public welfare and volunteer service")</f>
        <v>Public welfare and volunteer service</v>
      </c>
      <c r="C4770" s="1" t="str">
        <f ca="1">IFERROR(__xludf.DUMMYFUNCTION("GOOGLETRANSLATE(E4770, ""zh"", ""en"")"),"Quantitative Text")</f>
        <v>Quantitative Text</v>
      </c>
    </row>
    <row r="4771" spans="1:3" ht="13" x14ac:dyDescent="0.15">
      <c r="A4771" s="1" t="str">
        <f ca="1">IFERROR(__xludf.DUMMYFUNCTION("GOOGLETRANSLATE(A4771, ""zh"", ""en"")"),"With the joint efforts of CNPC and OGCI, Kunlun Equity Investment Fund, an oil and gas industry climate initiative, was officially launched in Hainan Province in April 2022. It will invest in technologies and business solutions that could have a significa"&amp;"nt impact on global greenhouse gas emissions in my country to support climate change response efforts.")</f>
        <v>With the joint efforts of CNPC and OGCI, Kunlun Equity Investment Fund, an oil and gas industry climate initiative, was officially launched in Hainan Province in April 2022. It will invest in technologies and business solutions that could have a significant impact on global greenhouse gas emissions in my country to support climate change response efforts.</v>
      </c>
      <c r="B4771" s="1" t="str">
        <f ca="1">IFERROR(__xludf.DUMMYFUNCTION("GOOGLETRANSLATE(A4771, ""zh"", ""en"")"),"Addressing climate change")</f>
        <v>Addressing climate change</v>
      </c>
      <c r="C4771" s="1" t="str">
        <f ca="1">IFERROR(__xludf.DUMMYFUNCTION("GOOGLETRANSLATE(E4771, ""zh"", ""en"")"),"Qualitative text")</f>
        <v>Qualitative text</v>
      </c>
    </row>
    <row r="4772" spans="1:3" ht="13" x14ac:dyDescent="0.15">
      <c r="A4772" s="1" t="str">
        <f ca="1">IFERROR(__xludf.DUMMYFUNCTION("GOOGLETRANSLATE(A4772, ""zh"", ""en"")"),"The number of suppliers in the Yangtze River Delta The number of suppliers disclosed in the China Construction Bank's Social Responsibility Report refers to the number of suppliers registered in the Yangtze River Delta region among all real-name registere"&amp;"d suppliers in the supplier database of China Construction Bank, excluding domestic and overseas subsidiaries, as of the end of the reporting period.")</f>
        <v>The number of suppliers in the Yangtze River Delta The number of suppliers disclosed in the China Construction Bank's Social Responsibility Report refers to the number of suppliers registered in the Yangtze River Delta region among all real-name registered suppliers in the supplier database of China Construction Bank, excluding domestic and overseas subsidiaries, as of the end of the reporting period.</v>
      </c>
      <c r="B4772" s="1" t="str">
        <f ca="1">IFERROR(__xludf.DUMMYFUNCTION("GOOGLETRANSLATE(A4772, ""zh"", ""en"")"),"supply chain management")</f>
        <v>supply chain management</v>
      </c>
      <c r="C4772" s="1" t="str">
        <f ca="1">IFERROR(__xludf.DUMMYFUNCTION("GOOGLETRANSLATE(E4772, ""zh"", ""en"")"),"Quantitative Text")</f>
        <v>Quantitative Text</v>
      </c>
    </row>
    <row r="4773" spans="1:3" ht="13" x14ac:dyDescent="0.15">
      <c r="A4773" s="1" t="str">
        <f ca="1">IFERROR(__xludf.DUMMYFUNCTION("GOOGLETRANSLATE(A4773, ""zh"", ""en"")"),"The number of WeChat Bank-bound users is 10,000. The number of WeChat Bank-bound users disclosed in China Construction Bank's Social Responsibility Report refers to the number of individual customers of China Construction Bank (excluding domestic and over"&amp;"seas branches and subsidiaries) who have followed and bound their WeChat Bank accounts as of the end of the reporting period, including savings accounts and credit card accounts.")</f>
        <v>The number of WeChat Bank-bound users is 10,000. The number of WeChat Bank-bound users disclosed in China Construction Bank's Social Responsibility Report refers to the number of individual customers of China Construction Bank (excluding domestic and overseas branches and subsidiaries) who have followed and bound their WeChat Bank accounts as of the end of the reporting period, including savings accounts and credit card accounts.</v>
      </c>
      <c r="B4773" s="1" t="str">
        <f ca="1">IFERROR(__xludf.DUMMYFUNCTION("GOOGLETRANSLATE(A4773, ""zh"", ""en"")"),"Customers and Consumers")</f>
        <v>Customers and Consumers</v>
      </c>
      <c r="C4773" s="1" t="str">
        <f ca="1">IFERROR(__xludf.DUMMYFUNCTION("GOOGLETRANSLATE(E4773, ""zh"", ""en"")"),"Quantitative Text")</f>
        <v>Quantitative Text</v>
      </c>
    </row>
    <row r="4774" spans="1:3" ht="13" x14ac:dyDescent="0.15">
      <c r="A4774" s="1" t="str">
        <f ca="1">IFERROR(__xludf.DUMMYFUNCTION("GOOGLETRANSLATE(A4774, ""zh"", ""en"")"),"China Construction Bank Corporation 2022 Social Responsibility Report 68 Since 2019, the Bank has implemented the Summer Internship Program for Internship Students, attracting nearly 30,000 undergraduate students to intern at the Bank. This has built a go"&amp;"od reputation as an employer and significantly enhanced the Bank's attractiveness in the job market.")</f>
        <v>China Construction Bank Corporation 2022 Social Responsibility Report 68 Since 2019, the Bank has implemented the Summer Internship Program for Internship Students, attracting nearly 30,000 undergraduate students to intern at the Bank. This has built a good reputation as an employer and significantly enhanced the Bank's attractiveness in the job market.</v>
      </c>
      <c r="B4774" s="1" t="str">
        <f ca="1">IFERROR(__xludf.DUMMYFUNCTION("GOOGLETRANSLATE(A4774, ""zh"", ""en"")"),"Promoting employment")</f>
        <v>Promoting employment</v>
      </c>
      <c r="C4774" s="1" t="str">
        <f ca="1">IFERROR(__xludf.DUMMYFUNCTION("GOOGLETRANSLATE(E4774, ""zh"", ""en"")"),"Quantitative Text")</f>
        <v>Quantitative Text</v>
      </c>
    </row>
    <row r="4775" spans="1:3" ht="13" x14ac:dyDescent="0.15">
      <c r="A4775" s="1" t="str">
        <f ca="1">IFERROR(__xludf.DUMMYFUNCTION("GOOGLETRANSLATE(A4775, ""zh"", ""en"")"),"In terms of expert selection, we have formulated a policy for the selection of group science and technology experts, innovatively breaking through the restrictions on professional titles and years of service, and recommending a large number of cutting-edg"&amp;"e leading talents according to the tasks they undertake. In terms of selecting leaders of science and technology projects, we adopt the principle of selecting talents based on science and technology projects, emphasizing that those who are capable will ha"&amp;"ve positions and those who make contributions will be rewarded.")</f>
        <v>In terms of expert selection, we have formulated a policy for the selection of group science and technology experts, innovatively breaking through the restrictions on professional titles and years of service, and recommending a large number of cutting-edge leading talents according to the tasks they undertake. In terms of selecting leaders of science and technology projects, we adopt the principle of selecting talents based on science and technology projects, emphasizing that those who are capable will have positions and those who make contributions will be rewarded.</v>
      </c>
      <c r="B4775" s="1" t="str">
        <f ca="1">IFERROR(__xludf.DUMMYFUNCTION("GOOGLETRANSLATE(A4775, ""zh"", ""en"")"),"Technological innovation")</f>
        <v>Technological innovation</v>
      </c>
      <c r="C4775" s="1" t="str">
        <f ca="1">IFERROR(__xludf.DUMMYFUNCTION("GOOGLETRANSLATE(E4775, ""zh"", ""en"")"),"Qualitative text")</f>
        <v>Qualitative text</v>
      </c>
    </row>
    <row r="4776" spans="1:3" ht="13" x14ac:dyDescent="0.15">
      <c r="A4776" s="1" t="str">
        <f ca="1">IFERROR(__xludf.DUMMYFUNCTION("GOOGLETRANSLATE(A4776, ""zh"", ""en"")"),"Complainant Protection Measures In addition, we respect and uphold the core conventions of the International Labor Organization (ILO) and the United Nations Universal Declaration of Human Rights, and oppose any form of employment discrimination. We ensure"&amp;" that there is no forced labor or child labor among employees.")</f>
        <v>Complainant Protection Measures In addition, we respect and uphold the core conventions of the International Labor Organization (ILO) and the United Nations Universal Declaration of Human Rights, and oppose any form of employment discrimination. We ensure that there is no forced labor or child labor among employees.</v>
      </c>
      <c r="B4776" s="1" t="str">
        <f ca="1">IFERROR(__xludf.DUMMYFUNCTION("GOOGLETRANSLATE(A4776, ""zh"", ""en"")"),"staff")</f>
        <v>staff</v>
      </c>
      <c r="C4776" s="1" t="str">
        <f ca="1">IFERROR(__xludf.DUMMYFUNCTION("GOOGLETRANSLATE(E4776, ""zh"", ""en"")"),"Qualitative text")</f>
        <v>Qualitative text</v>
      </c>
    </row>
    <row r="4777" spans="1:3" ht="13" x14ac:dyDescent="0.15">
      <c r="A4777" s="1" t="str">
        <f ca="1">IFERROR(__xludf.DUMMYFUNCTION("GOOGLETRANSLATE(A4777, ""zh"", ""en"")"),"The Group conducts at least one EHS internal audit each year to verify whether all EHS management tasks are carried out in accordance with the requirements of the ISO45001 system. This is done to continuously improve the effectiveness of the EHS managemen"&amp;"t system and ensure the compliance and effectiveness of the Group's safety, environmental protection, occupational health, fire protection and other modules in production operations.")</f>
        <v>The Group conducts at least one EHS internal audit each year to verify whether all EHS management tasks are carried out in accordance with the requirements of the ISO45001 system. This is done to continuously improve the effectiveness of the EHS management system and ensure the compliance and effectiveness of the Group's safety, environmental protection, occupational health, fire protection and other modules in production operations.</v>
      </c>
      <c r="B4777" s="1" t="str">
        <f ca="1">IFERROR(__xludf.DUMMYFUNCTION("GOOGLETRANSLATE(A4777, ""zh"", ""en"")"),"Audit work")</f>
        <v>Audit work</v>
      </c>
      <c r="C4777" s="1" t="str">
        <f ca="1">IFERROR(__xludf.DUMMYFUNCTION("GOOGLETRANSLATE(E4777, ""zh"", ""en"")"),"Qualitative text")</f>
        <v>Qualitative text</v>
      </c>
    </row>
    <row r="4778" spans="1:3" ht="13" x14ac:dyDescent="0.15">
      <c r="A4778" s="1" t="str">
        <f ca="1">IFERROR(__xludf.DUMMYFUNCTION("GOOGLETRANSLATE(A4778, ""zh"", ""en"")"),"At the same time, we attach great importance to the feedback and guidance provided by managers to employees. After each performance appraisal, the line supervisors of each department need to communicate with the employees in the department about the perfo"&amp;"rmance appraisal situation, listen to the employees' feedback, put forward suggestions for work improvement and optimization, and work with the employees to formulate the next stage of performance goals and performance improvement plans.")</f>
        <v>At the same time, we attach great importance to the feedback and guidance provided by managers to employees. After each performance appraisal, the line supervisors of each department need to communicate with the employees in the department about the performance appraisal situation, listen to the employees' feedback, put forward suggestions for work improvement and optimization, and work with the employees to formulate the next stage of performance goals and performance improvement plans.</v>
      </c>
      <c r="B4778" s="1" t="str">
        <f ca="1">IFERROR(__xludf.DUMMYFUNCTION("GOOGLETRANSLATE(A4778, ""zh"", ""en"")"),"staff")</f>
        <v>staff</v>
      </c>
      <c r="C4778" s="1" t="str">
        <f ca="1">IFERROR(__xludf.DUMMYFUNCTION("GOOGLETRANSLATE(E4778, ""zh"", ""en"")"),"Qualitative text")</f>
        <v>Qualitative text</v>
      </c>
    </row>
    <row r="4779" spans="1:3" ht="13" x14ac:dyDescent="0.15">
      <c r="A4779" s="1" t="str">
        <f ca="1">IFERROR(__xludf.DUMMYFUNCTION("GOOGLETRANSLATE(A4779, ""zh"", ""en"")"),"In 2022, Wuchan Zhongda Group's innovative practices in energy conservation, environmental protection, and green development were fully recognized by relevant departments. On December 20, the State-owned Assets Supervision and Administration Commission of"&amp;" the State Council announced the 2022 Local State-owned Enterprise Social Responsibility Pioneer 100 Index, and the Group ranked 25th, the highest among the five selected Zhejiang provincial state-owned enterprises.")</f>
        <v>In 2022, Wuchan Zhongda Group's innovative practices in energy conservation, environmental protection, and green development were fully recognized by relevant departments. On December 20, the State-owned Assets Supervision and Administration Commission of the State Council announced the 2022 Local State-owned Enterprise Social Responsibility Pioneer 100 Index, and the Group ranked 25th, the highest among the five selected Zhejiang provincial state-owned enterprises.</v>
      </c>
      <c r="B4779" s="1" t="str">
        <f ca="1">IFERROR(__xludf.DUMMYFUNCTION("GOOGLETRANSLATE(A4779, ""zh"", ""en"")"),"Sustainable certification")</f>
        <v>Sustainable certification</v>
      </c>
      <c r="C4779" s="1" t="str">
        <f ca="1">IFERROR(__xludf.DUMMYFUNCTION("GOOGLETRANSLATE(E4779, ""zh"", ""en"")"),"Quantitative Text")</f>
        <v>Quantitative Text</v>
      </c>
    </row>
    <row r="4780" spans="1:3" ht="13" x14ac:dyDescent="0.15">
      <c r="A4780" s="1" t="str">
        <f ca="1">IFERROR(__xludf.DUMMYFUNCTION("GOOGLETRANSLATE(A4780, ""zh"", ""en"")"),"The harmless disposal of industrial sludge has always been a hot topic in the environmental field. In June 2021, the National Development and Reform Commission and the Ministry of Housing and Urban-Rural Development jointly issued the 14th Five-Year Plan "&amp;"for Urban Wastewater Treatment and Resource Utilization, proposing that the harmless disposal rate of urban sludge should reach at least 90% by 2025.")</f>
        <v>The harmless disposal of industrial sludge has always been a hot topic in the environmental field. In June 2021, the National Development and Reform Commission and the Ministry of Housing and Urban-Rural Development jointly issued the 14th Five-Year Plan for Urban Wastewater Treatment and Resource Utilization, proposing that the harmless disposal rate of urban sludge should reach at least 90% by 2025.</v>
      </c>
      <c r="B4780" s="1" t="str">
        <f ca="1">IFERROR(__xludf.DUMMYFUNCTION("GOOGLETRANSLATE(A4780, ""zh"", ""en"")"),"Waste Management")</f>
        <v>Waste Management</v>
      </c>
      <c r="C4780" s="1" t="str">
        <f ca="1">IFERROR(__xludf.DUMMYFUNCTION("GOOGLETRANSLATE(E4780, ""zh"", ""en"")"),"Quantitative Text")</f>
        <v>Quantitative Text</v>
      </c>
    </row>
    <row r="4781" spans="1:3" ht="13" x14ac:dyDescent="0.15">
      <c r="A4781" s="1" t="str">
        <f ca="1">IFERROR(__xludf.DUMMYFUNCTION("GOOGLETRANSLATE(A4781, ""zh"", ""en"")"),"The Group, together with its subsidiaries, organized audit teams to conduct a total of 6 quality audits on the entrusted production enterprises, covering modules such as production system, packaging system, material system, equipment and facilities system"&amp;", quality assurance system, quality control system and environmental protection. The Group also urged the entrusted production enterprises to actively rectify the defects found in the audits.")</f>
        <v>The Group, together with its subsidiaries, organized audit teams to conduct a total of 6 quality audits on the entrusted production enterprises, covering modules such as production system, packaging system, material system, equipment and facilities system, quality assurance system, quality control system and environmental protection. The Group also urged the entrusted production enterprises to actively rectify the defects found in the audits.</v>
      </c>
      <c r="B4781" s="1" t="str">
        <f ca="1">IFERROR(__xludf.DUMMYFUNCTION("GOOGLETRANSLATE(A4781, ""zh"", ""en"")"),"Audit work")</f>
        <v>Audit work</v>
      </c>
      <c r="C4781" s="1" t="str">
        <f ca="1">IFERROR(__xludf.DUMMYFUNCTION("GOOGLETRANSLATE(E4781, ""zh"", ""en"")"),"Quantitative Text")</f>
        <v>Quantitative Text</v>
      </c>
    </row>
    <row r="4782" spans="1:3" ht="13" x14ac:dyDescent="0.15">
      <c r="A4782" s="1" t="str">
        <f ca="1">IFERROR(__xludf.DUMMYFUNCTION("GOOGLETRANSLATE(A4782, ""zh"", ""en"")"),"Business Development Digital Operations Financial Products and Services Fintech Empowers Digital Transformation 52 CITIC Securities 2022 Annual Social Responsibility Report III. Customer Service 1. Protecting Customer Rights and Interests CITIC Securities"&amp;" attaches great importance to protecting customer rights and interests, adopts various measures to ensure service compliance, and continuously strengthens suitability management.")</f>
        <v>Business Development Digital Operations Financial Products and Services Fintech Empowers Digital Transformation 52 CITIC Securities 2022 Annual Social Responsibility Report III. Customer Service 1. Protecting Customer Rights and Interests CITIC Securities attaches great importance to protecting customer rights and interests, adopts various measures to ensure service compliance, and continuously strengthens suitability management.</v>
      </c>
      <c r="B4782" s="1" t="str">
        <f ca="1">IFERROR(__xludf.DUMMYFUNCTION("GOOGLETRANSLATE(A4782, ""zh"", ""en"")"),"Customers and Consumers")</f>
        <v>Customers and Consumers</v>
      </c>
      <c r="C4782" s="1" t="str">
        <f ca="1">IFERROR(__xludf.DUMMYFUNCTION("GOOGLETRANSLATE(E4782, ""zh"", ""en"")"),"Qualitative text")</f>
        <v>Qualitative text</v>
      </c>
    </row>
    <row r="4783" spans="1:3" ht="13" x14ac:dyDescent="0.15">
      <c r="A4783" s="1" t="str">
        <f ca="1">IFERROR(__xludf.DUMMYFUNCTION("GOOGLETRANSLATE(A4783, ""zh"", ""en"")"),"2. Mandatory disclosure indicators: Page Scope Level: Explanation for non-compliance. Indicator Page: Environmental Level: A1. Emissions: General disclosure of information on waste gas and greenhouse gas emissions, discharges to water and land, generation"&amp;" of hazardous and non-hazardous wastes, etc. (a) Policies and (b) Compliance with relevant laws and regulations that have a significant impact on the issuer.")</f>
        <v>2. Mandatory disclosure indicators: Page Scope Level: Explanation for non-compliance. Indicator Page: Environmental Level: A1. Emissions: General disclosure of information on waste gas and greenhouse gas emissions, discharges to water and land, generation of hazardous and non-hazardous wastes, etc. (a) Policies and (b) Compliance with relevant laws and regulations that have a significant impact on the issuer.</v>
      </c>
      <c r="B4783" s="1" t="str">
        <f ca="1">IFERROR(__xludf.DUMMYFUNCTION("GOOGLETRANSLATE(A4783, ""zh"", ""en"")"),"Waste Management")</f>
        <v>Waste Management</v>
      </c>
      <c r="C4783" s="1" t="str">
        <f ca="1">IFERROR(__xludf.DUMMYFUNCTION("GOOGLETRANSLATE(E4783, ""zh"", ""en"")"),"Qualitative text")</f>
        <v>Qualitative text</v>
      </c>
    </row>
    <row r="4784" spans="1:3" ht="13" x14ac:dyDescent="0.15">
      <c r="A4784" s="1" t="str">
        <f ca="1">IFERROR(__xludf.DUMMYFUNCTION("GOOGLETRANSLATE(A4784, ""zh"", ""en"")"),"Logistics Company, Wanzexing Project Processing Operations Site, Asset Management Company, Investment Company, Yunshang Company, Logistics Company, Environmental Company, 02462022, Wuchan Zhongda Social Responsibility ESG Report, High-frequency contact wi"&amp;"th top domestic financial and technology companies, Continuous market exploration, Extensive exchanges with shareholders and related parties, Innovative business models")</f>
        <v>Logistics Company, Wanzexing Project Processing Operations Site, Asset Management Company, Investment Company, Yunshang Company, Logistics Company, Environmental Company, 02462022, Wuchan Zhongda Social Responsibility ESG Report, High-frequency contact with top domestic financial and technology companies, Continuous market exploration, Extensive exchanges with shareholders and related parties, Innovative business models</v>
      </c>
      <c r="B4784" s="1" t="str">
        <f ca="1">IFERROR(__xludf.DUMMYFUNCTION("GOOGLETRANSLATE(A4784, ""zh"", ""en"")"),"Technological innovation")</f>
        <v>Technological innovation</v>
      </c>
      <c r="C4784" s="1" t="str">
        <f ca="1">IFERROR(__xludf.DUMMYFUNCTION("GOOGLETRANSLATE(E4784, ""zh"", ""en"")"),"Qualitative text")</f>
        <v>Qualitative text</v>
      </c>
    </row>
    <row r="4785" spans="1:3" ht="13" x14ac:dyDescent="0.15">
      <c r="A4785" s="1" t="str">
        <f ca="1">IFERROR(__xludf.DUMMYFUNCTION("GOOGLETRANSLATE(A4785, ""zh"", ""en"")"),"We also provide targeted training to suppliers through various means, including quality system interconnection, delivery system interconnection, Haidayuan system training, etc., covering the adjustment of hazardous substances, ROHS restricted substance li"&amp;"mit requirements, the update of environmental protection commitment letters in contracts, and the re-signing of the new version of environmental protection commitment letters.")</f>
        <v>We also provide targeted training to suppliers through various means, including quality system interconnection, delivery system interconnection, Haidayuan system training, etc., covering the adjustment of hazardous substances, ROHS restricted substance limit requirements, the update of environmental protection commitment letters in contracts, and the re-signing of the new version of environmental protection commitment letters.</v>
      </c>
      <c r="B4785" s="1" t="str">
        <f ca="1">IFERROR(__xludf.DUMMYFUNCTION("GOOGLETRANSLATE(A4785, ""zh"", ""en"")"),"supply chain management")</f>
        <v>supply chain management</v>
      </c>
      <c r="C4785" s="1" t="str">
        <f ca="1">IFERROR(__xludf.DUMMYFUNCTION("GOOGLETRANSLATE(E4785, ""zh"", ""en"")"),"Qualitative text")</f>
        <v>Qualitative text</v>
      </c>
    </row>
    <row r="4786" spans="1:3" ht="13" x14ac:dyDescent="0.15">
      <c r="A4786" s="1" t="str">
        <f ca="1">IFERROR(__xludf.DUMMYFUNCTION("GOOGLETRANSLATE(A4786, ""zh"", ""en"")"),"Mianyang Kaiyue Yinjiangshan 1617 Dima Industry has built a very complete product spectrum, including six major product series and nearly 400 products. At the same time, the products have been highly recognized by the market. In 2022, the market share of "&amp;"cash transport vehicles, emergency vehicles, public security vehicles, fire vehicles and operator vehicles all ranked first.")</f>
        <v>Mianyang Kaiyue Yinjiangshan 1617 Dima Industry has built a very complete product spectrum, including six major product series and nearly 400 products. At the same time, the products have been highly recognized by the market. In 2022, the market share of cash transport vehicles, emergency vehicles, public security vehicles, fire vehicles and operator vehicles all ranked first.</v>
      </c>
      <c r="B4786" s="1" t="str">
        <f ca="1">IFERROR(__xludf.DUMMYFUNCTION("GOOGLETRANSLATE(A4786, ""zh"", ""en"")"),"Product quality")</f>
        <v>Product quality</v>
      </c>
      <c r="C4786" s="1" t="str">
        <f ca="1">IFERROR(__xludf.DUMMYFUNCTION("GOOGLETRANSLATE(E4786, ""zh"", ""en"")"),"Quantitative Text")</f>
        <v>Quantitative Text</v>
      </c>
    </row>
    <row r="4787" spans="1:3" ht="13" x14ac:dyDescent="0.15">
      <c r="A4787" s="1" t="str">
        <f ca="1">IFERROR(__xludf.DUMMYFUNCTION("GOOGLETRANSLATE(A4787, ""zh"", ""en"")"),"In 2022, the company adhered to the concept of building a system code status, continued to carry out legal and regulatory compliance identification and QHSE management work assessment, created 17 L2.2 and L3.1 documents, revised 13 L2.2 and L3.1 documents"&amp;", and continuously improved the globalization of the QHSE management system.")</f>
        <v>In 2022, the company adhered to the concept of building a system code status, continued to carry out legal and regulatory compliance identification and QHSE management work assessment, created 17 L2.2 and L3.1 documents, revised 13 L2.2 and L3.1 documents, and continuously improved the globalization of the QHSE management system.</v>
      </c>
      <c r="B4787" s="1" t="str">
        <f ca="1">IFERROR(__xludf.DUMMYFUNCTION("GOOGLETRANSLATE(A4787, ""zh"", ""en"")"),"Legal proceedings and external sanctions")</f>
        <v>Legal proceedings and external sanctions</v>
      </c>
      <c r="C4787" s="1" t="str">
        <f ca="1">IFERROR(__xludf.DUMMYFUNCTION("GOOGLETRANSLATE(E4787, ""zh"", ""en"")"),"Quantitative Text")</f>
        <v>Quantitative Text</v>
      </c>
    </row>
    <row r="4788" spans="1:3" ht="13" x14ac:dyDescent="0.15">
      <c r="A4788" s="1" t="str">
        <f ca="1">IFERROR(__xludf.DUMMYFUNCTION("GOOGLETRANSLATE(A4788, ""zh"", ""en"")"),"Technical experts and professionals in the energy storage sub-sector of Shanghai Electric analyzed the technical characteristics, application prospects and specific measures for industrial breakthroughs of different energy storage methods, including lithi"&amp;"um battery energy storage, sodium ion battery energy storage, flywheel energy storage, pumped hydroelectric storage, liquid flow battery energy storage, compressed air energy storage, solar thermal energy storage, molten salt thermal storage and multi-ene"&amp;"rgy storage synergy.")</f>
        <v>Technical experts and professionals in the energy storage sub-sector of Shanghai Electric analyzed the technical characteristics, application prospects and specific measures for industrial breakthroughs of different energy storage methods, including lithium battery energy storage, sodium ion battery energy storage, flywheel energy storage, pumped hydroelectric storage, liquid flow battery energy storage, compressed air energy storage, solar thermal energy storage, molten salt thermal storage and multi-energy storage synergy.</v>
      </c>
      <c r="B4788" s="1" t="str">
        <f ca="1">IFERROR(__xludf.DUMMYFUNCTION("GOOGLETRANSLATE(A4788, ""zh"", ""en"")"),"Clean Technology")</f>
        <v>Clean Technology</v>
      </c>
      <c r="C4788" s="1" t="str">
        <f ca="1">IFERROR(__xludf.DUMMYFUNCTION("GOOGLETRANSLATE(E4788, ""zh"", ""en"")"),"Qualitative text")</f>
        <v>Qualitative text</v>
      </c>
    </row>
    <row r="4789" spans="1:3" ht="13" x14ac:dyDescent="0.15">
      <c r="A4789" s="1" t="str">
        <f ca="1">IFERROR(__xludf.DUMMYFUNCTION("GOOGLETRANSLATE(A4789, ""zh"", ""en"")"),"The Company and its investment enterprises attach great importance to the security of customer information, provide customers with reassuring services, build a regular communication platform, respond to customer demands promptly and effectively, continuou"&amp;"sly promote product and service innovation, constantly respond to changing market demands, carry out diversified investor education activities, and help financial investors establish correct financial concepts.")</f>
        <v>The Company and its investment enterprises attach great importance to the security of customer information, provide customers with reassuring services, build a regular communication platform, respond to customer demands promptly and effectively, continuously promote product and service innovation, constantly respond to changing market demands, carry out diversified investor education activities, and help financial investors establish correct financial concepts.</v>
      </c>
      <c r="B4789" s="1" t="str">
        <f ca="1">IFERROR(__xludf.DUMMYFUNCTION("GOOGLETRANSLATE(A4789, ""zh"", ""en"")"),"Customers and Consumers")</f>
        <v>Customers and Consumers</v>
      </c>
      <c r="C4789" s="1" t="str">
        <f ca="1">IFERROR(__xludf.DUMMYFUNCTION("GOOGLETRANSLATE(E4789, ""zh"", ""en"")"),"Qualitative text")</f>
        <v>Qualitative text</v>
      </c>
    </row>
    <row r="4790" spans="1:3" ht="13" x14ac:dyDescent="0.15">
      <c r="A4790" s="1" t="str">
        <f ca="1">IFERROR(__xludf.DUMMYFUNCTION("GOOGLETRANSLATE(A4790, ""zh"", ""en"")"),"One second prize in the 10th National Quality Control Chart Competition, one second prize in Jiangsu Province, and one third prize. Yingshan Fosun Chancheng Hospital, a Chinese Smart Hospital, has established a long-term mechanism for two-level management"&amp;" of hospital and department responsibilities, implemented a reward and punishment system, and linked the annual medical ethics and medical style assessment with performance-based salary. Two first prizes and one second prize in the Case Innovation Competi"&amp;"tion were awarded.")</f>
        <v>One second prize in the 10th National Quality Control Chart Competition, one second prize in Jiangsu Province, and one third prize. Yingshan Fosun Chancheng Hospital, a Chinese Smart Hospital, has established a long-term mechanism for two-level management of hospital and department responsibilities, implemented a reward and punishment system, and linked the annual medical ethics and medical style assessment with performance-based salary. Two first prizes and one second prize in the Case Innovation Competition were awarded.</v>
      </c>
      <c r="B4790" s="1" t="str">
        <f ca="1">IFERROR(__xludf.DUMMYFUNCTION("GOOGLETRANSLATE(A4790, ""zh"", ""en"")"),"Product quality")</f>
        <v>Product quality</v>
      </c>
      <c r="C4790" s="1" t="str">
        <f ca="1">IFERROR(__xludf.DUMMYFUNCTION("GOOGLETRANSLATE(E4790, ""zh"", ""en"")"),"Quantitative Text")</f>
        <v>Quantitative Text</v>
      </c>
    </row>
    <row r="4791" spans="1:3" ht="13" x14ac:dyDescent="0.15">
      <c r="A4791" s="1" t="str">
        <f ca="1">IFERROR(__xludf.DUMMYFUNCTION("GOOGLETRANSLATE(A4791, ""zh"", ""en"")"),"In cooperation with the Global R&amp;D Center, we organized a special training camp for R&amp;D managers. The goal is to cultivate talents. Over the years, Fosun Pharma Group has always insisted on high-intensity investment in the development of new and innovativ"&amp;"e compound human medicines with both professional and management excellence in Fosun Pharma's R&amp;D system, and has built an international synchronous R&amp;D operation system to establish talents and lay a solid talent foundation for the advancement of R&amp;D pro"&amp;"jects.")</f>
        <v>In cooperation with the Global R&amp;D Center, we organized a special training camp for R&amp;D managers. The goal is to cultivate talents. Over the years, Fosun Pharma Group has always insisted on high-intensity investment in the development of new and innovative compound human medicines with both professional and management excellence in Fosun Pharma's R&amp;D system, and has built an international synchronous R&amp;D operation system to establish talents and lay a solid talent foundation for the advancement of R&amp;D projects.</v>
      </c>
      <c r="B4791" s="1" t="str">
        <f ca="1">IFERROR(__xludf.DUMMYFUNCTION("GOOGLETRANSLATE(A4791, ""zh"", ""en"")"),"Technological innovation")</f>
        <v>Technological innovation</v>
      </c>
      <c r="C4791" s="1" t="str">
        <f ca="1">IFERROR(__xludf.DUMMYFUNCTION("GOOGLETRANSLATE(E4791, ""zh"", ""en"")"),"Qualitative text")</f>
        <v>Qualitative text</v>
      </c>
    </row>
    <row r="4792" spans="1:3" ht="13" x14ac:dyDescent="0.15">
      <c r="A4792" s="1" t="str">
        <f ca="1">IFERROR(__xludf.DUMMYFUNCTION("GOOGLETRANSLATE(A4792, ""zh"", ""en"")"),"We have established a continuous improvement management system for product discontinuation and have complied with GXP regulations throughout the entire life cycle. We have also established a pharmacovigilance system throughout the entire life cycle of pre"&amp;"-market drugs. Fosun Pharma Group has provided comprehensive and effective guarantees for product quality, R&amp;D system, production, supply chain management system, market availability, and safety.")</f>
        <v>We have established a continuous improvement management system for product discontinuation and have complied with GXP regulations throughout the entire life cycle. We have also established a pharmacovigilance system throughout the entire life cycle of pre-market drugs. Fosun Pharma Group has provided comprehensive and effective guarantees for product quality, R&amp;D system, production, supply chain management system, market availability, and safety.</v>
      </c>
      <c r="B4792" s="1" t="str">
        <f ca="1">IFERROR(__xludf.DUMMYFUNCTION("GOOGLETRANSLATE(A4792, ""zh"", ""en"")"),"Product quality")</f>
        <v>Product quality</v>
      </c>
      <c r="C4792" s="1" t="str">
        <f ca="1">IFERROR(__xludf.DUMMYFUNCTION("GOOGLETRANSLATE(E4792, ""zh"", ""en"")"),"Qualitative text")</f>
        <v>Qualitative text</v>
      </c>
    </row>
    <row r="4793" spans="1:3" ht="13" x14ac:dyDescent="0.15">
      <c r="A4793" s="1" t="str">
        <f ca="1">IFERROR(__xludf.DUMMYFUNCTION("GOOGLETRANSLATE(A4793, ""zh"", ""en"")"),"13 grassroots units carried out mutual inspection, mutual assessment and mutual submission of factory affairs, achieved a 100% response rate for proposals, and conducted benchmark learning to comprehensively improve the level of democratic management. In "&amp;"2021, the company won the gold medal in the group's open problem-solving and democratic development theme competition for factory affairs disclosure and democratic management, and ranked 100th in employee satisfaction.")</f>
        <v>13 grassroots units carried out mutual inspection, mutual assessment and mutual submission of factory affairs, achieved a 100% response rate for proposals, and conducted benchmark learning to comprehensively improve the level of democratic management. In 2021, the company won the gold medal in the group's open problem-solving and democratic development theme competition for factory affairs disclosure and democratic management, and ranked 100th in employee satisfaction.</v>
      </c>
      <c r="B4793" s="1" t="str">
        <f ca="1">IFERROR(__xludf.DUMMYFUNCTION("GOOGLETRANSLATE(A4793, ""zh"", ""en"")"),"staff")</f>
        <v>staff</v>
      </c>
      <c r="C4793" s="1" t="str">
        <f ca="1">IFERROR(__xludf.DUMMYFUNCTION("GOOGLETRANSLATE(E4793, ""zh"", ""en"")"),"Quantitative Text")</f>
        <v>Quantitative Text</v>
      </c>
    </row>
    <row r="4794" spans="1:3" ht="13" x14ac:dyDescent="0.15">
      <c r="A4794" s="1" t="str">
        <f ca="1">IFERROR(__xludf.DUMMYFUNCTION("GOOGLETRANSLATE(A4794, ""zh"", ""en"")"),"The safety production responsibility system for all employees will be implemented to improve safety production management. In 2022, the company will revise and improve the safety production job responsibility list for all employees in conjunction with the"&amp;" ""two systems and one contract"" reform, clarifying the safety production responsibilities of everyone from the main person in charge to the grassroots front-line employees, ensuring that everyone is responsible for safety production at all levels and th"&amp;"at the responsibility system is operating effectively.")</f>
        <v>The safety production responsibility system for all employees will be implemented to improve safety production management. In 2022, the company will revise and improve the safety production job responsibility list for all employees in conjunction with the "two systems and one contract" reform, clarifying the safety production responsibilities of everyone from the main person in charge to the grassroots front-line employees, ensuring that everyone is responsible for safety production at all levels and that the responsibility system is operating effectively.</v>
      </c>
      <c r="B4794" s="1" t="str">
        <f ca="1">IFERROR(__xludf.DUMMYFUNCTION("GOOGLETRANSLATE(A4794, ""zh"", ""en"")"),"staff")</f>
        <v>staff</v>
      </c>
      <c r="C4794" s="1" t="str">
        <f ca="1">IFERROR(__xludf.DUMMYFUNCTION("GOOGLETRANSLATE(E4794, ""zh"", ""en"")"),"Qualitative text")</f>
        <v>Qualitative text</v>
      </c>
    </row>
    <row r="4795" spans="1:3" ht="13" x14ac:dyDescent="0.15">
      <c r="A4795" s="1" t="str">
        <f ca="1">IFERROR(__xludf.DUMMYFUNCTION("GOOGLETRANSLATE(A4795, ""zh"", ""en"")"),"Fosun Pharma's labor union reiterates traditional Chinese culture. To further strengthen the labor union organization, various fun activities were organized for employees during the Spring Festival, Lantern Festival, International Women's Day, Children's "&amp;"Day, and Dragon Boat Festival in 2022. The company held the second member representative event of the third labor union in accordance with laws and regulations to convey the organization's care for employees.")</f>
        <v>Fosun Pharma's labor union reiterates traditional Chinese culture. To further strengthen the labor union organization, various fun activities were organized for employees during the Spring Festival, Lantern Festival, International Women's Day, Children's Day, and Dragon Boat Festival in 2022. The company held the second member representative event of the third labor union in accordance with laws and regulations to convey the organization's care for employees.</v>
      </c>
      <c r="B4795" s="1" t="str">
        <f ca="1">IFERROR(__xludf.DUMMYFUNCTION("GOOGLETRANSLATE(A4795, ""zh"", ""en"")"),"staff")</f>
        <v>staff</v>
      </c>
      <c r="C4795" s="1" t="str">
        <f ca="1">IFERROR(__xludf.DUMMYFUNCTION("GOOGLETRANSLATE(E4795, ""zh"", ""en"")"),"Qualitative text")</f>
        <v>Qualitative text</v>
      </c>
    </row>
    <row r="4796" spans="1:3" ht="13" x14ac:dyDescent="0.15">
      <c r="A4796" s="1" t="str">
        <f ca="1">IFERROR(__xludf.DUMMYFUNCTION("GOOGLETRANSLATE(A4796, ""zh"", ""en"")"),"At the same time, Chengling Enterprise has successively established EHS special committees with 1205 people accounting for 4.0% of the total number of people to supervise or participate in EHS work, and EHS element groups as committee branches. The number"&amp;" of employee representatives carried out according to non-production work is 349 people accounting for the total number of people, 12 people in production line functional departments and 12 people in production line departments, accounting for about 1.1% "&amp;"of the total number of people.")</f>
        <v>At the same time, Chengling Enterprise has successively established EHS special committees with 1205 people accounting for 4.0% of the total number of people to supervise or participate in EHS work, and EHS element groups as committee branches. The number of employee representatives carried out according to non-production work is 349 people accounting for the total number of people, 12 people in production line functional departments and 12 people in production line departments, accounting for about 1.1% of the total number of people.</v>
      </c>
      <c r="B4796" s="1" t="str">
        <f ca="1">IFERROR(__xludf.DUMMYFUNCTION("GOOGLETRANSLATE(A4796, ""zh"", ""en"")"),"staff")</f>
        <v>staff</v>
      </c>
      <c r="C4796" s="1" t="str">
        <f ca="1">IFERROR(__xludf.DUMMYFUNCTION("GOOGLETRANSLATE(E4796, ""zh"", ""en"")"),"Quantitative Text")</f>
        <v>Quantitative Text</v>
      </c>
    </row>
    <row r="4797" spans="1:3" ht="13" x14ac:dyDescent="0.15">
      <c r="A4797" s="1" t="str">
        <f ca="1">IFERROR(__xludf.DUMMYFUNCTION("GOOGLETRANSLATE(A4797, ""zh"", ""en"")"),"In 2022, due to various reasons, the entire group carried out a series of themes, including key legal and regulatory training, safety and Hazard EHS training, walking learning and on-site exchanges. Although affected, comprehensive and special emergency d"&amp;"rills were conducted, employee safety activities were carried out in various forms of online sharing and classroom training. Special content such as double inspection BBS was still received.")</f>
        <v>In 2022, due to various reasons, the entire group carried out a series of themes, including key legal and regulatory training, safety and Hazard EHS training, walking learning and on-site exchanges. Although affected, comprehensive and special emergency drills were conducted, employee safety activities were carried out in various forms of online sharing and classroom training. Special content such as double inspection BBS was still received.</v>
      </c>
      <c r="B4797" s="1" t="str">
        <f ca="1">IFERROR(__xludf.DUMMYFUNCTION("GOOGLETRANSLATE(A4797, ""zh"", ""en"")"),"staff")</f>
        <v>staff</v>
      </c>
      <c r="C4797" s="1" t="str">
        <f ca="1">IFERROR(__xludf.DUMMYFUNCTION("GOOGLETRANSLATE(E4797, ""zh"", ""en"")"),"Qualitative text")</f>
        <v>Qualitative text</v>
      </c>
    </row>
    <row r="4798" spans="1:3" ht="13" x14ac:dyDescent="0.15">
      <c r="A4798" s="1" t="str">
        <f ca="1">IFERROR(__xludf.DUMMYFUNCTION("GOOGLETRANSLATE(A4798, ""zh"", ""en"")"),"Carbon neutrality risk management and adaptation are to actively respond to identified climate change risks. This set of maps not only strengthens the monitoring of extreme weather, effectively prevents the adverse impacts and risks of climate change, but"&amp;" also timely obtains meteorological information, builds and cooperates with relevant government departments to formulate climate change adaptation and mitigation response strategies based on risk factors.")</f>
        <v>Carbon neutrality risk management and adaptation are to actively respond to identified climate change risks. This set of maps not only strengthens the monitoring of extreme weather, effectively prevents the adverse impacts and risks of climate change, but also timely obtains meteorological information, builds and cooperates with relevant government departments to formulate climate change adaptation and mitigation response strategies based on risk factors.</v>
      </c>
      <c r="B4798" s="1" t="str">
        <f ca="1">IFERROR(__xludf.DUMMYFUNCTION("GOOGLETRANSLATE(A4798, ""zh"", ""en"")"),"Addressing climate change")</f>
        <v>Addressing climate change</v>
      </c>
      <c r="C4798" s="1" t="str">
        <f ca="1">IFERROR(__xludf.DUMMYFUNCTION("GOOGLETRANSLATE(E4798, ""zh"", ""en"")"),"Qualitative text")</f>
        <v>Qualitative text</v>
      </c>
    </row>
    <row r="4799" spans="1:3" ht="13" x14ac:dyDescent="0.15">
      <c r="A4799" s="1" t="str">
        <f ca="1">IFERROR(__xludf.DUMMYFUNCTION("GOOGLETRANSLATE(A4799, ""zh"", ""en"")"),"Hisense is the best Chinese home appliance brand in the world. As a global integrated display brand, Hisense has a diversified product portfolio including laser TVs, high-definition flagship ULED TVs, social gaming TVs, 8K TVs, touch screen smart screens,"&amp;" smart hotel TVs, commercial displays, broadcast-grade technology benchmark monitors, etc.")</f>
        <v>Hisense is the best Chinese home appliance brand in the world. As a global integrated display brand, Hisense has a diversified product portfolio including laser TVs, high-definition flagship ULED TVs, social gaming TVs, 8K TVs, touch screen smart screens, smart hotel TVs, commercial displays, broadcast-grade technology benchmark monitors, etc.</v>
      </c>
      <c r="B4799" s="1" t="str">
        <f ca="1">IFERROR(__xludf.DUMMYFUNCTION("GOOGLETRANSLATE(A4799, ""zh"", ""en"")"),"Product quality")</f>
        <v>Product quality</v>
      </c>
      <c r="C4799" s="1" t="str">
        <f ca="1">IFERROR(__xludf.DUMMYFUNCTION("GOOGLETRANSLATE(E4799, ""zh"", ""en"")"),"Qualitative text")</f>
        <v>Qualitative text</v>
      </c>
    </row>
    <row r="4800" spans="1:3" ht="13" x14ac:dyDescent="0.15">
      <c r="A4800" s="1" t="str">
        <f ca="1">IFERROR(__xludf.DUMMYFUNCTION("GOOGLETRANSLATE(A4800, ""zh"", ""en"")"),"At the same time, as a member of the Methane Emission Control Alliance, the company actively undertakes the tasks of the Alliance's Methane Detection Working Group. In 2022, it selected oil and gas fields such as Shengli Oilfield, Zhongyuan Oilfield, and "&amp;"Southwest Oil and Gas Branch to carry out methane detection and collate and analyze methane emission detection data to lay a solid foundation for methane emission data statistics and the formulation of methane emission reduction measures.")</f>
        <v>At the same time, as a member of the Methane Emission Control Alliance, the company actively undertakes the tasks of the Alliance's Methane Detection Working Group. In 2022, it selected oil and gas fields such as Shengli Oilfield, Zhongyuan Oilfield, and Southwest Oil and Gas Branch to carry out methane detection and collate and analyze methane emission detection data to lay a solid foundation for methane emission data statistics and the formulation of methane emission reduction measures.</v>
      </c>
      <c r="B4800" s="1" t="str">
        <f ca="1">IFERROR(__xludf.DUMMYFUNCTION("GOOGLETRANSLATE(A4800, ""zh"", ""en"")"),"carbon emissions")</f>
        <v>carbon emissions</v>
      </c>
      <c r="C4800" s="1" t="str">
        <f ca="1">IFERROR(__xludf.DUMMYFUNCTION("GOOGLETRANSLATE(E4800, ""zh"", ""en"")"),"Qualitative text")</f>
        <v>Qualitative text</v>
      </c>
    </row>
    <row r="4801" spans="1:3" ht="13" x14ac:dyDescent="0.15">
      <c r="A4801" s="1" t="str">
        <f ca="1">IFERROR(__xludf.DUMMYFUNCTION("GOOGLETRANSLATE(A4801, ""zh"", ""en"")"),"ESG indicator unit 2022 2021 hour hour hour hour 100 100 125.79 125.78 117.55 126.03 100 100 67.63 67.63 44.99 68.34 Note: Supplier data statistics are for CITIC Securities parent company")</f>
        <v>ESG indicator unit 2022 2021 hour hour hour hour 100 100 125.79 125.78 117.55 126.03 100 100 67.63 67.63 44.99 68.34 Note: Supplier data statistics are for CITIC Securities parent company</v>
      </c>
      <c r="B4801" s="1" t="str">
        <f ca="1">IFERROR(__xludf.DUMMYFUNCTION("GOOGLETRANSLATE(A4801, ""zh"", ""en"")"),"supply chain management")</f>
        <v>supply chain management</v>
      </c>
      <c r="C4801" s="1" t="str">
        <f ca="1">IFERROR(__xludf.DUMMYFUNCTION("GOOGLETRANSLATE(E4801, ""zh"", ""en"")"),"Quantitative Text")</f>
        <v>Quantitative Text</v>
      </c>
    </row>
    <row r="4802" spans="1:3" ht="13" x14ac:dyDescent="0.15">
      <c r="A4802" s="1" t="str">
        <f ca="1">IFERROR(__xludf.DUMMYFUNCTION("GOOGLETRANSLATE(A4802, ""zh"", ""en"")"),"The company has established a three-tiered risk management system consisting of the Board of Directors' Risk Management Committee, a professional committee under the management, and collective decision-making. The internal control department closely coope"&amp;"rates with business departments and business lines. Risks are managed from the aspects of review, decision-making, execution and supervision. Three lines of defense for risk management have been established at the department and business line levels.")</f>
        <v>The company has established a three-tiered risk management system consisting of the Board of Directors' Risk Management Committee, a professional committee under the management, and collective decision-making. The internal control department closely cooperates with business departments and business lines. Risks are managed from the aspects of review, decision-making, execution and supervision. Three lines of defense for risk management have been established at the department and business line levels.</v>
      </c>
      <c r="B4802" s="1" t="str">
        <f ca="1">IFERROR(__xludf.DUMMYFUNCTION("GOOGLETRANSLATE(A4802, ""zh"", ""en"")"),"Organizational structure and operations")</f>
        <v>Organizational structure and operations</v>
      </c>
      <c r="C4802" s="1" t="str">
        <f ca="1">IFERROR(__xludf.DUMMYFUNCTION("GOOGLETRANSLATE(E4802, ""zh"", ""en"")"),"Qualitative text")</f>
        <v>Qualitative text</v>
      </c>
    </row>
    <row r="4803" spans="1:3" ht="13" x14ac:dyDescent="0.15">
      <c r="A4803" s="1" t="str">
        <f ca="1">IFERROR(__xludf.DUMMYFUNCTION("GOOGLETRANSLATE(A4803, ""zh"", ""en"")"),"Case Study 42432022: Training System, Communication Mechanism, External Continuing Education Mechanism. For some qualified management teams, the company encourages or directly assigns employees to participate in external continuing education. The scope of"&amp;" training includes MBA and EMBA programs at renowned business schools and universities, special programs set up by mainstream institutions in the industry, or joint programs with universities.")</f>
        <v>Case Study 42432022: Training System, Communication Mechanism, External Continuing Education Mechanism. For some qualified management teams, the company encourages or directly assigns employees to participate in external continuing education. The scope of training includes MBA and EMBA programs at renowned business schools and universities, special programs set up by mainstream institutions in the industry, or joint programs with universities.</v>
      </c>
      <c r="B4803" s="1" t="str">
        <f ca="1">IFERROR(__xludf.DUMMYFUNCTION("GOOGLETRANSLATE(A4803, ""zh"", ""en"")"),"staff")</f>
        <v>staff</v>
      </c>
      <c r="C4803" s="1" t="str">
        <f ca="1">IFERROR(__xludf.DUMMYFUNCTION("GOOGLETRANSLATE(E4803, ""zh"", ""en"")"),"Qualitative text")</f>
        <v>Qualitative text</v>
      </c>
    </row>
    <row r="4804" spans="1:3" ht="13" x14ac:dyDescent="0.15">
      <c r="A4804" s="1" t="str">
        <f ca="1">IFERROR(__xludf.DUMMYFUNCTION("GOOGLETRANSLATE(A4804, ""zh"", ""en"")"),"Leveraging the advantages of supply chain integration services, we actively assisted in the construction of the Hangzhou Asian Games venues and supporting projects. We provided steel, cement and other construction materials to the main construction entiti"&amp;"es such as the Hangzhou Asian Games venues and the China Water Resources and Hydropower Sixth Engineering Bureau. We also provided steel and other supply chain integration services for key transportation infrastructure such as Hangzhou West Railway Statio"&amp;"n and the Hangzhou Metro Airport Express Line.")</f>
        <v>Leveraging the advantages of supply chain integration services, we actively assisted in the construction of the Hangzhou Asian Games venues and supporting projects. We provided steel, cement and other construction materials to the main construction entities such as the Hangzhou Asian Games venues and the China Water Resources and Hydropower Sixth Engineering Bureau. We also provided steel and other supply chain integration services for key transportation infrastructure such as Hangzhou West Railway Station and the Hangzhou Metro Airport Express Line.</v>
      </c>
      <c r="B4804" s="1" t="str">
        <f ca="1">IFERROR(__xludf.DUMMYFUNCTION("GOOGLETRANSLATE(A4804, ""zh"", ""en"")"),"supply chain management")</f>
        <v>supply chain management</v>
      </c>
      <c r="C4804" s="1" t="str">
        <f ca="1">IFERROR(__xludf.DUMMYFUNCTION("GOOGLETRANSLATE(E4804, ""zh"", ""en"")"),"Qualitative text")</f>
        <v>Qualitative text</v>
      </c>
    </row>
    <row r="4805" spans="1:3" ht="13" x14ac:dyDescent="0.15">
      <c r="A4805" s="1" t="str">
        <f ca="1">IFERROR(__xludf.DUMMYFUNCTION("GOOGLETRANSLATE(A4805, ""zh"", ""en"")"),"Pharmaceutical industry and internationalization of pharmaceutical commerce. The first modern pharmaceutical factory in West Africa in 2009 marked the beginning of localized pharmaceutical production in Mali. It produces injections, oral solutions, and li"&amp;"quids. Ethiopia's modern pharmaceutical factory. The first pharmaceutical factory invested and built by a Hubei enterprise in Ethiopia produces oral solid and liquid preparations and small-volume injections.")</f>
        <v>Pharmaceutical industry and internationalization of pharmaceutical commerce. The first modern pharmaceutical factory in West Africa in 2009 marked the beginning of localized pharmaceutical production in Mali. It produces injections, oral solutions, and liquids. Ethiopia's modern pharmaceutical factory. The first pharmaceutical factory invested and built by a Hubei enterprise in Ethiopia produces oral solid and liquid preparations and small-volume injections.</v>
      </c>
      <c r="B4805" s="1" t="str">
        <f ca="1">IFERROR(__xludf.DUMMYFUNCTION("GOOGLETRANSLATE(A4805, ""zh"", ""en"")"),"Product quality")</f>
        <v>Product quality</v>
      </c>
      <c r="C4805" s="1" t="str">
        <f ca="1">IFERROR(__xludf.DUMMYFUNCTION("GOOGLETRANSLATE(E4805, ""zh"", ""en"")"),"Qualitative text")</f>
        <v>Qualitative text</v>
      </c>
    </row>
    <row r="4806" spans="1:3" ht="13" x14ac:dyDescent="0.15">
      <c r="A4806" s="1" t="str">
        <f ca="1">IFERROR(__xludf.DUMMYFUNCTION("GOOGLETRANSLATE(A4806, ""zh"", ""en"")"),"At the same time, the Group has focused on strengthening the effective implementation and efficient operation of the EHS management system. It has arranged for each unit to carry out internal audits of the EHS system operation, safety production standardi"&amp;"zation, and performance evaluation, and has made every effort to organize and carry out special rectification activities on the improvement of the safety and environmental protection system, the use of hazardous chemicals, the storage of explosive dust, a"&amp;"nd confined spaces.")</f>
        <v>At the same time, the Group has focused on strengthening the effective implementation and efficient operation of the EHS management system. It has arranged for each unit to carry out internal audits of the EHS system operation, safety production standardization, and performance evaluation, and has made every effort to organize and carry out special rectification activities on the improvement of the safety and environmental protection system, the use of hazardous chemicals, the storage of explosive dust, and confined spaces.</v>
      </c>
      <c r="B4806" s="1" t="str">
        <f ca="1">IFERROR(__xludf.DUMMYFUNCTION("GOOGLETRANSLATE(A4806, ""zh"", ""en"")"),"Chemical Safety")</f>
        <v>Chemical Safety</v>
      </c>
      <c r="C4806" s="1" t="str">
        <f ca="1">IFERROR(__xludf.DUMMYFUNCTION("GOOGLETRANSLATE(E4806, ""zh"", ""en"")"),"Qualitative text")</f>
        <v>Qualitative text</v>
      </c>
    </row>
    <row r="4807" spans="1:3" ht="13" x14ac:dyDescent="0.15">
      <c r="A4807" s="1" t="str">
        <f ca="1">IFERROR(__xludf.DUMMYFUNCTION("GOOGLETRANSLATE(A4807, ""zh"", ""en"")"),"Over the next three years, Haier Smart Home aims to become more efficient and agile. Whether it's user-interactive product transactions or service delivery processes, or internal management and operations systems and supply chain platforms, everything sho"&amp;"uld be transparent and efficient. Haier Smart Home should be a dancing elephant, responsive and open to new technological trends.")</f>
        <v>Over the next three years, Haier Smart Home aims to become more efficient and agile. Whether it's user-interactive product transactions or service delivery processes, or internal management and operations systems and supply chain platforms, everything should be transparent and efficient. Haier Smart Home should be a dancing elephant, responsive and open to new technological trends.</v>
      </c>
      <c r="B4807" s="1" t="str">
        <f ca="1">IFERROR(__xludf.DUMMYFUNCTION("GOOGLETRANSLATE(A4807, ""zh"", ""en"")"),"Organizational structure and operations")</f>
        <v>Organizational structure and operations</v>
      </c>
      <c r="C4807" s="1" t="str">
        <f ca="1">IFERROR(__xludf.DUMMYFUNCTION("GOOGLETRANSLATE(E4807, ""zh"", ""en"")"),"Qualitative text")</f>
        <v>Qualitative text</v>
      </c>
    </row>
    <row r="4808" spans="1:3" ht="13" x14ac:dyDescent="0.15">
      <c r="A4808" s="1" t="str">
        <f ca="1">IFERROR(__xludf.DUMMYFUNCTION("GOOGLETRANSLATE(A4808, ""zh"", ""en"")"),"At the same time, the company entrusts a third-party commercial credit rating agency to conduct corporate credit certification for suppliers, regularly track changes in the credit status of suppliers and contractors, and use big data technology to monitor"&amp;" their abnormal operations, administrative penalties, breach of trust and other aspects in real time to promptly identify supplier and contractor risks and thus avoid business risks.")</f>
        <v>At the same time, the company entrusts a third-party commercial credit rating agency to conduct corporate credit certification for suppliers, regularly track changes in the credit status of suppliers and contractors, and use big data technology to monitor their abnormal operations, administrative penalties, breach of trust and other aspects in real time to promptly identify supplier and contractor risks and thus avoid business risks.</v>
      </c>
      <c r="B4808" s="1" t="str">
        <f ca="1">IFERROR(__xludf.DUMMYFUNCTION("GOOGLETRANSLATE(A4808, ""zh"", ""en"")"),"supply chain management")</f>
        <v>supply chain management</v>
      </c>
      <c r="C4808" s="1" t="str">
        <f ca="1">IFERROR(__xludf.DUMMYFUNCTION("GOOGLETRANSLATE(E4808, ""zh"", ""en"")"),"Qualitative text")</f>
        <v>Qualitative text</v>
      </c>
    </row>
    <row r="4809" spans="1:3" ht="13" x14ac:dyDescent="0.15">
      <c r="A4809" s="1" t="str">
        <f ca="1">IFERROR(__xludf.DUMMYFUNCTION("GOOGLETRANSLATE(A4809, ""zh"", ""en"")"),"This report is available in both printed and electronic formats. You can access and download the electronic version of this report on the website of SDIC Capital Co., Ltd. (https://www.sdiccapital.com) or the website of the Shanghai Stock Exchange (www.ss"&amp;"e.com.cn).")</f>
        <v>This report is available in both printed and electronic formats. You can access and download the electronic version of this report on the website of SDIC Capital Co., Ltd. (https://www.sdiccapital.com) or the website of the Shanghai Stock Exchange (www.sse.com.cn).</v>
      </c>
      <c r="B4809" s="1" t="str">
        <f ca="1">IFERROR(__xludf.DUMMYFUNCTION("GOOGLETRANSLATE(A4809, ""zh"", ""en"")"),"irrelevant text")</f>
        <v>irrelevant text</v>
      </c>
      <c r="C4809" s="1" t="str">
        <f ca="1">IFERROR(__xludf.DUMMYFUNCTION("GOOGLETRANSLATE(E4809, ""zh"", ""en"")"),"irrelevant text")</f>
        <v>irrelevant text</v>
      </c>
    </row>
    <row r="4810" spans="1:3" ht="13" x14ac:dyDescent="0.15">
      <c r="A4810" s="1" t="str">
        <f ca="1">IFERROR(__xludf.DUMMYFUNCTION("GOOGLETRANSLATE(A4810, ""zh"", ""en"")"),"The test data showed that Likang V01 can provide good protection against the novel coronavirus infection caused by the Omicron strain. On the basis of two doses of inactivated vaccine, its sequential enhanced absolute protection rate reached 61.35%. The p"&amp;"rotection rate for high-risk groups over 60 years old or those with underlying diseases can also reach 61.19.")</f>
        <v>The test data showed that Likang V01 can provide good protection against the novel coronavirus infection caused by the Omicron strain. On the basis of two doses of inactivated vaccine, its sequential enhanced absolute protection rate reached 61.35%. The protection rate for high-risk groups over 60 years old or those with underlying diseases can also reach 61.19.</v>
      </c>
      <c r="B4810" s="1" t="str">
        <f ca="1">IFERROR(__xludf.DUMMYFUNCTION("GOOGLETRANSLATE(A4810, ""zh"", ""en"")"),"Fighting the epidemic")</f>
        <v>Fighting the epidemic</v>
      </c>
      <c r="C4810" s="1" t="str">
        <f ca="1">IFERROR(__xludf.DUMMYFUNCTION("GOOGLETRANSLATE(E4810, ""zh"", ""en"")"),"Quantitative Text")</f>
        <v>Quantitative Text</v>
      </c>
    </row>
    <row r="4811" spans="1:3" ht="13" x14ac:dyDescent="0.15">
      <c r="A4811" s="1" t="str">
        <f ca="1">IFERROR(__xludf.DUMMYFUNCTION("GOOGLETRANSLATE(A4811, ""zh"", ""en"")"),"The average training hours for male employees (hours) and the average training hours for female employees (hours) disclosed in the China Construction Bank Social Responsibility Report refer to the number of hours of on-line and off-line training participa"&amp;"ted by employees of China Construction Bank as of the end of the reporting period, excluding domestic and overseas subsidiaries. The number of hours is divided by gender.")</f>
        <v>The average training hours for male employees (hours) and the average training hours for female employees (hours) disclosed in the China Construction Bank Social Responsibility Report refer to the number of hours of on-line and off-line training participated by employees of China Construction Bank as of the end of the reporting period, excluding domestic and overseas subsidiaries. The number of hours is divided by gender.</v>
      </c>
      <c r="B4811" s="1" t="str">
        <f ca="1">IFERROR(__xludf.DUMMYFUNCTION("GOOGLETRANSLATE(A4811, ""zh"", ""en"")"),"staff")</f>
        <v>staff</v>
      </c>
      <c r="C4811" s="1" t="str">
        <f ca="1">IFERROR(__xludf.DUMMYFUNCTION("GOOGLETRANSLATE(E4811, ""zh"", ""en"")"),"Quantitative Text")</f>
        <v>Quantitative Text</v>
      </c>
    </row>
    <row r="4812" spans="1:3" ht="13" x14ac:dyDescent="0.15">
      <c r="A4812" s="1" t="str">
        <f ca="1">IFERROR(__xludf.DUMMYFUNCTION("GOOGLETRANSLATE(A4812, ""zh"", ""en"")"),"28 employees with Hong Kong, Macao and Taiwan household registration. In 2022, we hired more than 500 students and graduates through internship recruitment and campus recruitment. We hired more than 1,200 new female employees. The number of employees from"&amp;" minority groups overseas is 1,170. We recruited nearly 1,200 local employees from various countries.")</f>
        <v>28 employees with Hong Kong, Macao and Taiwan household registration. In 2022, we hired more than 500 students and graduates through internship recruitment and campus recruitment. We hired more than 1,200 new female employees. The number of employees from minority groups overseas is 1,170. We recruited nearly 1,200 local employees from various countries.</v>
      </c>
      <c r="B4812" s="1" t="str">
        <f ca="1">IFERROR(__xludf.DUMMYFUNCTION("GOOGLETRANSLATE(A4812, ""zh"", ""en"")"),"Promoting employment")</f>
        <v>Promoting employment</v>
      </c>
      <c r="C4812" s="1" t="str">
        <f ca="1">IFERROR(__xludf.DUMMYFUNCTION("GOOGLETRANSLATE(E4812, ""zh"", ""en"")"),"Quantitative Text")</f>
        <v>Quantitative Text</v>
      </c>
    </row>
    <row r="4813" spans="1:3" ht="13" x14ac:dyDescent="0.15">
      <c r="A4813" s="1" t="str">
        <f ca="1">IFERROR(__xludf.DUMMYFUNCTION("GOOGLETRANSLATE(A4813, ""zh"", ""en"")"),"It is estimated that lighting electricity consumption in China accounts for about 13% of the total electricity consumption in the society. Since energy-saving lamps save 80% of electricity compared with ordinary incandescent lamps, and LED lamps save 50% "&amp;"of electricity compared with energy-saving lamps, the company has participated in the promotion of national high-efficiency lighting products and LED lamps, making important contributions to my country's energy conservation, emission reduction and develop"&amp;"ment of a low-carbon economy.")</f>
        <v>It is estimated that lighting electricity consumption in China accounts for about 13% of the total electricity consumption in the society. Since energy-saving lamps save 80% of electricity compared with ordinary incandescent lamps, and LED lamps save 50% of electricity compared with energy-saving lamps, the company has participated in the promotion of national high-efficiency lighting products and LED lamps, making important contributions to my country's energy conservation, emission reduction and development of a low-carbon economy.</v>
      </c>
      <c r="B4813" s="1" t="str">
        <f ca="1">IFERROR(__xludf.DUMMYFUNCTION("GOOGLETRANSLATE(A4813, ""zh"", ""en"")"),"Energy and resource consumption")</f>
        <v>Energy and resource consumption</v>
      </c>
      <c r="C4813" s="1" t="str">
        <f ca="1">IFERROR(__xludf.DUMMYFUNCTION("GOOGLETRANSLATE(E4813, ""zh"", ""en"")"),"Quantitative Text")</f>
        <v>Quantitative Text</v>
      </c>
    </row>
    <row r="4814" spans="1:3" ht="13" x14ac:dyDescent="0.15">
      <c r="A4814" s="1" t="str">
        <f ca="1">IFERROR(__xludf.DUMMYFUNCTION("GOOGLETRANSLATE(A4814, ""zh"", ""en"")"),"To strengthen supplier management, the company aims to establish a high-quality supplier resource pool through proactive strategic sourcing, establish a dynamic management mechanism for development access assessment, continuously improve the quality of su"&amp;"pplier resources, continuously strengthen the ability to comprehensively manage suppliers, optimize the competitive environment, effectively ensure the stability of the supply chain, and prevent major systemic risks.")</f>
        <v>To strengthen supplier management, the company aims to establish a high-quality supplier resource pool through proactive strategic sourcing, establish a dynamic management mechanism for development access assessment, continuously improve the quality of supplier resources, continuously strengthen the ability to comprehensively manage suppliers, optimize the competitive environment, effectively ensure the stability of the supply chain, and prevent major systemic risks.</v>
      </c>
      <c r="B4814" s="1" t="str">
        <f ca="1">IFERROR(__xludf.DUMMYFUNCTION("GOOGLETRANSLATE(A4814, ""zh"", ""en"")"),"supply chain management")</f>
        <v>supply chain management</v>
      </c>
      <c r="C4814" s="1" t="str">
        <f ca="1">IFERROR(__xludf.DUMMYFUNCTION("GOOGLETRANSLATE(E4814, ""zh"", ""en"")"),"Qualitative text")</f>
        <v>Qualitative text</v>
      </c>
    </row>
    <row r="4815" spans="1:3" ht="13" x14ac:dyDescent="0.15">
      <c r="A4815" s="1" t="str">
        <f ca="1">IFERROR(__xludf.DUMMYFUNCTION("GOOGLETRANSLATE(A4815, ""zh"", ""en"")"),"This project is a typical green project of the Belt and Road Initiative and a landmark project for Shanghai Electric's transformation from traditional thermal power to new energy. It covers an area of ​​44 square kilometers, equivalent to more than 6,000 "&amp;"football fields. It is currently the world's largest solar thermal project with the largest installed capacity, the largest investment scale, and the largest molten salt tank heat storage capacity.")</f>
        <v>This project is a typical green project of the Belt and Road Initiative and a landmark project for Shanghai Electric's transformation from traditional thermal power to new energy. It covers an area of ​​44 square kilometers, equivalent to more than 6,000 football fields. It is currently the world's largest solar thermal project with the largest installed capacity, the largest investment scale, and the largest molten salt tank heat storage capacity.</v>
      </c>
      <c r="B4815" s="1" t="str">
        <f ca="1">IFERROR(__xludf.DUMMYFUNCTION("GOOGLETRANSLATE(A4815, ""zh"", ""en"")"),"Energy and resource consumption")</f>
        <v>Energy and resource consumption</v>
      </c>
      <c r="C4815" s="1" t="str">
        <f ca="1">IFERROR(__xludf.DUMMYFUNCTION("GOOGLETRANSLATE(E4815, ""zh"", ""en"")"),"Quantitative Text")</f>
        <v>Quantitative Text</v>
      </c>
    </row>
    <row r="4816" spans="1:3" ht="13" x14ac:dyDescent="0.15">
      <c r="A4816" s="1" t="str">
        <f ca="1">IFERROR(__xludf.DUMMYFUNCTION("GOOGLETRANSLATE(A4816, ""zh"", ""en"")"),"We also actively collect adverse reaction information from users through the 400 hotline, the Kangyuan official website, and the dedicated pharmacovigilance mailbox. We also regularly collect adverse reaction information of similar products through releva"&amp;"nt professional websites or literature searches to provide advance warnings and ensure that drugs with quality and safety risks can be recalled and those responsible can be held accountable.")</f>
        <v>We also actively collect adverse reaction information from users through the 400 hotline, the Kangyuan official website, and the dedicated pharmacovigilance mailbox. We also regularly collect adverse reaction information of similar products through relevant professional websites or literature searches to provide advance warnings and ensure that drugs with quality and safety risks can be recalled and those responsible can be held accountable.</v>
      </c>
      <c r="B4816" s="1" t="str">
        <f ca="1">IFERROR(__xludf.DUMMYFUNCTION("GOOGLETRANSLATE(A4816, ""zh"", ""en"")"),"Product quality")</f>
        <v>Product quality</v>
      </c>
      <c r="C4816" s="1" t="str">
        <f ca="1">IFERROR(__xludf.DUMMYFUNCTION("GOOGLETRANSLATE(E4816, ""zh"", ""en"")"),"Qualitative text")</f>
        <v>Qualitative text</v>
      </c>
    </row>
    <row r="4817" spans="1:3" ht="13" x14ac:dyDescent="0.15">
      <c r="A4817" s="1" t="str">
        <f ca="1">IFERROR(__xludf.DUMMYFUNCTION("GOOGLETRANSLATE(A4817, ""zh"", ""en"")"),"The company has rich industrial experience and competitive advantages in the field of hydrogen energy. We will seize the major strategic opportunities of hydrogen energy development, take hydrogen energy as the core business of the company's new energy, a"&amp;"ccelerate its development, focus on the use of hydrogen energy in clean transportation energy and green refining, and strive to build China's first hydrogen energy company with the largest scale, leading technology and first-class management.")</f>
        <v>The company has rich industrial experience and competitive advantages in the field of hydrogen energy. We will seize the major strategic opportunities of hydrogen energy development, take hydrogen energy as the core business of the company's new energy, accelerate its development, focus on the use of hydrogen energy in clean transportation energy and green refining, and strive to build China's first hydrogen energy company with the largest scale, leading technology and first-class management.</v>
      </c>
      <c r="B4817" s="1" t="str">
        <f ca="1">IFERROR(__xludf.DUMMYFUNCTION("GOOGLETRANSLATE(A4817, ""zh"", ""en"")"),"Technological innovation")</f>
        <v>Technological innovation</v>
      </c>
      <c r="C4817" s="1" t="str">
        <f ca="1">IFERROR(__xludf.DUMMYFUNCTION("GOOGLETRANSLATE(E4817, ""zh"", ""en"")"),"Qualitative text")</f>
        <v>Qualitative text</v>
      </c>
    </row>
    <row r="4818" spans="1:3" ht="13" x14ac:dyDescent="0.15">
      <c r="A4818" s="1" t="str">
        <f ca="1">IFERROR(__xludf.DUMMYFUNCTION("GOOGLETRANSLATE(A4818, ""zh"", ""en"")"),"Zhenhai Refining and Chemical controlled the suspended solids concentration in desulfurization purified water and increased the reuse rate of desulfurization purified water during the injection process of the hydrogenation unit. The total reuse rate incre"&amp;"ased from 9.1m³h to 54.1m³h. By optimizing the pipeline network and improving the water treatment solution, the reuse rate of the power center's discharged wastewater was increased to a maximum of 75%.")</f>
        <v>Zhenhai Refining and Chemical controlled the suspended solids concentration in desulfurization purified water and increased the reuse rate of desulfurization purified water during the injection process of the hydrogenation unit. The total reuse rate increased from 9.1m³h to 54.1m³h. By optimizing the pipeline network and improving the water treatment solution, the reuse rate of the power center's discharged wastewater was increased to a maximum of 75%.</v>
      </c>
      <c r="B4818" s="1" t="str">
        <f ca="1">IFERROR(__xludf.DUMMYFUNCTION("GOOGLETRANSLATE(A4818, ""zh"", ""en"")"),"Water resources")</f>
        <v>Water resources</v>
      </c>
      <c r="C4818" s="1" t="str">
        <f ca="1">IFERROR(__xludf.DUMMYFUNCTION("GOOGLETRANSLATE(E4818, ""zh"", ""en"")"),"Quantitative Text")</f>
        <v>Quantitative Text</v>
      </c>
    </row>
    <row r="4819" spans="1:3" ht="13" x14ac:dyDescent="0.15">
      <c r="A4819" s="1" t="str">
        <f ca="1">IFERROR(__xludf.DUMMYFUNCTION("GOOGLETRANSLATE(A4819, ""zh"", ""en"")"),"In 2022, the company prepared a rolling forecast of energy-saving and low-carbon indicators for 2023-2027. COSL's 2022 Energy-Saving and Low-Carbon Target Promotion and Assurance Plan and COSL's Energy Efficiency Improvement Action Plan will be implemente"&amp;"d. The company will conduct a carbon emissions data review to reduce greenhouse gas emissions from the source, throughout the production process, and at all stages.")</f>
        <v>In 2022, the company prepared a rolling forecast of energy-saving and low-carbon indicators for 2023-2027. COSL's 2022 Energy-Saving and Low-Carbon Target Promotion and Assurance Plan and COSL's Energy Efficiency Improvement Action Plan will be implemented. The company will conduct a carbon emissions data review to reduce greenhouse gas emissions from the source, throughout the production process, and at all stages.</v>
      </c>
      <c r="B4819" s="1" t="str">
        <f ca="1">IFERROR(__xludf.DUMMYFUNCTION("GOOGLETRANSLATE(A4819, ""zh"", ""en"")"),"carbon emissions")</f>
        <v>carbon emissions</v>
      </c>
      <c r="C4819" s="1" t="str">
        <f ca="1">IFERROR(__xludf.DUMMYFUNCTION("GOOGLETRANSLATE(E4819, ""zh"", ""en"")"),"Qualitative text")</f>
        <v>Qualitative text</v>
      </c>
    </row>
    <row r="4820" spans="1:3" ht="13" x14ac:dyDescent="0.15">
      <c r="A4820" s="1" t="str">
        <f ca="1">IFERROR(__xludf.DUMMYFUNCTION("GOOGLETRANSLATE(A4820, ""zh"", ""en"")"),"Tibet Qomolangma, as a member of the Nonferrous Metals Industry Association, the Lead and Zinc Branch of the Nonferrous Metals Industry Association, the Lithium Branch of the Nonferrous Metals Industry Association, the China Association of Public Companie"&amp;"s, the Tibet Securities Association, and the International Zinc Association, has been actively exploring ways and means to address climate change in terms of corporate social responsibility.")</f>
        <v>Tibet Qomolangma, as a member of the Nonferrous Metals Industry Association, the Lead and Zinc Branch of the Nonferrous Metals Industry Association, the Lithium Branch of the Nonferrous Metals Industry Association, the China Association of Public Companies, the Tibet Securities Association, and the International Zinc Association, has been actively exploring ways and means to address climate change in terms of corporate social responsibility.</v>
      </c>
      <c r="B4820" s="1" t="str">
        <f ca="1">IFERROR(__xludf.DUMMYFUNCTION("GOOGLETRANSLATE(A4820, ""zh"", ""en"")"),"Addressing climate change")</f>
        <v>Addressing climate change</v>
      </c>
      <c r="C4820" s="1" t="str">
        <f ca="1">IFERROR(__xludf.DUMMYFUNCTION("GOOGLETRANSLATE(E4820, ""zh"", ""en"")"),"Qualitative text")</f>
        <v>Qualitative text</v>
      </c>
    </row>
    <row r="4821" spans="1:3" ht="13" x14ac:dyDescent="0.15">
      <c r="A4821" s="1" t="str">
        <f ca="1">IFERROR(__xludf.DUMMYFUNCTION("GOOGLETRANSLATE(A4821, ""zh"", ""en"")"),"Case Study: Implementation of Cocoa Development Plan; Employee Localization Ratio: 96; Kazakhstan CIR Project; Colombia Holy Lake Energy Project; Russia UDM Company; 9699; Product and Service Management: Adhering to the principle of high quality, sufficie"&amp;"nt quantity and customer satisfaction; Sinopec always adheres to the customer-centric approach and strives to improve product quality and service levels.")</f>
        <v>Case Study: Implementation of Cocoa Development Plan; Employee Localization Ratio: 96; Kazakhstan CIR Project; Colombia Holy Lake Energy Project; Russia UDM Company; 9699; Product and Service Management: Adhering to the principle of high quality, sufficient quantity and customer satisfaction; Sinopec always adheres to the customer-centric approach and strives to improve product quality and service levels.</v>
      </c>
      <c r="B4821" s="1" t="str">
        <f ca="1">IFERROR(__xludf.DUMMYFUNCTION("GOOGLETRANSLATE(A4821, ""zh"", ""en"")"),"Customers and Consumers")</f>
        <v>Customers and Consumers</v>
      </c>
      <c r="C4821" s="1" t="str">
        <f ca="1">IFERROR(__xludf.DUMMYFUNCTION("GOOGLETRANSLATE(E4821, ""zh"", ""en"")"),"Qualitative text")</f>
        <v>Qualitative text</v>
      </c>
    </row>
    <row r="4822" spans="1:3" ht="13" x14ac:dyDescent="0.15">
      <c r="A4822" s="1" t="str">
        <f ca="1">IFERROR(__xludf.DUMMYFUNCTION("GOOGLETRANSLATE(A4822, ""zh"", ""en"")"),"Through the skills training, frontline employees further consolidated their basic knowledge and business skills, addressed their shortcomings, and enhanced their understanding and grasp of new technical specifications and requirements within the industry."&amp;" This laid a good foundation for in-depth communication and cooperation, helped them find the right direction and basis for future capacity building, and created a new path for cross-enterprise skills improvement.")</f>
        <v>Through the skills training, frontline employees further consolidated their basic knowledge and business skills, addressed their shortcomings, and enhanced their understanding and grasp of new technical specifications and requirements within the industry. This laid a good foundation for in-depth communication and cooperation, helped them find the right direction and basis for future capacity building, and created a new path for cross-enterprise skills improvement.</v>
      </c>
      <c r="B4822" s="1" t="str">
        <f ca="1">IFERROR(__xludf.DUMMYFUNCTION("GOOGLETRANSLATE(A4822, ""zh"", ""en"")"),"staff")</f>
        <v>staff</v>
      </c>
      <c r="C4822" s="1" t="str">
        <f ca="1">IFERROR(__xludf.DUMMYFUNCTION("GOOGLETRANSLATE(E4822, ""zh"", ""en"")"),"Qualitative text")</f>
        <v>Qualitative text</v>
      </c>
    </row>
    <row r="4823" spans="1:3" ht="13" x14ac:dyDescent="0.15">
      <c r="A4823" s="1" t="str">
        <f ca="1">IFERROR(__xludf.DUMMYFUNCTION("GOOGLETRANSLATE(A4823, ""zh"", ""en"")"),"The remuneration of full-time directors is mainly determined based on the actual performance of the company's economic performance, with reference to the independent performance of listed companies of similar size, and based on their actual work performan"&amp;"ce in accordance with their job responsibilities. It is not the allowance level of executive directors. It is determined by the annual general meeting of shareholders in 2015 with reference to other comprehensive factors such as external industry reports "&amp;"and the level of follow-up.")</f>
        <v>The remuneration of full-time directors is mainly determined based on the actual performance of the company's economic performance, with reference to the independent performance of listed companies of similar size, and based on their actual work performance in accordance with their job responsibilities. It is not the allowance level of executive directors. It is determined by the annual general meeting of shareholders in 2015 with reference to other comprehensive factors such as external industry reports and the level of follow-up.</v>
      </c>
      <c r="B4823" s="1" t="str">
        <f ca="1">IFERROR(__xludf.DUMMYFUNCTION("GOOGLETRANSLATE(A4823, ""zh"", ""en"")"),"Organizational structure and operations")</f>
        <v>Organizational structure and operations</v>
      </c>
      <c r="C4823" s="1" t="str">
        <f ca="1">IFERROR(__xludf.DUMMYFUNCTION("GOOGLETRANSLATE(E4823, ""zh"", ""en"")"),"Qualitative text")</f>
        <v>Qualitative text</v>
      </c>
    </row>
    <row r="4824" spans="1:3" ht="13" x14ac:dyDescent="0.15">
      <c r="A4824" s="1" t="str">
        <f ca="1">IFERROR(__xludf.DUMMYFUNCTION("GOOGLETRANSLATE(A4824, ""zh"", ""en"")"),"The social contribution value per share is a comprehensive reflection of a company's contribution to various social stakeholders. It is of great significance in promoting corporate social responsibility and helping the public to assume their responsibilit"&amp;"ies more comprehensively.")</f>
        <v>The social contribution value per share is a comprehensive reflection of a company's contribution to various social stakeholders. It is of great significance in promoting corporate social responsibility and helping the public to assume their responsibilities more comprehensively.</v>
      </c>
      <c r="B4824" s="1" t="str">
        <f ca="1">IFERROR(__xludf.DUMMYFUNCTION("GOOGLETRANSLATE(A4824, ""zh"", ""en"")"),"Public welfare and volunteer service")</f>
        <v>Public welfare and volunteer service</v>
      </c>
      <c r="C4824" s="1" t="str">
        <f ca="1">IFERROR(__xludf.DUMMYFUNCTION("GOOGLETRANSLATE(E4824, ""zh"", ""en"")"),"Qualitative text")</f>
        <v>Qualitative text</v>
      </c>
    </row>
    <row r="4825" spans="1:3" ht="13" x14ac:dyDescent="0.15">
      <c r="A4825" s="1" t="str">
        <f ca="1">IFERROR(__xludf.DUMMYFUNCTION("GOOGLETRANSLATE(A4825, ""zh"", ""en"")"),"The company is mainly engaged in the research and development of Internet security technologies and the design, development and operation of network security products. Relying on the extensive user base accumulated by Internet products, it carries out Int"&amp;"ernet advertising and services, Internet value-added services, smart hardware and other businesses, and applies the core security capabilities accumulated from these businesses to government, enterprise security, urban security and other fields.")</f>
        <v>The company is mainly engaged in the research and development of Internet security technologies and the design, development and operation of network security products. Relying on the extensive user base accumulated by Internet products, it carries out Internet advertising and services, Internet value-added services, smart hardware and other businesses, and applies the core security capabilities accumulated from these businesses to government, enterprise security, urban security and other fields.</v>
      </c>
      <c r="B4825" s="1" t="str">
        <f ca="1">IFERROR(__xludf.DUMMYFUNCTION("GOOGLETRANSLATE(A4825, ""zh"", ""en"")"),"Data security")</f>
        <v>Data security</v>
      </c>
      <c r="C4825" s="1" t="str">
        <f ca="1">IFERROR(__xludf.DUMMYFUNCTION("GOOGLETRANSLATE(E4825, ""zh"", ""en"")"),"Qualitative text")</f>
        <v>Qualitative text</v>
      </c>
    </row>
    <row r="4826" spans="1:3" ht="13" x14ac:dyDescent="0.15">
      <c r="A4826" s="1" t="str">
        <f ca="1">IFERROR(__xludf.DUMMYFUNCTION("GOOGLETRANSLATE(A4826, ""zh"", ""en"")"),"The company uses its subsidiaries Hainan Hot Selection Company, Hong Kong Product Link Company, Zhejiang Zhewu Brand Service Company, Rendi International Company, Product Ancheng Company as carriers to integrate the supply chain operation chain and demand"&amp;" chain around cross-border e-commerce and entrepot trade application scenarios to create a one-stop integrated brand service provider integrating incubation, design, R&amp;D, operation and marketing.")</f>
        <v>The company uses its subsidiaries Hainan Hot Selection Company, Hong Kong Product Link Company, Zhejiang Zhewu Brand Service Company, Rendi International Company, Product Ancheng Company as carriers to integrate the supply chain operation chain and demand chain around cross-border e-commerce and entrepot trade application scenarios to create a one-stop integrated brand service provider integrating incubation, design, R&amp;D, operation and marketing.</v>
      </c>
      <c r="B4826" s="1" t="str">
        <f ca="1">IFERROR(__xludf.DUMMYFUNCTION("GOOGLETRANSLATE(A4826, ""zh"", ""en"")"),"supply chain management")</f>
        <v>supply chain management</v>
      </c>
      <c r="C4826" s="1" t="str">
        <f ca="1">IFERROR(__xludf.DUMMYFUNCTION("GOOGLETRANSLATE(E4826, ""zh"", ""en"")"),"Qualitative text")</f>
        <v>Qualitative text</v>
      </c>
    </row>
    <row r="4827" spans="1:3" ht="13" x14ac:dyDescent="0.15">
      <c r="A4827" s="1" t="str">
        <f ca="1">IFERROR(__xludf.DUMMYFUNCTION("GOOGLETRANSLATE(A4827, ""zh"", ""en"")"),"Based on the Overseas Public Security Management Manual, 10 management documents on public security risk information, training facilities, and emergency response will be compiled to standardize overseas public security management efforts, effectively prev"&amp;"ent and control overseas public security risks, and properly handle emergencies to avoid and minimize the damage caused by security incidents to employees' property and reputation.")</f>
        <v>Based on the Overseas Public Security Management Manual, 10 management documents on public security risk information, training facilities, and emergency response will be compiled to standardize overseas public security management efforts, effectively prevent and control overseas public security risks, and properly handle emergencies to avoid and minimize the damage caused by security incidents to employees' property and reputation.</v>
      </c>
      <c r="B4827" s="1" t="str">
        <f ca="1">IFERROR(__xludf.DUMMYFUNCTION("GOOGLETRANSLATE(A4827, ""zh"", ""en"")"),"staff")</f>
        <v>staff</v>
      </c>
      <c r="C4827" s="1" t="str">
        <f ca="1">IFERROR(__xludf.DUMMYFUNCTION("GOOGLETRANSLATE(E4827, ""zh"", ""en"")"),"Qualitative text")</f>
        <v>Qualitative text</v>
      </c>
    </row>
    <row r="4828" spans="1:3" ht="13" x14ac:dyDescent="0.15">
      <c r="A4828" s="1" t="str">
        <f ca="1">IFERROR(__xludf.DUMMYFUNCTION("GOOGLETRANSLATE(A4828, ""zh"", ""en"")"),"As an innovator, rule follower, contributor, and practitioner in the field of intellectual property, we attach great importance to the protection of our own intellectual property rights. We have promulgated a number of intellectual property management reg"&amp;"ulations, including the Intellectual Property Management Measures, the Group Patent Application Management Measures, the Group Trademark Management Measures, and the Open Source Software Compliance Guidelines, etc., to regulate the protection of the compa"&amp;"ny's internal intellectual property rights.")</f>
        <v>As an innovator, rule follower, contributor, and practitioner in the field of intellectual property, we attach great importance to the protection of our own intellectual property rights. We have promulgated a number of intellectual property management regulations, including the Intellectual Property Management Measures, the Group Patent Application Management Measures, the Group Trademark Management Measures, and the Open Source Software Compliance Guidelines, etc., to regulate the protection of the company's internal intellectual property rights.</v>
      </c>
      <c r="B4828" s="1" t="str">
        <f ca="1">IFERROR(__xludf.DUMMYFUNCTION("GOOGLETRANSLATE(A4828, ""zh"", ""en"")"),"Intellectual Property Protection")</f>
        <v>Intellectual Property Protection</v>
      </c>
      <c r="C4828" s="1" t="str">
        <f ca="1">IFERROR(__xludf.DUMMYFUNCTION("GOOGLETRANSLATE(E4828, ""zh"", ""en"")"),"Qualitative text")</f>
        <v>Qualitative text</v>
      </c>
    </row>
    <row r="4829" spans="1:3" ht="13" x14ac:dyDescent="0.15">
      <c r="A4829" s="1" t="str">
        <f ca="1">IFERROR(__xludf.DUMMYFUNCTION("GOOGLETRANSLATE(A4829, ""zh"", ""en"")"),"To ensure procurement quality, we issued a notice to all suppliers in 2022 prohibiting the outsourcing of key processes. We clarified the standards for prohibiting the outsourcing of key processes and clearly defined the definition of subcontracting and t"&amp;"he penalties for subcontracting in the modular product procurement framework contract signed with suppliers.")</f>
        <v>To ensure procurement quality, we issued a notice to all suppliers in 2022 prohibiting the outsourcing of key processes. We clarified the standards for prohibiting the outsourcing of key processes and clearly defined the definition of subcontracting and the penalties for subcontracting in the modular product procurement framework contract signed with suppliers.</v>
      </c>
      <c r="B4829" s="1" t="str">
        <f ca="1">IFERROR(__xludf.DUMMYFUNCTION("GOOGLETRANSLATE(A4829, ""zh"", ""en"")"),"supply chain management")</f>
        <v>supply chain management</v>
      </c>
      <c r="C4829" s="1" t="str">
        <f ca="1">IFERROR(__xludf.DUMMYFUNCTION("GOOGLETRANSLATE(E4829, ""zh"", ""en"")"),"Qualitative text")</f>
        <v>Qualitative text</v>
      </c>
    </row>
    <row r="4830" spans="1:3" ht="13" x14ac:dyDescent="0.15">
      <c r="A4830" s="1" t="str">
        <f ca="1">IFERROR(__xludf.DUMMYFUNCTION("GOOGLETRANSLATE(A4830, ""zh"", ""en"")"),"Join hands with the Carbon Sink Foundation for public welfare afforestation to create a beautiful and harmonious social chapter. Shanghai Electric Group Co., Ltd. From September 29th to October 10th, Shanghai Electric, together with media such as Huanqiu."&amp;"com, launched the 0 Carbon Walker online charity event with the theme of ""One person, 20,000 steps, 0 carbon future"" to advocate green travel for the public.")</f>
        <v>Join hands with the Carbon Sink Foundation for public welfare afforestation to create a beautiful and harmonious social chapter. Shanghai Electric Group Co., Ltd. From September 29th to October 10th, Shanghai Electric, together with media such as Huanqiu.com, launched the 0 Carbon Walker online charity event with the theme of "One person, 20,000 steps, 0 carbon future" to advocate green travel for the public.</v>
      </c>
      <c r="B4830" s="1" t="str">
        <f ca="1">IFERROR(__xludf.DUMMYFUNCTION("GOOGLETRANSLATE(A4830, ""zh"", ""en"")"),"carbon emissions")</f>
        <v>carbon emissions</v>
      </c>
      <c r="C4830" s="1" t="str">
        <f ca="1">IFERROR(__xludf.DUMMYFUNCTION("GOOGLETRANSLATE(E4830, ""zh"", ""en"")"),"Qualitative text")</f>
        <v>Qualitative text</v>
      </c>
    </row>
    <row r="4831" spans="1:3" ht="13" x14ac:dyDescent="0.15">
      <c r="A4831" s="1" t="str">
        <f ca="1">IFERROR(__xludf.DUMMYFUNCTION("GOOGLETRANSLATE(A4831, ""zh"", ""en"")"),"In 2022, we will continue to promote the emission management of various types of waste, focusing on enterprises with past emission problems, key units with greater environmental risks, and issues with greater risk of hazardous waste violations. We will or"&amp;"ganize special inspections and in-depth standardized assessments to ensure that relevant enterprises are in compliance in all aspects of their operations.")</f>
        <v>In 2022, we will continue to promote the emission management of various types of waste, focusing on enterprises with past emission problems, key units with greater environmental risks, and issues with greater risk of hazardous waste violations. We will organize special inspections and in-depth standardized assessments to ensure that relevant enterprises are in compliance in all aspects of their operations.</v>
      </c>
      <c r="B4831" s="1" t="str">
        <f ca="1">IFERROR(__xludf.DUMMYFUNCTION("GOOGLETRANSLATE(A4831, ""zh"", ""en"")"),"Waste Management")</f>
        <v>Waste Management</v>
      </c>
      <c r="C4831" s="1" t="str">
        <f ca="1">IFERROR(__xludf.DUMMYFUNCTION("GOOGLETRANSLATE(E4831, ""zh"", ""en"")"),"Qualitative text")</f>
        <v>Qualitative text</v>
      </c>
    </row>
    <row r="4832" spans="1:3" ht="13" x14ac:dyDescent="0.15">
      <c r="A4832" s="1" t="str">
        <f ca="1">IFERROR(__xludf.DUMMYFUNCTION("GOOGLETRANSLATE(A4832, ""zh"", ""en"")"),"This year, Casarte Galaxy wall-mounted air conditioner won one China Design Patent Gold Award. The company has already won 11 national patent gold awards, ranking first in the industry. Haier Smart Home was approved as a national intellectual property dem"&amp;"onstration enterprise and was selected into the IPRdaily Chinese website's 2022 first half global smart home invention patent rankings.")</f>
        <v>This year, Casarte Galaxy wall-mounted air conditioner won one China Design Patent Gold Award. The company has already won 11 national patent gold awards, ranking first in the industry. Haier Smart Home was approved as a national intellectual property demonstration enterprise and was selected into the IPRdaily Chinese website's 2022 first half global smart home invention patent rankings.</v>
      </c>
      <c r="B4832" s="1" t="str">
        <f ca="1">IFERROR(__xludf.DUMMYFUNCTION("GOOGLETRANSLATE(A4832, ""zh"", ""en"")"),"Intellectual Property Protection")</f>
        <v>Intellectual Property Protection</v>
      </c>
      <c r="C4832" s="1" t="str">
        <f ca="1">IFERROR(__xludf.DUMMYFUNCTION("GOOGLETRANSLATE(E4832, ""zh"", ""en"")"),"Quantitative Text")</f>
        <v>Quantitative Text</v>
      </c>
    </row>
    <row r="4833" spans="1:3" ht="13" x14ac:dyDescent="0.15">
      <c r="A4833" s="1" t="str">
        <f ca="1">IFERROR(__xludf.DUMMYFUNCTION("GOOGLETRANSLATE(A4833, ""zh"", ""en"")"),"Since its establishment, it has compiled and issued important documents such as the Opinions on Strengthening Collective Wage Negotiation, the Implementation Measures for the Shanghai Electric Group Workers' Representative Conference, and the Operational "&amp;"Guidelines for Grassroots Enterprise Workers' Representative Conferences. It has also signed collective contracts with enterprises as a representative, including the Special Collective Contract on Protection of Women's Rights and Interests and the Special"&amp;" Collective Contract on Wages.")</f>
        <v>Since its establishment, it has compiled and issued important documents such as the Opinions on Strengthening Collective Wage Negotiation, the Implementation Measures for the Shanghai Electric Group Workers' Representative Conference, and the Operational Guidelines for Grassroots Enterprise Workers' Representative Conferences. It has also signed collective contracts with enterprises as a representative, including the Special Collective Contract on Protection of Women's Rights and Interests and the Special Collective Contract on Wages.</v>
      </c>
      <c r="B4833" s="1" t="str">
        <f ca="1">IFERROR(__xludf.DUMMYFUNCTION("GOOGLETRANSLATE(A4833, ""zh"", ""en"")"),"staff")</f>
        <v>staff</v>
      </c>
      <c r="C4833" s="1" t="str">
        <f ca="1">IFERROR(__xludf.DUMMYFUNCTION("GOOGLETRANSLATE(E4833, ""zh"", ""en"")"),"Qualitative text")</f>
        <v>Qualitative text</v>
      </c>
    </row>
    <row r="4834" spans="1:3" ht="13" x14ac:dyDescent="0.15">
      <c r="A4834" s="1" t="str">
        <f ca="1">IFERROR(__xludf.DUMMYFUNCTION("GOOGLETRANSLATE(A4834, ""zh"", ""en"")"),"The Board's Related Party Transactions, Social Responsibility, and Consumer Rights Protection Committee reviewed the progress report on green finance work and followed up on management's progress in climate risk management capabilities, integrating enviro"&amp;"nmental and climate risk management into the entire business process, improving risk measurement tools and methods, and enhancing the quality of environmental information disclosure.")</f>
        <v>The Board's Related Party Transactions, Social Responsibility, and Consumer Rights Protection Committee reviewed the progress report on green finance work and followed up on management's progress in climate risk management capabilities, integrating environmental and climate risk management into the entire business process, improving risk measurement tools and methods, and enhancing the quality of environmental information disclosure.</v>
      </c>
      <c r="B4834" s="1" t="str">
        <f ca="1">IFERROR(__xludf.DUMMYFUNCTION("GOOGLETRANSLATE(A4834, ""zh"", ""en"")"),"Green Finance")</f>
        <v>Green Finance</v>
      </c>
      <c r="C4834" s="1" t="str">
        <f ca="1">IFERROR(__xludf.DUMMYFUNCTION("GOOGLETRANSLATE(E4834, ""zh"", ""en"")"),"Qualitative text")</f>
        <v>Qualitative text</v>
      </c>
    </row>
    <row r="4835" spans="1:3" ht="13" x14ac:dyDescent="0.15">
      <c r="A4835" s="1" t="str">
        <f ca="1">IFERROR(__xludf.DUMMYFUNCTION("GOOGLETRANSLATE(A4835, ""zh"", ""en"")"),"Optimize and enrich the functional resources of the CCB Learning Platform. The CCB Learning Platform is a large-scale digital learning platform that integrates employee learning, teaching management, intelligent operations, knowledge storage, and social s"&amp;"ervices. It is open to group employees and social users, and has played a good role in employee growth and learning, supporting business development, and serving the society.")</f>
        <v>Optimize and enrich the functional resources of the CCB Learning Platform. The CCB Learning Platform is a large-scale digital learning platform that integrates employee learning, teaching management, intelligent operations, knowledge storage, and social services. It is open to group employees and social users, and has played a good role in employee growth and learning, supporting business development, and serving the society.</v>
      </c>
      <c r="B4835" s="1" t="str">
        <f ca="1">IFERROR(__xludf.DUMMYFUNCTION("GOOGLETRANSLATE(A4835, ""zh"", ""en"")"),"staff")</f>
        <v>staff</v>
      </c>
      <c r="C4835" s="1" t="str">
        <f ca="1">IFERROR(__xludf.DUMMYFUNCTION("GOOGLETRANSLATE(E4835, ""zh"", ""en"")"),"Qualitative text")</f>
        <v>Qualitative text</v>
      </c>
    </row>
    <row r="4836" spans="1:3" ht="13" x14ac:dyDescent="0.15">
      <c r="A4836" s="1" t="str">
        <f ca="1">IFERROR(__xludf.DUMMYFUNCTION("GOOGLETRANSLATE(A4836, ""zh"", ""en"")"),"At the strategic launch conference at the end of the year, we jointly launched the SME Digital Development Alliance with the China Small and Medium Enterprises Association, several industry social organizations, and dozens of digital companies, gathering "&amp;"ecological forces to build a digital service platform for SMEs, further helping small, medium and micro enterprises achieve digital prosperity and eliminate the digital divide.")</f>
        <v>At the strategic launch conference at the end of the year, we jointly launched the SME Digital Development Alliance with the China Small and Medium Enterprises Association, several industry social organizations, and dozens of digital companies, gathering ecological forces to build a digital service platform for SMEs, further helping small, medium and micro enterprises achieve digital prosperity and eliminate the digital divide.</v>
      </c>
      <c r="B4836" s="1" t="str">
        <f ca="1">IFERROR(__xludf.DUMMYFUNCTION("GOOGLETRANSLATE(A4836, ""zh"", ""en"")"),"Technological innovation")</f>
        <v>Technological innovation</v>
      </c>
      <c r="C4836" s="1" t="str">
        <f ca="1">IFERROR(__xludf.DUMMYFUNCTION("GOOGLETRANSLATE(E4836, ""zh"", ""en"")"),"Qualitative text")</f>
        <v>Qualitative text</v>
      </c>
    </row>
    <row r="4837" spans="1:3" ht="13" x14ac:dyDescent="0.15">
      <c r="A4837" s="1" t="str">
        <f ca="1">IFERROR(__xludf.DUMMYFUNCTION("GOOGLETRANSLATE(A4837, ""zh"", ""en"")"),"Case: Essence Securities improves its employee assistance and condolence work mechanism. To strengthen the union's role in serving employees, the Essence Securities Union revised and issued the Essence Securities Co., Ltd. Employee Assistance and Consolat"&amp;"ion Management Measures, further strengthening the union's role in serving employees and improving and perfecting its regularized employee assistance and condolence work mechanism.")</f>
        <v>Case: Essence Securities improves its employee assistance and condolence work mechanism. To strengthen the union's role in serving employees, the Essence Securities Union revised and issued the Essence Securities Co., Ltd. Employee Assistance and Consolation Management Measures, further strengthening the union's role in serving employees and improving and perfecting its regularized employee assistance and condolence work mechanism.</v>
      </c>
      <c r="B4837" s="1" t="str">
        <f ca="1">IFERROR(__xludf.DUMMYFUNCTION("GOOGLETRANSLATE(A4837, ""zh"", ""en"")"),"staff")</f>
        <v>staff</v>
      </c>
      <c r="C4837" s="1" t="str">
        <f ca="1">IFERROR(__xludf.DUMMYFUNCTION("GOOGLETRANSLATE(E4837, ""zh"", ""en"")"),"Qualitative text")</f>
        <v>Qualitative text</v>
      </c>
    </row>
    <row r="4838" spans="1:3" ht="13" x14ac:dyDescent="0.15">
      <c r="A4838" s="1" t="str">
        <f ca="1">IFERROR(__xludf.DUMMYFUNCTION("GOOGLETRANSLATE(A4838, ""zh"", ""en"")"),"The company always complies with the requirements of animal protection laws around the world, attaches great importance to biodiversity protection, carefully analyzes the possible impact of each link of the work on marine life, and actively takes preventi"&amp;"ve measures to maximize the elimination or reduction of negative impacts on biodiversity and ecosystems, creating a healthy and safe living environment for marine life.")</f>
        <v>The company always complies with the requirements of animal protection laws around the world, attaches great importance to biodiversity protection, carefully analyzes the possible impact of each link of the work on marine life, and actively takes preventive measures to maximize the elimination or reduction of negative impacts on biodiversity and ecosystems, creating a healthy and safe living environment for marine life.</v>
      </c>
      <c r="B4838" s="1" t="str">
        <f ca="1">IFERROR(__xludf.DUMMYFUNCTION("GOOGLETRANSLATE(A4838, ""zh"", ""en"")"),"biodiversity")</f>
        <v>biodiversity</v>
      </c>
      <c r="C4838" s="1" t="str">
        <f ca="1">IFERROR(__xludf.DUMMYFUNCTION("GOOGLETRANSLATE(E4838, ""zh"", ""en"")"),"Qualitative text")</f>
        <v>Qualitative text</v>
      </c>
    </row>
    <row r="4839" spans="1:3" ht="13" x14ac:dyDescent="0.15">
      <c r="A4839" s="1" t="str">
        <f ca="1">IFERROR(__xludf.DUMMYFUNCTION("GOOGLETRANSLATE(A4839, ""zh"", ""en"")"),"Fosun Pharma Group currently has a comprehensive R&amp;D center that leads and directs the Group's innovation strategy and pipeline deployment, targeting unmet treatment needs. We actively and decisively coordinate the development of technology platforms, pro"&amp;"mote global clinical development, expand our R&amp;D pipeline, and strive to accelerate R&amp;D innovation, development, and registration, and fully promote new drug innovation.")</f>
        <v>Fosun Pharma Group currently has a comprehensive R&amp;D center that leads and directs the Group's innovation strategy and pipeline deployment, targeting unmet treatment needs. We actively and decisively coordinate the development of technology platforms, promote global clinical development, expand our R&amp;D pipeline, and strive to accelerate R&amp;D innovation, development, and registration, and fully promote new drug innovation.</v>
      </c>
      <c r="B4839" s="1" t="str">
        <f ca="1">IFERROR(__xludf.DUMMYFUNCTION("GOOGLETRANSLATE(A4839, ""zh"", ""en"")"),"Technological innovation")</f>
        <v>Technological innovation</v>
      </c>
      <c r="C4839" s="1" t="str">
        <f ca="1">IFERROR(__xludf.DUMMYFUNCTION("GOOGLETRANSLATE(E4839, ""zh"", ""en"")"),"Qualitative text")</f>
        <v>Qualitative text</v>
      </c>
    </row>
    <row r="4840" spans="1:3" ht="13" x14ac:dyDescent="0.15">
      <c r="A4840" s="1" t="str">
        <f ca="1">IFERROR(__xludf.DUMMYFUNCTION("GOOGLETRANSLATE(A4840, ""zh"", ""en"")"),"An article introducing the company's legal and compliance management work experience, achieving results through legal operations and promoting development through compliance management, was selected for inclusion in the ""100-person discussion on the cons"&amp;"truction of legal state-owned enterprises"" column jointly organized by the State-owned Assets Supervision and Administration Commission and the People's Political Consultative Conference Daily. The article was published on the People's Political Consulta"&amp;"tive Conference website and selected into the collection of typical cases of legal state-owned enterprises construction, and was widely promoted among central state-owned enterprises and social enterprises.")</f>
        <v>An article introducing the company's legal and compliance management work experience, achieving results through legal operations and promoting development through compliance management, was selected for inclusion in the "100-person discussion on the construction of legal state-owned enterprises" column jointly organized by the State-owned Assets Supervision and Administration Commission and the People's Political Consultative Conference Daily. The article was published on the People's Political Consultative Conference website and selected into the collection of typical cases of legal state-owned enterprises construction, and was widely promoted among central state-owned enterprises and social enterprises.</v>
      </c>
      <c r="B4840" s="1" t="str">
        <f ca="1">IFERROR(__xludf.DUMMYFUNCTION("GOOGLETRANSLATE(A4840, ""zh"", ""en"")"),"Legal proceedings and external sanctions")</f>
        <v>Legal proceedings and external sanctions</v>
      </c>
      <c r="C4840" s="1" t="str">
        <f ca="1">IFERROR(__xludf.DUMMYFUNCTION("GOOGLETRANSLATE(E4840, ""zh"", ""en"")"),"Qualitative text")</f>
        <v>Qualitative text</v>
      </c>
    </row>
    <row r="4841" spans="1:3" ht="13" x14ac:dyDescent="0.15">
      <c r="A4841" s="1" t="str">
        <f ca="1">IFERROR(__xludf.DUMMYFUNCTION("GOOGLETRANSLATE(A4841, ""zh"", ""en"")"),"Fosun Pharma completed a total of 20 audit projects of various types, involving the headquarters and its subsidiaries, including pharmaceutical, medical, key health services, medical diagnostics, and medical devices. It also carried out special audits on "&amp;"a number of projects under construction with high investment amounts, promptly identified and addressed important control deficiencies during project implementation, and provided compliant and efficient rationalization suggestions.")</f>
        <v>Fosun Pharma completed a total of 20 audit projects of various types, involving the headquarters and its subsidiaries, including pharmaceutical, medical, key health services, medical diagnostics, and medical devices. It also carried out special audits on a number of projects under construction with high investment amounts, promptly identified and addressed important control deficiencies during project implementation, and provided compliant and efficient rationalization suggestions.</v>
      </c>
      <c r="B4841" s="1" t="str">
        <f ca="1">IFERROR(__xludf.DUMMYFUNCTION("GOOGLETRANSLATE(A4841, ""zh"", ""en"")"),"Audit work")</f>
        <v>Audit work</v>
      </c>
      <c r="C4841" s="1" t="str">
        <f ca="1">IFERROR(__xludf.DUMMYFUNCTION("GOOGLETRANSLATE(E4841, ""zh"", ""en"")"),"Qualitative text")</f>
        <v>Qualitative text</v>
      </c>
    </row>
    <row r="4842" spans="1:3" ht="13" x14ac:dyDescent="0.15">
      <c r="A4842" s="1" t="str">
        <f ca="1">IFERROR(__xludf.DUMMYFUNCTION("GOOGLETRANSLATE(A4842, ""zh"", ""en"")"),"In the spirit of building a bridge of communication between the company and its employees, Yaoyou Pharmaceutical has opened the factory environment, research base, and daily office environment of Yaoyou Pharmaceutical to the families of Yaoyou employees. "&amp;"The company's health philosophy of wholeheartedly serving human health has been conveyed to the second generation of pharmaceutical workers, and the layout of Yaoyou's intelligent factories across the country has been conveyed to the culture and families.")</f>
        <v>In the spirit of building a bridge of communication between the company and its employees, Yaoyou Pharmaceutical has opened the factory environment, research base, and daily office environment of Yaoyou Pharmaceutical to the families of Yaoyou employees. The company's health philosophy of wholeheartedly serving human health has been conveyed to the second generation of pharmaceutical workers, and the layout of Yaoyou's intelligent factories across the country has been conveyed to the culture and families.</v>
      </c>
      <c r="B4842" s="1" t="str">
        <f ca="1">IFERROR(__xludf.DUMMYFUNCTION("GOOGLETRANSLATE(A4842, ""zh"", ""en"")"),"staff")</f>
        <v>staff</v>
      </c>
      <c r="C4842" s="1" t="str">
        <f ca="1">IFERROR(__xludf.DUMMYFUNCTION("GOOGLETRANSLATE(E4842, ""zh"", ""en"")"),"Qualitative text")</f>
        <v>Qualitative text</v>
      </c>
    </row>
    <row r="4843" spans="1:3" ht="13" x14ac:dyDescent="0.15">
      <c r="A4843" s="1" t="str">
        <f ca="1">IFERROR(__xludf.DUMMYFUNCTION("GOOGLETRANSLATE(A4843, ""zh"", ""en"")"),"During this period, CLSA collaborated with several charitable organizations to launch a campaign to pack lucky bags, conduct online visits to elderly homes, visit elderly people living alone, newly arrived single-parent families, and low-income families i"&amp;"n communities near Kowloon East, and distribute lucky bags. These activities spread care and love to the grassroots communities, promote social solidarity and mutual assistance, and celebrate common prosperity.")</f>
        <v>During this period, CLSA collaborated with several charitable organizations to launch a campaign to pack lucky bags, conduct online visits to elderly homes, visit elderly people living alone, newly arrived single-parent families, and low-income families in communities near Kowloon East, and distribute lucky bags. These activities spread care and love to the grassroots communities, promote social solidarity and mutual assistance, and celebrate common prosperity.</v>
      </c>
      <c r="B4843" s="1" t="str">
        <f ca="1">IFERROR(__xludf.DUMMYFUNCTION("GOOGLETRANSLATE(A4843, ""zh"", ""en"")"),"Public welfare and volunteer service")</f>
        <v>Public welfare and volunteer service</v>
      </c>
      <c r="C4843" s="1" t="str">
        <f ca="1">IFERROR(__xludf.DUMMYFUNCTION("GOOGLETRANSLATE(E4843, ""zh"", ""en"")"),"Qualitative text")</f>
        <v>Qualitative text</v>
      </c>
    </row>
    <row r="4844" spans="1:3" ht="13" x14ac:dyDescent="0.15">
      <c r="A4844" s="1" t="str">
        <f ca="1">IFERROR(__xludf.DUMMYFUNCTION("GOOGLETRANSLATE(A4844, ""zh"", ""en"")"),"Actively assisting the Zhejiang Provincial Federation of Trade Unions in the construction of outdoor labor service stations for provincial and ministerial enterprises and institutions. Six Yuantong stations were built and officially opened throughout the "&amp;"year, covering the west, east, and north areas of Hangzhou. Each station is equipped with refrigerators, microwave ovens, water dispensers, etc. to provide outdoor workers with a variety of free services such as rest, drinking water, meals, heating, tire "&amp;"inflation, blood pressure measurement, etc.")</f>
        <v>Actively assisting the Zhejiang Provincial Federation of Trade Unions in the construction of outdoor labor service stations for provincial and ministerial enterprises and institutions. Six Yuantong stations were built and officially opened throughout the year, covering the west, east, and north areas of Hangzhou. Each station is equipped with refrigerators, microwave ovens, water dispensers, etc. to provide outdoor workers with a variety of free services such as rest, drinking water, meals, heating, tire inflation, blood pressure measurement, etc.</v>
      </c>
      <c r="B4844" s="1" t="str">
        <f ca="1">IFERROR(__xludf.DUMMYFUNCTION("GOOGLETRANSLATE(A4844, ""zh"", ""en"")"),"Public welfare and volunteer service")</f>
        <v>Public welfare and volunteer service</v>
      </c>
      <c r="C4844" s="1" t="str">
        <f ca="1">IFERROR(__xludf.DUMMYFUNCTION("GOOGLETRANSLATE(E4844, ""zh"", ""en"")"),"Quantitative Text")</f>
        <v>Quantitative Text</v>
      </c>
    </row>
    <row r="4845" spans="1:3" ht="13" x14ac:dyDescent="0.15">
      <c r="A4845" s="1" t="str">
        <f ca="1">IFERROR(__xludf.DUMMYFUNCTION("GOOGLETRANSLATE(A4845, ""zh"", ""en"")"),"Governance of climate issues The company is committed to fully integrating climate change response into its strategic development plan, corporate governance system, comprehensive risk management system, and daily operations management. It has established "&amp;"a three-tiered climate governance structure consisting of the board of directors, management, and executive level, clarifying the responsibilities of each level and laying a solid foundation for improving the company's climate change management and respon"&amp;"se capabilities.")</f>
        <v>Governance of climate issues The company is committed to fully integrating climate change response into its strategic development plan, corporate governance system, comprehensive risk management system, and daily operations management. It has established a three-tiered climate governance structure consisting of the board of directors, management, and executive level, clarifying the responsibilities of each level and laying a solid foundation for improving the company's climate change management and response capabilities.</v>
      </c>
      <c r="B4845" s="1" t="str">
        <f ca="1">IFERROR(__xludf.DUMMYFUNCTION("GOOGLETRANSLATE(A4845, ""zh"", ""en"")"),"Addressing climate change")</f>
        <v>Addressing climate change</v>
      </c>
      <c r="C4845" s="1" t="str">
        <f ca="1">IFERROR(__xludf.DUMMYFUNCTION("GOOGLETRANSLATE(E4845, ""zh"", ""en"")"),"Qualitative text")</f>
        <v>Qualitative text</v>
      </c>
    </row>
    <row r="4846" spans="1:3" ht="13" x14ac:dyDescent="0.15">
      <c r="A4846" s="1" t="str">
        <f ca="1">IFERROR(__xludf.DUMMYFUNCTION("GOOGLETRANSLATE(A4846, ""zh"", ""en"")"),"In response to the rapid development of the hydrogen energy industry and the demand for large-scale hydrogen storage, Sinopec has organized research on ultra-high-strength, high-pressure hydrogen storage materials and equipment, large double-shell vacuum "&amp;"insulated liquid hydrogen spherical tanks, and currently has the foundation for tank expansion tests and industrial applications, providing strong scientific and technological support for Sinopec's green hydrogen energy development.")</f>
        <v>In response to the rapid development of the hydrogen energy industry and the demand for large-scale hydrogen storage, Sinopec has organized research on ultra-high-strength, high-pressure hydrogen storage materials and equipment, large double-shell vacuum insulated liquid hydrogen spherical tanks, and currently has the foundation for tank expansion tests and industrial applications, providing strong scientific and technological support for Sinopec's green hydrogen energy development.</v>
      </c>
      <c r="B4846" s="1" t="str">
        <f ca="1">IFERROR(__xludf.DUMMYFUNCTION("GOOGLETRANSLATE(A4846, ""zh"", ""en"")"),"Energy and resource consumption")</f>
        <v>Energy and resource consumption</v>
      </c>
      <c r="C4846" s="1" t="str">
        <f ca="1">IFERROR(__xludf.DUMMYFUNCTION("GOOGLETRANSLATE(E4846, ""zh"", ""en"")"),"Qualitative text")</f>
        <v>Qualitative text</v>
      </c>
    </row>
    <row r="4847" spans="1:3" ht="13" x14ac:dyDescent="0.15">
      <c r="A4847" s="1" t="str">
        <f ca="1">IFERROR(__xludf.DUMMYFUNCTION("GOOGLETRANSLATE(A4847, ""zh"", ""en"")"),"The Group's bidding and procurement management system platform project further standardizes the approval process, strengthens electronic supervision, automatically captures and records information during the procurement process, and permanently traces it,"&amp;" thereby enhancing the legal compliance of bidding and procurement, reducing corruption risks, and strengthening in-depth management and guidance of bidding and procurement work across a wider range of processes to achieve transparent procurement.")</f>
        <v>The Group's bidding and procurement management system platform project further standardizes the approval process, strengthens electronic supervision, automatically captures and records information during the procurement process, and permanently traces it, thereby enhancing the legal compliance of bidding and procurement, reducing corruption risks, and strengthening in-depth management and guidance of bidding and procurement work across a wider range of processes to achieve transparent procurement.</v>
      </c>
      <c r="B4847" s="1" t="str">
        <f ca="1">IFERROR(__xludf.DUMMYFUNCTION("GOOGLETRANSLATE(A4847, ""zh"", ""en"")"),"supply chain management")</f>
        <v>supply chain management</v>
      </c>
      <c r="C4847" s="1" t="str">
        <f ca="1">IFERROR(__xludf.DUMMYFUNCTION("GOOGLETRANSLATE(E4847, ""zh"", ""en"")"),"Qualitative text")</f>
        <v>Qualitative text</v>
      </c>
    </row>
    <row r="4848" spans="1:3" ht="13" x14ac:dyDescent="0.15">
      <c r="A4848" s="1" t="str">
        <f ca="1">IFERROR(__xludf.DUMMYFUNCTION("GOOGLETRANSLATE(A4848, ""zh"", ""en"")"),"To effectively play the leading role of the Party Committee in guiding the direction, managing the overall situation and ensuring implementation, the company has studied and formulated the Implementation Measures for the Three Major Decision-making System"&amp;" of China Storage Development Co., Ltd., revised and improved the Rules of Procedure of the Party Committee of China Storage Development Co., Ltd., and listed the major business management matters that must be studied and discussed in advance for the Thre"&amp;"e Major Decision-making of the Party Committee of China Storage.")</f>
        <v>To effectively play the leading role of the Party Committee in guiding the direction, managing the overall situation and ensuring implementation, the company has studied and formulated the Implementation Measures for the Three Major Decision-making System of China Storage Development Co., Ltd., revised and improved the Rules of Procedure of the Party Committee of China Storage Development Co., Ltd., and listed the major business management matters that must be studied and discussed in advance for the Three Major Decision-making of the Party Committee of China Storage.</v>
      </c>
      <c r="B4848" s="1" t="str">
        <f ca="1">IFERROR(__xludf.DUMMYFUNCTION("GOOGLETRANSLATE(A4848, ""zh"", ""en"")"),"Organizational structure and operations")</f>
        <v>Organizational structure and operations</v>
      </c>
      <c r="C4848" s="1" t="str">
        <f ca="1">IFERROR(__xludf.DUMMYFUNCTION("GOOGLETRANSLATE(E4848, ""zh"", ""en"")"),"Qualitative text")</f>
        <v>Qualitative text</v>
      </c>
    </row>
    <row r="4849" spans="1:3" ht="13" x14ac:dyDescent="0.15">
      <c r="A4849" s="1" t="str">
        <f ca="1">IFERROR(__xludf.DUMMYFUNCTION("GOOGLETRANSLATE(A4849, ""zh"", ""en"")"),"The company actively organized its subsidiaries to apply for national major projects on soil pollution source control and pilot projects on production-side control. It also carried out special inspections on soil hazard investigation and monitoring of key"&amp;" regulated enterprises in the key basins of the Yangtze River and the Yellow River. Sales companies actively carried out soil and groundwater pollution investigations to prevent soil and groundwater pollution.")</f>
        <v>The company actively organized its subsidiaries to apply for national major projects on soil pollution source control and pilot projects on production-side control. It also carried out special inspections on soil hazard investigation and monitoring of key regulated enterprises in the key basins of the Yangtze River and the Yellow River. Sales companies actively carried out soil and groundwater pollution investigations to prevent soil and groundwater pollution.</v>
      </c>
      <c r="B4849" s="1" t="str">
        <f ca="1">IFERROR(__xludf.DUMMYFUNCTION("GOOGLETRANSLATE(A4849, ""zh"", ""en"")"),"Land use")</f>
        <v>Land use</v>
      </c>
      <c r="C4849" s="1" t="str">
        <f ca="1">IFERROR(__xludf.DUMMYFUNCTION("GOOGLETRANSLATE(E4849, ""zh"", ""en"")"),"Qualitative text")</f>
        <v>Qualitative text</v>
      </c>
    </row>
    <row r="4850" spans="1:3" ht="13" x14ac:dyDescent="0.15">
      <c r="A4850" s="1" t="str">
        <f ca="1">IFERROR(__xludf.DUMMYFUNCTION("GOOGLETRANSLATE(A4850, ""zh"", ""en"")"),"Green operation and green office: RMB 2.6232 million was invested in environmental protection in 2022. A total of 262 video conferences were held in 2022, an increase of 23% compared with the same period last year. Green construction companies actively im"&amp;"plement the concept of green, low-carbon and circular development, and plan the sustainable development of enterprises around the basic national policy of resource conservation and environmental protection.")</f>
        <v>Green operation and green office: RMB 2.6232 million was invested in environmental protection in 2022. A total of 262 video conferences were held in 2022, an increase of 23% compared with the same period last year. Green construction companies actively implement the concept of green, low-carbon and circular development, and plan the sustainable development of enterprises around the basic national policy of resource conservation and environmental protection.</v>
      </c>
      <c r="B4850" s="1" t="str">
        <f ca="1">IFERROR(__xludf.DUMMYFUNCTION("GOOGLETRANSLATE(A4850, ""zh"", ""en"")"),"Green Building")</f>
        <v>Green Building</v>
      </c>
      <c r="C4850" s="1" t="str">
        <f ca="1">IFERROR(__xludf.DUMMYFUNCTION("GOOGLETRANSLATE(E4850, ""zh"", ""en"")"),"Quantitative Text")</f>
        <v>Quantitative Text</v>
      </c>
    </row>
    <row r="4851" spans="1:3" ht="13" x14ac:dyDescent="0.15">
      <c r="A4851" s="1" t="str">
        <f ca="1">IFERROR(__xludf.DUMMYFUNCTION("GOOGLETRANSLATE(A4851, ""zh"", ""en"")"),"Environmental Impact Management The company continues to strengthen environmental impact management by formulating environmental protection management measures, ecological protection management measures, construction project environmental protection manag"&amp;"ement regulations, construction project completion environmental protection acceptance management details and other regulations to strengthen environmental protection management throughout the construction project process and reduce negative impacts on th"&amp;"e surrounding ecological environment and communities.")</f>
        <v>Environmental Impact Management The company continues to strengthen environmental impact management by formulating environmental protection management measures, ecological protection management measures, construction project environmental protection management regulations, construction project completion environmental protection acceptance management details and other regulations to strengthen environmental protection management throughout the construction project process and reduce negative impacts on the surrounding ecological environment and communities.</v>
      </c>
      <c r="B4851" s="1" t="str">
        <f ca="1">IFERROR(__xludf.DUMMYFUNCTION("GOOGLETRANSLATE(A4851, ""zh"", ""en"")"),"Environmental Policy")</f>
        <v>Environmental Policy</v>
      </c>
      <c r="C4851" s="1" t="str">
        <f ca="1">IFERROR(__xludf.DUMMYFUNCTION("GOOGLETRANSLATE(E4851, ""zh"", ""en"")"),"Qualitative text")</f>
        <v>Qualitative text</v>
      </c>
    </row>
    <row r="4852" spans="1:3" ht="13" x14ac:dyDescent="0.15">
      <c r="A4852" s="1" t="str">
        <f ca="1">IFERROR(__xludf.DUMMYFUNCTION("GOOGLETRANSLATE(A4852, ""zh"", ""en"")"),"In order to strengthen the communication and exchange of party building between government and enterprises and work together to achieve high-quality development led by high-quality party building, Chongqing Dima Industrial Co., Ltd. and Chongqing Nanbin R"&amp;"oad Construction and Development Center carried out the party day co-construction activity with the theme of government-enterprise co-construction and development on October 11, 2022.")</f>
        <v>In order to strengthen the communication and exchange of party building between government and enterprises and work together to achieve high-quality development led by high-quality party building, Chongqing Dima Industrial Co., Ltd. and Chongqing Nanbin Road Construction and Development Center carried out the party day co-construction activity with the theme of government-enterprise co-construction and development on October 11, 2022.</v>
      </c>
      <c r="B4852" s="1" t="str">
        <f ca="1">IFERROR(__xludf.DUMMYFUNCTION("GOOGLETRANSLATE(A4852, ""zh"", ""en"")"),"Organizational structure and operations")</f>
        <v>Organizational structure and operations</v>
      </c>
      <c r="C4852" s="1" t="str">
        <f ca="1">IFERROR(__xludf.DUMMYFUNCTION("GOOGLETRANSLATE(E4852, ""zh"", ""en"")"),"Qualitative text")</f>
        <v>Qualitative text</v>
      </c>
    </row>
    <row r="4853" spans="1:3" ht="13" x14ac:dyDescent="0.15">
      <c r="A4853" s="1" t="str">
        <f ca="1">IFERROR(__xludf.DUMMYFUNCTION("GOOGLETRANSLATE(A4853, ""zh"", ""en"")"),"Outai Company organized a blood donation activity for employees. Outai Company organized a charity donation activity. The 56 companies focused on employee health management, provided green channel services for medical treatment, and promoted the provision"&amp;" of health checkup services, benefiting 14,700 employees. The mutual medical assistance service benefited more than 4,800 employees.")</f>
        <v>Outai Company organized a blood donation activity for employees. Outai Company organized a charity donation activity. The 56 companies focused on employee health management, provided green channel services for medical treatment, and promoted the provision of health checkup services, benefiting 14,700 employees. The mutual medical assistance service benefited more than 4,800 employees.</v>
      </c>
      <c r="B4853" s="1" t="str">
        <f ca="1">IFERROR(__xludf.DUMMYFUNCTION("GOOGLETRANSLATE(A4853, ""zh"", ""en"")"),"staff")</f>
        <v>staff</v>
      </c>
      <c r="C4853" s="1" t="str">
        <f ca="1">IFERROR(__xludf.DUMMYFUNCTION("GOOGLETRANSLATE(E4853, ""zh"", ""en"")"),"Quantitative Text")</f>
        <v>Quantitative Text</v>
      </c>
    </row>
    <row r="4854" spans="1:3" ht="13" x14ac:dyDescent="0.15">
      <c r="A4854" s="1" t="str">
        <f ca="1">IFERROR(__xludf.DUMMYFUNCTION("GOOGLETRANSLATE(A4854, ""zh"", ""en"")"),"We have extensively participated in and promoted the work of the China Oil and Gas Enterprise Methane Control and Emission Alliance. We standardized the alliance's work processes, organized the Methane Control and Emission Alliance's annual technical exch"&amp;"ange meeting, invited experts to present special reports on methane control technologies, compiled the Methane Control and Emission Alliance's annual report, and promoted cooperation among alliance companies. The alliance's influence continues to expand.")</f>
        <v>We have extensively participated in and promoted the work of the China Oil and Gas Enterprise Methane Control and Emission Alliance. We standardized the alliance's work processes, organized the Methane Control and Emission Alliance's annual technical exchange meeting, invited experts to present special reports on methane control technologies, compiled the Methane Control and Emission Alliance's annual report, and promoted cooperation among alliance companies. The alliance's influence continues to expand.</v>
      </c>
      <c r="B4854" s="1" t="str">
        <f ca="1">IFERROR(__xludf.DUMMYFUNCTION("GOOGLETRANSLATE(A4854, ""zh"", ""en"")"),"carbon emissions")</f>
        <v>carbon emissions</v>
      </c>
      <c r="C4854" s="1" t="str">
        <f ca="1">IFERROR(__xludf.DUMMYFUNCTION("GOOGLETRANSLATE(E4854, ""zh"", ""en"")"),"Qualitative text")</f>
        <v>Qualitative text</v>
      </c>
    </row>
    <row r="4855" spans="1:3" ht="13" x14ac:dyDescent="0.15">
      <c r="A4855" s="1" t="str">
        <f ca="1">IFERROR(__xludf.DUMMYFUNCTION("GOOGLETRANSLATE(A4855, ""zh"", ""en"")"),"The overall turnover rate disclosed in China Construction Bank's Social Responsibility Report refers to the proportion of employees under labor contract of China Construction Bank (excluding overseas institutions, domestic and overseas subsidiaries) who v"&amp;"oluntarily proposed to terminate their contracts with the company as of the end of the reporting period, compared to the average number of employees in 2021 and 2022.")</f>
        <v>The overall turnover rate disclosed in China Construction Bank's Social Responsibility Report refers to the proportion of employees under labor contract of China Construction Bank (excluding overseas institutions, domestic and overseas subsidiaries) who voluntarily proposed to terminate their contracts with the company as of the end of the reporting period, compared to the average number of employees in 2021 and 2022.</v>
      </c>
      <c r="B4855" s="1" t="str">
        <f ca="1">IFERROR(__xludf.DUMMYFUNCTION("GOOGLETRANSLATE(A4855, ""zh"", ""en"")"),"staff")</f>
        <v>staff</v>
      </c>
      <c r="C4855" s="1" t="str">
        <f ca="1">IFERROR(__xludf.DUMMYFUNCTION("GOOGLETRANSLATE(E4855, ""zh"", ""en"")"),"Quantitative Text")</f>
        <v>Quantitative Text</v>
      </c>
    </row>
    <row r="4856" spans="1:3" ht="13" x14ac:dyDescent="0.15">
      <c r="A4856" s="1" t="str">
        <f ca="1">IFERROR(__xludf.DUMMYFUNCTION("GOOGLETRANSLATE(A4856, ""zh"", ""en"")"),"In 2022, the Group will continue to strictly implement the Drug Administration Law and pharmacovigilance quality management to collect adverse drug reaction information and report it to the National Adverse Reaction Reporting and Monitoring Management Sys"&amp;"tem in a timely manner. The compliance rate of adverse reaction reporting due to drug quality defects will reach 100%.")</f>
        <v>In 2022, the Group will continue to strictly implement the Drug Administration Law and pharmacovigilance quality management to collect adverse drug reaction information and report it to the National Adverse Reaction Reporting and Monitoring Management System in a timely manner. The compliance rate of adverse reaction reporting due to drug quality defects will reach 100%.</v>
      </c>
      <c r="B4856" s="1" t="str">
        <f ca="1">IFERROR(__xludf.DUMMYFUNCTION("GOOGLETRANSLATE(A4856, ""zh"", ""en"")"),"Product quality")</f>
        <v>Product quality</v>
      </c>
      <c r="C4856" s="1" t="str">
        <f ca="1">IFERROR(__xludf.DUMMYFUNCTION("GOOGLETRANSLATE(E4856, ""zh"", ""en"")"),"Quantitative Text")</f>
        <v>Quantitative Text</v>
      </c>
    </row>
    <row r="4857" spans="1:3" ht="13" x14ac:dyDescent="0.15">
      <c r="A4857" s="1" t="str">
        <f ca="1">IFERROR(__xludf.DUMMYFUNCTION("GOOGLETRANSLATE(A4857, ""zh"", ""en"")"),"The obligations of marketing authorization holders are to better collect safety information of drugs in accordance with the Group's adverse drug reaction testing procedures and provide patients with better medication safety. The member companies of Fosun "&amp;"Pharma Group proactively request the support of individual drug member companies' adverse drug reaction and medical professionals.")</f>
        <v>The obligations of marketing authorization holders are to better collect safety information of drugs in accordance with the Group's adverse drug reaction testing procedures and provide patients with better medication safety. The member companies of Fosun Pharma Group proactively request the support of individual drug member companies' adverse drug reaction and medical professionals.</v>
      </c>
      <c r="B4857" s="1" t="str">
        <f ca="1">IFERROR(__xludf.DUMMYFUNCTION("GOOGLETRANSLATE(A4857, ""zh"", ""en"")"),"Product quality")</f>
        <v>Product quality</v>
      </c>
      <c r="C4857" s="1" t="str">
        <f ca="1">IFERROR(__xludf.DUMMYFUNCTION("GOOGLETRANSLATE(E4857, ""zh"", ""en"")"),"Qualitative text")</f>
        <v>Qualitative text</v>
      </c>
    </row>
    <row r="4858" spans="1:3" ht="13" x14ac:dyDescent="0.15">
      <c r="A4858" s="1" t="str">
        <f ca="1">IFERROR(__xludf.DUMMYFUNCTION("GOOGLETRANSLATE(A4858, ""zh"", ""en"")"),"We achieve mutual benefit and common development by proactively building sharing mechanisms and cooperation platforms among governments, enterprises, scientific research institutions, and universities. We promote responsible procurement systems by conduct"&amp;"ing social responsibility assessments and surveys on the supply chain. We effectively communicate with the outside world and promote the company's responsible corporate image through proactive and honest cooperation with all sectors of society.")</f>
        <v>We achieve mutual benefit and common development by proactively building sharing mechanisms and cooperation platforms among governments, enterprises, scientific research institutions, and universities. We promote responsible procurement systems by conducting social responsibility assessments and surveys on the supply chain. We effectively communicate with the outside world and promote the company's responsible corporate image through proactive and honest cooperation with all sectors of society.</v>
      </c>
      <c r="B4858" s="1" t="str">
        <f ca="1">IFERROR(__xludf.DUMMYFUNCTION("GOOGLETRANSLATE(A4858, ""zh"", ""en"")"),"supply chain management")</f>
        <v>supply chain management</v>
      </c>
      <c r="C4858" s="1" t="str">
        <f ca="1">IFERROR(__xludf.DUMMYFUNCTION("GOOGLETRANSLATE(E4858, ""zh"", ""en"")"),"Qualitative text")</f>
        <v>Qualitative text</v>
      </c>
    </row>
    <row r="4859" spans="1:3" ht="13" x14ac:dyDescent="0.15">
      <c r="A4859" s="1" t="str">
        <f ca="1">IFERROR(__xludf.DUMMYFUNCTION("GOOGLETRANSLATE(A4859, ""zh"", ""en"")"),"In 2016, Fosun Pharma Group launched its first carbon emissions disclosure initiative, 98 Innovation for God Health, which continues to innovate and enjoy health. In 2016, the first year of carbon emissions disclosure, it conducted its first self-survey a"&amp;"nd measurement of carbon emissions and disclosed its total carbon emissions to the public in its social responsibility report.")</f>
        <v>In 2016, Fosun Pharma Group launched its first carbon emissions disclosure initiative, 98 Innovation for God Health, which continues to innovate and enjoy health. In 2016, the first year of carbon emissions disclosure, it conducted its first self-survey and measurement of carbon emissions and disclosed its total carbon emissions to the public in its social responsibility report.</v>
      </c>
      <c r="B4859" s="1" t="str">
        <f ca="1">IFERROR(__xludf.DUMMYFUNCTION("GOOGLETRANSLATE(A4859, ""zh"", ""en"")"),"carbon emissions")</f>
        <v>carbon emissions</v>
      </c>
      <c r="C4859" s="1" t="str">
        <f ca="1">IFERROR(__xludf.DUMMYFUNCTION("GOOGLETRANSLATE(E4859, ""zh"", ""en"")"),"Qualitative text")</f>
        <v>Qualitative text</v>
      </c>
    </row>
    <row r="4860" spans="1:3" ht="13" x14ac:dyDescent="0.15">
      <c r="A4860" s="1" t="str">
        <f ca="1">IFERROR(__xludf.DUMMYFUNCTION("GOOGLETRANSLATE(A4860, ""zh"", ""en"")"),"In 2022, the Group will focus on promoting the three-year action plan for Shanghai Electric's occupational health work and effectively implementing the hierarchical management of occupational health risks. It will strengthen the identification of occupati"&amp;"onal hazards, focus on key issues, and use hierarchical management as a means to grasp the precise goals of the three-year action plan and comprehensively improve occupational health management.")</f>
        <v>In 2022, the Group will focus on promoting the three-year action plan for Shanghai Electric's occupational health work and effectively implementing the hierarchical management of occupational health risks. It will strengthen the identification of occupational hazards, focus on key issues, and use hierarchical management as a means to grasp the precise goals of the three-year action plan and comprehensively improve occupational health management.</v>
      </c>
      <c r="B4860" s="1" t="str">
        <f ca="1">IFERROR(__xludf.DUMMYFUNCTION("GOOGLETRANSLATE(A4860, ""zh"", ""en"")"),"staff")</f>
        <v>staff</v>
      </c>
      <c r="C4860" s="1" t="str">
        <f ca="1">IFERROR(__xludf.DUMMYFUNCTION("GOOGLETRANSLATE(E4860, ""zh"", ""en"")"),"Qualitative text")</f>
        <v>Qualitative text</v>
      </c>
    </row>
    <row r="4861" spans="1:3" ht="13" x14ac:dyDescent="0.15">
      <c r="A4861" s="1" t="str">
        <f ca="1">IFERROR(__xludf.DUMMYFUNCTION("GOOGLETRANSLATE(A4861, ""zh"", ""en"")"),"Haier UK's Hoover Foundation launched the Blue Wave project for World Hunger Day. Haier Europe donated to a local foundation in Serbia to support relief efforts. In the face of extreme weather and natural disasters, Haier employees around the world active"&amp;"ly participated in rescue and assistance efforts to help those in the disaster-stricken areas overcome their difficulties as soon as possible.")</f>
        <v>Haier UK's Hoover Foundation launched the Blue Wave project for World Hunger Day. Haier Europe donated to a local foundation in Serbia to support relief efforts. In the face of extreme weather and natural disasters, Haier employees around the world actively participated in rescue and assistance efforts to help those in the disaster-stricken areas overcome their difficulties as soon as possible.</v>
      </c>
      <c r="B4861" s="1" t="str">
        <f ca="1">IFERROR(__xludf.DUMMYFUNCTION("GOOGLETRANSLATE(A4861, ""zh"", ""en"")"),"Public welfare and volunteer service")</f>
        <v>Public welfare and volunteer service</v>
      </c>
      <c r="C4861" s="1" t="str">
        <f ca="1">IFERROR(__xludf.DUMMYFUNCTION("GOOGLETRANSLATE(E4861, ""zh"", ""en"")"),"Qualitative text")</f>
        <v>Qualitative text</v>
      </c>
    </row>
    <row r="4862" spans="1:3" ht="13" x14ac:dyDescent="0.15">
      <c r="A4862" s="1" t="str">
        <f ca="1">IFERROR(__xludf.DUMMYFUNCTION("GOOGLETRANSLATE(A4862, ""zh"", ""en"")"),"The company is promoting the development of its overseas security emergency command system and intranet deployment, continuously improving its overseas public security management system, focusing on security risks in high-risk countries and regions and ke"&amp;"y areas, strengthening overseas public security inspections and emergency drills, actively organizing overseas public security training, and strengthening the physical and mental health management of overseas employees.")</f>
        <v>The company is promoting the development of its overseas security emergency command system and intranet deployment, continuously improving its overseas public security management system, focusing on security risks in high-risk countries and regions and key areas, strengthening overseas public security inspections and emergency drills, actively organizing overseas public security training, and strengthening the physical and mental health management of overseas employees.</v>
      </c>
      <c r="B4862" s="1" t="str">
        <f ca="1">IFERROR(__xludf.DUMMYFUNCTION("GOOGLETRANSLATE(A4862, ""zh"", ""en"")"),"staff")</f>
        <v>staff</v>
      </c>
      <c r="C4862" s="1" t="str">
        <f ca="1">IFERROR(__xludf.DUMMYFUNCTION("GOOGLETRANSLATE(E4862, ""zh"", ""en"")"),"Qualitative text")</f>
        <v>Qualitative text</v>
      </c>
    </row>
    <row r="4863" spans="1:3" ht="13" x14ac:dyDescent="0.15">
      <c r="A4863" s="1" t="str">
        <f ca="1">IFERROR(__xludf.DUMMYFUNCTION("GOOGLETRANSLATE(A4863, ""zh"", ""en"")"),"Shanghai Electric and Shanghai Institute of Dianji have a long history and have a good cooperation foundation and experience in talent training, employment and job expansion projects.")</f>
        <v>Shanghai Electric and Shanghai Institute of Dianji have a long history and have a good cooperation foundation and experience in talent training, employment and job expansion projects.</v>
      </c>
      <c r="B4863" s="1" t="str">
        <f ca="1">IFERROR(__xludf.DUMMYFUNCTION("GOOGLETRANSLATE(A4863, ""zh"", ""en"")"),"Promoting employment")</f>
        <v>Promoting employment</v>
      </c>
      <c r="C4863" s="1" t="str">
        <f ca="1">IFERROR(__xludf.DUMMYFUNCTION("GOOGLETRANSLATE(E4863, ""zh"", ""en"")"),"Quantitative Text")</f>
        <v>Quantitative Text</v>
      </c>
    </row>
    <row r="4864" spans="1:3" ht="13" x14ac:dyDescent="0.15">
      <c r="A4864" s="1" t="str">
        <f ca="1">IFERROR(__xludf.DUMMYFUNCTION("GOOGLETRANSLATE(A4864, ""zh"", ""en"")"),"At the same time, we have taken the construction of the industry-education integration platform as the starting point to advance in the fields of achievement transformation and scientific research cooperation. We have jointly carried out dozens of scienti"&amp;"fic research projects and won many provincial and ministerial scientific and technological achievement awards.")</f>
        <v>At the same time, we have taken the construction of the industry-education integration platform as the starting point to advance in the fields of achievement transformation and scientific research cooperation. We have jointly carried out dozens of scientific research projects and won many provincial and ministerial scientific and technological achievement awards.</v>
      </c>
      <c r="B4864" s="1" t="str">
        <f ca="1">IFERROR(__xludf.DUMMYFUNCTION("GOOGLETRANSLATE(A4864, ""zh"", ""en"")"),"Technological innovation")</f>
        <v>Technological innovation</v>
      </c>
      <c r="C4864" s="1" t="str">
        <f ca="1">IFERROR(__xludf.DUMMYFUNCTION("GOOGLETRANSLATE(E4864, ""zh"", ""en"")"),"Qualitative text")</f>
        <v>Qualitative text</v>
      </c>
    </row>
    <row r="4865" spans="1:3" ht="13" x14ac:dyDescent="0.15">
      <c r="A4865" s="1" t="str">
        <f ca="1">IFERROR(__xludf.DUMMYFUNCTION("GOOGLETRANSLATE(A4865, ""zh"", ""en"")"),"Formulate management documents such as the management procedures for adverse drug reactions, customer complaint handling procedures, and drug safety emergency management procedures; promptly handle quality complaints and adverse reaction reports from user"&amp;"s after the drug is launched; organize and conduct post-marketing research on drugs; collect data from all aspects of the drug's launch; assess potential risks and implement timely management and control;")</f>
        <v>Formulate management documents such as the management procedures for adverse drug reactions, customer complaint handling procedures, and drug safety emergency management procedures; promptly handle quality complaints and adverse reaction reports from users after the drug is launched; organize and conduct post-marketing research on drugs; collect data from all aspects of the drug's launch; assess potential risks and implement timely management and control;</v>
      </c>
      <c r="B4865" s="1" t="str">
        <f ca="1">IFERROR(__xludf.DUMMYFUNCTION("GOOGLETRANSLATE(A4865, ""zh"", ""en"")"),"Product quality")</f>
        <v>Product quality</v>
      </c>
      <c r="C4865" s="1" t="str">
        <f ca="1">IFERROR(__xludf.DUMMYFUNCTION("GOOGLETRANSLATE(E4865, ""zh"", ""en"")"),"Qualitative text")</f>
        <v>Qualitative text</v>
      </c>
    </row>
    <row r="4866" spans="1:3" ht="13" x14ac:dyDescent="0.15">
      <c r="A4866" s="1" t="str">
        <f ca="1">IFERROR(__xludf.DUMMYFUNCTION("GOOGLETRANSLATE(A4866, ""zh"", ""en"")"),"58 Joincare Pharmaceutical Group Co., Ltd. 7.2.3 Compensation and Benefits Joincare strictly complies with relevant laws and regulations to formulate and implement compensation management systems, performance management systems, and other system requireme"&amp;"nts. We implement a scientific, reasonable, and motivating compensation strategy and create a fair and market-competitive compensation and benefits system.")</f>
        <v>58 Joincare Pharmaceutical Group Co., Ltd. 7.2.3 Compensation and Benefits Joincare strictly complies with relevant laws and regulations to formulate and implement compensation management systems, performance management systems, and other system requirements. We implement a scientific, reasonable, and motivating compensation strategy and create a fair and market-competitive compensation and benefits system.</v>
      </c>
      <c r="B4866" s="1" t="str">
        <f ca="1">IFERROR(__xludf.DUMMYFUNCTION("GOOGLETRANSLATE(A4866, ""zh"", ""en"")"),"staff")</f>
        <v>staff</v>
      </c>
      <c r="C4866" s="1" t="str">
        <f ca="1">IFERROR(__xludf.DUMMYFUNCTION("GOOGLETRANSLATE(E4866, ""zh"", ""en"")"),"Qualitative text")</f>
        <v>Qualitative text</v>
      </c>
    </row>
    <row r="4867" spans="1:3" ht="13" x14ac:dyDescent="0.15">
      <c r="A4867" s="1" t="str">
        <f ca="1">IFERROR(__xludf.DUMMYFUNCTION("GOOGLETRANSLATE(A4867, ""zh"", ""en"")"),"Long-term incentive mechanism To further improve the group's long-term incentive mechanism and fully mobilize the enthusiasm of core backbone employees, Kangyuan has formulated various forms of long-term incentive plans for group directors, senior manager"&amp;"s, middle managers and core technical personnel, effectively establishing a connection between the interests of shareholders, the group interests and the interests of the core team.")</f>
        <v>Long-term incentive mechanism To further improve the group's long-term incentive mechanism and fully mobilize the enthusiasm of core backbone employees, Kangyuan has formulated various forms of long-term incentive plans for group directors, senior managers, middle managers and core technical personnel, effectively establishing a connection between the interests of shareholders, the group interests and the interests of the core team.</v>
      </c>
      <c r="B4867" s="1" t="str">
        <f ca="1">IFERROR(__xludf.DUMMYFUNCTION("GOOGLETRANSLATE(A4867, ""zh"", ""en"")"),"staff")</f>
        <v>staff</v>
      </c>
      <c r="C4867" s="1" t="str">
        <f ca="1">IFERROR(__xludf.DUMMYFUNCTION("GOOGLETRANSLATE(E4867, ""zh"", ""en"")"),"Qualitative text")</f>
        <v>Qualitative text</v>
      </c>
    </row>
    <row r="4868" spans="1:3" ht="13" x14ac:dyDescent="0.15">
      <c r="A4868" s="1" t="str">
        <f ca="1">IFERROR(__xludf.DUMMYFUNCTION("GOOGLETRANSLATE(A4868, ""zh"", ""en"")"),"Xinbeijiang Pharmaceutical Wastewater Station Waste Gas Treatment Improvement Project 1.26 million Xinbeijiang Pharmaceutical commissioned Yantai Shengze Environmental Protection Technology Co., Ltd. to upgrade the biological deodorization tank of the sew"&amp;"age station and add a two-stage high-efficiency waste gas spray tower. The pre-treatment waste gas collection pipeline was reinstalled to improve the waste gas treatment efficiency of the sewage station and reduce the waste gas emissions of the sewage sta"&amp;"tion.")</f>
        <v>Xinbeijiang Pharmaceutical Wastewater Station Waste Gas Treatment Improvement Project 1.26 million Xinbeijiang Pharmaceutical commissioned Yantai Shengze Environmental Protection Technology Co., Ltd. to upgrade the biological deodorization tank of the sewage station and add a two-stage high-efficiency waste gas spray tower. The pre-treatment waste gas collection pipeline was reinstalled to improve the waste gas treatment efficiency of the sewage station and reduce the waste gas emissions of the sewage station.</v>
      </c>
      <c r="B4868" s="1" t="str">
        <f ca="1">IFERROR(__xludf.DUMMYFUNCTION("GOOGLETRANSLATE(A4868, ""zh"", ""en"")"),"Waste Management")</f>
        <v>Waste Management</v>
      </c>
      <c r="C4868" s="1" t="str">
        <f ca="1">IFERROR(__xludf.DUMMYFUNCTION("GOOGLETRANSLATE(E4868, ""zh"", ""en"")"),"Quantitative Text")</f>
        <v>Quantitative Text</v>
      </c>
    </row>
    <row r="4869" spans="1:3" ht="13" x14ac:dyDescent="0.15">
      <c r="A4869" s="1" t="str">
        <f ca="1">IFERROR(__xludf.DUMMYFUNCTION("GOOGLETRANSLATE(A4869, ""zh"", ""en"")"),"12. Fresh water usage (10,000 cubic meters) The fresh water usage disclosed in the Environmental, Social and Governance (ESG) report refers to the amount of water used for the first time by subsidiaries of PetroChina Co., Ltd. from tap water, surface wate"&amp;"r, groundwater, and water sources in 2022. This excludes seawater, brackish water, sewage, recycled water, and water supplied to companies outside the company.")</f>
        <v>12. Fresh water usage (10,000 cubic meters) The fresh water usage disclosed in the Environmental, Social and Governance (ESG) report refers to the amount of water used for the first time by subsidiaries of PetroChina Co., Ltd. from tap water, surface water, groundwater, and water sources in 2022. This excludes seawater, brackish water, sewage, recycled water, and water supplied to companies outside the company.</v>
      </c>
      <c r="B4869" s="1" t="str">
        <f ca="1">IFERROR(__xludf.DUMMYFUNCTION("GOOGLETRANSLATE(A4869, ""zh"", ""en"")"),"Water resources")</f>
        <v>Water resources</v>
      </c>
      <c r="C4869" s="1" t="str">
        <f ca="1">IFERROR(__xludf.DUMMYFUNCTION("GOOGLETRANSLATE(E4869, ""zh"", ""en"")"),"Quantitative Text")</f>
        <v>Quantitative Text</v>
      </c>
    </row>
    <row r="4870" spans="1:3" ht="13" x14ac:dyDescent="0.15">
      <c r="A4870" s="1" t="str">
        <f ca="1">IFERROR(__xludf.DUMMYFUNCTION("GOOGLETRANSLATE(A4870, ""zh"", ""en"")"),"100% fencing around the construction site; 100% covering of various material piles; 100% wet excavation and demolition work; 100% cleaning of vehicles entering and leaving; 100% hardening of the construction site road surface; 100% enclosed transportation"&amp;" of muck trucks; 100% green construction; in 2022, the greening rate of the company's new logistics bases will meet the planning requirements and reach or exceed 10%")</f>
        <v>100% fencing around the construction site; 100% covering of various material piles; 100% wet excavation and demolition work; 100% cleaning of vehicles entering and leaving; 100% hardening of the construction site road surface; 100% enclosed transportation of muck trucks; 100% green construction; in 2022, the greening rate of the company's new logistics bases will meet the planning requirements and reach or exceed 10%</v>
      </c>
      <c r="B4870" s="1" t="str">
        <f ca="1">IFERROR(__xludf.DUMMYFUNCTION("GOOGLETRANSLATE(A4870, ""zh"", ""en"")"),"Green Building")</f>
        <v>Green Building</v>
      </c>
      <c r="C4870" s="1" t="str">
        <f ca="1">IFERROR(__xludf.DUMMYFUNCTION("GOOGLETRANSLATE(E4870, ""zh"", ""en"")"),"Quantitative Text")</f>
        <v>Quantitative Text</v>
      </c>
    </row>
    <row r="4871" spans="1:3" ht="13" x14ac:dyDescent="0.15">
      <c r="A4871" s="1" t="str">
        <f ca="1">IFERROR(__xludf.DUMMYFUNCTION("GOOGLETRANSLATE(A4871, ""zh"", ""en"")"),"All units of the company use traditional media, websites and new media such as WeChat short videos to increase publicity efforts, actively carry out online energy-saving knowledge lectures, promote green consumption and popularize low-carbon knowledge, an"&amp;"d widely carry out energy-saving and low-carbon publicity and education, vigorously advocate thriftiness, green and low-carbon social trends, and create a strong atmosphere of energy conservation and carbon reduction.")</f>
        <v>All units of the company use traditional media, websites and new media such as WeChat short videos to increase publicity efforts, actively carry out online energy-saving knowledge lectures, promote green consumption and popularize low-carbon knowledge, and widely carry out energy-saving and low-carbon publicity and education, vigorously advocate thriftiness, green and low-carbon social trends, and create a strong atmosphere of energy conservation and carbon reduction.</v>
      </c>
      <c r="B4871" s="1" t="str">
        <f ca="1">IFERROR(__xludf.DUMMYFUNCTION("GOOGLETRANSLATE(A4871, ""zh"", ""en"")"),"Energy and resource consumption")</f>
        <v>Energy and resource consumption</v>
      </c>
      <c r="C4871" s="1" t="str">
        <f ca="1">IFERROR(__xludf.DUMMYFUNCTION("GOOGLETRANSLATE(E4871, ""zh"", ""en"")"),"Qualitative text")</f>
        <v>Qualitative text</v>
      </c>
    </row>
    <row r="4872" spans="1:3" ht="13" x14ac:dyDescent="0.15">
      <c r="A4872" s="1" t="str">
        <f ca="1">IFERROR(__xludf.DUMMYFUNCTION("GOOGLETRANSLATE(A4872, ""zh"", ""en"")"),"The company has planned its annual occupational health management work in accordance with the GBT450012020 Occupational Health and Safety Management System Requirements and User Guide. The company closely focuses on the goal of promoting occupational heal"&amp;"th and zero accidents, always adhering to the occupational health and safety policy of safety first, people-oriented, compliance with laws and regulations, and continuous improvement.")</f>
        <v>The company has planned its annual occupational health management work in accordance with the GBT450012020 Occupational Health and Safety Management System Requirements and User Guide. The company closely focuses on the goal of promoting occupational health and zero accidents, always adhering to the occupational health and safety policy of safety first, people-oriented, compliance with laws and regulations, and continuous improvement.</v>
      </c>
      <c r="B4872" s="1" t="str">
        <f ca="1">IFERROR(__xludf.DUMMYFUNCTION("GOOGLETRANSLATE(A4872, ""zh"", ""en"")"),"staff")</f>
        <v>staff</v>
      </c>
      <c r="C4872" s="1" t="str">
        <f ca="1">IFERROR(__xludf.DUMMYFUNCTION("GOOGLETRANSLATE(E4872, ""zh"", ""en"")"),"Qualitative text")</f>
        <v>Qualitative text</v>
      </c>
    </row>
    <row r="4873" spans="1:3" ht="13" x14ac:dyDescent="0.15">
      <c r="A4873" s="1" t="str">
        <f ca="1">IFERROR(__xludf.DUMMYFUNCTION("GOOGLETRANSLATE(A4873, ""zh"", ""en"")"),"In 2022, the company strengthened the risk management of joint ventures and further optimized and improved the OA system for the management of the three meetings of the joint venture. From the organization of the three meetings to the standardization and "&amp;"subsequent archiving of meeting materials, standardized and regularized actions were implemented. The group's legal affairs and operations were synchronized and regular inspections of the three meetings of the joint venture were carried out, and timely re"&amp;"ctification was carried out.")</f>
        <v>In 2022, the company strengthened the risk management of joint ventures and further optimized and improved the OA system for the management of the three meetings of the joint venture. From the organization of the three meetings to the standardization and subsequent archiving of meeting materials, standardized and regularized actions were implemented. The group's legal affairs and operations were synchronized and regular inspections of the three meetings of the joint venture were carried out, and timely rectification was carried out.</v>
      </c>
      <c r="B4873" s="1" t="str">
        <f ca="1">IFERROR(__xludf.DUMMYFUNCTION("GOOGLETRANSLATE(A4873, ""zh"", ""en"")"),"Organizational structure and operations")</f>
        <v>Organizational structure and operations</v>
      </c>
      <c r="C4873" s="1" t="str">
        <f ca="1">IFERROR(__xludf.DUMMYFUNCTION("GOOGLETRANSLATE(E4873, ""zh"", ""en"")"),"Qualitative text")</f>
        <v>Qualitative text</v>
      </c>
    </row>
    <row r="4874" spans="1:3" ht="13" x14ac:dyDescent="0.15">
      <c r="A4874" s="1" t="str">
        <f ca="1">IFERROR(__xludf.DUMMYFUNCTION("GOOGLETRANSLATE(A4874, ""zh"", ""en"")"),"The project department integrates professional and technical personnel from multiple departments such as R&amp;D, application, system engineering, etc., and with its rich practical experience and technical accumulation in the field of lithium extraction from "&amp;"salt lakes, it has carried forward the company's consistent style of firmly fulfilling its commitments and daring to tackle tough problems, overcame numerous difficulties, and completed the equipment manufacturing of Phase I of the Angeles Salt Lake Proje"&amp;"ct in Argentina with high quality.")</f>
        <v>The project department integrates professional and technical personnel from multiple departments such as R&amp;D, application, system engineering, etc., and with its rich practical experience and technical accumulation in the field of lithium extraction from salt lakes, it has carried forward the company's consistent style of firmly fulfilling its commitments and daring to tackle tough problems, overcame numerous difficulties, and completed the equipment manufacturing of Phase I of the Angeles Salt Lake Project in Argentina with high quality.</v>
      </c>
      <c r="B4874" s="1" t="str">
        <f ca="1">IFERROR(__xludf.DUMMYFUNCTION("GOOGLETRANSLATE(A4874, ""zh"", ""en"")"),"Technological innovation")</f>
        <v>Technological innovation</v>
      </c>
      <c r="C4874" s="1" t="str">
        <f ca="1">IFERROR(__xludf.DUMMYFUNCTION("GOOGLETRANSLATE(E4874, ""zh"", ""en"")"),"Qualitative text")</f>
        <v>Qualitative text</v>
      </c>
    </row>
    <row r="4875" spans="1:3" ht="13" x14ac:dyDescent="0.15">
      <c r="A4875" s="1" t="str">
        <f ca="1">IFERROR(__xludf.DUMMYFUNCTION("GOOGLETRANSLATE(A4875, ""zh"", ""en"")"),"Main areas include educational assistance, consumer assistance, industrial assistance, medical assistance, and financial assistance. Specific actions and achievements: CITIC Securities has always actively implemented the national rural revitalization stra"&amp;"tegy with a high sense of political responsibility, combining its own business with local realities, providing educational assistance, consumer assistance, and industrial assistance, and innovating assistance methods in a targeted manner based on actual n"&amp;"eeds.")</f>
        <v>Main areas include educational assistance, consumer assistance, industrial assistance, medical assistance, and financial assistance. Specific actions and achievements: CITIC Securities has always actively implemented the national rural revitalization strategy with a high sense of political responsibility, combining its own business with local realities, providing educational assistance, consumer assistance, and industrial assistance, and innovating assistance methods in a targeted manner based on actual needs.</v>
      </c>
      <c r="B4875" s="1" t="str">
        <f ca="1">IFERROR(__xludf.DUMMYFUNCTION("GOOGLETRANSLATE(A4875, ""zh"", ""en"")"),"Rural assistance")</f>
        <v>Rural assistance</v>
      </c>
      <c r="C4875" s="1" t="str">
        <f ca="1">IFERROR(__xludf.DUMMYFUNCTION("GOOGLETRANSLATE(E4875, ""zh"", ""en"")"),"Qualitative text")</f>
        <v>Qualitative text</v>
      </c>
    </row>
    <row r="4876" spans="1:3" ht="13" x14ac:dyDescent="0.15">
      <c r="A4876" s="1" t="str">
        <f ca="1">IFERROR(__xludf.DUMMYFUNCTION("GOOGLETRANSLATE(A4876, ""zh"", ""en"")"),"On August 31, the Chongqing Party Branch of Dima Group, under the overall arrangement of the Nan'an District Party Committee Organization Department and the Nan'an District Federation of Industry and Commerce Comprehensive Party Committee, donated supplie"&amp;"s to support epidemic prevention and control. They donated instant noodles, ham sausages, medical masks, hand sanitizers, beverages and other supplies to the front line of the anti-epidemic work in Tianwen Street, Nan'an District, actively fulfilling the "&amp;"company's social responsibility and helping to fight the epidemic.")</f>
        <v>On August 31, the Chongqing Party Branch of Dima Group, under the overall arrangement of the Nan'an District Party Committee Organization Department and the Nan'an District Federation of Industry and Commerce Comprehensive Party Committee, donated supplies to support epidemic prevention and control. They donated instant noodles, ham sausages, medical masks, hand sanitizers, beverages and other supplies to the front line of the anti-epidemic work in Tianwen Street, Nan'an District, actively fulfilling the company's social responsibility and helping to fight the epidemic.</v>
      </c>
      <c r="B4876" s="1" t="str">
        <f ca="1">IFERROR(__xludf.DUMMYFUNCTION("GOOGLETRANSLATE(A4876, ""zh"", ""en"")"),"Fighting the epidemic")</f>
        <v>Fighting the epidemic</v>
      </c>
      <c r="C4876" s="1" t="str">
        <f ca="1">IFERROR(__xludf.DUMMYFUNCTION("GOOGLETRANSLATE(E4876, ""zh"", ""en"")"),"Qualitative text")</f>
        <v>Qualitative text</v>
      </c>
    </row>
    <row r="4877" spans="1:3" ht="13" x14ac:dyDescent="0.15">
      <c r="A4877" s="1" t="str">
        <f ca="1">IFERROR(__xludf.DUMMYFUNCTION("GOOGLETRANSLATE(A4877, ""zh"", ""en"")"),"In order to meet the local spring irrigation water needs, Maoming Petrochemical has a deep understanding of the water demand of each village and town, accurately calculated the total daily industrial and agricultural water consumption, and made a planned "&amp;"water supply coordination. On the basis of ensuring the normal water supply for oil refining production, it fully utilized the advantages of the industrial water diversion channel basin, scientifically implemented water allocation, and made every effort t"&amp;"o ensure the water supply for farmland irrigation along the channel.")</f>
        <v>In order to meet the local spring irrigation water needs, Maoming Petrochemical has a deep understanding of the water demand of each village and town, accurately calculated the total daily industrial and agricultural water consumption, and made a planned water supply coordination. On the basis of ensuring the normal water supply for oil refining production, it fully utilized the advantages of the industrial water diversion channel basin, scientifically implemented water allocation, and made every effort to ensure the water supply for farmland irrigation along the channel.</v>
      </c>
      <c r="B4877" s="1" t="str">
        <f ca="1">IFERROR(__xludf.DUMMYFUNCTION("GOOGLETRANSLATE(A4877, ""zh"", ""en"")"),"Water resources")</f>
        <v>Water resources</v>
      </c>
      <c r="C4877" s="1" t="str">
        <f ca="1">IFERROR(__xludf.DUMMYFUNCTION("GOOGLETRANSLATE(E4877, ""zh"", ""en"")"),"Qualitative text")</f>
        <v>Qualitative text</v>
      </c>
    </row>
    <row r="4878" spans="1:3" ht="13" x14ac:dyDescent="0.15">
      <c r="A4878" s="1" t="str">
        <f ca="1">IFERROR(__xludf.DUMMYFUNCTION("GOOGLETRANSLATE(A4878, ""zh"", ""en"")"),"Environmental Management: In February 2022, the Ministry of Industry and Information Technology announced the 2022 Green Manufacturing List. Two Haier Smart Home subsidiaries were recognized as Green Supply Chain Management Enterprises, and two other fact"&amp;"ories were included in the Green Factory List. This reflects the company's leading layout for green upgrades across the entire supply chain, and its continued role as a green model and leader in the industry.")</f>
        <v>Environmental Management: In February 2022, the Ministry of Industry and Information Technology announced the 2022 Green Manufacturing List. Two Haier Smart Home subsidiaries were recognized as Green Supply Chain Management Enterprises, and two other factories were included in the Green Factory List. This reflects the company's leading layout for green upgrades across the entire supply chain, and its continued role as a green model and leader in the industry.</v>
      </c>
      <c r="B4878" s="1" t="str">
        <f ca="1">IFERROR(__xludf.DUMMYFUNCTION("GOOGLETRANSLATE(A4878, ""zh"", ""en"")"),"supply chain management")</f>
        <v>supply chain management</v>
      </c>
      <c r="C4878" s="1" t="str">
        <f ca="1">IFERROR(__xludf.DUMMYFUNCTION("GOOGLETRANSLATE(E4878, ""zh"", ""en"")"),"Quantitative Text")</f>
        <v>Quantitative Text</v>
      </c>
    </row>
    <row r="4879" spans="1:3" ht="13" x14ac:dyDescent="0.15">
      <c r="A4879" s="1" t="str">
        <f ca="1">IFERROR(__xludf.DUMMYFUNCTION("GOOGLETRANSLATE(A4879, ""zh"", ""en"")"),"This platform is a full-chain, full-factor digital management platform jointly built by Haier Smart Home and the Ministry of Ecology and Environment. It aims to standardize and guide the dismantling and treatment of waste electrical and electronic product"&amp;"s by household appliance dismantling companies across the country. The pilot program for the first batch of dismantling companies has already begun, and significant results have been achieved in improving factory dismantling operational efficiency.")</f>
        <v>This platform is a full-chain, full-factor digital management platform jointly built by Haier Smart Home and the Ministry of Ecology and Environment. It aims to standardize and guide the dismantling and treatment of waste electrical and electronic products by household appliance dismantling companies across the country. The pilot program for the first batch of dismantling companies has already begun, and significant results have been achieved in improving factory dismantling operational efficiency.</v>
      </c>
      <c r="B4879" s="1" t="str">
        <f ca="1">IFERROR(__xludf.DUMMYFUNCTION("GOOGLETRANSLATE(A4879, ""zh"", ""en"")"),"Waste Management")</f>
        <v>Waste Management</v>
      </c>
      <c r="C4879" s="1" t="str">
        <f ca="1">IFERROR(__xludf.DUMMYFUNCTION("GOOGLETRANSLATE(E4879, ""zh"", ""en"")"),"Qualitative text")</f>
        <v>Qualitative text</v>
      </c>
    </row>
    <row r="4880" spans="1:3" ht="13" x14ac:dyDescent="0.15">
      <c r="A4880" s="1" t="str">
        <f ca="1">IFERROR(__xludf.DUMMYFUNCTION("GOOGLETRANSLATE(A4880, ""zh"", ""en"")"),"In July 2022, in order to implement the 2021 annual audit rectification responsibilities and solve the problems in procurement management practices, the Group benchmarked the management model of provincial enterprises and revised and issued the bidding an"&amp;"d procurement management measures to try to expand the scope of submission to the Group for pre-approval. The number of supervision projects and the amount of supervision have both increased.")</f>
        <v>In July 2022, in order to implement the 2021 annual audit rectification responsibilities and solve the problems in procurement management practices, the Group benchmarked the management model of provincial enterprises and revised and issued the bidding and procurement management measures to try to expand the scope of submission to the Group for pre-approval. The number of supervision projects and the amount of supervision have both increased.</v>
      </c>
      <c r="B4880" s="1" t="str">
        <f ca="1">IFERROR(__xludf.DUMMYFUNCTION("GOOGLETRANSLATE(A4880, ""zh"", ""en"")"),"Audit work")</f>
        <v>Audit work</v>
      </c>
      <c r="C4880" s="1" t="str">
        <f ca="1">IFERROR(__xludf.DUMMYFUNCTION("GOOGLETRANSLATE(E4880, ""zh"", ""en"")"),"Qualitative text")</f>
        <v>Qualitative text</v>
      </c>
    </row>
    <row r="4881" spans="1:3" ht="13" x14ac:dyDescent="0.15">
      <c r="A4881" s="1" t="str">
        <f ca="1">IFERROR(__xludf.DUMMYFUNCTION("GOOGLETRANSLATE(A4881, ""zh"", ""en"")"),"In 2022, we organized two performance briefings through a combination of online and offline methods. We received more than 30 groups of institutional investors, including more than 80 people. We answered nearly 100 investor questions through SSE E-interac"&amp;"tion and received more than 1,000 investor calls. We published and updated company information in a timely manner to ensure that all shareholders have equal access to company information.")</f>
        <v>In 2022, we organized two performance briefings through a combination of online and offline methods. We received more than 30 groups of institutional investors, including more than 80 people. We answered nearly 100 investor questions through SSE E-interaction and received more than 1,000 investor calls. We published and updated company information in a timely manner to ensure that all shareholders have equal access to company information.</v>
      </c>
      <c r="B4881" s="1" t="str">
        <f ca="1">IFERROR(__xludf.DUMMYFUNCTION("GOOGLETRANSLATE(A4881, ""zh"", ""en"")"),"Information Disclosure and Investor Communication")</f>
        <v>Information Disclosure and Investor Communication</v>
      </c>
      <c r="C4881" s="1" t="str">
        <f ca="1">IFERROR(__xludf.DUMMYFUNCTION("GOOGLETRANSLATE(E4881, ""zh"", ""en"")"),"Quantitative Text")</f>
        <v>Quantitative Text</v>
      </c>
    </row>
    <row r="4882" spans="1:3" ht="13" x14ac:dyDescent="0.15">
      <c r="A4882" s="1" t="str">
        <f ca="1">IFERROR(__xludf.DUMMYFUNCTION("GOOGLETRANSLATE(A4882, ""zh"", ""en"")"),"In 2022, Shanghai Electric will launch the Excellence E-training System based on the existing 135 youth college student training system, grasping the laws of youth growth. With the overall idea of ​​extending openness and empowerment at both ends through "&amp;"vertical synergy, it will systematically train young talents needed for the development of the group through five stages: integration, cognition, accumulation, improvement, and development.")</f>
        <v>In 2022, Shanghai Electric will launch the Excellence E-training System based on the existing 135 youth college student training system, grasping the laws of youth growth. With the overall idea of ​​extending openness and empowerment at both ends through vertical synergy, it will systematically train young talents needed for the development of the group through five stages: integration, cognition, accumulation, improvement, and development.</v>
      </c>
      <c r="B4882" s="1" t="str">
        <f ca="1">IFERROR(__xludf.DUMMYFUNCTION("GOOGLETRANSLATE(A4882, ""zh"", ""en"")"),"staff")</f>
        <v>staff</v>
      </c>
      <c r="C4882" s="1" t="str">
        <f ca="1">IFERROR(__xludf.DUMMYFUNCTION("GOOGLETRANSLATE(E4882, ""zh"", ""en"")"),"Qualitative text")</f>
        <v>Qualitative text</v>
      </c>
    </row>
    <row r="4883" spans="1:3" ht="13" x14ac:dyDescent="0.15">
      <c r="A4883" s="1" t="str">
        <f ca="1">IFERROR(__xludf.DUMMYFUNCTION("GOOGLETRANSLATE(A4883, ""zh"", ""en"")"),"At the same time, Shanghai Electric uses the Shanghai Electric Occupational Health Risk Management Measures 2021 Edition as a guidebook to clarify the generation and consequences of occupational hazards at the production site, occupational health risk lev"&amp;"els, implementation of hazard notification, education and training, engineering protection, individual protection, emergency measures, reduce occupational hazard risk points, and reduce the stock of occupational hazard risks.")</f>
        <v>At the same time, Shanghai Electric uses the Shanghai Electric Occupational Health Risk Management Measures 2021 Edition as a guidebook to clarify the generation and consequences of occupational hazards at the production site, occupational health risk levels, implementation of hazard notification, education and training, engineering protection, individual protection, emergency measures, reduce occupational hazard risk points, and reduce the stock of occupational hazard risks.</v>
      </c>
      <c r="B4883" s="1" t="str">
        <f ca="1">IFERROR(__xludf.DUMMYFUNCTION("GOOGLETRANSLATE(A4883, ""zh"", ""en"")"),"staff")</f>
        <v>staff</v>
      </c>
      <c r="C4883" s="1" t="str">
        <f ca="1">IFERROR(__xludf.DUMMYFUNCTION("GOOGLETRANSLATE(E4883, ""zh"", ""en"")"),"Qualitative text")</f>
        <v>Qualitative text</v>
      </c>
    </row>
    <row r="4884" spans="1:3" ht="13" x14ac:dyDescent="0.15">
      <c r="A4884" s="1" t="str">
        <f ca="1">IFERROR(__xludf.DUMMYFUNCTION("GOOGLETRANSLATE(A4884, ""zh"", ""en"")"),"Employee Communication and Participation The company fully respects the democratic rights and legal interests of employees and focuses on giving full play to the role of employees in democratic management, democratic participation and democratic supervisi"&amp;"on. It generally establishes and continuously improves trade union organizations and democratic management systems based on employee representative conferences and factory affairs disclosure systems to protect employees' rights to know, participate, expre"&amp;"ss and supervise.")</f>
        <v>Employee Communication and Participation The company fully respects the democratic rights and legal interests of employees and focuses on giving full play to the role of employees in democratic management, democratic participation and democratic supervision. It generally establishes and continuously improves trade union organizations and democratic management systems based on employee representative conferences and factory affairs disclosure systems to protect employees' rights to know, participate, express and supervise.</v>
      </c>
      <c r="B4884" s="1" t="str">
        <f ca="1">IFERROR(__xludf.DUMMYFUNCTION("GOOGLETRANSLATE(A4884, ""zh"", ""en"")"),"staff")</f>
        <v>staff</v>
      </c>
      <c r="C4884" s="1" t="str">
        <f ca="1">IFERROR(__xludf.DUMMYFUNCTION("GOOGLETRANSLATE(E4884, ""zh"", ""en"")"),"Qualitative text")</f>
        <v>Qualitative text</v>
      </c>
    </row>
    <row r="4885" spans="1:3" ht="13" x14ac:dyDescent="0.15">
      <c r="A4885" s="1" t="str">
        <f ca="1">IFERROR(__xludf.DUMMYFUNCTION("GOOGLETRANSLATE(A4885, ""zh"", ""en"")"),"The construction of staff apartments and the installation of charging stations enhanced the living and commuting experience. The food standards in the Tianjin Zhanjiang canteen were significantly improved. 920 employee dining seats were added in the Tianj"&amp;"in area. Nearly 10 million RMB was invested to achieve full wireless network coverage in 96 office buildings, improving the office experience. Nine physical examination items were added to the campus clinic. Multiple measures are being implemented to care"&amp;" for employee health.")</f>
        <v>The construction of staff apartments and the installation of charging stations enhanced the living and commuting experience. The food standards in the Tianjin Zhanjiang canteen were significantly improved. 920 employee dining seats were added in the Tianjin area. Nearly 10 million RMB was invested to achieve full wireless network coverage in 96 office buildings, improving the office experience. Nine physical examination items were added to the campus clinic. Multiple measures are being implemented to care for employee health.</v>
      </c>
      <c r="B4885" s="1" t="str">
        <f ca="1">IFERROR(__xludf.DUMMYFUNCTION("GOOGLETRANSLATE(A4885, ""zh"", ""en"")"),"staff")</f>
        <v>staff</v>
      </c>
      <c r="C4885" s="1" t="str">
        <f ca="1">IFERROR(__xludf.DUMMYFUNCTION("GOOGLETRANSLATE(E4885, ""zh"", ""en"")"),"Quantitative Text")</f>
        <v>Quantitative Text</v>
      </c>
    </row>
    <row r="4886" spans="1:3" ht="13" x14ac:dyDescent="0.15">
      <c r="A4886" s="1" t="str">
        <f ca="1">IFERROR(__xludf.DUMMYFUNCTION("GOOGLETRANSLATE(A4886, ""zh"", ""en"")"),"Compared with the previous board of directors, the proportion of female directors increased by 13.2% and the proportion of independent directors increased by 8.1%. The new board members have extensive knowledge and experience in industry experience, IoT c"&amp;"orporate governance, global market experience, financial management, risk control, etc., which will help the board of directors make the best decisions and promote the sustainable and healthy development of the company.")</f>
        <v>Compared with the previous board of directors, the proportion of female directors increased by 13.2% and the proportion of independent directors increased by 8.1%. The new board members have extensive knowledge and experience in industry experience, IoT corporate governance, global market experience, financial management, risk control, etc., which will help the board of directors make the best decisions and promote the sustainable and healthy development of the company.</v>
      </c>
      <c r="B4886" s="1" t="str">
        <f ca="1">IFERROR(__xludf.DUMMYFUNCTION("GOOGLETRANSLATE(A4886, ""zh"", ""en"")"),"Organizational structure and operations")</f>
        <v>Organizational structure and operations</v>
      </c>
      <c r="C4886" s="1" t="str">
        <f ca="1">IFERROR(__xludf.DUMMYFUNCTION("GOOGLETRANSLATE(E4886, ""zh"", ""en"")"),"Qualitative text")</f>
        <v>Qualitative text</v>
      </c>
    </row>
    <row r="4887" spans="1:3" ht="13" x14ac:dyDescent="0.15">
      <c r="A4887" s="1" t="str">
        <f ca="1">IFERROR(__xludf.DUMMYFUNCTION("GOOGLETRANSLATE(A4887, ""zh"", ""en"")"),"Health Management The company attaches great importance to the occupational health of employees. It establishes and improves the management system of employee health and occupational hygiene, insists on combining health education with health promotion, an"&amp;"d has formulated and implemented the health promotion plan for all employees, the occupational health management work plan, the employee hearing protection plan, and organizes and carries out a series of occupational health management work according to th"&amp;"e plan.")</f>
        <v>Health Management The company attaches great importance to the occupational health of employees. It establishes and improves the management system of employee health and occupational hygiene, insists on combining health education with health promotion, and has formulated and implemented the health promotion plan for all employees, the occupational health management work plan, the employee hearing protection plan, and organizes and carries out a series of occupational health management work according to the plan.</v>
      </c>
      <c r="B4887" s="1" t="str">
        <f ca="1">IFERROR(__xludf.DUMMYFUNCTION("GOOGLETRANSLATE(A4887, ""zh"", ""en"")"),"staff")</f>
        <v>staff</v>
      </c>
      <c r="C4887" s="1" t="str">
        <f ca="1">IFERROR(__xludf.DUMMYFUNCTION("GOOGLETRANSLATE(E4887, ""zh"", ""en"")"),"Qualitative text")</f>
        <v>Qualitative text</v>
      </c>
    </row>
    <row r="4888" spans="1:3" ht="13" x14ac:dyDescent="0.15">
      <c r="A4888" s="1" t="str">
        <f ca="1">IFERROR(__xludf.DUMMYFUNCTION("GOOGLETRANSLATE(A4888, ""zh"", ""en"")"),"Air Pollutant Control: The company continues to strengthen the control of conventional and characteristic air pollutants. It has formulated an ozone pollution control action plan and will implement key tasks for the prevention and control of ozone precurs"&amp;"ors such as volatile organic compounds (VOCs), nitrogen oxides (NOX), and other ozone precursors by 2022-2025, further improving the company's air pollution control performance.")</f>
        <v>Air Pollutant Control: The company continues to strengthen the control of conventional and characteristic air pollutants. It has formulated an ozone pollution control action plan and will implement key tasks for the prevention and control of ozone precursors such as volatile organic compounds (VOCs), nitrogen oxides (NOX), and other ozone precursors by 2022-2025, further improving the company's air pollution control performance.</v>
      </c>
      <c r="B4888" s="1" t="str">
        <f ca="1">IFERROR(__xludf.DUMMYFUNCTION("GOOGLETRANSLATE(A4888, ""zh"", ""en"")"),"Environmental Policy")</f>
        <v>Environmental Policy</v>
      </c>
      <c r="C4888" s="1" t="str">
        <f ca="1">IFERROR(__xludf.DUMMYFUNCTION("GOOGLETRANSLATE(E4888, ""zh"", ""en"")"),"Qualitative text")</f>
        <v>Qualitative text</v>
      </c>
    </row>
    <row r="4889" spans="1:3" ht="13" x14ac:dyDescent="0.15">
      <c r="A4889" s="1" t="str">
        <f ca="1">IFERROR(__xludf.DUMMYFUNCTION("GOOGLETRANSLATE(A4889, ""zh"", ""en"")"),"The Board of Directors' ESG Governance Responsibilities: The company attaches great importance to ESG risk management. It conducts ESG risk identification and analysis based on the macro-policy environment, industry development trends, and stakeholder exp"&amp;"ectations. It conducts stakeholder communication and expert research through various means to establish key areas and management measures for ESG risk management.")</f>
        <v>The Board of Directors' ESG Governance Responsibilities: The company attaches great importance to ESG risk management. It conducts ESG risk identification and analysis based on the macro-policy environment, industry development trends, and stakeholder expectations. It conducts stakeholder communication and expert research through various means to establish key areas and management measures for ESG risk management.</v>
      </c>
      <c r="B4889" s="1" t="str">
        <f ca="1">IFERROR(__xludf.DUMMYFUNCTION("GOOGLETRANSLATE(A4889, ""zh"", ""en"")"),"Organizational structure and operations")</f>
        <v>Organizational structure and operations</v>
      </c>
      <c r="C4889" s="1" t="str">
        <f ca="1">IFERROR(__xludf.DUMMYFUNCTION("GOOGLETRANSLATE(E4889, ""zh"", ""en"")"),"Qualitative text")</f>
        <v>Qualitative text</v>
      </c>
    </row>
    <row r="4890" spans="1:3" ht="13" x14ac:dyDescent="0.15">
      <c r="A4890" s="1" t="str">
        <f ca="1">IFERROR(__xludf.DUMMYFUNCTION("GOOGLETRANSLATE(A4890, ""zh"", ""en"")"),"If the company's path and measures to achieve its low-carbon development goals fall short of expectations, it may impact the company's reputation and image. Physical factors: Natural disasters such as typhoons, hurricanes, storm surges, and floods caused "&amp;"by climate change may directly damage the company's assets and production operations. Supply chain disruptions may have an indirect impact on the company.")</f>
        <v>If the company's path and measures to achieve its low-carbon development goals fall short of expectations, it may impact the company's reputation and image. Physical factors: Natural disasters such as typhoons, hurricanes, storm surges, and floods caused by climate change may directly damage the company's assets and production operations. Supply chain disruptions may have an indirect impact on the company.</v>
      </c>
      <c r="B4890" s="1" t="str">
        <f ca="1">IFERROR(__xludf.DUMMYFUNCTION("GOOGLETRANSLATE(A4890, ""zh"", ""en"")"),"Addressing climate change")</f>
        <v>Addressing climate change</v>
      </c>
      <c r="C4890" s="1" t="str">
        <f ca="1">IFERROR(__xludf.DUMMYFUNCTION("GOOGLETRANSLATE(E4890, ""zh"", ""en"")"),"Qualitative text")</f>
        <v>Qualitative text</v>
      </c>
    </row>
    <row r="4891" spans="1:3" ht="13" x14ac:dyDescent="0.15">
      <c r="A4891" s="1" t="str">
        <f ca="1">IFERROR(__xludf.DUMMYFUNCTION("GOOGLETRANSLATE(A4891, ""zh"", ""en"")"),"We continue to promote the joint training program with Xi'an Jiaotong University, which can lead to relevant academic degrees. We are collaborating with the Hong Kong University of Science and Technology to promote the Fintech Master's program. We are als"&amp;"o collaborating with South China University of Technology and South China Normal University to launch the CCB HUST Fintech Elite Class and the CCB HUST Fintech Class training program.")</f>
        <v>We continue to promote the joint training program with Xi'an Jiaotong University, which can lead to relevant academic degrees. We are collaborating with the Hong Kong University of Science and Technology to promote the Fintech Master's program. We are also collaborating with South China University of Technology and South China Normal University to launch the CCB HUST Fintech Elite Class and the CCB HUST Fintech Class training program.</v>
      </c>
      <c r="B4891" s="1" t="str">
        <f ca="1">IFERROR(__xludf.DUMMYFUNCTION("GOOGLETRANSLATE(A4891, ""zh"", ""en"")"),"Technological innovation")</f>
        <v>Technological innovation</v>
      </c>
      <c r="C4891" s="1" t="str">
        <f ca="1">IFERROR(__xludf.DUMMYFUNCTION("GOOGLETRANSLATE(E4891, ""zh"", ""en"")"),"Qualitative text")</f>
        <v>Qualitative text</v>
      </c>
    </row>
    <row r="4892" spans="1:3" ht="13" x14ac:dyDescent="0.15">
      <c r="A4892" s="1" t="str">
        <f ca="1">IFERROR(__xludf.DUMMYFUNCTION("GOOGLETRANSLATE(A4892, ""zh"", ""en"")"),"At the same time, SDIC Capital internalizes its core values ​​and externalizes them in its actions. It actively carries out innovative initiatives, forges ahead with forges ahead, deepens its expertise, refines its expertise, pursues excellence, implement"&amp;"s prudent practices, guards against risks, and strives for long-term success. It promotes a people-oriented approach, is open and inclusive, builds a harmonious society, and presents to the world the image of a responsible central enterprise listed financ"&amp;"ial holding company.")</f>
        <v>At the same time, SDIC Capital internalizes its core values ​​and externalizes them in its actions. It actively carries out innovative initiatives, forges ahead with forges ahead, deepens its expertise, refines its expertise, pursues excellence, implements prudent practices, guards against risks, and strives for long-term success. It promotes a people-oriented approach, is open and inclusive, builds a harmonious society, and presents to the world the image of a responsible central enterprise listed financial holding company.</v>
      </c>
      <c r="B4892" s="1" t="str">
        <f ca="1">IFERROR(__xludf.DUMMYFUNCTION("GOOGLETRANSLATE(A4892, ""zh"", ""en"")"),"Organizational structure and operations")</f>
        <v>Organizational structure and operations</v>
      </c>
      <c r="C4892" s="1" t="str">
        <f ca="1">IFERROR(__xludf.DUMMYFUNCTION("GOOGLETRANSLATE(E4892, ""zh"", ""en"")"),"Qualitative text")</f>
        <v>Qualitative text</v>
      </c>
    </row>
    <row r="4893" spans="1:3" ht="13" x14ac:dyDescent="0.15">
      <c r="A4893" s="1" t="str">
        <f ca="1">IFERROR(__xludf.DUMMYFUNCTION("GOOGLETRANSLATE(A4893, ""zh"", ""en"")"),"Enhanced reputation and influence Increased operating income Increased fixed asset value Increased operating costs Reduced mid- to long-term market opportunities Improved resource efficiency and adaptability 30 CITIC Securities 2022 Annual Social Responsi"&amp;"bility Report The company has set goals for mitigating climate change risks in both business operations and daily operations and actively reviews progress against these goals.")</f>
        <v>Enhanced reputation and influence Increased operating income Increased fixed asset value Increased operating costs Reduced mid- to long-term market opportunities Improved resource efficiency and adaptability 30 CITIC Securities 2022 Annual Social Responsibility Report The company has set goals for mitigating climate change risks in both business operations and daily operations and actively reviews progress against these goals.</v>
      </c>
      <c r="B4893" s="1" t="str">
        <f ca="1">IFERROR(__xludf.DUMMYFUNCTION("GOOGLETRANSLATE(A4893, ""zh"", ""en"")"),"Addressing climate change")</f>
        <v>Addressing climate change</v>
      </c>
      <c r="C4893" s="1" t="str">
        <f ca="1">IFERROR(__xludf.DUMMYFUNCTION("GOOGLETRANSLATE(E4893, ""zh"", ""en"")"),"Qualitative text")</f>
        <v>Qualitative text</v>
      </c>
    </row>
    <row r="4894" spans="1:3" ht="13" x14ac:dyDescent="0.15">
      <c r="A4894" s="1" t="str">
        <f ca="1">IFERROR(__xludf.DUMMYFUNCTION("GOOGLETRANSLATE(A4894, ""zh"", ""en"")"),"The company has established a complete information security management framework to integrate information security management with the company's business operations. The decision-making layer consists of information security managers, the management layer"&amp;" consists of information security lines, and the execution layer consists of information technology centers and other departments to jointly carry out and promote information security management.")</f>
        <v>The company has established a complete information security management framework to integrate information security management with the company's business operations. The decision-making layer consists of information security managers, the management layer consists of information security lines, and the execution layer consists of information technology centers and other departments to jointly carry out and promote information security management.</v>
      </c>
      <c r="B4894" s="1" t="str">
        <f ca="1">IFERROR(__xludf.DUMMYFUNCTION("GOOGLETRANSLATE(A4894, ""zh"", ""en"")"),"Data security")</f>
        <v>Data security</v>
      </c>
      <c r="C4894" s="1" t="str">
        <f ca="1">IFERROR(__xludf.DUMMYFUNCTION("GOOGLETRANSLATE(E4894, ""zh"", ""en"")"),"Qualitative text")</f>
        <v>Qualitative text</v>
      </c>
    </row>
    <row r="4895" spans="1:3" ht="13" x14ac:dyDescent="0.15">
      <c r="A4895" s="1" t="str">
        <f ca="1">IFERROR(__xludf.DUMMYFUNCTION("GOOGLETRANSLATE(A4895, ""zh"", ""en"")"),"The Young Talents Chaoyang Project is a talent development program implemented by Sinopec for 150,000 young people. Starting with newly employed college graduates, it aims to serve the company's development strategy and strengthen the career planning of n"&amp;"ew employees. It provides progressive and systematic training and development in three stages: the first light of dawn, the rising sun, and the rising red sun.")</f>
        <v>The Young Talents Chaoyang Project is a talent development program implemented by Sinopec for 150,000 young people. Starting with newly employed college graduates, it aims to serve the company's development strategy and strengthen the career planning of new employees. It provides progressive and systematic training and development in three stages: the first light of dawn, the rising sun, and the rising red sun.</v>
      </c>
      <c r="B4895" s="1" t="str">
        <f ca="1">IFERROR(__xludf.DUMMYFUNCTION("GOOGLETRANSLATE(A4895, ""zh"", ""en"")"),"staff")</f>
        <v>staff</v>
      </c>
      <c r="C4895" s="1" t="str">
        <f ca="1">IFERROR(__xludf.DUMMYFUNCTION("GOOGLETRANSLATE(E4895, ""zh"", ""en"")"),"Qualitative text")</f>
        <v>Qualitative text</v>
      </c>
    </row>
    <row r="4896" spans="1:3" ht="13" x14ac:dyDescent="0.15">
      <c r="A4896" s="1" t="str">
        <f ca="1">IFERROR(__xludf.DUMMYFUNCTION("GOOGLETRANSLATE(A4896, ""zh"", ""en"")"),"The company has always adhered to a zero-tolerance attitude in punishing corruption by carrying out daily supervision and special rectification, and has deeply learned lessons from corruption cases. It has organized relevant departments to reflect deeply "&amp;"on the causes of the problems, strengthened strict education, management and supervision of employees, further improved the system and strict management procedures, and prevented similar problems from happening again at the source.")</f>
        <v>The company has always adhered to a zero-tolerance attitude in punishing corruption by carrying out daily supervision and special rectification, and has deeply learned lessons from corruption cases. It has organized relevant departments to reflect deeply on the causes of the problems, strengthened strict education, management and supervision of employees, further improved the system and strict management procedures, and prevented similar problems from happening again at the source.</v>
      </c>
      <c r="B4896" s="1" t="str">
        <f ca="1">IFERROR(__xludf.DUMMYFUNCTION("GOOGLETRANSLATE(A4896, ""zh"", ""en"")"),"Anti-corruption and anti-money laundering")</f>
        <v>Anti-corruption and anti-money laundering</v>
      </c>
      <c r="C4896" s="1" t="str">
        <f ca="1">IFERROR(__xludf.DUMMYFUNCTION("GOOGLETRANSLATE(E4896, ""zh"", ""en"")"),"Qualitative text")</f>
        <v>Qualitative text</v>
      </c>
    </row>
    <row r="4897" spans="1:3" ht="13" x14ac:dyDescent="0.15">
      <c r="A4897" s="1" t="str">
        <f ca="1">IFERROR(__xludf.DUMMYFUNCTION("GOOGLETRANSLATE(A4897, ""zh"", ""en"")"),"Through the implementation of the fundraising and investment projects, the company has extended its nylon 66 industry chain to upstream basic raw materials. Shenma brand products have won the National Science and Technology Progress Award, the National Sc"&amp;"ience and Technology Progress Takeoff Award, China Famous Brand Products, and China Well-known Trademarks. In the field of industrial yarn cord fabrics and bedding, the company has achieved more upstream vertical integration and further reduced procuremen"&amp;"t and production costs.")</f>
        <v>Through the implementation of the fundraising and investment projects, the company has extended its nylon 66 industry chain to upstream basic raw materials. Shenma brand products have won the National Science and Technology Progress Award, the National Science and Technology Progress Takeoff Award, China Famous Brand Products, and China Well-known Trademarks. In the field of industrial yarn cord fabrics and bedding, the company has achieved more upstream vertical integration and further reduced procurement and production costs.</v>
      </c>
      <c r="B4897" s="1" t="str">
        <f ca="1">IFERROR(__xludf.DUMMYFUNCTION("GOOGLETRANSLATE(A4897, ""zh"", ""en"")"),"raw materials")</f>
        <v>raw materials</v>
      </c>
      <c r="C4897" s="1" t="str">
        <f ca="1">IFERROR(__xludf.DUMMYFUNCTION("GOOGLETRANSLATE(E4897, ""zh"", ""en"")"),"Qualitative text")</f>
        <v>Qualitative text</v>
      </c>
    </row>
    <row r="4898" spans="1:3" ht="13" x14ac:dyDescent="0.15">
      <c r="A4898" s="1" t="str">
        <f ca="1">IFERROR(__xludf.DUMMYFUNCTION("GOOGLETRANSLATE(A4898, ""zh"", ""en"")"),"2022CorporateSocialResponsibilityReport79 Occupational health and safety training safeguards employee safety and builds a people-oriented safety culture with full employee participation. For enterprises with high EHS risks, various types of EHS are an imp"&amp;"ortant part of EHS work.")</f>
        <v>2022CorporateSocialResponsibilityReport79 Occupational health and safety training safeguards employee safety and builds a people-oriented safety culture with full employee participation. For enterprises with high EHS risks, various types of EHS are an important part of EHS work.</v>
      </c>
      <c r="B4898" s="1" t="str">
        <f ca="1">IFERROR(__xludf.DUMMYFUNCTION("GOOGLETRANSLATE(A4898, ""zh"", ""en"")"),"staff")</f>
        <v>staff</v>
      </c>
      <c r="C4898" s="1" t="str">
        <f ca="1">IFERROR(__xludf.DUMMYFUNCTION("GOOGLETRANSLATE(E4898, ""zh"", ""en"")"),"Qualitative text")</f>
        <v>Qualitative text</v>
      </c>
    </row>
    <row r="4899" spans="1:3" ht="13" x14ac:dyDescent="0.15">
      <c r="A4899" s="1" t="str">
        <f ca="1">IFERROR(__xludf.DUMMYFUNCTION("GOOGLETRANSLATE(A4899, ""zh"", ""en"")"),"In addition, we have introduced and obtained CNAS and UKAS accreditation certificates and optimized the 24-hour comprehensive theft control of third-party security service agencies, including information security strategies, information security incident "&amp;"management, internal security equipment and systems, to ensure real-time receipt of security alerts, 28 management systems and 19 work guidelines, and timely disposal through preparation.")</f>
        <v>In addition, we have introduced and obtained CNAS and UKAS accreditation certificates and optimized the 24-hour comprehensive theft control of third-party security service agencies, including information security strategies, information security incident management, internal security equipment and systems, to ensure real-time receipt of security alerts, 28 management systems and 19 work guidelines, and timely disposal through preparation.</v>
      </c>
      <c r="B4899" s="1" t="str">
        <f ca="1">IFERROR(__xludf.DUMMYFUNCTION("GOOGLETRANSLATE(A4899, ""zh"", ""en"")"),"Data security")</f>
        <v>Data security</v>
      </c>
      <c r="C4899" s="1" t="str">
        <f ca="1">IFERROR(__xludf.DUMMYFUNCTION("GOOGLETRANSLATE(E4899, ""zh"", ""en"")"),"Quantitative Text")</f>
        <v>Quantitative Text</v>
      </c>
    </row>
    <row r="4900" spans="1:3" ht="13" x14ac:dyDescent="0.15">
      <c r="A4900" s="1" t="str">
        <f ca="1">IFERROR(__xludf.DUMMYFUNCTION("GOOGLETRANSLATE(A4900, ""zh"", ""en"")"),"Figure and Cheng Pharmaceutical Industry seek to improve the efficiency of the old description of the ECC heat pipe of the air conditioning of the Suzhou base of Erye Pharmaceutical to reduce the steam consumption. In order to ensure the dehumidification "&amp;"and cooling effect of the air conditioning system in the production workshop, the air conditioning system needs to cycle and consume cold and heat. Therefore, the cooling and heating of the air may generate steam energy waste. There is a space for optimiz"&amp;"ing energy utilization.")</f>
        <v>Figure and Cheng Pharmaceutical Industry seek to improve the efficiency of the old description of the ECC heat pipe of the air conditioning of the Suzhou base of Erye Pharmaceutical to reduce the steam consumption. In order to ensure the dehumidification and cooling effect of the air conditioning system in the production workshop, the air conditioning system needs to cycle and consume cold and heat. Therefore, the cooling and heating of the air may generate steam energy waste. There is a space for optimizing energy utilization.</v>
      </c>
      <c r="B4900" s="1" t="str">
        <f ca="1">IFERROR(__xludf.DUMMYFUNCTION("GOOGLETRANSLATE(A4900, ""zh"", ""en"")"),"Energy and resource consumption")</f>
        <v>Energy and resource consumption</v>
      </c>
      <c r="C4900" s="1" t="str">
        <f ca="1">IFERROR(__xludf.DUMMYFUNCTION("GOOGLETRANSLATE(E4900, ""zh"", ""en"")"),"Qualitative text")</f>
        <v>Qualitative text</v>
      </c>
    </row>
    <row r="4901" spans="1:3" ht="13" x14ac:dyDescent="0.15">
      <c r="A4901" s="1" t="str">
        <f ca="1">IFERROR(__xludf.DUMMYFUNCTION("GOOGLETRANSLATE(A4901, ""zh"", ""en"")"),"To promote the company's mission, vision, and core values ​​and strengthen the technical atmosphere, we have launched numerous activities and promotions such as the ""Values ​​Award"" and ""Gold Medal Individual and Team Award"" to promote employee welfar"&amp;"e and care, and the ""Company Culture Promotion Year."" This has helped to implement the company's strategy and culture, enhance employees' sense of identity and belonging, and thus improve organizational effectiveness.")</f>
        <v>To promote the company's mission, vision, and core values ​​and strengthen the technical atmosphere, we have launched numerous activities and promotions such as the "Values ​​Award" and "Gold Medal Individual and Team Award" to promote employee welfare and care, and the "Company Culture Promotion Year." This has helped to implement the company's strategy and culture, enhance employees' sense of identity and belonging, and thus improve organizational effectiveness.</v>
      </c>
      <c r="B4901" s="1" t="str">
        <f ca="1">IFERROR(__xludf.DUMMYFUNCTION("GOOGLETRANSLATE(A4901, ""zh"", ""en"")"),"staff")</f>
        <v>staff</v>
      </c>
      <c r="C4901" s="1" t="str">
        <f ca="1">IFERROR(__xludf.DUMMYFUNCTION("GOOGLETRANSLATE(E4901, ""zh"", ""en"")"),"Qualitative text")</f>
        <v>Qualitative text</v>
      </c>
    </row>
    <row r="4902" spans="1:3" ht="13" x14ac:dyDescent="0.15">
      <c r="A4902" s="1" t="str">
        <f ca="1">IFERROR(__xludf.DUMMYFUNCTION("GOOGLETRANSLATE(A4902, ""zh"", ""en"")"),"Company Overview: Founded in 1996. The company headquarters organization chart shows that the controlling shareholder of China Storage and Transportation Group Co., Ltd. is a wholly-owned subsidiary of China Logistics Group Co., Ltd., which is directly un"&amp;"der the State-owned Assets Supervision and Administration Commission of the State Council. China Material Storage and Transportation Group Co., Ltd. was formerly China Material Storage and Transportation Corporation (hereinafter referred to as China Stora"&amp;"ge Group), and its predecessor was Tianjin China Storage and Transportation Trading Co., Ltd.")</f>
        <v>Company Overview: Founded in 1996. The company headquarters organization chart shows that the controlling shareholder of China Storage and Transportation Group Co., Ltd. is a wholly-owned subsidiary of China Logistics Group Co., Ltd., which is directly under the State-owned Assets Supervision and Administration Commission of the State Council. China Material Storage and Transportation Group Co., Ltd. was formerly China Material Storage and Transportation Corporation (hereinafter referred to as China Storage Group), and its predecessor was Tianjin China Storage and Transportation Trading Co., Ltd.</v>
      </c>
      <c r="B4902" s="1" t="str">
        <f ca="1">IFERROR(__xludf.DUMMYFUNCTION("GOOGLETRANSLATE(A4902, ""zh"", ""en"")"),"Organizational structure and operations")</f>
        <v>Organizational structure and operations</v>
      </c>
      <c r="C4902" s="1" t="str">
        <f ca="1">IFERROR(__xludf.DUMMYFUNCTION("GOOGLETRANSLATE(E4902, ""zh"", ""en"")"),"Qualitative text")</f>
        <v>Qualitative text</v>
      </c>
    </row>
    <row r="4903" spans="1:3" ht="13" x14ac:dyDescent="0.15">
      <c r="A4903" s="1" t="str">
        <f ca="1">IFERROR(__xludf.DUMMYFUNCTION("GOOGLETRANSLATE(A4903, ""zh"", ""en"")"),"In 2022, the 9 domestic medical device member companies underwent various official inspections totaling 33 times and successfully passed the requirements of national, provincial, municipal and district laws and regulations. They relied on the various spec"&amp;"ial inspections and market spot checks that have been fully established and continued.")</f>
        <v>In 2022, the 9 domestic medical device member companies underwent various official inspections totaling 33 times and successfully passed the requirements of national, provincial, municipal and district laws and regulations. They relied on the various special inspections and market spot checks that have been fully established and continued.</v>
      </c>
      <c r="B4903" s="1" t="str">
        <f ca="1">IFERROR(__xludf.DUMMYFUNCTION("GOOGLETRANSLATE(A4903, ""zh"", ""en"")"),"Fighting the epidemic")</f>
        <v>Fighting the epidemic</v>
      </c>
      <c r="C4903" s="1" t="str">
        <f ca="1">IFERROR(__xludf.DUMMYFUNCTION("GOOGLETRANSLATE(E4903, ""zh"", ""en"")"),"Quantitative Text")</f>
        <v>Quantitative Text</v>
      </c>
    </row>
    <row r="4904" spans="1:3" ht="13" x14ac:dyDescent="0.15">
      <c r="A4904" s="1" t="str">
        <f ca="1">IFERROR(__xludf.DUMMYFUNCTION("GOOGLETRANSLATE(A4904, ""zh"", ""en"")"),"Force the manufacturer to reduce the price of the counterparty. The staff of the counterparty shall not seek profit by bribery and provide more favorable business terms to mitigate risks. At the same time, no improper benefits shall be given to the staff "&amp;"of this group. If any behavior of making things difficult or asking for bribes is encountered, it will ensure the maximization of corporate interests and the project will be guaranteed. The behavior should be actively reported to the group to ensure that "&amp;"the project progress is not affected.")</f>
        <v>Force the manufacturer to reduce the price of the counterparty. The staff of the counterparty shall not seek profit by bribery and provide more favorable business terms to mitigate risks. At the same time, no improper benefits shall be given to the staff of this group. If any behavior of making things difficult or asking for bribes is encountered, it will ensure the maximization of corporate interests and the project will be guaranteed. The behavior should be actively reported to the group to ensure that the project progress is not affected.</v>
      </c>
      <c r="B4904" s="1" t="str">
        <f ca="1">IFERROR(__xludf.DUMMYFUNCTION("GOOGLETRANSLATE(A4904, ""zh"", ""en"")"),"Anti-corruption and anti-money laundering")</f>
        <v>Anti-corruption and anti-money laundering</v>
      </c>
      <c r="C4904" s="1" t="str">
        <f ca="1">IFERROR(__xludf.DUMMYFUNCTION("GOOGLETRANSLATE(E4904, ""zh"", ""en"")"),"Qualitative text")</f>
        <v>Qualitative text</v>
      </c>
    </row>
    <row r="4905" spans="1:3" ht="13" x14ac:dyDescent="0.15">
      <c r="A4905" s="1" t="str">
        <f ca="1">IFERROR(__xludf.DUMMYFUNCTION("GOOGLETRANSLATE(A4905, ""zh"", ""en"")"),"During the reporting period, the Company organized comprehensive risk management. Fosun Pharma Group has long focused on corporate risk management. At the same time, Fosun Pharma has established a risk management system for news reporting and publication."&amp;" Through the construction of internal control, internal audit, anti-corruption management system, daily situation monitoring and crisis response mechanism, and joint construction of specific functions, we have promoted the establishment of a sound risk co"&amp;"ntrol system.")</f>
        <v>During the reporting period, the Company organized comprehensive risk management. Fosun Pharma Group has long focused on corporate risk management. At the same time, Fosun Pharma has established a risk management system for news reporting and publication. Through the construction of internal control, internal audit, anti-corruption management system, daily situation monitoring and crisis response mechanism, and joint construction of specific functions, we have promoted the establishment of a sound risk control system.</v>
      </c>
      <c r="B4905" s="1" t="str">
        <f ca="1">IFERROR(__xludf.DUMMYFUNCTION("GOOGLETRANSLATE(A4905, ""zh"", ""en"")"),"Anti-corruption and anti-money laundering")</f>
        <v>Anti-corruption and anti-money laundering</v>
      </c>
      <c r="C4905" s="1" t="str">
        <f ca="1">IFERROR(__xludf.DUMMYFUNCTION("GOOGLETRANSLATE(E4905, ""zh"", ""en"")"),"Qualitative text")</f>
        <v>Qualitative text</v>
      </c>
    </row>
    <row r="4906" spans="1:3" ht="13" x14ac:dyDescent="0.15">
      <c r="A4906" s="1" t="str">
        <f ca="1">IFERROR(__xludf.DUMMYFUNCTION("GOOGLETRANSLATE(A4906, ""zh"", ""en"")"),"Case Study: Shenma Cord Fabric AO Biochemical Waste Gas Treatment Project. To further reduce the atmospheric pollution caused by waste gas generated during the biochemical treatment process, Shenma Cord Fabric uses a combination of alkaline spraying, wate"&amp;"r spraying, UV photolysis, and activated carbon adsorption to treat the air collected in the closed biochemical treatment system. Case Study: Airbag Silk Company Air Compressor Renovation Project.")</f>
        <v>Case Study: Shenma Cord Fabric AO Biochemical Waste Gas Treatment Project. To further reduce the atmospheric pollution caused by waste gas generated during the biochemical treatment process, Shenma Cord Fabric uses a combination of alkaline spraying, water spraying, UV photolysis, and activated carbon adsorption to treat the air collected in the closed biochemical treatment system. Case Study: Airbag Silk Company Air Compressor Renovation Project.</v>
      </c>
      <c r="B4906" s="1" t="str">
        <f ca="1">IFERROR(__xludf.DUMMYFUNCTION("GOOGLETRANSLATE(A4906, ""zh"", ""en"")"),"Waste Management")</f>
        <v>Waste Management</v>
      </c>
      <c r="C4906" s="1" t="str">
        <f ca="1">IFERROR(__xludf.DUMMYFUNCTION("GOOGLETRANSLATE(E4906, ""zh"", ""en"")"),"Qualitative text")</f>
        <v>Qualitative text</v>
      </c>
    </row>
    <row r="4907" spans="1:3" ht="13" x14ac:dyDescent="0.15">
      <c r="A4907" s="1" t="str">
        <f ca="1">IFERROR(__xludf.DUMMYFUNCTION("GOOGLETRANSLATE(A4907, ""zh"", ""en"")"),"In 2022, we conducted multiple training sessions for packaging suppliers, working with business and quality departments to explain quality standards and requirements to suppliers, analyze existing packaging quality issues, provide guidance to packaging su"&amp;"ppliers on environmental technology optimization, and guide suppliers to consider and implement improvement measures to further enhance product quality.")</f>
        <v>In 2022, we conducted multiple training sessions for packaging suppliers, working with business and quality departments to explain quality standards and requirements to suppliers, analyze existing packaging quality issues, provide guidance to packaging suppliers on environmental technology optimization, and guide suppliers to consider and implement improvement measures to further enhance product quality.</v>
      </c>
      <c r="B4907" s="1" t="str">
        <f ca="1">IFERROR(__xludf.DUMMYFUNCTION("GOOGLETRANSLATE(A4907, ""zh"", ""en"")"),"Product quality")</f>
        <v>Product quality</v>
      </c>
      <c r="C4907" s="1" t="str">
        <f ca="1">IFERROR(__xludf.DUMMYFUNCTION("GOOGLETRANSLATE(E4907, ""zh"", ""en"")"),"Qualitative text")</f>
        <v>Qualitative text</v>
      </c>
    </row>
    <row r="4908" spans="1:3" ht="13" x14ac:dyDescent="0.15">
      <c r="A4908" s="1" t="str">
        <f ca="1">IFERROR(__xludf.DUMMYFUNCTION("GOOGLETRANSLATE(A4908, ""zh"", ""en"")"),"Table 2022 Kangyuan's water resource usage indicators Unit API Preparations Total Total water consumption 10,000 tons 1126.5174.01300.58.4.2 Material usage management Kangyuan actively promotes the recycling policy of resources and optimizes material mana"&amp;"gement measures to improve resource utilization efficiency by taking various measures")</f>
        <v>Table 2022 Kangyuan's water resource usage indicators Unit API Preparations Total Total water consumption 10,000 tons 1126.5174.01300.58.4.2 Material usage management Kangyuan actively promotes the recycling policy of resources and optimizes material management measures to improve resource utilization efficiency by taking various measures</v>
      </c>
      <c r="B4908" s="1" t="str">
        <f ca="1">IFERROR(__xludf.DUMMYFUNCTION("GOOGLETRANSLATE(A4908, ""zh"", ""en"")"),"Water resources")</f>
        <v>Water resources</v>
      </c>
      <c r="C4908" s="1" t="str">
        <f ca="1">IFERROR(__xludf.DUMMYFUNCTION("GOOGLETRANSLATE(E4908, ""zh"", ""en"")"),"Quantitative Text")</f>
        <v>Quantitative Text</v>
      </c>
    </row>
    <row r="4909" spans="1:3" ht="13" x14ac:dyDescent="0.15">
      <c r="A4909" s="1" t="str">
        <f ca="1">IFERROR(__xludf.DUMMYFUNCTION("GOOGLETRANSLATE(A4909, ""zh"", ""en"")"),"In 2022, in order to enhance the group's overall awareness of intellectual property protection, Kangyuan conducted professional knowledge lectures on the two topics of font infringement and trademark use for employees. The content included the serious con"&amp;"sequences of font infringement, the method of judging the commerciality of fonts, the legal use and transfer of trademarks, etc., and was committed to minimizing the risk of infringement.")</f>
        <v>In 2022, in order to enhance the group's overall awareness of intellectual property protection, Kangyuan conducted professional knowledge lectures on the two topics of font infringement and trademark use for employees. The content included the serious consequences of font infringement, the method of judging the commerciality of fonts, the legal use and transfer of trademarks, etc., and was committed to minimizing the risk of infringement.</v>
      </c>
      <c r="B4909" s="1" t="str">
        <f ca="1">IFERROR(__xludf.DUMMYFUNCTION("GOOGLETRANSLATE(A4909, ""zh"", ""en"")"),"Intellectual Property Protection")</f>
        <v>Intellectual Property Protection</v>
      </c>
      <c r="C4909" s="1" t="str">
        <f ca="1">IFERROR(__xludf.DUMMYFUNCTION("GOOGLETRANSLATE(E4909, ""zh"", ""en"")"),"Qualitative text")</f>
        <v>Qualitative text</v>
      </c>
    </row>
    <row r="4910" spans="1:3" ht="13" x14ac:dyDescent="0.15">
      <c r="A4910" s="1" t="str">
        <f ca="1">IFERROR(__xludf.DUMMYFUNCTION("GOOGLETRANSLATE(A4910, ""zh"", ""en"")"),"We focus on extending our commitment to labor rights protection, business ethics, and environmental protection to our supply chain. We conduct due diligence management based on the relevant supply chain management requirements of the International Council"&amp;" on Mining and Metals (ICMM) Sustainable Development Framework, compiled by the Organization for Economic Cooperation and Development (OECD).")</f>
        <v>We focus on extending our commitment to labor rights protection, business ethics, and environmental protection to our supply chain. We conduct due diligence management based on the relevant supply chain management requirements of the International Council on Mining and Metals (ICMM) Sustainable Development Framework, compiled by the Organization for Economic Cooperation and Development (OECD).</v>
      </c>
      <c r="B4910" s="1" t="str">
        <f ca="1">IFERROR(__xludf.DUMMYFUNCTION("GOOGLETRANSLATE(A4910, ""zh"", ""en"")"),"supply chain management")</f>
        <v>supply chain management</v>
      </c>
      <c r="C4910" s="1" t="str">
        <f ca="1">IFERROR(__xludf.DUMMYFUNCTION("GOOGLETRANSLATE(E4910, ""zh"", ""en"")"),"Qualitative text")</f>
        <v>Qualitative text</v>
      </c>
    </row>
    <row r="4911" spans="1:3" ht="13" x14ac:dyDescent="0.15">
      <c r="A4911" s="1" t="str">
        <f ca="1">IFERROR(__xludf.DUMMYFUNCTION("GOOGLETRANSLATE(A4911, ""zh"", ""en"")"),"Tibet Mount Everest has formulated employee training management measures and established a comprehensive education and training system to provide employees with on-the-job training. Given the large number of local employees in the mining area, language tr"&amp;"aining and professional skills training are given equal emphasis during work. Computer operation training courses are also offered to continuously expand the scope of education and enhance the comprehensive capabilities of employees.")</f>
        <v>Tibet Mount Everest has formulated employee training management measures and established a comprehensive education and training system to provide employees with on-the-job training. Given the large number of local employees in the mining area, language training and professional skills training are given equal emphasis during work. Computer operation training courses are also offered to continuously expand the scope of education and enhance the comprehensive capabilities of employees.</v>
      </c>
      <c r="B4911" s="1" t="str">
        <f ca="1">IFERROR(__xludf.DUMMYFUNCTION("GOOGLETRANSLATE(A4911, ""zh"", ""en"")"),"staff")</f>
        <v>staff</v>
      </c>
      <c r="C4911" s="1" t="str">
        <f ca="1">IFERROR(__xludf.DUMMYFUNCTION("GOOGLETRANSLATE(E4911, ""zh"", ""en"")"),"Qualitative text")</f>
        <v>Qualitative text</v>
      </c>
    </row>
    <row r="4912" spans="1:3" ht="13" x14ac:dyDescent="0.15">
      <c r="A4912" s="1" t="str">
        <f ca="1">IFERROR(__xludf.DUMMYFUNCTION("GOOGLETRANSLATE(A4912, ""zh"", ""en"")"),"Optimize the compensation system, employ people fairly, strictly abide by relevant laws and regulations, guarantee every employee's equal right to employment and career choice, fully respect individual differences such as ethnicity, race, gender, age, hea"&amp;"lth, religious beliefs, etc., treat people equally and hire people with disabilities, ethnic minorities, and retired military personnel, and eliminate employment discrimination and unequal treatment in occupations.")</f>
        <v>Optimize the compensation system, employ people fairly, strictly abide by relevant laws and regulations, guarantee every employee's equal right to employment and career choice, fully respect individual differences such as ethnicity, race, gender, age, health, religious beliefs, etc., treat people equally and hire people with disabilities, ethnic minorities, and retired military personnel, and eliminate employment discrimination and unequal treatment in occupations.</v>
      </c>
      <c r="B4912" s="1" t="str">
        <f ca="1">IFERROR(__xludf.DUMMYFUNCTION("GOOGLETRANSLATE(A4912, ""zh"", ""en"")"),"Promoting employment")</f>
        <v>Promoting employment</v>
      </c>
      <c r="C4912" s="1" t="str">
        <f ca="1">IFERROR(__xludf.DUMMYFUNCTION("GOOGLETRANSLATE(E4912, ""zh"", ""en"")"),"Qualitative text")</f>
        <v>Qualitative text</v>
      </c>
    </row>
    <row r="4913" spans="1:3" ht="13" x14ac:dyDescent="0.15">
      <c r="A4913" s="1" t="str">
        <f ca="1">IFERROR(__xludf.DUMMYFUNCTION("GOOGLETRANSLATE(A4913, ""zh"", ""en"")"),"The company strictly abides by the labor policies and laws of the host country, actively fulfills its social responsibilities, promotes the localization and diversification of employees, adheres to the employment policy of equality, freedom and anti-discr"&amp;"imination, advocates that employees from different cultural backgrounds respect each other's religious beliefs, customs, habits, personal hobbies, etc., further deepens understanding and mutual trust, and provides numerous jobs for the local people.")</f>
        <v>The company strictly abides by the labor policies and laws of the host country, actively fulfills its social responsibilities, promotes the localization and diversification of employees, adheres to the employment policy of equality, freedom and anti-discrimination, advocates that employees from different cultural backgrounds respect each other's religious beliefs, customs, habits, personal hobbies, etc., further deepens understanding and mutual trust, and provides numerous jobs for the local people.</v>
      </c>
      <c r="B4913" s="1" t="str">
        <f ca="1">IFERROR(__xludf.DUMMYFUNCTION("GOOGLETRANSLATE(A4913, ""zh"", ""en"")"),"Promoting employment")</f>
        <v>Promoting employment</v>
      </c>
      <c r="C4913" s="1" t="str">
        <f ca="1">IFERROR(__xludf.DUMMYFUNCTION("GOOGLETRANSLATE(E4913, ""zh"", ""en"")"),"Qualitative text")</f>
        <v>Qualitative text</v>
      </c>
    </row>
    <row r="4914" spans="1:3" ht="13" x14ac:dyDescent="0.15">
      <c r="A4914" s="1" t="str">
        <f ca="1">IFERROR(__xludf.DUMMYFUNCTION("GOOGLETRANSLATE(A4914, ""zh"", ""en"")"),"4. Anti-money laundering management 5. Integrity in business practices The Company strictly abides by the Securities Company Supervision and Administration Regulations, the Integrity Practice Regulations for Securities and Futures Institutions and Their S"&amp;"taff, the Code of Professional Ethics for Securities Practitioners, and other laws, regulations, and self-regulatory rules. It also resolutely implements anti-commercial bribery, anti-corruption, and profiteering prevention and control requirements and pr"&amp;"ohibits fraud and extortion.")</f>
        <v>4. Anti-money laundering management 5. Integrity in business practices The Company strictly abides by the Securities Company Supervision and Administration Regulations, the Integrity Practice Regulations for Securities and Futures Institutions and Their Staff, the Code of Professional Ethics for Securities Practitioners, and other laws, regulations, and self-regulatory rules. It also resolutely implements anti-commercial bribery, anti-corruption, and profiteering prevention and control requirements and prohibits fraud and extortion.</v>
      </c>
      <c r="B4914" s="1" t="str">
        <f ca="1">IFERROR(__xludf.DUMMYFUNCTION("GOOGLETRANSLATE(A4914, ""zh"", ""en"")"),"Anti-corruption and anti-money laundering")</f>
        <v>Anti-corruption and anti-money laundering</v>
      </c>
      <c r="C4914" s="1" t="str">
        <f ca="1">IFERROR(__xludf.DUMMYFUNCTION("GOOGLETRANSLATE(E4914, ""zh"", ""en"")"),"Qualitative text")</f>
        <v>Qualitative text</v>
      </c>
    </row>
    <row r="4915" spans="1:3" ht="13" x14ac:dyDescent="0.15">
      <c r="A4915" s="1" t="str">
        <f ca="1">IFERROR(__xludf.DUMMYFUNCTION("GOOGLETRANSLATE(A4915, ""zh"", ""en"")"),"This year, we revised and released relevant policies for campus and social recruitment, incorporating diverse employee recruitment into our company policies. We emphasized the importance of recruiting outstanding talents with diverse professional backgrou"&amp;"nds in finance, information technology, mathematics, law, and other fields, and mastering different languages, through various talent channels such as campus and social recruitment, to ensure the development of a high-quality talent team.")</f>
        <v>This year, we revised and released relevant policies for campus and social recruitment, incorporating diverse employee recruitment into our company policies. We emphasized the importance of recruiting outstanding talents with diverse professional backgrounds in finance, information technology, mathematics, law, and other fields, and mastering different languages, through various talent channels such as campus and social recruitment, to ensure the development of a high-quality talent team.</v>
      </c>
      <c r="B4915" s="1" t="str">
        <f ca="1">IFERROR(__xludf.DUMMYFUNCTION("GOOGLETRANSLATE(A4915, ""zh"", ""en"")"),"staff")</f>
        <v>staff</v>
      </c>
      <c r="C4915" s="1" t="str">
        <f ca="1">IFERROR(__xludf.DUMMYFUNCTION("GOOGLETRANSLATE(E4915, ""zh"", ""en"")"),"Qualitative text")</f>
        <v>Qualitative text</v>
      </c>
    </row>
    <row r="4916" spans="1:3" ht="13" x14ac:dyDescent="0.15">
      <c r="A4916" s="1" t="str">
        <f ca="1">IFERROR(__xludf.DUMMYFUNCTION("GOOGLETRANSLATE(A4916, ""zh"", ""en"")"),"Identification of Issues 14 CITIC Securities' 2022 Annual Social Responsibility Report identifies and assesses material issues based on their importance to CITIC Securities' sustainable development and their importance to stakeholders. The following text "&amp;"details the management and progress of these issues from the perspectives of philosophy, policies, systems, management practices, and key performance indicators.")</f>
        <v>Identification of Issues 14 CITIC Securities' 2022 Annual Social Responsibility Report identifies and assesses material issues based on their importance to CITIC Securities' sustainable development and their importance to stakeholders. The following text details the management and progress of these issues from the perspectives of philosophy, policies, systems, management practices, and key performance indicators.</v>
      </c>
      <c r="B4916" s="1" t="str">
        <f ca="1">IFERROR(__xludf.DUMMYFUNCTION("GOOGLETRANSLATE(A4916, ""zh"", ""en"")"),"irrelevant text")</f>
        <v>irrelevant text</v>
      </c>
      <c r="C4916" s="1" t="str">
        <f ca="1">IFERROR(__xludf.DUMMYFUNCTION("GOOGLETRANSLATE(E4916, ""zh"", ""en"")"),"irrelevant text")</f>
        <v>irrelevant text</v>
      </c>
    </row>
    <row r="4917" spans="1:3" ht="13" x14ac:dyDescent="0.15">
      <c r="A4917" s="1" t="str">
        <f ca="1">IFERROR(__xludf.DUMMYFUNCTION("GOOGLETRANSLATE(A4917, ""zh"", ""en"")"),"Always pay attention to the impact of mud cementing materials on the environment. During the chemical procurement agreement, clarify with suppliers the important environmental indicator of biological toxicity. After signing the agreement, suppliers must p"&amp;"rovide a biological toxicity test report approved by the relevant government environmental regulatory departments before they can be used on site to avoid impacts on the marine environment.")</f>
        <v>Always pay attention to the impact of mud cementing materials on the environment. During the chemical procurement agreement, clarify with suppliers the important environmental indicator of biological toxicity. After signing the agreement, suppliers must provide a biological toxicity test report approved by the relevant government environmental regulatory departments before they can be used on site to avoid impacts on the marine environment.</v>
      </c>
      <c r="B4917" s="1" t="str">
        <f ca="1">IFERROR(__xludf.DUMMYFUNCTION("GOOGLETRANSLATE(A4917, ""zh"", ""en"")"),"Chemical Safety")</f>
        <v>Chemical Safety</v>
      </c>
      <c r="C4917" s="1" t="str">
        <f ca="1">IFERROR(__xludf.DUMMYFUNCTION("GOOGLETRANSLATE(E4917, ""zh"", ""en"")"),"Qualitative text")</f>
        <v>Qualitative text</v>
      </c>
    </row>
    <row r="4918" spans="1:3" ht="13" x14ac:dyDescent="0.15">
      <c r="A4918" s="1" t="str">
        <f ca="1">IFERROR(__xludf.DUMMYFUNCTION("GOOGLETRANSLATE(A4918, ""zh"", ""en"")"),"Improve the corporate responsibility system, improve and revise 21 safety management rules and regulations, further improve the company's safety organization and staffing, deepen the construction of the dual system of safety risk classification management"&amp;" and hidden danger investigation and treatment in each subsidiary company around the three-year action plan for comprehensive safety production management, comprehensively promote the safety construction of grassroots teams and enhance safety responsibili"&amp;"ty awareness")</f>
        <v>Improve the corporate responsibility system, improve and revise 21 safety management rules and regulations, further improve the company's safety organization and staffing, deepen the construction of the dual system of safety risk classification management and hidden danger investigation and treatment in each subsidiary company around the three-year action plan for comprehensive safety production management, comprehensively promote the safety construction of grassroots teams and enhance safety responsibility awareness</v>
      </c>
      <c r="B4918" s="1" t="str">
        <f ca="1">IFERROR(__xludf.DUMMYFUNCTION("GOOGLETRANSLATE(A4918, ""zh"", ""en"")"),"staff")</f>
        <v>staff</v>
      </c>
      <c r="C4918" s="1" t="str">
        <f ca="1">IFERROR(__xludf.DUMMYFUNCTION("GOOGLETRANSLATE(E4918, ""zh"", ""en"")"),"Qualitative text")</f>
        <v>Qualitative text</v>
      </c>
    </row>
    <row r="4919" spans="1:3" ht="13" x14ac:dyDescent="0.15">
      <c r="A4919" s="1" t="str">
        <f ca="1">IFERROR(__xludf.DUMMYFUNCTION("GOOGLETRANSLATE(A4919, ""zh"", ""en"")"),"The scope of the inventory includes direct greenhouse gas emissions (category 1) and indirect greenhouse gas emissions (category 2). Carbon emissions data accounting follows the ISO 140641:2006 standard, the China Petroleum and Natural Gas Production Ente"&amp;"rprise Greenhouse Gas Emissions Accounting Methodology and Reporting Guidelines, and the China Petrochemical Enterprise Greenhouse Gas Emissions Accounting Methodology and Reporting Guidelines.")</f>
        <v>The scope of the inventory includes direct greenhouse gas emissions (category 1) and indirect greenhouse gas emissions (category 2). Carbon emissions data accounting follows the ISO 140641:2006 standard, the China Petroleum and Natural Gas Production Enterprise Greenhouse Gas Emissions Accounting Methodology and Reporting Guidelines, and the China Petrochemical Enterprise Greenhouse Gas Emissions Accounting Methodology and Reporting Guidelines.</v>
      </c>
      <c r="B4919" s="1" t="str">
        <f ca="1">IFERROR(__xludf.DUMMYFUNCTION("GOOGLETRANSLATE(A4919, ""zh"", ""en"")"),"carbon emissions")</f>
        <v>carbon emissions</v>
      </c>
      <c r="C4919" s="1" t="str">
        <f ca="1">IFERROR(__xludf.DUMMYFUNCTION("GOOGLETRANSLATE(E4919, ""zh"", ""en"")"),"Qualitative text")</f>
        <v>Qualitative text</v>
      </c>
    </row>
    <row r="4920" spans="1:3" ht="13" x14ac:dyDescent="0.15">
      <c r="A4920" s="1" t="str">
        <f ca="1">IFERROR(__xludf.DUMMYFUNCTION("GOOGLETRANSLATE(A4920, ""zh"", ""en"")"),"Professional and technical personnel conduct in-depth training on production sites to improve employees' skills and operational levels. In 2022, Sinopec's Chaoyang Project training system for young talents won the 2022 Corporate Leadership Award from the "&amp;"International Association for Continuing Engineering Education, a UNESCO organization, becoming the only Chinese company to receive this honor in the past 10 years.")</f>
        <v>Professional and technical personnel conduct in-depth training on production sites to improve employees' skills and operational levels. In 2022, Sinopec's Chaoyang Project training system for young talents won the 2022 Corporate Leadership Award from the International Association for Continuing Engineering Education, a UNESCO organization, becoming the only Chinese company to receive this honor in the past 10 years.</v>
      </c>
      <c r="B4920" s="1" t="str">
        <f ca="1">IFERROR(__xludf.DUMMYFUNCTION("GOOGLETRANSLATE(A4920, ""zh"", ""en"")"),"staff")</f>
        <v>staff</v>
      </c>
      <c r="C4920" s="1" t="str">
        <f ca="1">IFERROR(__xludf.DUMMYFUNCTION("GOOGLETRANSLATE(E4920, ""zh"", ""en"")"),"Quantitative Text")</f>
        <v>Quantitative Text</v>
      </c>
    </row>
    <row r="4921" spans="1:3" ht="13" x14ac:dyDescent="0.15">
      <c r="A4921" s="1" t="str">
        <f ca="1">IFERROR(__xludf.DUMMYFUNCTION("GOOGLETRANSLATE(A4921, ""zh"", ""en"")"),"As of 2022, a total of 64 group standards, including the Specification for Foam Glass Products for Building Insulation Materials, 2 national standards, including the Service Quality Evaluation of Cross-border E-commerce Platforms, 3 general rules for indu"&amp;"strial product quality grading evaluation, and more than 5,800 enterprise standards, including the Yipaike Product Quality Evaluation Rules, have been formulated.")</f>
        <v>As of 2022, a total of 64 group standards, including the Specification for Foam Glass Products for Building Insulation Materials, 2 national standards, including the Service Quality Evaluation of Cross-border E-commerce Platforms, 3 general rules for industrial product quality grading evaluation, and more than 5,800 enterprise standards, including the Yipaike Product Quality Evaluation Rules, have been formulated.</v>
      </c>
      <c r="B4921" s="1" t="str">
        <f ca="1">IFERROR(__xludf.DUMMYFUNCTION("GOOGLETRANSLATE(A4921, ""zh"", ""en"")"),"Product quality")</f>
        <v>Product quality</v>
      </c>
      <c r="C4921" s="1" t="str">
        <f ca="1">IFERROR(__xludf.DUMMYFUNCTION("GOOGLETRANSLATE(E4921, ""zh"", ""en"")"),"Quantitative Text")</f>
        <v>Quantitative Text</v>
      </c>
    </row>
    <row r="4922" spans="1:3" ht="13" x14ac:dyDescent="0.15">
      <c r="A4922" s="1" t="str">
        <f ca="1">IFERROR(__xludf.DUMMYFUNCTION("GOOGLETRANSLATE(A4922, ""zh"", ""en"")"),"The company strictly abides by the relevant provisions of the China Securities Regulatory Commission's Code of Corporate Governance for Listed Companies. By establishing and improving institutional working mechanisms, it clearly defines the selection and "&amp;"obligations of directors, the performance and performance evaluation of directors, the composition and responsibilities of the board of directors, and the rules of procedure for board meetings, laying a good foundation for the effective governance role of"&amp;" the board of directors.")</f>
        <v>The company strictly abides by the relevant provisions of the China Securities Regulatory Commission's Code of Corporate Governance for Listed Companies. By establishing and improving institutional working mechanisms, it clearly defines the selection and obligations of directors, the performance and performance evaluation of directors, the composition and responsibilities of the board of directors, and the rules of procedure for board meetings, laying a good foundation for the effective governance role of the board of directors.</v>
      </c>
      <c r="B4922" s="1" t="str">
        <f ca="1">IFERROR(__xludf.DUMMYFUNCTION("GOOGLETRANSLATE(A4922, ""zh"", ""en"")"),"Organizational structure and operations")</f>
        <v>Organizational structure and operations</v>
      </c>
      <c r="C4922" s="1" t="str">
        <f ca="1">IFERROR(__xludf.DUMMYFUNCTION("GOOGLETRANSLATE(E4922, ""zh"", ""en"")"),"Qualitative text")</f>
        <v>Qualitative text</v>
      </c>
    </row>
    <row r="4923" spans="1:3" ht="13" x14ac:dyDescent="0.15">
      <c r="A4923" s="1" t="str">
        <f ca="1">IFERROR(__xludf.DUMMYFUNCTION("GOOGLETRANSLATE(A4923, ""zh"", ""en"")"),"The company has established an ESG target management mechanism. In its development planning and key work plans, it has set ESG performance targets for clean energy, climate change response, environmental protection, resource utilization, production safety"&amp;" management, occupational health and safety, anti-corruption and compliance. The Sustainability Committee regularly reviews the progress of these targets and reports to the Board of Directors.")</f>
        <v>The company has established an ESG target management mechanism. In its development planning and key work plans, it has set ESG performance targets for clean energy, climate change response, environmental protection, resource utilization, production safety management, occupational health and safety, anti-corruption and compliance. The Sustainability Committee regularly reviews the progress of these targets and reports to the Board of Directors.</v>
      </c>
      <c r="B4923" s="1" t="str">
        <f ca="1">IFERROR(__xludf.DUMMYFUNCTION("GOOGLETRANSLATE(A4923, ""zh"", ""en"")"),"Addressing climate change")</f>
        <v>Addressing climate change</v>
      </c>
      <c r="C4923" s="1" t="str">
        <f ca="1">IFERROR(__xludf.DUMMYFUNCTION("GOOGLETRANSLATE(E4923, ""zh"", ""en"")"),"Qualitative text")</f>
        <v>Qualitative text</v>
      </c>
    </row>
    <row r="4924" spans="1:3" ht="13" x14ac:dyDescent="0.15">
      <c r="A4924" s="1" t="str">
        <f ca="1">IFERROR(__xludf.DUMMYFUNCTION("GOOGLETRANSLATE(A4924, ""zh"", ""en"")"),"Case studies: Conducting medication training to protect patient rights and interests. Accurately delivering product information to win customer trust. The company's subsidiaries have OTC marketing teams nationwide. They conduct on-site activities in pharm"&amp;"acies every Friday to train staff, promote products, and promote consumer product trials. They also promote the company's products and related disease prevention and health care knowledge.")</f>
        <v>Case studies: Conducting medication training to protect patient rights and interests. Accurately delivering product information to win customer trust. The company's subsidiaries have OTC marketing teams nationwide. They conduct on-site activities in pharmacies every Friday to train staff, promote products, and promote consumer product trials. They also promote the company's products and related disease prevention and health care knowledge.</v>
      </c>
      <c r="B4924" s="1" t="str">
        <f ca="1">IFERROR(__xludf.DUMMYFUNCTION("GOOGLETRANSLATE(A4924, ""zh"", ""en"")"),"Customers and Consumers")</f>
        <v>Customers and Consumers</v>
      </c>
      <c r="C4924" s="1" t="str">
        <f ca="1">IFERROR(__xludf.DUMMYFUNCTION("GOOGLETRANSLATE(E4924, ""zh"", ""en"")"),"Qualitative text")</f>
        <v>Qualitative text</v>
      </c>
    </row>
    <row r="4925" spans="1:3" ht="13" x14ac:dyDescent="0.15">
      <c r="A4925" s="1" t="str">
        <f ca="1">IFERROR(__xludf.DUMMYFUNCTION("GOOGLETRANSLATE(A4925, ""zh"", ""en"")"),"Acromegaly is an endocrine and metabolic disease caused by excessive secretion of growth hormone by the pituitary gland. Its treatment drug, octreotide acetate microspheres, is difficult to industrialize, has high R&amp;D costs and a long R&amp;D cycle, and its h"&amp;"igh import price places a heavy financial burden on both patients and the national medical insurance system.")</f>
        <v>Acromegaly is an endocrine and metabolic disease caused by excessive secretion of growth hormone by the pituitary gland. Its treatment drug, octreotide acetate microspheres, is difficult to industrialize, has high R&amp;D costs and a long R&amp;D cycle, and its high import price places a heavy financial burden on both patients and the national medical insurance system.</v>
      </c>
      <c r="B4925" s="1" t="str">
        <f ca="1">IFERROR(__xludf.DUMMYFUNCTION("GOOGLETRANSLATE(A4925, ""zh"", ""en"")"),"Product quality")</f>
        <v>Product quality</v>
      </c>
      <c r="C4925" s="1" t="str">
        <f ca="1">IFERROR(__xludf.DUMMYFUNCTION("GOOGLETRANSLATE(E4925, ""zh"", ""en"")"),"Qualitative text")</f>
        <v>Qualitative text</v>
      </c>
    </row>
    <row r="4926" spans="1:3" ht="13" x14ac:dyDescent="0.15">
      <c r="A4926" s="1" t="str">
        <f ca="1">IFERROR(__xludf.DUMMYFUNCTION("GOOGLETRANSLATE(A4926, ""zh"", ""en"")"),"The company has launched a distributed intelligent security system, the Security Brain, which features five core capabilities: threat perception, reasoning, tracing, attack warning, decision-making assistance, and self-learning. It can play an important r"&amp;"ole in protecting the network security of critical infrastructure, society, cities, and individuals. It aims to grow together with the domestic network security industry and work together to enhance comprehensive network defense capabilities.")</f>
        <v>The company has launched a distributed intelligent security system, the Security Brain, which features five core capabilities: threat perception, reasoning, tracing, attack warning, decision-making assistance, and self-learning. It can play an important role in protecting the network security of critical infrastructure, society, cities, and individuals. It aims to grow together with the domestic network security industry and work together to enhance comprehensive network defense capabilities.</v>
      </c>
      <c r="B4926" s="1" t="str">
        <f ca="1">IFERROR(__xludf.DUMMYFUNCTION("GOOGLETRANSLATE(A4926, ""zh"", ""en"")"),"Data security")</f>
        <v>Data security</v>
      </c>
      <c r="C4926" s="1" t="str">
        <f ca="1">IFERROR(__xludf.DUMMYFUNCTION("GOOGLETRANSLATE(E4926, ""zh"", ""en"")"),"Qualitative text")</f>
        <v>Qualitative text</v>
      </c>
    </row>
    <row r="4927" spans="1:3" ht="13" x14ac:dyDescent="0.15">
      <c r="A4927" s="1" t="str">
        <f ca="1">IFERROR(__xludf.DUMMYFUNCTION("GOOGLETRANSLATE(A4927, ""zh"", ""en"")"),"We conduct large-scale testing and self-evaluation of the design and implementation effectiveness of our internal control system on an annual basis. We also hire annual auditors in accordance with Chinese accounting standards to audit the effectiveness of"&amp;" internal control over financial reporting and disclose any significant deficiencies in internal control over non-financial reporting that they notice.")</f>
        <v>We conduct large-scale testing and self-evaluation of the design and implementation effectiveness of our internal control system on an annual basis. We also hire annual auditors in accordance with Chinese accounting standards to audit the effectiveness of internal control over financial reporting and disclose any significant deficiencies in internal control over non-financial reporting that they notice.</v>
      </c>
      <c r="B4927" s="1" t="str">
        <f ca="1">IFERROR(__xludf.DUMMYFUNCTION("GOOGLETRANSLATE(A4927, ""zh"", ""en"")"),"Audit work")</f>
        <v>Audit work</v>
      </c>
      <c r="C4927" s="1" t="str">
        <f ca="1">IFERROR(__xludf.DUMMYFUNCTION("GOOGLETRANSLATE(E4927, ""zh"", ""en"")"),"Qualitative text")</f>
        <v>Qualitative text</v>
      </c>
    </row>
    <row r="4928" spans="1:3" ht="13" x14ac:dyDescent="0.15">
      <c r="A4928" s="1" t="str">
        <f ca="1">IFERROR(__xludf.DUMMYFUNCTION("GOOGLETRANSLATE(A4928, ""zh"", ""en"")"),"As of the end of the reporting period, the Group has applied for 99 patents for well-known respiratory preparations such as Jianketu, Wushulishu, Tongshutanlin and Liwuan, including 59 invention patents, 31 utility model patents and 9 design patents. A to"&amp;"tal of 67 patents have been granted, including 30 invention patents, 28 utility model patents and 9 design patents.")</f>
        <v>As of the end of the reporting period, the Group has applied for 99 patents for well-known respiratory preparations such as Jianketu, Wushulishu, Tongshutanlin and Liwuan, including 59 invention patents, 31 utility model patents and 9 design patents. A total of 67 patents have been granted, including 30 invention patents, 28 utility model patents and 9 design patents.</v>
      </c>
      <c r="B4928" s="1" t="str">
        <f ca="1">IFERROR(__xludf.DUMMYFUNCTION("GOOGLETRANSLATE(A4928, ""zh"", ""en"")"),"Intellectual Property Protection")</f>
        <v>Intellectual Property Protection</v>
      </c>
      <c r="C4928" s="1" t="str">
        <f ca="1">IFERROR(__xludf.DUMMYFUNCTION("GOOGLETRANSLATE(E4928, ""zh"", ""en"")"),"Quantitative Text")</f>
        <v>Quantitative Text</v>
      </c>
    </row>
    <row r="4929" spans="1:3" ht="13" x14ac:dyDescent="0.15">
      <c r="A4929" s="1" t="str">
        <f ca="1">IFERROR(__xludf.DUMMYFUNCTION("GOOGLETRANSLATE(A4929, ""zh"", ""en"")"),"This method effectively reduces the amount of packaging materials used and improves the recycling efficiency of packaging materials, achieving an annual reduction of about 1 ton of packaging materials. Figure 1: The replacement of the material of the mate"&amp;"rial barrel of Kailin Pharmaceutical reduces the consumption of non-renewable packaging materials. Metal barrels are common packaging materials, but the weight of the metal material itself is too large, which invisibly increases the amount of packaging ma"&amp;"terials used by the company.")</f>
        <v>This method effectively reduces the amount of packaging materials used and improves the recycling efficiency of packaging materials, achieving an annual reduction of about 1 ton of packaging materials. Figure 1: The replacement of the material of the material barrel of Kailin Pharmaceutical reduces the consumption of non-renewable packaging materials. Metal barrels are common packaging materials, but the weight of the metal material itself is too large, which invisibly increases the amount of packaging materials used by the company.</v>
      </c>
      <c r="B4929" s="1" t="str">
        <f ca="1">IFERROR(__xludf.DUMMYFUNCTION("GOOGLETRANSLATE(A4929, ""zh"", ""en"")"),"raw materials")</f>
        <v>raw materials</v>
      </c>
      <c r="C4929" s="1" t="str">
        <f ca="1">IFERROR(__xludf.DUMMYFUNCTION("GOOGLETRANSLATE(E4929, ""zh"", ""en"")"),"Quantitative Text")</f>
        <v>Quantitative Text</v>
      </c>
    </row>
    <row r="4930" spans="1:3" ht="13" x14ac:dyDescent="0.15">
      <c r="A4930" s="1" t="str">
        <f ca="1">IFERROR(__xludf.DUMMYFUNCTION("GOOGLETRANSLATE(A4930, ""zh"", ""en"")"),"The verification team is composed of personnel with relevant knowledge, experience and qualifications for this task, including social responsibility report chief auditors, SAI registered SA8000 auditors, CCAA registered ISO9001, ISO14001, ISO45001 auditor"&amp;"s, ISO14064 verifiers, etc.")</f>
        <v>The verification team is composed of personnel with relevant knowledge, experience and qualifications for this task, including social responsibility report chief auditors, SAI registered SA8000 auditors, CCAA registered ISO9001, ISO14001, ISO45001 auditors, ISO14064 verifiers, etc.</v>
      </c>
      <c r="B4930" s="1" t="str">
        <f ca="1">IFERROR(__xludf.DUMMYFUNCTION("GOOGLETRANSLATE(A4930, ""zh"", ""en"")"),"irrelevant text")</f>
        <v>irrelevant text</v>
      </c>
      <c r="C4930" s="1" t="str">
        <f ca="1">IFERROR(__xludf.DUMMYFUNCTION("GOOGLETRANSLATE(E4930, ""zh"", ""en"")"),"irrelevant text")</f>
        <v>irrelevant text</v>
      </c>
    </row>
    <row r="4931" spans="1:3" ht="13" x14ac:dyDescent="0.15">
      <c r="A4931" s="1" t="str">
        <f ca="1">IFERROR(__xludf.DUMMYFUNCTION("GOOGLETRANSLATE(A4931, ""zh"", ""en"")"),"Continue to promote the development of a full-cycle training system for employee career development, strengthen the overall planning of employee education and training development, optimize the training system and work mechanism, improve relevant systems "&amp;"for employee training management, develop and apply training digital management system tools, scientifically coordinate the allocation of training resources, and establish a more scientific and efficient operational framework for education and training ac"&amp;"ross the bank.")</f>
        <v>Continue to promote the development of a full-cycle training system for employee career development, strengthen the overall planning of employee education and training development, optimize the training system and work mechanism, improve relevant systems for employee training management, develop and apply training digital management system tools, scientifically coordinate the allocation of training resources, and establish a more scientific and efficient operational framework for education and training across the bank.</v>
      </c>
      <c r="B4931" s="1" t="str">
        <f ca="1">IFERROR(__xludf.DUMMYFUNCTION("GOOGLETRANSLATE(A4931, ""zh"", ""en"")"),"staff")</f>
        <v>staff</v>
      </c>
      <c r="C4931" s="1" t="str">
        <f ca="1">IFERROR(__xludf.DUMMYFUNCTION("GOOGLETRANSLATE(E4931, ""zh"", ""en"")"),"Qualitative text")</f>
        <v>Qualitative text</v>
      </c>
    </row>
    <row r="4932" spans="1:3" ht="13" x14ac:dyDescent="0.15">
      <c r="A4932" s="1" t="str">
        <f ca="1">IFERROR(__xludf.DUMMYFUNCTION("GOOGLETRANSLATE(A4932, ""zh"", ""en"")"),"We consistently uphold the strategic support role of FinTech across the bank, strengthen our team of scientific and technological talent, enhance our independent and controllable core technology capabilities, and persistently advance the development of a "&amp;"technology platform that best understands finance, consolidating new financial digital infrastructure and exporting enterprise-level IT systems to our peers. We reshape our service model through informatization and digitalization, extending our service bo"&amp;"undaries.")</f>
        <v>We consistently uphold the strategic support role of FinTech across the bank, strengthen our team of scientific and technological talent, enhance our independent and controllable core technology capabilities, and persistently advance the development of a technology platform that best understands finance, consolidating new financial digital infrastructure and exporting enterprise-level IT systems to our peers. We reshape our service model through informatization and digitalization, extending our service boundaries.</v>
      </c>
      <c r="B4932" s="1" t="str">
        <f ca="1">IFERROR(__xludf.DUMMYFUNCTION("GOOGLETRANSLATE(A4932, ""zh"", ""en"")"),"Technological innovation")</f>
        <v>Technological innovation</v>
      </c>
      <c r="C4932" s="1" t="str">
        <f ca="1">IFERROR(__xludf.DUMMYFUNCTION("GOOGLETRANSLATE(E4932, ""zh"", ""en"")"),"Qualitative text")</f>
        <v>Qualitative text</v>
      </c>
    </row>
    <row r="4933" spans="1:3" ht="13" x14ac:dyDescent="0.15">
      <c r="A4933" s="1" t="str">
        <f ca="1">IFERROR(__xludf.DUMMYFUNCTION("GOOGLETRANSLATE(A4933, ""zh"", ""en"")"),"In addition, we have implemented the specific implementation details of the Shanghai Electric Engineering Project Safety and Environmental Risk Grading Control Guidelines and the Shanghai Electric Engineering Project Safety and Environmental Risk Control "&amp;"Standard Operation Inspection Management Measures. We have also used the Shanghai Electric Group Safety Risk Grading Control Guidance Manual as a model to deepen the operation of the dual prevention mechanism of enterprise risk grading control and hidden "&amp;"danger investigation.")</f>
        <v>In addition, we have implemented the specific implementation details of the Shanghai Electric Engineering Project Safety and Environmental Risk Grading Control Guidelines and the Shanghai Electric Engineering Project Safety and Environmental Risk Control Standard Operation Inspection Management Measures. We have also used the Shanghai Electric Group Safety Risk Grading Control Guidance Manual as a model to deepen the operation of the dual prevention mechanism of enterprise risk grading control and hidden danger investigation.</v>
      </c>
      <c r="B4933" s="1" t="str">
        <f ca="1">IFERROR(__xludf.DUMMYFUNCTION("GOOGLETRANSLATE(A4933, ""zh"", ""en"")"),"Environmental Policy")</f>
        <v>Environmental Policy</v>
      </c>
      <c r="C4933" s="1" t="str">
        <f ca="1">IFERROR(__xludf.DUMMYFUNCTION("GOOGLETRANSLATE(E4933, ""zh"", ""en"")"),"Qualitative text")</f>
        <v>Qualitative text</v>
      </c>
    </row>
    <row r="4934" spans="1:3" ht="13" x14ac:dyDescent="0.15">
      <c r="A4934" s="1" t="str">
        <f ca="1">IFERROR(__xludf.DUMMYFUNCTION("GOOGLETRANSLATE(A4934, ""zh"", ""en"")"),"Second, we will implement performance appraisals for all employees, especially young cadres. We will establish a performance appraisal and reward and punishment mechanism centered on position and performance, and continuously refine the monthly and annual"&amp;" performance appraisal systems. This will give full play to the guiding role of appraisals and lay a solid foundation for deepening the reform of the three systems and promoting the implementation of the three-capability mechanism.")</f>
        <v>Second, we will implement performance appraisals for all employees, especially young cadres. We will establish a performance appraisal and reward and punishment mechanism centered on position and performance, and continuously refine the monthly and annual performance appraisal systems. This will give full play to the guiding role of appraisals and lay a solid foundation for deepening the reform of the three systems and promoting the implementation of the three-capability mechanism.</v>
      </c>
      <c r="B4934" s="1" t="str">
        <f ca="1">IFERROR(__xludf.DUMMYFUNCTION("GOOGLETRANSLATE(A4934, ""zh"", ""en"")"),"staff")</f>
        <v>staff</v>
      </c>
      <c r="C4934" s="1" t="str">
        <f ca="1">IFERROR(__xludf.DUMMYFUNCTION("GOOGLETRANSLATE(E4934, ""zh"", ""en"")"),"Qualitative text")</f>
        <v>Qualitative text</v>
      </c>
    </row>
    <row r="4935" spans="1:3" ht="13" x14ac:dyDescent="0.15">
      <c r="A4935" s="1" t="str">
        <f ca="1">IFERROR(__xludf.DUMMYFUNCTION("GOOGLETRANSLATE(A4935, ""zh"", ""en"")"),"Secondly, we must activate new momentum for the digital economy. With the goal of digital industrialization and data value creation in the 2022 Social Responsibility Report 15, we will promote the implementation of the Digital China Animal Husbandry Devel"&amp;"opment Strategic Plan. The focus will be on intelligent manufacturing, intelligent marketing, intelligent management, and intelligent R&amp;D, promoting the deep integration of digital technology with the industrial chain, supply chain, and innovation chain.")</f>
        <v>Secondly, we must activate new momentum for the digital economy. With the goal of digital industrialization and data value creation in the 2022 Social Responsibility Report 15, we will promote the implementation of the Digital China Animal Husbandry Development Strategic Plan. The focus will be on intelligent manufacturing, intelligent marketing, intelligent management, and intelligent R&amp;D, promoting the deep integration of digital technology with the industrial chain, supply chain, and innovation chain.</v>
      </c>
      <c r="B4935" s="1" t="str">
        <f ca="1">IFERROR(__xludf.DUMMYFUNCTION("GOOGLETRANSLATE(A4935, ""zh"", ""en"")"),"Technological innovation")</f>
        <v>Technological innovation</v>
      </c>
      <c r="C4935" s="1" t="str">
        <f ca="1">IFERROR(__xludf.DUMMYFUNCTION("GOOGLETRANSLATE(E4935, ""zh"", ""en"")"),"Qualitative text")</f>
        <v>Qualitative text</v>
      </c>
    </row>
    <row r="4936" spans="1:3" ht="13" x14ac:dyDescent="0.15">
      <c r="A4936" s="1" t="str">
        <f ca="1">IFERROR(__xludf.DUMMYFUNCTION("GOOGLETRANSLATE(A4936, ""zh"", ""en"")"),"5. Green supply chain construction. The company's affiliated enterprises integrate environmental protection and resource conservation into the entire process of product design, raw material selection, processing, warehousing, production and transportation"&amp;". At the same time, the waste of raw materials after use is recycled and reused, and those that cannot be reused are harmlessly treated to minimize negative impact on the environment and maximize resource efficiency.")</f>
        <v>5. Green supply chain construction. The company's affiliated enterprises integrate environmental protection and resource conservation into the entire process of product design, raw material selection, processing, warehousing, production and transportation. At the same time, the waste of raw materials after use is recycled and reused, and those that cannot be reused are harmlessly treated to minimize negative impact on the environment and maximize resource efficiency.</v>
      </c>
      <c r="B4936" s="1" t="str">
        <f ca="1">IFERROR(__xludf.DUMMYFUNCTION("GOOGLETRANSLATE(A4936, ""zh"", ""en"")"),"supply chain management")</f>
        <v>supply chain management</v>
      </c>
      <c r="C4936" s="1" t="str">
        <f ca="1">IFERROR(__xludf.DUMMYFUNCTION("GOOGLETRANSLATE(E4936, ""zh"", ""en"")"),"Qualitative text")</f>
        <v>Qualitative text</v>
      </c>
    </row>
    <row r="4937" spans="1:3" ht="13" x14ac:dyDescent="0.15">
      <c r="A4937" s="1" t="str">
        <f ca="1">IFERROR(__xludf.DUMMYFUNCTION("GOOGLETRANSLATE(A4937, ""zh"", ""en"")"),"Mount Everest Plants a Garden of Love. A Garden of Love is being built in the staff residential area in the central part of the tower. 42. Certificates of Completion awarded to participants in the 2022 Mount Everest Sustainability Report training course. "&amp;"Mount Everest is committed to promoting fairer and more accessible education. We fund projects to improve local educational knowledge systems, enhance the educational environment at our operations, and enhance educational resources.")</f>
        <v>Mount Everest Plants a Garden of Love. A Garden of Love is being built in the staff residential area in the central part of the tower. 42. Certificates of Completion awarded to participants in the 2022 Mount Everest Sustainability Report training course. Mount Everest is committed to promoting fairer and more accessible education. We fund projects to improve local educational knowledge systems, enhance the educational environment at our operations, and enhance educational resources.</v>
      </c>
      <c r="B4937" s="1" t="str">
        <f ca="1">IFERROR(__xludf.DUMMYFUNCTION("GOOGLETRANSLATE(A4937, ""zh"", ""en"")"),"Public welfare and volunteer service")</f>
        <v>Public welfare and volunteer service</v>
      </c>
      <c r="C4937" s="1" t="str">
        <f ca="1">IFERROR(__xludf.DUMMYFUNCTION("GOOGLETRANSLATE(E4937, ""zh"", ""en"")"),"Qualitative text")</f>
        <v>Qualitative text</v>
      </c>
    </row>
    <row r="4938" spans="1:3" ht="13" x14ac:dyDescent="0.15">
      <c r="A4938" s="1" t="str">
        <f ca="1">IFERROR(__xludf.DUMMYFUNCTION("GOOGLETRANSLATE(A4938, ""zh"", ""en"")"),"The Bank organized a 2022 ""I Make Suggestions for Products and Become a Consumer Protection Whistleblower"" selection campaign for the entire bank. From the perspective of protecting consumer rights, the campaign focused on improving product functions, o"&amp;"ptimizing business processes, and enhancing customer experience, collecting valuable opinions and suggestions. Through targeted research and improvement, the quality and level of financial product supply will be further enhanced.")</f>
        <v>The Bank organized a 2022 "I Make Suggestions for Products and Become a Consumer Protection Whistleblower" selection campaign for the entire bank. From the perspective of protecting consumer rights, the campaign focused on improving product functions, optimizing business processes, and enhancing customer experience, collecting valuable opinions and suggestions. Through targeted research and improvement, the quality and level of financial product supply will be further enhanced.</v>
      </c>
      <c r="B4938" s="1" t="str">
        <f ca="1">IFERROR(__xludf.DUMMYFUNCTION("GOOGLETRANSLATE(A4938, ""zh"", ""en"")"),"Customers and Consumers")</f>
        <v>Customers and Consumers</v>
      </c>
      <c r="C4938" s="1" t="str">
        <f ca="1">IFERROR(__xludf.DUMMYFUNCTION("GOOGLETRANSLATE(E4938, ""zh"", ""en"")"),"Qualitative text")</f>
        <v>Qualitative text</v>
      </c>
    </row>
    <row r="4939" spans="1:3" ht="13" x14ac:dyDescent="0.15">
      <c r="A4939" s="1" t="str">
        <f ca="1">IFERROR(__xludf.DUMMYFUNCTION("GOOGLETRANSLATE(A4939, ""zh"", ""en"")"),"The company fully leverages its regional development advantages to unify and coordinate key resources within the region to provide customers with integrated professional services. With its first-class technical strength, high-standard equipment capabiliti"&amp;"es and operational quality performance, it continues to create maximum value for customers, achieve long-term and high-quality business cooperation, gain the trust and favor of important regional customers, and establish a good brand image.")</f>
        <v>The company fully leverages its regional development advantages to unify and coordinate key resources within the region to provide customers with integrated professional services. With its first-class technical strength, high-standard equipment capabilities and operational quality performance, it continues to create maximum value for customers, achieve long-term and high-quality business cooperation, gain the trust and favor of important regional customers, and establish a good brand image.</v>
      </c>
      <c r="B4939" s="1" t="str">
        <f ca="1">IFERROR(__xludf.DUMMYFUNCTION("GOOGLETRANSLATE(A4939, ""zh"", ""en"")"),"Customers and Consumers")</f>
        <v>Customers and Consumers</v>
      </c>
      <c r="C4939" s="1" t="str">
        <f ca="1">IFERROR(__xludf.DUMMYFUNCTION("GOOGLETRANSLATE(E4939, ""zh"", ""en"")"),"Qualitative text")</f>
        <v>Qualitative text</v>
      </c>
    </row>
    <row r="4940" spans="1:3" ht="13" x14ac:dyDescent="0.15">
      <c r="A4940" s="1" t="str">
        <f ca="1">IFERROR(__xludf.DUMMYFUNCTION("GOOGLETRANSLATE(A4940, ""zh"", ""en"")"),"4. Scope 2 greenhouse gas emissions refer to emissions from purchased energy. The Group's Scope 2 emissions primarily involve emissions from purchased electricity, primarily produced in Shanghai. The default emission factors for electricity have been upda"&amp;"ted and adjusted in accordance with the Shanghai Municipal Ecology and Environment Bureau's notice on adjusting the emission factor values ​​related to the city's greenhouse gas emissions accounting guidelines.")</f>
        <v>4. Scope 2 greenhouse gas emissions refer to emissions from purchased energy. The Group's Scope 2 emissions primarily involve emissions from purchased electricity, primarily produced in Shanghai. The default emission factors for electricity have been updated and adjusted in accordance with the Shanghai Municipal Ecology and Environment Bureau's notice on adjusting the emission factor values ​​related to the city's greenhouse gas emissions accounting guidelines.</v>
      </c>
      <c r="B4940" s="1" t="str">
        <f ca="1">IFERROR(__xludf.DUMMYFUNCTION("GOOGLETRANSLATE(A4940, ""zh"", ""en"")"),"carbon emissions")</f>
        <v>carbon emissions</v>
      </c>
      <c r="C4940" s="1" t="str">
        <f ca="1">IFERROR(__xludf.DUMMYFUNCTION("GOOGLETRANSLATE(E4940, ""zh"", ""en"")"),"Qualitative text")</f>
        <v>Qualitative text</v>
      </c>
    </row>
    <row r="4941" spans="1:3" ht="13" x14ac:dyDescent="0.15">
      <c r="A4941" s="1" t="str">
        <f ca="1">IFERROR(__xludf.DUMMYFUNCTION("GOOGLETRANSLATE(A4941, ""zh"", ""en"")"),"We strictly adhere to the Energy Conservation Law of the People's Republic of China, the Industrial Energy Conservation Management Measures, and other industry energy conservation laws, regulations, and standards in our operating locations, continuously e"&amp;"xploring and improving energy conservation potential. We also conduct energy audits in accordance with the requirements of the Shanghai Municipal Commission of Economy and Information Technology, urge ourselves to improve our energy conservation managemen"&amp;"t framework, and promote a self-discipline mechanism for energy conservation in accordance with the law.")</f>
        <v>We strictly adhere to the Energy Conservation Law of the People's Republic of China, the Industrial Energy Conservation Management Measures, and other industry energy conservation laws, regulations, and standards in our operating locations, continuously exploring and improving energy conservation potential. We also conduct energy audits in accordance with the requirements of the Shanghai Municipal Commission of Economy and Information Technology, urge ourselves to improve our energy conservation management framework, and promote a self-discipline mechanism for energy conservation in accordance with the law.</v>
      </c>
      <c r="B4941" s="1" t="str">
        <f ca="1">IFERROR(__xludf.DUMMYFUNCTION("GOOGLETRANSLATE(A4941, ""zh"", ""en"")"),"Energy and resource consumption")</f>
        <v>Energy and resource consumption</v>
      </c>
      <c r="C4941" s="1" t="str">
        <f ca="1">IFERROR(__xludf.DUMMYFUNCTION("GOOGLETRANSLATE(E4941, ""zh"", ""en"")"),"Qualitative text")</f>
        <v>Qualitative text</v>
      </c>
    </row>
    <row r="4942" spans="1:3" ht="13" x14ac:dyDescent="0.15">
      <c r="A4942" s="1" t="str">
        <f ca="1">IFERROR(__xludf.DUMMYFUNCTION("GOOGLETRANSLATE(A4942, ""zh"", ""en"")"),"In June 2022, volunteers from the Zhanjiang area visited four COSL Hope Schools for Children's Day. The Shenzhen area donated books and recruited online cloud teaching volunteers. The Hope Cloud Reading Micro-Wish Lighting Program organized seven COSL Hop"&amp;"e Primary Schools in Yunnan to actively participate in online rural teacher training.")</f>
        <v>In June 2022, volunteers from the Zhanjiang area visited four COSL Hope Schools for Children's Day. The Shenzhen area donated books and recruited online cloud teaching volunteers. The Hope Cloud Reading Micro-Wish Lighting Program organized seven COSL Hope Primary Schools in Yunnan to actively participate in online rural teacher training.</v>
      </c>
      <c r="B4942" s="1" t="str">
        <f ca="1">IFERROR(__xludf.DUMMYFUNCTION("GOOGLETRANSLATE(A4942, ""zh"", ""en"")"),"Public welfare and volunteer service")</f>
        <v>Public welfare and volunteer service</v>
      </c>
      <c r="C4942" s="1" t="str">
        <f ca="1">IFERROR(__xludf.DUMMYFUNCTION("GOOGLETRANSLATE(E4942, ""zh"", ""en"")"),"Qualitative text")</f>
        <v>Qualitative text</v>
      </c>
    </row>
    <row r="4943" spans="1:3" ht="13" x14ac:dyDescent="0.15">
      <c r="A4943" s="1" t="str">
        <f ca="1">IFERROR(__xludf.DUMMYFUNCTION("GOOGLETRANSLATE(A4943, ""zh"", ""en"")"),"Promotion and Training Promotion Mechanism Percentage of Women in Middle and Senior Management: 78 Male Employees, 22 Female Employees Gender Composition of Full-Time Employees: 82 Male Employees, 18 Female Employees Visit Tibet Qomolangma Corporate Gover"&amp;"nance Environment Industry Co-building Employee Community: 35 Tibet Qomolangma provides employees with competitive salary and benefits and continuously improves the working environment for employees.")</f>
        <v>Promotion and Training Promotion Mechanism Percentage of Women in Middle and Senior Management: 78 Male Employees, 22 Female Employees Gender Composition of Full-Time Employees: 82 Male Employees, 18 Female Employees Visit Tibet Qomolangma Corporate Governance Environment Industry Co-building Employee Community: 35 Tibet Qomolangma provides employees with competitive salary and benefits and continuously improves the working environment for employees.</v>
      </c>
      <c r="B4943" s="1" t="str">
        <f ca="1">IFERROR(__xludf.DUMMYFUNCTION("GOOGLETRANSLATE(A4943, ""zh"", ""en"")"),"staff")</f>
        <v>staff</v>
      </c>
      <c r="C4943" s="1" t="str">
        <f ca="1">IFERROR(__xludf.DUMMYFUNCTION("GOOGLETRANSLATE(E4943, ""zh"", ""en"")"),"Quantitative Text")</f>
        <v>Quantitative Text</v>
      </c>
    </row>
    <row r="4944" spans="1:3" ht="13" x14ac:dyDescent="0.15">
      <c r="A4944" s="1" t="str">
        <f ca="1">IFERROR(__xludf.DUMMYFUNCTION("GOOGLETRANSLATE(A4944, ""zh"", ""en"")"),"Green Investment SDIC Capital and its investment companies actively develop green investment businesses, utilizing various investment methods such as capital market services, fund investments, direct investments, etc. to screen investment targets that mee"&amp;"t ESG standards, continuously promote the layout of green and low-carbon industries, and provide financial services to enterprises that support environmental improvement, address climate change, and conserve and efficiently utilize resources.")</f>
        <v>Green Investment SDIC Capital and its investment companies actively develop green investment businesses, utilizing various investment methods such as capital market services, fund investments, direct investments, etc. to screen investment targets that meet ESG standards, continuously promote the layout of green and low-carbon industries, and provide financial services to enterprises that support environmental improvement, address climate change, and conserve and efficiently utilize resources.</v>
      </c>
      <c r="B4944" s="1" t="str">
        <f ca="1">IFERROR(__xludf.DUMMYFUNCTION("GOOGLETRANSLATE(A4944, ""zh"", ""en"")"),"Addressing climate change")</f>
        <v>Addressing climate change</v>
      </c>
      <c r="C4944" s="1" t="str">
        <f ca="1">IFERROR(__xludf.DUMMYFUNCTION("GOOGLETRANSLATE(E4944, ""zh"", ""en"")"),"Qualitative text")</f>
        <v>Qualitative text</v>
      </c>
    </row>
    <row r="4945" spans="1:3" ht="13" x14ac:dyDescent="0.15">
      <c r="A4945" s="1" t="str">
        <f ca="1">IFERROR(__xludf.DUMMYFUNCTION("GOOGLETRANSLATE(A4945, ""zh"", ""en"")"),"The activity, themed ""Strive to be a pioneer in integrity by strictly observing discipline and rules,"" focused on anti-corruption efforts in the financial sector. It also promoted employees' awareness of integrity, rules, and responsibilities through va"&amp;"rious means, including playing warning educational films. It also enhanced employees' recognition and sensitivity to violations of rules and regulations, and strengthened their awareness of resisting violations of rules and regulations.")</f>
        <v>The activity, themed "Strive to be a pioneer in integrity by strictly observing discipline and rules," focused on anti-corruption efforts in the financial sector. It also promoted employees' awareness of integrity, rules, and responsibilities through various means, including playing warning educational films. It also enhanced employees' recognition and sensitivity to violations of rules and regulations, and strengthened their awareness of resisting violations of rules and regulations.</v>
      </c>
      <c r="B4945" s="1" t="str">
        <f ca="1">IFERROR(__xludf.DUMMYFUNCTION("GOOGLETRANSLATE(A4945, ""zh"", ""en"")"),"Anti-corruption and anti-money laundering")</f>
        <v>Anti-corruption and anti-money laundering</v>
      </c>
      <c r="C4945" s="1" t="str">
        <f ca="1">IFERROR(__xludf.DUMMYFUNCTION("GOOGLETRANSLATE(E4945, ""zh"", ""en"")"),"Qualitative text")</f>
        <v>Qualitative text</v>
      </c>
    </row>
    <row r="4946" spans="1:3" ht="13" x14ac:dyDescent="0.15">
      <c r="A4946" s="1" t="str">
        <f ca="1">IFERROR(__xludf.DUMMYFUNCTION("GOOGLETRANSLATE(A4946, ""zh"", ""en"")"),"Wuhan Yuanjuchang is connected to urban educational resources such as the Wuhan Youth Palace, 365 Science Laboratory, Bell Education Mago Robot, and China Architecture Science and Technology Museum. It continues to carry out public welfare science popular"&amp;"ization and calligraphy activities, intelligent technology training and experience classes, etc. In 2022, a total of 60 online and offline educational charity activities were carried out throughout the year, with thousands of participants.")</f>
        <v>Wuhan Yuanjuchang is connected to urban educational resources such as the Wuhan Youth Palace, 365 Science Laboratory, Bell Education Mago Robot, and China Architecture Science and Technology Museum. It continues to carry out public welfare science popularization and calligraphy activities, intelligent technology training and experience classes, etc. In 2022, a total of 60 online and offline educational charity activities were carried out throughout the year, with thousands of participants.</v>
      </c>
      <c r="B4946" s="1" t="str">
        <f ca="1">IFERROR(__xludf.DUMMYFUNCTION("GOOGLETRANSLATE(A4946, ""zh"", ""en"")"),"Public welfare and volunteer service")</f>
        <v>Public welfare and volunteer service</v>
      </c>
      <c r="C4946" s="1" t="str">
        <f ca="1">IFERROR(__xludf.DUMMYFUNCTION("GOOGLETRANSLATE(E4946, ""zh"", ""en"")"),"Quantitative Text")</f>
        <v>Quantitative Text</v>
      </c>
    </row>
    <row r="4947" spans="1:3" ht="13" x14ac:dyDescent="0.15">
      <c r="A4947" s="1" t="str">
        <f ca="1">IFERROR(__xludf.DUMMYFUNCTION("GOOGLETRANSLATE(A4947, ""zh"", ""en"")"),"In addition to maintaining the vitality of the community's basic operations, Yuanjuchang has focused on creating two major service products for owners: KOL owner co-creation services and educational public welfare services. By the end of 2022, Yuanjuchang"&amp;" has been established in 42 community spaces in 13 cities, and has worked with more than 20 government agencies to create a new model of community innovation governance and explore new developments in urban space.")</f>
        <v>In addition to maintaining the vitality of the community's basic operations, Yuanjuchang has focused on creating two major service products for owners: KOL owner co-creation services and educational public welfare services. By the end of 2022, Yuanjuchang has been established in 42 community spaces in 13 cities, and has worked with more than 20 government agencies to create a new model of community innovation governance and explore new developments in urban space.</v>
      </c>
      <c r="B4947" s="1" t="str">
        <f ca="1">IFERROR(__xludf.DUMMYFUNCTION("GOOGLETRANSLATE(A4947, ""zh"", ""en"")"),"Public welfare and volunteer service")</f>
        <v>Public welfare and volunteer service</v>
      </c>
      <c r="C4947" s="1" t="str">
        <f ca="1">IFERROR(__xludf.DUMMYFUNCTION("GOOGLETRANSLATE(E4947, ""zh"", ""en"")"),"Quantitative Text")</f>
        <v>Quantitative Text</v>
      </c>
    </row>
    <row r="4948" spans="1:3" ht="13" x14ac:dyDescent="0.15">
      <c r="A4948" s="1" t="str">
        <f ca="1">IFERROR(__xludf.DUMMYFUNCTION("GOOGLETRANSLATE(A4948, ""zh"", ""en"")"),"Yuantong Company, Yunshang Company, Rongzu Company, Huanneng Company, Yunshang Company donated 40 books to Hangzhou Pengzhi Primary School. During the 14th Five-Year Plan period, digital transformation has been basically completed, with the foundation lay"&amp;"ing, pillar erection and beam laying initiated. The digital transformation of human resources, finance and capital management has been implemented, and the digital coverage of management functions such as legal affairs, security, bidding and auditing has "&amp;"been promoted.")</f>
        <v>Yuantong Company, Yunshang Company, Rongzu Company, Huanneng Company, Yunshang Company donated 40 books to Hangzhou Pengzhi Primary School. During the 14th Five-Year Plan period, digital transformation has been basically completed, with the foundation laying, pillar erection and beam laying initiated. The digital transformation of human resources, finance and capital management has been implemented, and the digital coverage of management functions such as legal affairs, security, bidding and auditing has been promoted.</v>
      </c>
      <c r="B4948" s="1" t="str">
        <f ca="1">IFERROR(__xludf.DUMMYFUNCTION("GOOGLETRANSLATE(A4948, ""zh"", ""en"")"),"Public welfare and volunteer service")</f>
        <v>Public welfare and volunteer service</v>
      </c>
      <c r="C4948" s="1" t="str">
        <f ca="1">IFERROR(__xludf.DUMMYFUNCTION("GOOGLETRANSLATE(E4948, ""zh"", ""en"")"),"Quantitative Text")</f>
        <v>Quantitative Text</v>
      </c>
    </row>
    <row r="4949" spans="1:3" ht="13" x14ac:dyDescent="0.15">
      <c r="A4949" s="1" t="str">
        <f ca="1">IFERROR(__xludf.DUMMYFUNCTION("GOOGLETRANSLATE(A4949, ""zh"", ""en"")"),"In terms of medium- and long-term incentive mechanisms, the company has formulated guidance on medium- and long-term incentives for technology-based enterprises, equity and dividend incentives for holding companies in mixed-ownership enterprises, and deta"&amp;"iled implementation rules for excess profit sharing and follow-up investment. It is promoting eligible affiliated units to accelerate the implementation of medium- and long-term incentive mechanisms, effectively stimulating the innovation and efficiency o"&amp;"f management and key employees.")</f>
        <v>In terms of medium- and long-term incentive mechanisms, the company has formulated guidance on medium- and long-term incentives for technology-based enterprises, equity and dividend incentives for holding companies in mixed-ownership enterprises, and detailed implementation rules for excess profit sharing and follow-up investment. It is promoting eligible affiliated units to accelerate the implementation of medium- and long-term incentive mechanisms, effectively stimulating the innovation and efficiency of management and key employees.</v>
      </c>
      <c r="B4949" s="1" t="str">
        <f ca="1">IFERROR(__xludf.DUMMYFUNCTION("GOOGLETRANSLATE(A4949, ""zh"", ""en"")"),"staff")</f>
        <v>staff</v>
      </c>
      <c r="C4949" s="1" t="str">
        <f ca="1">IFERROR(__xludf.DUMMYFUNCTION("GOOGLETRANSLATE(E4949, ""zh"", ""en"")"),"Qualitative text")</f>
        <v>Qualitative text</v>
      </c>
    </row>
    <row r="4950" spans="1:3" ht="13" x14ac:dyDescent="0.15">
      <c r="A4950" s="1" t="str">
        <f ca="1">IFERROR(__xludf.DUMMYFUNCTION("GOOGLETRANSLATE(A4950, ""zh"", ""en"")"),"The Group organizes external directors to participate in corporate governance training. 15. The Board of Supervisors strengthens investment management. The Board of Supervisors is an important part of the corporate governance structure of the Company. It "&amp;"performs supervisory duties in accordance with relevant laws, regulations and the Articles of Association, and supervises and inspects the Company's financial activities and the performance of the Company's board of directors and senior management.")</f>
        <v>The Group organizes external directors to participate in corporate governance training. 15. The Board of Supervisors strengthens investment management. The Board of Supervisors is an important part of the corporate governance structure of the Company. It performs supervisory duties in accordance with relevant laws, regulations and the Articles of Association, and supervises and inspects the Company's financial activities and the performance of the Company's board of directors and senior management.</v>
      </c>
      <c r="B4950" s="1" t="str">
        <f ca="1">IFERROR(__xludf.DUMMYFUNCTION("GOOGLETRANSLATE(A4950, ""zh"", ""en"")"),"Organizational structure and operations")</f>
        <v>Organizational structure and operations</v>
      </c>
      <c r="C4950" s="1" t="str">
        <f ca="1">IFERROR(__xludf.DUMMYFUNCTION("GOOGLETRANSLATE(E4950, ""zh"", ""en"")"),"Qualitative text")</f>
        <v>Qualitative text</v>
      </c>
    </row>
    <row r="4951" spans="1:3" ht="13" x14ac:dyDescent="0.15">
      <c r="A4951" s="1" t="str">
        <f ca="1">IFERROR(__xludf.DUMMYFUNCTION("GOOGLETRANSLATE(A4951, ""zh"", ""en"")"),"The ultra-short throw distance L9H series, featuring 0 blue light, 0 flicker, and 0 wall-sticking, has attracted a lot of attention. Smart calibration functions such as automatic elevator calibration, automatic screen entry, and automatic obstacle avoidan"&amp;"ce greatly facilitate users' screen switching in different environments. The product is touch-sensitive, rotatable, movable, and voice-interactive, free from space restrictions and freeing young consumers from the need for pretense.")</f>
        <v>The ultra-short throw distance L9H series, featuring 0 blue light, 0 flicker, and 0 wall-sticking, has attracted a lot of attention. Smart calibration functions such as automatic elevator calibration, automatic screen entry, and automatic obstacle avoidance greatly facilitate users' screen switching in different environments. The product is touch-sensitive, rotatable, movable, and voice-interactive, free from space restrictions and freeing young consumers from the need for pretense.</v>
      </c>
      <c r="B4951" s="1" t="str">
        <f ca="1">IFERROR(__xludf.DUMMYFUNCTION("GOOGLETRANSLATE(A4951, ""zh"", ""en"")"),"Product quality")</f>
        <v>Product quality</v>
      </c>
      <c r="C4951" s="1" t="str">
        <f ca="1">IFERROR(__xludf.DUMMYFUNCTION("GOOGLETRANSLATE(E4951, ""zh"", ""en"")"),"Qualitative text")</f>
        <v>Qualitative text</v>
      </c>
    </row>
    <row r="4952" spans="1:3" ht="13" x14ac:dyDescent="0.15">
      <c r="A4952" s="1" t="str">
        <f ca="1">IFERROR(__xludf.DUMMYFUNCTION("GOOGLETRANSLATE(A4952, ""zh"", ""en"")"),"In 2022, the company received and investigated 9 reports of violations of regulations and disciplines, investigated and dealt with 4 corruption cases and 8 suspected corruption personnel. 20 business partners who violated the regulations were interviewed "&amp;"and warned, and 10 of them were punished for breach of contract. Among them, 2 partners were added to the supplier blacklist and are prohibited from doing business with them in the future.")</f>
        <v>In 2022, the company received and investigated 9 reports of violations of regulations and disciplines, investigated and dealt with 4 corruption cases and 8 suspected corruption personnel. 20 business partners who violated the regulations were interviewed and warned, and 10 of them were punished for breach of contract. Among them, 2 partners were added to the supplier blacklist and are prohibited from doing business with them in the future.</v>
      </c>
      <c r="B4952" s="1" t="str">
        <f ca="1">IFERROR(__xludf.DUMMYFUNCTION("GOOGLETRANSLATE(A4952, ""zh"", ""en"")"),"Reporting System")</f>
        <v>Reporting System</v>
      </c>
      <c r="C4952" s="1" t="str">
        <f ca="1">IFERROR(__xludf.DUMMYFUNCTION("GOOGLETRANSLATE(E4952, ""zh"", ""en"")"),"Quantitative Text")</f>
        <v>Quantitative Text</v>
      </c>
    </row>
    <row r="4953" spans="1:3" ht="13" x14ac:dyDescent="0.15">
      <c r="A4953" s="1" t="str">
        <f ca="1">IFERROR(__xludf.DUMMYFUNCTION("GOOGLETRANSLATE(A4953, ""zh"", ""en"")"),"The company will remain true to its original aspiration and forge ahead. While continuing to promote high-quality development, it will actively fulfill its corporate obligations, strive to safeguard the interests of all stakeholders, and better share the "&amp;"results with society. 2022 Social Responsibility Report 21 comprehensively promotes the harmonious development of enterprises and society, and makes positive contributions to the country's continued prosperity and development, and social harmony and stabi"&amp;"lity.")</f>
        <v>The company will remain true to its original aspiration and forge ahead. While continuing to promote high-quality development, it will actively fulfill its corporate obligations, strive to safeguard the interests of all stakeholders, and better share the results with society. 2022 Social Responsibility Report 21 comprehensively promotes the harmonious development of enterprises and society, and makes positive contributions to the country's continued prosperity and development, and social harmony and stability.</v>
      </c>
      <c r="B4953" s="1" t="str">
        <f ca="1">IFERROR(__xludf.DUMMYFUNCTION("GOOGLETRANSLATE(A4953, ""zh"", ""en"")"),"irrelevant text")</f>
        <v>irrelevant text</v>
      </c>
      <c r="C4953" s="1" t="str">
        <f ca="1">IFERROR(__xludf.DUMMYFUNCTION("GOOGLETRANSLATE(E4953, ""zh"", ""en"")"),"irrelevant text")</f>
        <v>irrelevant text</v>
      </c>
    </row>
    <row r="4954" spans="1:3" ht="13" x14ac:dyDescent="0.15">
      <c r="A4954" s="1" t="str">
        <f ca="1">IFERROR(__xludf.DUMMYFUNCTION("GOOGLETRANSLATE(A4954, ""zh"", ""en"")"),"The company regularly conducts in-depth inspections of hidden dangers. Based on departmental functions and safety responsibilities, combined with key areas, special periods, seasonal characteristics and other factors, it conducts various forms of 2021 acc"&amp;"ident emergency rescue drills and safety inspections. It organizes full-time and part-time safety officers to be on duty 24 hours a day to closely monitor key areas and critical links to enhance the company's safety assurance capabilities.")</f>
        <v>The company regularly conducts in-depth inspections of hidden dangers. Based on departmental functions and safety responsibilities, combined with key areas, special periods, seasonal characteristics and other factors, it conducts various forms of 2021 accident emergency rescue drills and safety inspections. It organizes full-time and part-time safety officers to be on duty 24 hours a day to closely monitor key areas and critical links to enhance the company's safety assurance capabilities.</v>
      </c>
      <c r="B4954" s="1" t="str">
        <f ca="1">IFERROR(__xludf.DUMMYFUNCTION("GOOGLETRANSLATE(A4954, ""zh"", ""en"")"),"staff")</f>
        <v>staff</v>
      </c>
      <c r="C4954" s="1" t="str">
        <f ca="1">IFERROR(__xludf.DUMMYFUNCTION("GOOGLETRANSLATE(E4954, ""zh"", ""en"")"),"Qualitative text")</f>
        <v>Qualitative text</v>
      </c>
    </row>
    <row r="4955" spans="1:3" ht="13" x14ac:dyDescent="0.15">
      <c r="A4955" s="1" t="str">
        <f ca="1">IFERROR(__xludf.DUMMYFUNCTION("GOOGLETRANSLATE(A4955, ""zh"", ""en"")"),"Fosun Pharma established its training and development center in 2009. In 2022, relying on the corporate culture and spirit of the Group, it established its own corporate university development strategy in 2017. We continue to carry out training programs c"&amp;"ategorized into four series: the New Classmates series, the Leadership Academy, and the Fosun Pharma Talent Development Center (formerly Fosun Big Health Management).")</f>
        <v>Fosun Pharma established its training and development center in 2009. In 2022, relying on the corporate culture and spirit of the Group, it established its own corporate university development strategy in 2017. We continue to carry out training programs categorized into four series: the New Classmates series, the Leadership Academy, and the Fosun Pharma Talent Development Center (formerly Fosun Big Health Management).</v>
      </c>
      <c r="B4955" s="1" t="str">
        <f ca="1">IFERROR(__xludf.DUMMYFUNCTION("GOOGLETRANSLATE(A4955, ""zh"", ""en"")"),"staff")</f>
        <v>staff</v>
      </c>
      <c r="C4955" s="1" t="str">
        <f ca="1">IFERROR(__xludf.DUMMYFUNCTION("GOOGLETRANSLATE(E4955, ""zh"", ""en"")"),"Qualitative text")</f>
        <v>Qualitative text</v>
      </c>
    </row>
    <row r="4956" spans="1:3" ht="13" x14ac:dyDescent="0.15">
      <c r="A4956" s="1" t="str">
        <f ca="1">IFERROR(__xludf.DUMMYFUNCTION("GOOGLETRANSLATE(A4956, ""zh"", ""en"")"),"The deployment requires the completion of the domestic platform compliance management system report 32.0, which includes the strategic vision, the Group's product compliance information on packaging and instructions, the organizational structure, the thre"&amp;"e lines of defense for compliance management, the integration of components, usage instructions, shelf life, and other potential compliance management system content, modeling, and compliance management mechanisms, including environmental or social impact"&amp;"s.")</f>
        <v>The deployment requires the completion of the domestic platform compliance management system report 32.0, which includes the strategic vision, the Group's product compliance information on packaging and instructions, the organizational structure, the three lines of defense for compliance management, the integration of components, usage instructions, shelf life, and other potential compliance management system content, modeling, and compliance management mechanisms, including environmental or social impacts.</v>
      </c>
      <c r="B4956" s="1" t="str">
        <f ca="1">IFERROR(__xludf.DUMMYFUNCTION("GOOGLETRANSLATE(A4956, ""zh"", ""en"")"),"Product quality")</f>
        <v>Product quality</v>
      </c>
      <c r="C4956" s="1" t="str">
        <f ca="1">IFERROR(__xludf.DUMMYFUNCTION("GOOGLETRANSLATE(E4956, ""zh"", ""en"")"),"Qualitative text")</f>
        <v>Qualitative text</v>
      </c>
    </row>
    <row r="4957" spans="1:3" ht="13" x14ac:dyDescent="0.15">
      <c r="A4957" s="1" t="str">
        <f ca="1">IFERROR(__xludf.DUMMYFUNCTION("GOOGLETRANSLATE(A4957, ""zh"", ""en"")"),"We adhere to legal and compliant practices to protect employee benefits, pay basic social insurance such as basic pension, basic medical care, unemployment, work-related injuries, and childbirth insurance, establish employee welfare systems such as housin"&amp;"g provident funds, enterprise annuities, and supplementary medical insurance, and develop the third pillar of welfare in an orderly manner through the establishment of a unified platform for internal insurance purchases, thereby building a more comprehens"&amp;"ive welfare security system.")</f>
        <v>We adhere to legal and compliant practices to protect employee benefits, pay basic social insurance such as basic pension, basic medical care, unemployment, work-related injuries, and childbirth insurance, establish employee welfare systems such as housing provident funds, enterprise annuities, and supplementary medical insurance, and develop the third pillar of welfare in an orderly manner through the establishment of a unified platform for internal insurance purchases, thereby building a more comprehensive welfare security system.</v>
      </c>
      <c r="B4957" s="1" t="str">
        <f ca="1">IFERROR(__xludf.DUMMYFUNCTION("GOOGLETRANSLATE(A4957, ""zh"", ""en"")"),"staff")</f>
        <v>staff</v>
      </c>
      <c r="C4957" s="1" t="str">
        <f ca="1">IFERROR(__xludf.DUMMYFUNCTION("GOOGLETRANSLATE(E4957, ""zh"", ""en"")"),"Qualitative text")</f>
        <v>Qualitative text</v>
      </c>
    </row>
    <row r="4958" spans="1:3" ht="13" x14ac:dyDescent="0.15">
      <c r="A4958" s="1" t="str">
        <f ca="1">IFERROR(__xludf.DUMMYFUNCTION("GOOGLETRANSLATE(A4958, ""zh"", ""en"")"),"In addition to product quality and safety, we also continue to pay attention to suppliers' EHS management. During on-site audits, we share EHS regulations and regulatory development trends with suppliers and encourage all suppliers to actively obtain ISO1"&amp;"4001, ISO45001 and other management system certifications to reduce EHS risks in the supply chain.")</f>
        <v>In addition to product quality and safety, we also continue to pay attention to suppliers' EHS management. During on-site audits, we share EHS regulations and regulatory development trends with suppliers and encourage all suppliers to actively obtain ISO14001, ISO45001 and other management system certifications to reduce EHS risks in the supply chain.</v>
      </c>
      <c r="B4958" s="1" t="str">
        <f ca="1">IFERROR(__xludf.DUMMYFUNCTION("GOOGLETRANSLATE(A4958, ""zh"", ""en"")"),"supply chain management")</f>
        <v>supply chain management</v>
      </c>
      <c r="C4958" s="1" t="str">
        <f ca="1">IFERROR(__xludf.DUMMYFUNCTION("GOOGLETRANSLATE(E4958, ""zh"", ""en"")"),"Qualitative text")</f>
        <v>Qualitative text</v>
      </c>
    </row>
    <row r="4959" spans="1:3" ht="13" x14ac:dyDescent="0.15">
      <c r="A4959" s="1" t="str">
        <f ca="1">IFERROR(__xludf.DUMMYFUNCTION("GOOGLETRANSLATE(A4959, ""zh"", ""en"")"),"Case Study on Response to Major Product Safety Incidents 292022 Social Responsibility Report 5.2.2 Quality Audit Work To continuously optimize the Group's quality system, the Group regularly formulates quality audit plans covering all production, operatio"&amp;"n and R&amp;D enterprises, and conducts special audit work from time to time based on management needs and changes in external regulatory trends.")</f>
        <v>Case Study on Response to Major Product Safety Incidents 292022 Social Responsibility Report 5.2.2 Quality Audit Work To continuously optimize the Group's quality system, the Group regularly formulates quality audit plans covering all production, operation and R&amp;D enterprises, and conducts special audit work from time to time based on management needs and changes in external regulatory trends.</v>
      </c>
      <c r="B4959" s="1" t="str">
        <f ca="1">IFERROR(__xludf.DUMMYFUNCTION("GOOGLETRANSLATE(A4959, ""zh"", ""en"")"),"Audit work")</f>
        <v>Audit work</v>
      </c>
      <c r="C4959" s="1" t="str">
        <f ca="1">IFERROR(__xludf.DUMMYFUNCTION("GOOGLETRANSLATE(E4959, ""zh"", ""en"")"),"Qualitative text")</f>
        <v>Qualitative text</v>
      </c>
    </row>
    <row r="4960" spans="1:3" ht="13" x14ac:dyDescent="0.15">
      <c r="A4960" s="1" t="str">
        <f ca="1">IFERROR(__xludf.DUMMYFUNCTION("GOOGLETRANSLATE(A4960, ""zh"", ""en"")"),"Deepening the reform of scientific and technological systems and mechanisms. PetroChina 2022 Environmental, Social and Governance Report 22. Compliance Management. The company will adhere to the principle of legal and compliant corporate governance and in"&amp;"corporate it into the 14th Five-Year Development Plan. It will clearly define the supremacy of law and compliance, prioritize honesty and trustworthiness, and safeguard rights in accordance with the law. The company will continuously strengthen the develo"&amp;"pment of its compliance management system.")</f>
        <v>Deepening the reform of scientific and technological systems and mechanisms. PetroChina 2022 Environmental, Social and Governance Report 22. Compliance Management. The company will adhere to the principle of legal and compliant corporate governance and incorporate it into the 14th Five-Year Development Plan. It will clearly define the supremacy of law and compliance, prioritize honesty and trustworthiness, and safeguard rights in accordance with the law. The company will continuously strengthen the development of its compliance management system.</v>
      </c>
      <c r="B4960" s="1" t="str">
        <f ca="1">IFERROR(__xludf.DUMMYFUNCTION("GOOGLETRANSLATE(A4960, ""zh"", ""en"")"),"Legal proceedings and external sanctions")</f>
        <v>Legal proceedings and external sanctions</v>
      </c>
      <c r="C4960" s="1" t="str">
        <f ca="1">IFERROR(__xludf.DUMMYFUNCTION("GOOGLETRANSLATE(E4960, ""zh"", ""en"")"),"Qualitative text")</f>
        <v>Qualitative text</v>
      </c>
    </row>
    <row r="4961" spans="1:3" ht="13" x14ac:dyDescent="0.15">
      <c r="A4961" s="1" t="str">
        <f ca="1">IFERROR(__xludf.DUMMYFUNCTION("GOOGLETRANSLATE(A4961, ""zh"", ""en"")"),"Continuously deepen reforms to modernize the corporate governance system and governance capabilities. Issued guiding opinions on modernizing the corporate governance system and governance capabilities. Established corporate development strategies and gove"&amp;"rnance principles. Defined specific tasks for system development, including structure, organization, operation, and supervision. Comprehensively implemented top-level corporate governance design, significantly improving governance effectiveness.")</f>
        <v>Continuously deepen reforms to modernize the corporate governance system and governance capabilities. Issued guiding opinions on modernizing the corporate governance system and governance capabilities. Established corporate development strategies and governance principles. Defined specific tasks for system development, including structure, organization, operation, and supervision. Comprehensively implemented top-level corporate governance design, significantly improving governance effectiveness.</v>
      </c>
      <c r="B4961" s="1" t="str">
        <f ca="1">IFERROR(__xludf.DUMMYFUNCTION("GOOGLETRANSLATE(A4961, ""zh"", ""en"")"),"Organizational structure and operations")</f>
        <v>Organizational structure and operations</v>
      </c>
      <c r="C4961" s="1" t="str">
        <f ca="1">IFERROR(__xludf.DUMMYFUNCTION("GOOGLETRANSLATE(E4961, ""zh"", ""en"")"),"Qualitative text")</f>
        <v>Qualitative text</v>
      </c>
    </row>
    <row r="4962" spans="1:3" ht="13" x14ac:dyDescent="0.15">
      <c r="A4962" s="1" t="str">
        <f ca="1">IFERROR(__xludf.DUMMYFUNCTION("GOOGLETRANSLATE(A4962, ""zh"", ""en"")"),"At the same time, Liu Ping, Deputy Secretary of the Party Committee and President of Shanghai Electric, visited the project sites in Dubai and Pakistan to gain an in-depth understanding of the construction status of the projects. He cordially expressed hi"&amp;"s condolences to the overseas employees who have overcome various difficulties and have been stationed at the project sites for a long time. He also stated that organizations at all levels of the group will take good care of the families of overseas emplo"&amp;"yees in China and stabilize the rear so that employees have no worries.")</f>
        <v>At the same time, Liu Ping, Deputy Secretary of the Party Committee and President of Shanghai Electric, visited the project sites in Dubai and Pakistan to gain an in-depth understanding of the construction status of the projects. He cordially expressed his condolences to the overseas employees who have overcome various difficulties and have been stationed at the project sites for a long time. He also stated that organizations at all levels of the group will take good care of the families of overseas employees in China and stabilize the rear so that employees have no worries.</v>
      </c>
      <c r="B4962" s="1" t="str">
        <f ca="1">IFERROR(__xludf.DUMMYFUNCTION("GOOGLETRANSLATE(A4962, ""zh"", ""en"")"),"staff")</f>
        <v>staff</v>
      </c>
      <c r="C4962" s="1" t="str">
        <f ca="1">IFERROR(__xludf.DUMMYFUNCTION("GOOGLETRANSLATE(E4962, ""zh"", ""en"")"),"Qualitative text")</f>
        <v>Qualitative text</v>
      </c>
    </row>
    <row r="4963" spans="1:3" ht="13" x14ac:dyDescent="0.15">
      <c r="A4963" s="1" t="str">
        <f ca="1">IFERROR(__xludf.DUMMYFUNCTION("GOOGLETRANSLATE(A4963, ""zh"", ""en"")"),"The Group closely monitors climate change trends and formulates extreme weather emergency plans based on actual conditions. The Group has established a special action team to respond to typhoon disasters and ensures emergency material reserves to minimize"&amp;" the impact of typhoons. Xinxiang Haibin and Jiaozuo Jiankangyuan have established special flood response teams and Party member commandos to actively purchase flood control materials and enhance flood response capabilities.")</f>
        <v>The Group closely monitors climate change trends and formulates extreme weather emergency plans based on actual conditions. The Group has established a special action team to respond to typhoon disasters and ensures emergency material reserves to minimize the impact of typhoons. Xinxiang Haibin and Jiaozuo Jiankangyuan have established special flood response teams and Party member commandos to actively purchase flood control materials and enhance flood response capabilities.</v>
      </c>
      <c r="B4963" s="1" t="str">
        <f ca="1">IFERROR(__xludf.DUMMYFUNCTION("GOOGLETRANSLATE(A4963, ""zh"", ""en"")"),"Addressing climate change")</f>
        <v>Addressing climate change</v>
      </c>
      <c r="C4963" s="1" t="str">
        <f ca="1">IFERROR(__xludf.DUMMYFUNCTION("GOOGLETRANSLATE(E4963, ""zh"", ""en"")"),"Qualitative text")</f>
        <v>Qualitative text</v>
      </c>
    </row>
    <row r="4964" spans="1:3" ht="13" x14ac:dyDescent="0.15">
      <c r="A4964" s="1" t="str">
        <f ca="1">IFERROR(__xludf.DUMMYFUNCTION("GOOGLETRANSLATE(A4964, ""zh"", ""en"")"),"Employment and Compensation Management: We comply, we insist, we oppose, and we guarantee. Shanghai Electric strictly abides by the Labor Law of the People's Republic of China, the Employment Promotion Law of the People's Republic of China, the Special Pr"&amp;"ovisions on Labor Protection for Female Employees, the Trade Union Law of the People's Republic of China, the Law on the Protection of Minors of the People's Republic of China, and the Regulations on the Prohibition of Child Labor, among other laws and re"&amp;"gulations.")</f>
        <v>Employment and Compensation Management: We comply, we insist, we oppose, and we guarantee. Shanghai Electric strictly abides by the Labor Law of the People's Republic of China, the Employment Promotion Law of the People's Republic of China, the Special Provisions on Labor Protection for Female Employees, the Trade Union Law of the People's Republic of China, the Law on the Protection of Minors of the People's Republic of China, and the Regulations on the Prohibition of Child Labor, among other laws and regulations.</v>
      </c>
      <c r="B4964" s="1" t="str">
        <f ca="1">IFERROR(__xludf.DUMMYFUNCTION("GOOGLETRANSLATE(A4964, ""zh"", ""en"")"),"staff")</f>
        <v>staff</v>
      </c>
      <c r="C4964" s="1" t="str">
        <f ca="1">IFERROR(__xludf.DUMMYFUNCTION("GOOGLETRANSLATE(E4964, ""zh"", ""en"")"),"Qualitative text")</f>
        <v>Qualitative text</v>
      </c>
    </row>
    <row r="4965" spans="1:3" ht="13" x14ac:dyDescent="0.15">
      <c r="A4965" s="1" t="str">
        <f ca="1">IFERROR(__xludf.DUMMYFUNCTION("GOOGLETRANSLATE(A4965, ""zh"", ""en"")"),"In light of the actual situation of the group and the key and main tasks of safety and environmental protection work in 2022, Shanghai Electric has specially formulated the activity plan for Shanghai Electric Group's 2022 Safety Production Month and World"&amp;" Environment Day. It has also organized and carried out Safety Production Month activities with the theme of ""Abiding by the Safety Production Law and Being the First Responsible Person"" within the group's headquarters industrial group and its subsidiar"&amp;"ies.")</f>
        <v>In light of the actual situation of the group and the key and main tasks of safety and environmental protection work in 2022, Shanghai Electric has specially formulated the activity plan for Shanghai Electric Group's 2022 Safety Production Month and World Environment Day. It has also organized and carried out Safety Production Month activities with the theme of "Abiding by the Safety Production Law and Being the First Responsible Person" within the group's headquarters industrial group and its subsidiaries.</v>
      </c>
      <c r="B4965" s="1" t="str">
        <f ca="1">IFERROR(__xludf.DUMMYFUNCTION("GOOGLETRANSLATE(A4965, ""zh"", ""en"")"),"Environmental Policy")</f>
        <v>Environmental Policy</v>
      </c>
      <c r="C4965" s="1" t="str">
        <f ca="1">IFERROR(__xludf.DUMMYFUNCTION("GOOGLETRANSLATE(E4965, ""zh"", ""en"")"),"Qualitative text")</f>
        <v>Qualitative text</v>
      </c>
    </row>
    <row r="4966" spans="1:3" ht="13" x14ac:dyDescent="0.15">
      <c r="A4966" s="1" t="str">
        <f ca="1">IFERROR(__xludf.DUMMYFUNCTION("GOOGLETRANSLATE(A4966, ""zh"", ""en"")"),"Based on the business, we have continuously optimized the ArisG system usage process, expanded the regularity and availability of data export, and promoted the pharmacovigilance cooperation with domestic and foreign commercial digital partners in PV pharm"&amp;"acovigilance data processing in 2022. We have signed pharmacovigilance agreements that meet domestic and international requirements, which has improved the efficiency of pharmacovigilance work to a certain extent.")</f>
        <v>Based on the business, we have continuously optimized the ArisG system usage process, expanded the regularity and availability of data export, and promoted the pharmacovigilance cooperation with domestic and foreign commercial digital partners in PV pharmacovigilance data processing in 2022. We have signed pharmacovigilance agreements that meet domestic and international requirements, which has improved the efficiency of pharmacovigilance work to a certain extent.</v>
      </c>
      <c r="B4966" s="1" t="str">
        <f ca="1">IFERROR(__xludf.DUMMYFUNCTION("GOOGLETRANSLATE(A4966, ""zh"", ""en"")"),"Product quality")</f>
        <v>Product quality</v>
      </c>
      <c r="C4966" s="1" t="str">
        <f ca="1">IFERROR(__xludf.DUMMYFUNCTION("GOOGLETRANSLATE(E4966, ""zh"", ""en"")"),"Qualitative text")</f>
        <v>Qualitative text</v>
      </c>
    </row>
    <row r="4967" spans="1:3" ht="13" x14ac:dyDescent="0.15">
      <c r="A4967" s="1" t="str">
        <f ca="1">IFERROR(__xludf.DUMMYFUNCTION("GOOGLETRANSLATE(A4967, ""zh"", ""en"")"),"According to the different components of the source gas, different process facilities are selected, including activated carbon adsorption, spray pretreatment, condensation pretreatment, etc. The VOCs station is a combination of VOCs in this area. After tr"&amp;"eatment, the emission of VOCs in the workshop, production, office and surrounding environment of the enterprise has been greatly improved.")</f>
        <v>According to the different components of the source gas, different process facilities are selected, including activated carbon adsorption, spray pretreatment, condensation pretreatment, etc. The VOCs station is a combination of VOCs in this area. After treatment, the emission of VOCs in the workshop, production, office and surrounding environment of the enterprise has been greatly improved.</v>
      </c>
      <c r="B4967" s="1" t="str">
        <f ca="1">IFERROR(__xludf.DUMMYFUNCTION("GOOGLETRANSLATE(A4967, ""zh"", ""en"")"),"Waste Management")</f>
        <v>Waste Management</v>
      </c>
      <c r="C4967" s="1" t="str">
        <f ca="1">IFERROR(__xludf.DUMMYFUNCTION("GOOGLETRANSLATE(E4967, ""zh"", ""en"")"),"Qualitative text")</f>
        <v>Qualitative text</v>
      </c>
    </row>
    <row r="4968" spans="1:3" ht="13" x14ac:dyDescent="0.15">
      <c r="A4968" s="1" t="str">
        <f ca="1">IFERROR(__xludf.DUMMYFUNCTION("GOOGLETRANSLATE(A4968, ""zh"", ""en"")"),"Talent Values: Attract people through development, unite people through career, and gather the world's most entrepreneurial talents through work. We recognize and cultivate people based on performance and evaluate people based on performance. People are m"&amp;"embers of Fosun Pharma Group and practice Fosun Pharma's cultural values. We are self-driven and strive to continuously cultivate outstanding and high-potential talents, accelerate learning, and continuously create value.")</f>
        <v>Talent Values: Attract people through development, unite people through career, and gather the world's most entrepreneurial talents through work. We recognize and cultivate people based on performance and evaluate people based on performance. People are members of Fosun Pharma Group and practice Fosun Pharma's cultural values. We are self-driven and strive to continuously cultivate outstanding and high-potential talents, accelerate learning, and continuously create value.</v>
      </c>
      <c r="B4968" s="1" t="str">
        <f ca="1">IFERROR(__xludf.DUMMYFUNCTION("GOOGLETRANSLATE(A4968, ""zh"", ""en"")"),"staff")</f>
        <v>staff</v>
      </c>
      <c r="C4968" s="1" t="str">
        <f ca="1">IFERROR(__xludf.DUMMYFUNCTION("GOOGLETRANSLATE(E4968, ""zh"", ""en"")"),"Qualitative text")</f>
        <v>Qualitative text</v>
      </c>
    </row>
    <row r="4969" spans="1:3" ht="13" x14ac:dyDescent="0.15">
      <c r="A4969" s="1" t="str">
        <f ca="1">IFERROR(__xludf.DUMMYFUNCTION("GOOGLETRANSLATE(A4969, ""zh"", ""en"")"),"With the concept of quality risk management and focusing on annual product quality targets, the Group continuously improves the business consulting, change management, deviation management, OOS investigation and supply capabilities of internal audit team "&amp;"members. It has organized and held domestic and international audit training courses and established a quality assurance system including supplier audit and risk management in order to enhance the professional level and audit capabilities of team members.")</f>
        <v>With the concept of quality risk management and focusing on annual product quality targets, the Group continuously improves the business consulting, change management, deviation management, OOS investigation and supply capabilities of internal audit team members. It has organized and held domestic and international audit training courses and established a quality assurance system including supplier audit and risk management in order to enhance the professional level and audit capabilities of team members.</v>
      </c>
      <c r="B4969" s="1" t="str">
        <f ca="1">IFERROR(__xludf.DUMMYFUNCTION("GOOGLETRANSLATE(A4969, ""zh"", ""en"")"),"Audit work")</f>
        <v>Audit work</v>
      </c>
      <c r="C4969" s="1" t="str">
        <f ca="1">IFERROR(__xludf.DUMMYFUNCTION("GOOGLETRANSLATE(E4969, ""zh"", ""en"")"),"Qualitative text")</f>
        <v>Qualitative text</v>
      </c>
    </row>
    <row r="4970" spans="1:3" ht="13" x14ac:dyDescent="0.15">
      <c r="A4970" s="1" t="str">
        <f ca="1">IFERROR(__xludf.DUMMYFUNCTION("GOOGLETRANSLATE(A4970, ""zh"", ""en"")"),"During the reporting period, the company organized training sessions on studying General Secretary Xi Jinping's important statements on production safety, interpreting the new safety law, promoting the management system, deconstructing the whole-process m"&amp;"anagement model for production safety in the new era, fire safety training, training on the safe management of hazardous chemical use and storage, dust explosion prevention training, and elements of enterprise on-site safety management.")</f>
        <v>During the reporting period, the company organized training sessions on studying General Secretary Xi Jinping's important statements on production safety, interpreting the new safety law, promoting the management system, deconstructing the whole-process management model for production safety in the new era, fire safety training, training on the safe management of hazardous chemical use and storage, dust explosion prevention training, and elements of enterprise on-site safety management.</v>
      </c>
      <c r="B4970" s="1" t="str">
        <f ca="1">IFERROR(__xludf.DUMMYFUNCTION("GOOGLETRANSLATE(A4970, ""zh"", ""en"")"),"staff")</f>
        <v>staff</v>
      </c>
      <c r="C4970" s="1" t="str">
        <f ca="1">IFERROR(__xludf.DUMMYFUNCTION("GOOGLETRANSLATE(E4970, ""zh"", ""en"")"),"Qualitative text")</f>
        <v>Qualitative text</v>
      </c>
    </row>
    <row r="4971" spans="1:3" ht="13" x14ac:dyDescent="0.15">
      <c r="A4971" s="1" t="str">
        <f ca="1">IFERROR(__xludf.DUMMYFUNCTION("GOOGLETRANSLATE(A4971, ""zh"", ""en"")"),"5. Comprehensively implement safety production. During the reporting period, the company thoroughly implemented the important instructions of General Secretary Xi Jinping on safety production. In safety production management, it adhered to the leadership "&amp;"of the Communist Party of China, upheld the principle of people-oriented, people-first and life-first, and thoroughly implemented the safety production responsibility system in accordance with the ""three controls and three musts"" requirements of the new"&amp;"ly revised Safety Production Law.")</f>
        <v>5. Comprehensively implement safety production. During the reporting period, the company thoroughly implemented the important instructions of General Secretary Xi Jinping on safety production. In safety production management, it adhered to the leadership of the Communist Party of China, upheld the principle of people-oriented, people-first and life-first, and thoroughly implemented the safety production responsibility system in accordance with the "three controls and three musts" requirements of the newly revised Safety Production Law.</v>
      </c>
      <c r="B4971" s="1" t="str">
        <f ca="1">IFERROR(__xludf.DUMMYFUNCTION("GOOGLETRANSLATE(A4971, ""zh"", ""en"")"),"staff")</f>
        <v>staff</v>
      </c>
      <c r="C4971" s="1" t="str">
        <f ca="1">IFERROR(__xludf.DUMMYFUNCTION("GOOGLETRANSLATE(E4971, ""zh"", ""en"")"),"Qualitative text")</f>
        <v>Qualitative text</v>
      </c>
    </row>
    <row r="4972" spans="1:3" ht="13" x14ac:dyDescent="0.15">
      <c r="A4972" s="1" t="str">
        <f ca="1">IFERROR(__xludf.DUMMYFUNCTION("GOOGLETRANSLATE(A4972, ""zh"", ""en"")"),"The Shanghai Stock Exchange conducted a comprehensive evaluation of listed companies based on information disclosure compliance, effectiveness, industry-specific information disclosure, social responsibility disclosure, information disclosure affairs mana"&amp;"gement, investor relations management, and other dimensions. The company received an A-level evaluation for its information disclosure work in 2021-2022. The evaluation results are recorded in the listed company's integrity file.")</f>
        <v>The Shanghai Stock Exchange conducted a comprehensive evaluation of listed companies based on information disclosure compliance, effectiveness, industry-specific information disclosure, social responsibility disclosure, information disclosure affairs management, investor relations management, and other dimensions. The company received an A-level evaluation for its information disclosure work in 2021-2022. The evaluation results are recorded in the listed company's integrity file.</v>
      </c>
      <c r="B4972" s="1" t="str">
        <f ca="1">IFERROR(__xludf.DUMMYFUNCTION("GOOGLETRANSLATE(A4972, ""zh"", ""en"")"),"Information Disclosure and Investor Communication")</f>
        <v>Information Disclosure and Investor Communication</v>
      </c>
      <c r="C4972" s="1" t="str">
        <f ca="1">IFERROR(__xludf.DUMMYFUNCTION("GOOGLETRANSLATE(E4972, ""zh"", ""en"")"),"Quantitative Text")</f>
        <v>Quantitative Text</v>
      </c>
    </row>
    <row r="4973" spans="1:3" ht="13" x14ac:dyDescent="0.15">
      <c r="A4973" s="1" t="str">
        <f ca="1">IFERROR(__xludf.DUMMYFUNCTION("GOOGLETRANSLATE(A4973, ""zh"", ""en"")"),"3. Investor Relations Management The company attaches great importance to investor relations management. It strengthens communication with investors through various channels such as statutory information disclosure platforms, shareholders' meetings, inves"&amp;"tor briefings, reception of visitors, and new media platforms. It has formed a positive interaction with investment institutions and established a mutual connection with the capital market.")</f>
        <v>3. Investor Relations Management The company attaches great importance to investor relations management. It strengthens communication with investors through various channels such as statutory information disclosure platforms, shareholders' meetings, investor briefings, reception of visitors, and new media platforms. It has formed a positive interaction with investment institutions and established a mutual connection with the capital market.</v>
      </c>
      <c r="B4973" s="1" t="str">
        <f ca="1">IFERROR(__xludf.DUMMYFUNCTION("GOOGLETRANSLATE(A4973, ""zh"", ""en"")"),"Information Disclosure and Investor Communication")</f>
        <v>Information Disclosure and Investor Communication</v>
      </c>
      <c r="C4973" s="1" t="str">
        <f ca="1">IFERROR(__xludf.DUMMYFUNCTION("GOOGLETRANSLATE(E4973, ""zh"", ""en"")"),"Qualitative text")</f>
        <v>Qualitative text</v>
      </c>
    </row>
    <row r="4974" spans="1:3" ht="13" x14ac:dyDescent="0.15">
      <c r="A4974" s="1" t="str">
        <f ca="1">IFERROR(__xludf.DUMMYFUNCTION("GOOGLETRANSLATE(A4974, ""zh"", ""en"")"),"Fosun Pharma's Corporate Social Responsibility Report received a five-star rating from the China Expert Committee on Corporate Social Responsibility Report Rating for the third consecutive year. Four suggestions for improvement: Increase the disclosure of"&amp;" core industry indicators and enhance the completeness of the report.")</f>
        <v>Fosun Pharma's Corporate Social Responsibility Report received a five-star rating from the China Expert Committee on Corporate Social Responsibility Report Rating for the third consecutive year. Four suggestions for improvement: Increase the disclosure of core industry indicators and enhance the completeness of the report.</v>
      </c>
      <c r="B4974" s="1" t="str">
        <f ca="1">IFERROR(__xludf.DUMMYFUNCTION("GOOGLETRANSLATE(A4974, ""zh"", ""en"")"),"Sustainable certification")</f>
        <v>Sustainable certification</v>
      </c>
      <c r="C4974" s="1" t="str">
        <f ca="1">IFERROR(__xludf.DUMMYFUNCTION("GOOGLETRANSLATE(E4974, ""zh"", ""en"")"),"Quantitative Text")</f>
        <v>Quantitative Text</v>
      </c>
    </row>
    <row r="4975" spans="1:3" ht="13" x14ac:dyDescent="0.15">
      <c r="A4975" s="1" t="str">
        <f ca="1">IFERROR(__xludf.DUMMYFUNCTION("GOOGLETRANSLATE(A4975, ""zh"", ""en"")"),"Environmental protection and the United Nations Sustainable Development Goals have enhanced HSE management. The company pursues the goal of zero accidents, zero pollution, and zero harm. It always regards health, safety, and environmental (HSE) work as a "&amp;"prerequisite for business development and implements a unified HSE management system worldwide, forming a global integrated HSE work platform and risk management platform.")</f>
        <v>Environmental protection and the United Nations Sustainable Development Goals have enhanced HSE management. The company pursues the goal of zero accidents, zero pollution, and zero harm. It always regards health, safety, and environmental (HSE) work as a prerequisite for business development and implements a unified HSE management system worldwide, forming a global integrated HSE work platform and risk management platform.</v>
      </c>
      <c r="B4975" s="1" t="str">
        <f ca="1">IFERROR(__xludf.DUMMYFUNCTION("GOOGLETRANSLATE(A4975, ""zh"", ""en"")"),"Environmental Policy")</f>
        <v>Environmental Policy</v>
      </c>
      <c r="C4975" s="1" t="str">
        <f ca="1">IFERROR(__xludf.DUMMYFUNCTION("GOOGLETRANSLATE(E4975, ""zh"", ""en"")"),"Qualitative text")</f>
        <v>Qualitative text</v>
      </c>
    </row>
    <row r="4976" spans="1:3" ht="13" x14ac:dyDescent="0.15">
      <c r="A4976" s="1" t="str">
        <f ca="1">IFERROR(__xludf.DUMMYFUNCTION("GOOGLETRANSLATE(A4976, ""zh"", ""en"")"),"The company insists on making natural gas a strategic priority for green development, continuously increasing its efforts in natural gas exploration and development, promoting the exploration and development of conventional natural gas as well as unconven"&amp;"tional natural gas such as tight gas, shale gas, and coalbed methane, introducing foreign natural gas resources through multiple channels, accelerating the construction of liquefied natural gas (LNG) receiving stations and gas storage facilities, and buil"&amp;"ding a diversified energy supply system.")</f>
        <v>The company insists on making natural gas a strategic priority for green development, continuously increasing its efforts in natural gas exploration and development, promoting the exploration and development of conventional natural gas as well as unconventional natural gas such as tight gas, shale gas, and coalbed methane, introducing foreign natural gas resources through multiple channels, accelerating the construction of liquefied natural gas (LNG) receiving stations and gas storage facilities, and building a diversified energy supply system.</v>
      </c>
      <c r="B4976" s="1" t="str">
        <f ca="1">IFERROR(__xludf.DUMMYFUNCTION("GOOGLETRANSLATE(A4976, ""zh"", ""en"")"),"Energy and resource consumption")</f>
        <v>Energy and resource consumption</v>
      </c>
      <c r="C4976" s="1" t="str">
        <f ca="1">IFERROR(__xludf.DUMMYFUNCTION("GOOGLETRANSLATE(E4976, ""zh"", ""en"")"),"Qualitative text")</f>
        <v>Qualitative text</v>
      </c>
    </row>
    <row r="4977" spans="1:3" ht="13" x14ac:dyDescent="0.15">
      <c r="A4977" s="1" t="str">
        <f ca="1">IFERROR(__xludf.DUMMYFUNCTION("GOOGLETRANSLATE(A4977, ""zh"", ""en"")"),"Trust, Care, Cooperation, and Recognition Shanghai Electric Group Co., Ltd. 39402022 Social Responsibility Report Build a Solid and Stable Foundation for Development Material Issues Analysis During the reporting period, we collected investors' and other s"&amp;"takeholders' opinions on our ESG management and disclosure through in-depth interviews, surveys, and roadshows.")</f>
        <v>Trust, Care, Cooperation, and Recognition Shanghai Electric Group Co., Ltd. 39402022 Social Responsibility Report Build a Solid and Stable Foundation for Development Material Issues Analysis During the reporting period, we collected investors' and other stakeholders' opinions on our ESG management and disclosure through in-depth interviews, surveys, and roadshows.</v>
      </c>
      <c r="B4977" s="1" t="str">
        <f ca="1">IFERROR(__xludf.DUMMYFUNCTION("GOOGLETRANSLATE(A4977, ""zh"", ""en"")"),"Information Disclosure and Investor Communication")</f>
        <v>Information Disclosure and Investor Communication</v>
      </c>
      <c r="C4977" s="1" t="str">
        <f ca="1">IFERROR(__xludf.DUMMYFUNCTION("GOOGLETRANSLATE(E4977, ""zh"", ""en"")"),"Qualitative text")</f>
        <v>Qualitative text</v>
      </c>
    </row>
    <row r="4978" spans="1:3" ht="13" x14ac:dyDescent="0.15">
      <c r="A4978" s="1" t="str">
        <f ca="1">IFERROR(__xludf.DUMMYFUNCTION("GOOGLETRANSLATE(A4978, ""zh"", ""en"")"),"The Bank attaches great importance to and continuously strengthens ESG capacity building. It regularly conducts ESG strategic management and disclosure training for all employees, covering areas such as consumer rights protection, inclusive finance, green"&amp;" finance, anti-corruption, human resources, rural revitalization, complaint handling, risk management, and data security, to enhance employees' ESG awareness and related work capabilities.")</f>
        <v>The Bank attaches great importance to and continuously strengthens ESG capacity building. It regularly conducts ESG strategic management and disclosure training for all employees, covering areas such as consumer rights protection, inclusive finance, green finance, anti-corruption, human resources, rural revitalization, complaint handling, risk management, and data security, to enhance employees' ESG awareness and related work capabilities.</v>
      </c>
      <c r="B4978" s="1" t="str">
        <f ca="1">IFERROR(__xludf.DUMMYFUNCTION("GOOGLETRANSLATE(A4978, ""zh"", ""en"")"),"staff")</f>
        <v>staff</v>
      </c>
      <c r="C4978" s="1" t="str">
        <f ca="1">IFERROR(__xludf.DUMMYFUNCTION("GOOGLETRANSLATE(E4978, ""zh"", ""en"")"),"Qualitative text")</f>
        <v>Qualitative text</v>
      </c>
    </row>
    <row r="4979" spans="1:3" ht="13" x14ac:dyDescent="0.15">
      <c r="A4979" s="1" t="str">
        <f ca="1">IFERROR(__xludf.DUMMYFUNCTION("GOOGLETRANSLATE(A4979, ""zh"", ""en"")"),"Number of telephone banking customers: 10,000. The number of telephone banking customers disclosed in China Construction Bank's Social Responsibility Report refers to the number of customers who have signed contracts or opened CCB's telephone banking serv"&amp;"ices through password verification within the entire China Construction Bank, excluding domestic and overseas branches and subsidiaries, as of the end of the reporting period. It includes both corporate customers and individual customers.")</f>
        <v>Number of telephone banking customers: 10,000. The number of telephone banking customers disclosed in China Construction Bank's Social Responsibility Report refers to the number of customers who have signed contracts or opened CCB's telephone banking services through password verification within the entire China Construction Bank, excluding domestic and overseas branches and subsidiaries, as of the end of the reporting period. It includes both corporate customers and individual customers.</v>
      </c>
      <c r="B4979" s="1" t="str">
        <f ca="1">IFERROR(__xludf.DUMMYFUNCTION("GOOGLETRANSLATE(A4979, ""zh"", ""en"")"),"Customers and Consumers")</f>
        <v>Customers and Consumers</v>
      </c>
      <c r="C4979" s="1" t="str">
        <f ca="1">IFERROR(__xludf.DUMMYFUNCTION("GOOGLETRANSLATE(E4979, ""zh"", ""en"")"),"Quantitative Text")</f>
        <v>Quantitative Text</v>
      </c>
    </row>
    <row r="4980" spans="1:3" ht="13" x14ac:dyDescent="0.15">
      <c r="A4980" s="1" t="str">
        <f ca="1">IFERROR(__xludf.DUMMYFUNCTION("GOOGLETRANSLATE(A4980, ""zh"", ""en"")"),"The company will base itself on the domestic market and look to the global market to actively expand multi-energy complementary businesses such as wind, solar, thermal storage, and hydrogen, as well as integrated power, grid, load, and storage. It is comm"&amp;"itted to building a full life cycle service platform for new energy projects and relying on this platform to provide integrated product solutions with system optimization, minimal equipment, and intelligent control systems as the core to support the high-"&amp;"quality development of the group's new energy industry.")</f>
        <v>The company will base itself on the domestic market and look to the global market to actively expand multi-energy complementary businesses such as wind, solar, thermal storage, and hydrogen, as well as integrated power, grid, load, and storage. It is committed to building a full life cycle service platform for new energy projects and relying on this platform to provide integrated product solutions with system optimization, minimal equipment, and intelligent control systems as the core to support the high-quality development of the group's new energy industry.</v>
      </c>
      <c r="B4980" s="1" t="str">
        <f ca="1">IFERROR(__xludf.DUMMYFUNCTION("GOOGLETRANSLATE(A4980, ""zh"", ""en"")"),"Energy and resource consumption")</f>
        <v>Energy and resource consumption</v>
      </c>
      <c r="C4980" s="1" t="str">
        <f ca="1">IFERROR(__xludf.DUMMYFUNCTION("GOOGLETRANSLATE(E4980, ""zh"", ""en"")"),"Qualitative text")</f>
        <v>Qualitative text</v>
      </c>
    </row>
    <row r="4981" spans="1:3" ht="13" x14ac:dyDescent="0.15">
      <c r="A4981" s="1" t="str">
        <f ca="1">IFERROR(__xludf.DUMMYFUNCTION("GOOGLETRANSLATE(A4981, ""zh"", ""en"")"),"3. Supervisors and the Board of Supervisors The board of supervisors strictly implements the relevant provisions of the Company Law and the Articles of Association. The number and composition of members comply with the requirements of laws and regulations"&amp;". They are able to conscientiously perform their duties in accordance with the rules of procedure of the board of supervisors and other systems, supervise the company's finances and the legality and compliance of the performance of duties by directors and"&amp;" senior management, and express independent opinions.")</f>
        <v>3. Supervisors and the Board of Supervisors The board of supervisors strictly implements the relevant provisions of the Company Law and the Articles of Association. The number and composition of members comply with the requirements of laws and regulations. They are able to conscientiously perform their duties in accordance with the rules of procedure of the board of supervisors and other systems, supervise the company's finances and the legality and compliance of the performance of duties by directors and senior management, and express independent opinions.</v>
      </c>
      <c r="B4981" s="1" t="str">
        <f ca="1">IFERROR(__xludf.DUMMYFUNCTION("GOOGLETRANSLATE(A4981, ""zh"", ""en"")"),"Organizational structure and operations")</f>
        <v>Organizational structure and operations</v>
      </c>
      <c r="C4981" s="1" t="str">
        <f ca="1">IFERROR(__xludf.DUMMYFUNCTION("GOOGLETRANSLATE(E4981, ""zh"", ""en"")"),"Qualitative text")</f>
        <v>Qualitative text</v>
      </c>
    </row>
    <row r="4982" spans="1:3" ht="13" x14ac:dyDescent="0.15">
      <c r="A4982" s="1" t="str">
        <f ca="1">IFERROR(__xludf.DUMMYFUNCTION("GOOGLETRANSLATE(A4982, ""zh"", ""en"")"),"5. Supporting social welfare undertakings. Since its establishment, the company has always been committed to revitalizing the countryside, adhering to its original aspirations, and engaging in public welfare volunteer services. It has been enthusiastic ab"&amp;"out social welfare undertakings, actively upholding the spirit of dedication and social responsibility, fulfilling its social citizenship obligations, and participating in various charitable activities at all levels. The cumulative donations of money and "&amp;"materials have reached nearly 60 million yuan, establishing a good social image for the company.")</f>
        <v>5. Supporting social welfare undertakings. Since its establishment, the company has always been committed to revitalizing the countryside, adhering to its original aspirations, and engaging in public welfare volunteer services. It has been enthusiastic about social welfare undertakings, actively upholding the spirit of dedication and social responsibility, fulfilling its social citizenship obligations, and participating in various charitable activities at all levels. The cumulative donations of money and materials have reached nearly 60 million yuan, establishing a good social image for the company.</v>
      </c>
      <c r="B4982" s="1" t="str">
        <f ca="1">IFERROR(__xludf.DUMMYFUNCTION("GOOGLETRANSLATE(A4982, ""zh"", ""en"")"),"Public welfare and volunteer service")</f>
        <v>Public welfare and volunteer service</v>
      </c>
      <c r="C4982" s="1" t="str">
        <f ca="1">IFERROR(__xludf.DUMMYFUNCTION("GOOGLETRANSLATE(E4982, ""zh"", ""en"")"),"Quantitative Text")</f>
        <v>Quantitative Text</v>
      </c>
    </row>
    <row r="4983" spans="1:3" ht="13" x14ac:dyDescent="0.15">
      <c r="A4983" s="1" t="str">
        <f ca="1">IFERROR(__xludf.DUMMYFUNCTION("GOOGLETRANSLATE(A4983, ""zh"", ""en"")"),"The two-level Party committees conducted special research through the first topic center group study and other forms. The grassroots Party organization secretaries promptly followed up on the study through the ""three meetings and one lesson"" theme Party"&amp;" Day. The spirit of the 20th National Congress of the Party was the focus of cadre training and Party member education. Three batches of 49 rotation trainings were organized and carried out through posters, display boards, electronic screens, and bulletin"&amp;" boards to create an immersive learning atmosphere.")</f>
        <v>The two-level Party committees conducted special research through the first topic center group study and other forms. The grassroots Party organization secretaries promptly followed up on the study through the "three meetings and one lesson" theme Party Day. The spirit of the 20th National Congress of the Party was the focus of cadre training and Party member education. Three batches of 49 rotation trainings were organized and carried out through posters, display boards, electronic screens, and bulletin boards to create an immersive learning atmosphere.</v>
      </c>
      <c r="B4983" s="1" t="str">
        <f ca="1">IFERROR(__xludf.DUMMYFUNCTION("GOOGLETRANSLATE(A4983, ""zh"", ""en"")"),"Organizational structure and operations")</f>
        <v>Organizational structure and operations</v>
      </c>
      <c r="C4983" s="1" t="str">
        <f ca="1">IFERROR(__xludf.DUMMYFUNCTION("GOOGLETRANSLATE(E4983, ""zh"", ""en"")"),"Qualitative text")</f>
        <v>Qualitative text</v>
      </c>
    </row>
    <row r="4984" spans="1:3" ht="13" x14ac:dyDescent="0.15">
      <c r="A4984" s="1" t="str">
        <f ca="1">IFERROR(__xludf.DUMMYFUNCTION("GOOGLETRANSLATE(A4984, ""zh"", ""en"")"),"At the same time, Essence Securities formulated and issued the Essence Securities Co., Ltd. Customer Complaint Management Measures, which divided the complaint business into the competent departments, branches, headquarters and various departments' compla"&amp;"int work responsibilities. It announced multiple complaint acceptance channels such as customer service hotline, website, email, letter, and online service, established a complaint specialist position work mechanism and clarified the time limit for compla"&amp;"int handling.")</f>
        <v>At the same time, Essence Securities formulated and issued the Essence Securities Co., Ltd. Customer Complaint Management Measures, which divided the complaint business into the competent departments, branches, headquarters and various departments' complaint work responsibilities. It announced multiple complaint acceptance channels such as customer service hotline, website, email, letter, and online service, established a complaint specialist position work mechanism and clarified the time limit for complaint handling.</v>
      </c>
      <c r="B4984" s="1" t="str">
        <f ca="1">IFERROR(__xludf.DUMMYFUNCTION("GOOGLETRANSLATE(A4984, ""zh"", ""en"")"),"Customers and Consumers")</f>
        <v>Customers and Consumers</v>
      </c>
      <c r="C4984" s="1" t="str">
        <f ca="1">IFERROR(__xludf.DUMMYFUNCTION("GOOGLETRANSLATE(E4984, ""zh"", ""en"")"),"Qualitative text")</f>
        <v>Qualitative text</v>
      </c>
    </row>
    <row r="4985" spans="1:3" ht="13" x14ac:dyDescent="0.15">
      <c r="A4985" s="1" t="str">
        <f ca="1">IFERROR(__xludf.DUMMYFUNCTION("GOOGLETRANSLATE(A4985, ""zh"", ""en"")"),"Case study of the themed Party Day activity: Keeping in mind the original aspiration and mission, serving green development, and bravely shouldering national responsibilities. The Party Branch of SDIC Capital, China Life Asset Management, and China Invest"&amp;"ment and Insurance Corporation jointly held a themed Party Day activity: Keeping in mind the original aspiration and mission, serving green development, and bravely shouldering national responsibilities.")</f>
        <v>Case study of the themed Party Day activity: Keeping in mind the original aspiration and mission, serving green development, and bravely shouldering national responsibilities. The Party Branch of SDIC Capital, China Life Asset Management, and China Investment and Insurance Corporation jointly held a themed Party Day activity: Keeping in mind the original aspiration and mission, serving green development, and bravely shouldering national responsibilities.</v>
      </c>
      <c r="B4985" s="1" t="str">
        <f ca="1">IFERROR(__xludf.DUMMYFUNCTION("GOOGLETRANSLATE(A4985, ""zh"", ""en"")"),"Organizational structure and operations")</f>
        <v>Organizational structure and operations</v>
      </c>
      <c r="C4985" s="1" t="str">
        <f ca="1">IFERROR(__xludf.DUMMYFUNCTION("GOOGLETRANSLATE(E4985, ""zh"", ""en"")"),"Qualitative text")</f>
        <v>Qualitative text</v>
      </c>
    </row>
    <row r="4986" spans="1:3" ht="13" x14ac:dyDescent="0.15">
      <c r="A4986" s="1" t="str">
        <f ca="1">IFERROR(__xludf.DUMMYFUNCTION("GOOGLETRANSLATE(A4986, ""zh"", ""en"")"),"On the basis of ensuring the protective performance of the packaging, we will gradually expand the use of recycled paper in product packaging materials, reduce the consumption of scarce forest resources and the pollution emissions in the process of straw "&amp;"pulp papermaking, based on the development and application of self-developed adaptive backlight energy consumption control algorithm, digital power supply control, high-voltage LED light source and drive technologies.")</f>
        <v>On the basis of ensuring the protective performance of the packaging, we will gradually expand the use of recycled paper in product packaging materials, reduce the consumption of scarce forest resources and the pollution emissions in the process of straw pulp papermaking, based on the development and application of self-developed adaptive backlight energy consumption control algorithm, digital power supply control, high-voltage LED light source and drive technologies.</v>
      </c>
      <c r="B4986" s="1" t="str">
        <f ca="1">IFERROR(__xludf.DUMMYFUNCTION("GOOGLETRANSLATE(A4986, ""zh"", ""en"")"),"raw materials")</f>
        <v>raw materials</v>
      </c>
      <c r="C4986" s="1" t="str">
        <f ca="1">IFERROR(__xludf.DUMMYFUNCTION("GOOGLETRANSLATE(E4986, ""zh"", ""en"")"),"Qualitative text")</f>
        <v>Qualitative text</v>
      </c>
    </row>
    <row r="4987" spans="1:3" ht="13" x14ac:dyDescent="0.15">
      <c r="A4987" s="1" t="str">
        <f ca="1">IFERROR(__xludf.DUMMYFUNCTION("GOOGLETRANSLATE(A4987, ""zh"", ""en"")"),"Since 2013, Sinopec has been dedicated to targeted poverty alleviation efforts in Dongxiang, investing over RMB 700 million in total, implementing 236 projects and benefiting over 154,000 people. They also built the nation's first Chunlei gas station at D"&amp;"ongxiang Petrochemical Middle School, a girl-friendly space that has been praised and appreciated by the local government and residents.")</f>
        <v>Since 2013, Sinopec has been dedicated to targeted poverty alleviation efforts in Dongxiang, investing over RMB 700 million in total, implementing 236 projects and benefiting over 154,000 people. They also built the nation's first Chunlei gas station at Dongxiang Petrochemical Middle School, a girl-friendly space that has been praised and appreciated by the local government and residents.</v>
      </c>
      <c r="B4987" s="1" t="str">
        <f ca="1">IFERROR(__xludf.DUMMYFUNCTION("GOOGLETRANSLATE(A4987, ""zh"", ""en"")"),"Rural assistance")</f>
        <v>Rural assistance</v>
      </c>
      <c r="C4987" s="1" t="str">
        <f ca="1">IFERROR(__xludf.DUMMYFUNCTION("GOOGLETRANSLATE(E4987, ""zh"", ""en"")"),"Quantitative Text")</f>
        <v>Quantitative Text</v>
      </c>
    </row>
    <row r="4988" spans="1:3" ht="13" x14ac:dyDescent="0.15">
      <c r="A4988" s="1" t="str">
        <f ca="1">IFERROR(__xludf.DUMMYFUNCTION("GOOGLETRANSLATE(A4988, ""zh"", ""en"")"),"The government continues to deepen methane emission control actions and formulate laws and regulations to reduce methane emissions and escapes. Companies may need to continuously strengthen the construction of methane emission monitoring, reporting and ve"&amp;"rification (MRV) technology systems, increase additional facilities and technology investment, and also take more forceful measures to minimize methane leakage, which may increase the company's operating costs.")</f>
        <v>The government continues to deepen methane emission control actions and formulate laws and regulations to reduce methane emissions and escapes. Companies may need to continuously strengthen the construction of methane emission monitoring, reporting and verification (MRV) technology systems, increase additional facilities and technology investment, and also take more forceful measures to minimize methane leakage, which may increase the company's operating costs.</v>
      </c>
      <c r="B4988" s="1" t="str">
        <f ca="1">IFERROR(__xludf.DUMMYFUNCTION("GOOGLETRANSLATE(A4988, ""zh"", ""en"")"),"carbon emissions")</f>
        <v>carbon emissions</v>
      </c>
      <c r="C4988" s="1" t="str">
        <f ca="1">IFERROR(__xludf.DUMMYFUNCTION("GOOGLETRANSLATE(E4988, ""zh"", ""en"")"),"Qualitative text")</f>
        <v>Qualitative text</v>
      </c>
    </row>
    <row r="4989" spans="1:3" ht="13" x14ac:dyDescent="0.15">
      <c r="A4989" s="1" t="str">
        <f ca="1">IFERROR(__xludf.DUMMYFUNCTION("GOOGLETRANSLATE(A4989, ""zh"", ""en"")"),"The successful launch of the platform marks the establishment of the world's only international voluntary carbon credit product trading market that can provide settlement in both Hong Kong dollars and RMB. It is an important practice for the Hong Kong Sto"&amp;"ck Exchange to actively explore multi-currency carbon trading and will further consolidate Hong Kong's position as an international offshore RMB hub and a high-quality green and sustainable finance center.")</f>
        <v>The successful launch of the platform marks the establishment of the world's only international voluntary carbon credit product trading market that can provide settlement in both Hong Kong dollars and RMB. It is an important practice for the Hong Kong Stock Exchange to actively explore multi-currency carbon trading and will further consolidate Hong Kong's position as an international offshore RMB hub and a high-quality green and sustainable finance center.</v>
      </c>
      <c r="B4989" s="1" t="str">
        <f ca="1">IFERROR(__xludf.DUMMYFUNCTION("GOOGLETRANSLATE(A4989, ""zh"", ""en"")"),"carbon emissions")</f>
        <v>carbon emissions</v>
      </c>
      <c r="C4989" s="1" t="str">
        <f ca="1">IFERROR(__xludf.DUMMYFUNCTION("GOOGLETRANSLATE(E4989, ""zh"", ""en"")"),"Qualitative text")</f>
        <v>Qualitative text</v>
      </c>
    </row>
    <row r="4990" spans="1:3" ht="13" x14ac:dyDescent="0.15">
      <c r="A4990" s="1" t="str">
        <f ca="1">IFERROR(__xludf.DUMMYFUNCTION("GOOGLETRANSLATE(A4990, ""zh"", ""en"")"),"We have improved the investor risk assessment and knowledge test process to effectively prevent illegal answering behaviors to ensure the authenticity of the assessment results. We have further strengthened the verification of investor integrity. Based on"&amp;" the existing customers' active declaration of integrity, we have introduced an intelligent verification mechanism to strengthen the due diligence of integrity verification and prevent moral risks.")</f>
        <v>We have improved the investor risk assessment and knowledge test process to effectively prevent illegal answering behaviors to ensure the authenticity of the assessment results. We have further strengthened the verification of investor integrity. Based on the existing customers' active declaration of integrity, we have introduced an intelligent verification mechanism to strengthen the due diligence of integrity verification and prevent moral risks.</v>
      </c>
      <c r="B4990" s="1" t="str">
        <f ca="1">IFERROR(__xludf.DUMMYFUNCTION("GOOGLETRANSLATE(A4990, ""zh"", ""en"")"),"Intellectual Property Protection")</f>
        <v>Intellectual Property Protection</v>
      </c>
      <c r="C4990" s="1" t="str">
        <f ca="1">IFERROR(__xludf.DUMMYFUNCTION("GOOGLETRANSLATE(E4990, ""zh"", ""en"")"),"Qualitative text")</f>
        <v>Qualitative text</v>
      </c>
    </row>
    <row r="4991" spans="1:3" ht="13" x14ac:dyDescent="0.15">
      <c r="A4991" s="1" t="str">
        <f ca="1">IFERROR(__xludf.DUMMYFUNCTION("GOOGLETRANSLATE(A4991, ""zh"", ""en"")"),"In 2022, the Yichang Renfu Rural Revitalization Office continued to open poverty alleviation love windows and create agricultural product purchase and sales groups. It released information on the supply of materials to the counterpart villages around the "&amp;"main agricultural products of each village, enhanced the employees' sense of participation in rural revitalization, and created sales channels for agricultural products. In 2022, the cumulative amount of consumer assistance reached nearly 100,000 yuan.")</f>
        <v>In 2022, the Yichang Renfu Rural Revitalization Office continued to open poverty alleviation love windows and create agricultural product purchase and sales groups. It released information on the supply of materials to the counterpart villages around the main agricultural products of each village, enhanced the employees' sense of participation in rural revitalization, and created sales channels for agricultural products. In 2022, the cumulative amount of consumer assistance reached nearly 100,000 yuan.</v>
      </c>
      <c r="B4991" s="1" t="str">
        <f ca="1">IFERROR(__xludf.DUMMYFUNCTION("GOOGLETRANSLATE(A4991, ""zh"", ""en"")"),"Rural assistance")</f>
        <v>Rural assistance</v>
      </c>
      <c r="C4991" s="1" t="str">
        <f ca="1">IFERROR(__xludf.DUMMYFUNCTION("GOOGLETRANSLATE(E4991, ""zh"", ""en"")"),"Quantitative Text")</f>
        <v>Quantitative Text</v>
      </c>
    </row>
    <row r="4992" spans="1:3" ht="13" x14ac:dyDescent="0.15">
      <c r="A4992" s="1" t="str">
        <f ca="1">IFERROR(__xludf.DUMMYFUNCTION("GOOGLETRANSLATE(A4992, ""zh"", ""en"")"),"Haier Smart Home donated to Pakistan's flood relief efforts. Haier Air Conditioning donated air conditioners to the Italian Cancer Research Association. On June 16, 2022, Haier Air Conditioning donated a batch of Haier air conditioners designed and modifi"&amp;"ed by 118 local art school students to the Italian Cancer Research Association for auction. The proceeds from the auction will be used to support cancer research projects.")</f>
        <v>Haier Smart Home donated to Pakistan's flood relief efforts. Haier Air Conditioning donated air conditioners to the Italian Cancer Research Association. On June 16, 2022, Haier Air Conditioning donated a batch of Haier air conditioners designed and modified by 118 local art school students to the Italian Cancer Research Association for auction. The proceeds from the auction will be used to support cancer research projects.</v>
      </c>
      <c r="B4992" s="1" t="str">
        <f ca="1">IFERROR(__xludf.DUMMYFUNCTION("GOOGLETRANSLATE(A4992, ""zh"", ""en"")"),"Public welfare and volunteer service")</f>
        <v>Public welfare and volunteer service</v>
      </c>
      <c r="C4992" s="1" t="str">
        <f ca="1">IFERROR(__xludf.DUMMYFUNCTION("GOOGLETRANSLATE(E4992, ""zh"", ""en"")"),"Qualitative text")</f>
        <v>Qualitative text</v>
      </c>
    </row>
    <row r="4993" spans="1:3" ht="13" x14ac:dyDescent="0.15">
      <c r="A4993" s="1" t="str">
        <f ca="1">IFERROR(__xludf.DUMMYFUNCTION("GOOGLETRANSLATE(A4993, ""zh"", ""en"")"),"China Listed Company ESG Practice Excellence Model Award December 30, 2022 Brand Honors: Four of Haier Smart Home's interconnected factories are listed on the national list January 4, 2022 The Ministry of Industry and Information Technology's Equipment In"&amp;"dustry Division I announced the list of 2021 smart manufacturing pilot demonstration factories and outstanding scenarios, with four of Haier Smart Home's interconnected factories on the list.")</f>
        <v>China Listed Company ESG Practice Excellence Model Award December 30, 2022 Brand Honors: Four of Haier Smart Home's interconnected factories are listed on the national list January 4, 2022 The Ministry of Industry and Information Technology's Equipment Industry Division I announced the list of 2021 smart manufacturing pilot demonstration factories and outstanding scenarios, with four of Haier Smart Home's interconnected factories on the list.</v>
      </c>
      <c r="B4993" s="1" t="str">
        <f ca="1">IFERROR(__xludf.DUMMYFUNCTION("GOOGLETRANSLATE(A4993, ""zh"", ""en"")"),"Technological innovation")</f>
        <v>Technological innovation</v>
      </c>
      <c r="C4993" s="1" t="str">
        <f ca="1">IFERROR(__xludf.DUMMYFUNCTION("GOOGLETRANSLATE(E4993, ""zh"", ""en"")"),"Quantitative Text")</f>
        <v>Quantitative Text</v>
      </c>
    </row>
    <row r="4994" spans="1:3" ht="13" x14ac:dyDescent="0.15">
      <c r="A4994" s="1" t="str">
        <f ca="1">IFERROR(__xludf.DUMMYFUNCTION("GOOGLETRANSLATE(A4994, ""zh"", ""en"")"),"In 2022, we have inspected 64 key energy conservation and emission reduction projects in 15 parks and 5 directions. Among them, the company has continuously increased the use of renewable energy such as solar energy, purchased and used more than 10 millio"&amp;"n kWh of green electricity, continued to increase the construction of renewable energy, and used photovoltaic power generation on the roof of the factory to effectively improve energy efficiency.")</f>
        <v>In 2022, we have inspected 64 key energy conservation and emission reduction projects in 15 parks and 5 directions. Among them, the company has continuously increased the use of renewable energy such as solar energy, purchased and used more than 10 million kWh of green electricity, continued to increase the construction of renewable energy, and used photovoltaic power generation on the roof of the factory to effectively improve energy efficiency.</v>
      </c>
      <c r="B4994" s="1" t="str">
        <f ca="1">IFERROR(__xludf.DUMMYFUNCTION("GOOGLETRANSLATE(A4994, ""zh"", ""en"")"),"Energy and resource consumption")</f>
        <v>Energy and resource consumption</v>
      </c>
      <c r="C4994" s="1" t="str">
        <f ca="1">IFERROR(__xludf.DUMMYFUNCTION("GOOGLETRANSLATE(E4994, ""zh"", ""en"")"),"Quantitative Text")</f>
        <v>Quantitative Text</v>
      </c>
    </row>
    <row r="4995" spans="1:3" ht="13" x14ac:dyDescent="0.15">
      <c r="A4995" s="1" t="str">
        <f ca="1">IFERROR(__xludf.DUMMYFUNCTION("GOOGLETRANSLATE(A4995, ""zh"", ""en"")"),"Health Management Enterprise Health Management Cloud Project In 2022, Shanghai Electric leveraged the Internet and digital platforms to introduce high-quality medical resources and launched the Enterprise Health Management Cloud Project. This project prov"&amp;"ides convenient medical services through 24/7 remote video doctor consultations, psychological health consultations, and green medical channels, comprehensively improving the level of enterprise health management.")</f>
        <v>Health Management Enterprise Health Management Cloud Project In 2022, Shanghai Electric leveraged the Internet and digital platforms to introduce high-quality medical resources and launched the Enterprise Health Management Cloud Project. This project provides convenient medical services through 24/7 remote video doctor consultations, psychological health consultations, and green medical channels, comprehensively improving the level of enterprise health management.</v>
      </c>
      <c r="B4995" s="1" t="str">
        <f ca="1">IFERROR(__xludf.DUMMYFUNCTION("GOOGLETRANSLATE(A4995, ""zh"", ""en"")"),"staff")</f>
        <v>staff</v>
      </c>
      <c r="C4995" s="1" t="str">
        <f ca="1">IFERROR(__xludf.DUMMYFUNCTION("GOOGLETRANSLATE(E4995, ""zh"", ""en"")"),"Qualitative text")</f>
        <v>Qualitative text</v>
      </c>
    </row>
    <row r="4996" spans="1:3" ht="13" x14ac:dyDescent="0.15">
      <c r="A4996" s="1" t="str">
        <f ca="1">IFERROR(__xludf.DUMMYFUNCTION("GOOGLETRANSLATE(A4996, ""zh"", ""en"")"),"The Board of Directors has established a Sustainability Committee, chaired by the Chairman. The committee is responsible for overseeing and reviewing the company's ESG strategic goals and annual work plans, and reporting ESG implementation results and maj"&amp;"or plans to the Board of Directors. The Strategy Committee and the Audit Committee also participate in the review and decision-making of ESG-related matters such as the company's response to climate change and health and safety.")</f>
        <v>The Board of Directors has established a Sustainability Committee, chaired by the Chairman. The committee is responsible for overseeing and reviewing the company's ESG strategic goals and annual work plans, and reporting ESG implementation results and major plans to the Board of Directors. The Strategy Committee and the Audit Committee also participate in the review and decision-making of ESG-related matters such as the company's response to climate change and health and safety.</v>
      </c>
      <c r="B4996" s="1" t="str">
        <f ca="1">IFERROR(__xludf.DUMMYFUNCTION("GOOGLETRANSLATE(A4996, ""zh"", ""en"")"),"Addressing climate change")</f>
        <v>Addressing climate change</v>
      </c>
      <c r="C4996" s="1" t="str">
        <f ca="1">IFERROR(__xludf.DUMMYFUNCTION("GOOGLETRANSLATE(E4996, ""zh"", ""en"")"),"Qualitative text")</f>
        <v>Qualitative text</v>
      </c>
    </row>
    <row r="4997" spans="1:3" ht="13" x14ac:dyDescent="0.15">
      <c r="A4997" s="1" t="str">
        <f ca="1">IFERROR(__xludf.DUMMYFUNCTION("GOOGLETRANSLATE(A4997, ""zh"", ""en"")"),"In 2022, we will continue to optimize our anti-fraud work charter, improve the responsibilities of various departments in anti-corruption, anti-fraud, and anti-money laundering audits, strengthen pre-emptive risk management for internal control, audit, an"&amp;"d anti-fraud collaboration, propose requirements for strengthening proactive detection capabilities, and conduct anti-fraud prevention and governance through internal control system and management upgrades, further improving risk identification standards.")</f>
        <v>In 2022, we will continue to optimize our anti-fraud work charter, improve the responsibilities of various departments in anti-corruption, anti-fraud, and anti-money laundering audits, strengthen pre-emptive risk management for internal control, audit, and anti-fraud collaboration, propose requirements for strengthening proactive detection capabilities, and conduct anti-fraud prevention and governance through internal control system and management upgrades, further improving risk identification standards.</v>
      </c>
      <c r="B4997" s="1" t="str">
        <f ca="1">IFERROR(__xludf.DUMMYFUNCTION("GOOGLETRANSLATE(A4997, ""zh"", ""en"")"),"Anti-corruption and anti-money laundering")</f>
        <v>Anti-corruption and anti-money laundering</v>
      </c>
      <c r="C4997" s="1" t="str">
        <f ca="1">IFERROR(__xludf.DUMMYFUNCTION("GOOGLETRANSLATE(E4997, ""zh"", ""en"")"),"Qualitative text")</f>
        <v>Qualitative text</v>
      </c>
    </row>
    <row r="4998" spans="1:3" ht="13" x14ac:dyDescent="0.15">
      <c r="A4998" s="1" t="str">
        <f ca="1">IFERROR(__xludf.DUMMYFUNCTION("GOOGLETRANSLATE(A4998, ""zh"", ""en"")"),"822022 Social Responsibility Report: A New Landscape of Openness and Collaboration. Government and businesses join forces to create a medium-capacity Minhang model. Shanghai Electric signs an agreement for the Yunnan Yuxi Zero-Carbon Industrial Park const"&amp;"ruction project. In February 2022, at the Shanghai Minhang District People's Government's Shanghai Electric Shentong Metro signing ceremony, Shanghai Shendiantong Rail Transit Technology Co., Ltd. was officially unveiled.")</f>
        <v>822022 Social Responsibility Report: A New Landscape of Openness and Collaboration. Government and businesses join forces to create a medium-capacity Minhang model. Shanghai Electric signs an agreement for the Yunnan Yuxi Zero-Carbon Industrial Park construction project. In February 2022, at the Shanghai Minhang District People's Government's Shanghai Electric Shentong Metro signing ceremony, Shanghai Shendiantong Rail Transit Technology Co., Ltd. was officially unveiled.</v>
      </c>
      <c r="B4998" s="1" t="str">
        <f ca="1">IFERROR(__xludf.DUMMYFUNCTION("GOOGLETRANSLATE(A4998, ""zh"", ""en"")"),"carbon emissions")</f>
        <v>carbon emissions</v>
      </c>
      <c r="C4998" s="1" t="str">
        <f ca="1">IFERROR(__xludf.DUMMYFUNCTION("GOOGLETRANSLATE(E4998, ""zh"", ""en"")"),"Qualitative text")</f>
        <v>Qualitative text</v>
      </c>
    </row>
    <row r="4999" spans="1:3" ht="13" x14ac:dyDescent="0.15">
      <c r="A4999" s="1" t="str">
        <f ca="1">IFERROR(__xludf.DUMMYFUNCTION("GOOGLETRANSLATE(A4999, ""zh"", ""en"")"),"Fengxian New Town Shanghai Electric New Energy Development Co., Ltd. will actively expand its multi-energy complementary business, including wind, solar, thermal storage, and hydrogen, as well as its integrated source, grid, load, and storage business. It"&amp;" will build a full-lifecycle service platform for new energy projects, promote the implementation of multiple smart projects, and participate in the construction of new towns in areas such as green planning and zero-carbon industrial parks. Together with "&amp;"the new town, it will create a model of smart cities in the Yangtze River Delta.")</f>
        <v>Fengxian New Town Shanghai Electric New Energy Development Co., Ltd. will actively expand its multi-energy complementary business, including wind, solar, thermal storage, and hydrogen, as well as its integrated source, grid, load, and storage business. It will build a full-lifecycle service platform for new energy projects, promote the implementation of multiple smart projects, and participate in the construction of new towns in areas such as green planning and zero-carbon industrial parks. Together with the new town, it will create a model of smart cities in the Yangtze River Delta.</v>
      </c>
      <c r="B4999" s="1" t="str">
        <f ca="1">IFERROR(__xludf.DUMMYFUNCTION("GOOGLETRANSLATE(A4999, ""zh"", ""en"")"),"Energy and resource consumption")</f>
        <v>Energy and resource consumption</v>
      </c>
      <c r="C4999" s="1" t="str">
        <f ca="1">IFERROR(__xludf.DUMMYFUNCTION("GOOGLETRANSLATE(E4999, ""zh"", ""en"")"),"Qualitative text")</f>
        <v>Qualitative text</v>
      </c>
    </row>
    <row r="5000" spans="1:3" ht="13" x14ac:dyDescent="0.15">
      <c r="A5000" s="1" t="str">
        <f ca="1">IFERROR(__xludf.DUMMYFUNCTION("GOOGLETRANSLATE(A5000, ""zh"", ""en"")"),"842022 Social Responsibility Report Amidst the rapid development of global new energy, Shanghai Electric, with an open and cooperative mindset, firmly grasps emerging opportunities within the industry. While promoting the exchange and collaboration of res"&amp;"ources, knowledge, and technology within the industry, it continues to enhance its own competitiveness, building a corporate moat with advanced technology and leading innovation capabilities.")</f>
        <v>842022 Social Responsibility Report Amidst the rapid development of global new energy, Shanghai Electric, with an open and cooperative mindset, firmly grasps emerging opportunities within the industry. While promoting the exchange and collaboration of resources, knowledge, and technology within the industry, it continues to enhance its own competitiveness, building a corporate moat with advanced technology and leading innovation capabilities.</v>
      </c>
      <c r="B5000" s="1" t="str">
        <f ca="1">IFERROR(__xludf.DUMMYFUNCTION("GOOGLETRANSLATE(A5000, ""zh"", ""en"")"),"Technological innovation")</f>
        <v>Technological innovation</v>
      </c>
      <c r="C5000" s="1" t="str">
        <f ca="1">IFERROR(__xludf.DUMMYFUNCTION("GOOGLETRANSLATE(E5000, ""zh"", ""en"")"),"Qualitative text")</f>
        <v>Qualitative text</v>
      </c>
    </row>
    <row r="5001" spans="1:3" ht="13" x14ac:dyDescent="0.15">
      <c r="A5001" s="1" t="str">
        <f ca="1">IFERROR(__xludf.DUMMYFUNCTION("GOOGLETRANSLATE(A5001, ""zh"", ""en"")"),"Statement from the Board of Directors: CITIC Securities actively serves as a bridge connecting the real economy and capital markets, facilitating the high-level circulation of technology capital and the real economy, guiding the flow of financial resource"&amp;"s to key sectors, strengthening business deployment in new technologies and new business models, serving traditional industries in their transition towards high-end, intelligent, and green development, and contributing financial strength to the multi-dime"&amp;"nsional development of the real economy.")</f>
        <v>Statement from the Board of Directors: CITIC Securities actively serves as a bridge connecting the real economy and capital markets, facilitating the high-level circulation of technology capital and the real economy, guiding the flow of financial resources to key sectors, strengthening business deployment in new technologies and new business models, serving traditional industries in their transition towards high-end, intelligent, and green development, and contributing financial strength to the multi-dimensional development of the real economy.</v>
      </c>
      <c r="B5001" s="1" t="str">
        <f ca="1">IFERROR(__xludf.DUMMYFUNCTION("GOOGLETRANSLATE(A5001, ""zh"", ""en"")"),"Technological innovation")</f>
        <v>Technological innovation</v>
      </c>
      <c r="C5001" s="1" t="str">
        <f ca="1">IFERROR(__xludf.DUMMYFUNCTION("GOOGLETRANSLATE(E5001, ""zh"", ""en"")"),"Qualitative text")</f>
        <v>Qualitative text</v>
      </c>
    </row>
    <row r="5002" spans="1:3" ht="13" x14ac:dyDescent="0.15">
      <c r="A5002" s="1" t="str">
        <f ca="1">IFERROR(__xludf.DUMMYFUNCTION("GOOGLETRANSLATE(A5002, ""zh"", ""en"")"),"Four measures are being taken to strengthen marketing and proactively expand the market. 1. Americas Market In 2022, the product categories of the Americas Division's main DIY and supermarket customers will be further expanded to include home decoration p"&amp;"roducts, which have been widely recognized by customers. The market share of LED lighting products will further increase, and the added value and gross profit level of products are expected to further increase.")</f>
        <v>Four measures are being taken to strengthen marketing and proactively expand the market. 1. Americas Market In 2022, the product categories of the Americas Division's main DIY and supermarket customers will be further expanded to include home decoration products, which have been widely recognized by customers. The market share of LED lighting products will further increase, and the added value and gross profit level of products are expected to further increase.</v>
      </c>
      <c r="B5002" s="1" t="str">
        <f ca="1">IFERROR(__xludf.DUMMYFUNCTION("GOOGLETRANSLATE(A5002, ""zh"", ""en"")"),"Customers and Consumers")</f>
        <v>Customers and Consumers</v>
      </c>
      <c r="C5002" s="1" t="str">
        <f ca="1">IFERROR(__xludf.DUMMYFUNCTION("GOOGLETRANSLATE(E5002, ""zh"", ""en"")"),"Qualitative text")</f>
        <v>Qualitative text</v>
      </c>
    </row>
    <row r="5003" spans="1:3" ht="13" x14ac:dyDescent="0.15">
      <c r="A5003" s="1" t="str">
        <f ca="1">IFERROR(__xludf.DUMMYFUNCTION("GOOGLETRANSLATE(A5003, ""zh"", ""en"")"),"Explore the ESG management topic and see responsibility, safety first, people-oriented, mutual benefit and win-win. GRI Content Index: www..cn. In June 2016, the Internet Society of China, in collaboration with Public Welfare Pictorial and the Jimin Qizhi"&amp;" Rehabilitation Center in Shunyi District, Beijing, held an exhibition of paintings from the stars for people with autism, hoping to gain more attention and understanding for people with autism.")</f>
        <v>Explore the ESG management topic and see responsibility, safety first, people-oriented, mutual benefit and win-win. GRI Content Index: www..cn. In June 2016, the Internet Society of China, in collaboration with Public Welfare Pictorial and the Jimin Qizhi Rehabilitation Center in Shunyi District, Beijing, held an exhibition of paintings from the stars for people with autism, hoping to gain more attention and understanding for people with autism.</v>
      </c>
      <c r="B5003" s="1" t="str">
        <f ca="1">IFERROR(__xludf.DUMMYFUNCTION("GOOGLETRANSLATE(A5003, ""zh"", ""en"")"),"Public welfare and volunteer service")</f>
        <v>Public welfare and volunteer service</v>
      </c>
      <c r="C5003" s="1" t="str">
        <f ca="1">IFERROR(__xludf.DUMMYFUNCTION("GOOGLETRANSLATE(E5003, ""zh"", ""en"")"),"Qualitative text")</f>
        <v>Qualitative text</v>
      </c>
    </row>
    <row r="5004" spans="1:3" ht="13" x14ac:dyDescent="0.15">
      <c r="A5004" s="1" t="str">
        <f ca="1">IFERROR(__xludf.DUMMYFUNCTION("GOOGLETRANSLATE(A5004, ""zh"", ""en"")"),"360 Safety Technology Co., Ltd. Environmental, Social and Governance Report 360 Safety Technology Co., Ltd. Environmental, Social and Governance Report About this report: 360 Safety Technology Co., Ltd.'s Social Responsibility Report was officially rename"&amp;"d the Environmental, Social and Governance (ESG) Report in 2017, disclosing the company's annual ESG work and achievements.")</f>
        <v>360 Safety Technology Co., Ltd. Environmental, Social and Governance Report 360 Safety Technology Co., Ltd. Environmental, Social and Governance Report About this report: 360 Safety Technology Co., Ltd.'s Social Responsibility Report was officially renamed the Environmental, Social and Governance (ESG) Report in 2017, disclosing the company's annual ESG work and achievements.</v>
      </c>
      <c r="B5004" s="1" t="str">
        <f ca="1">IFERROR(__xludf.DUMMYFUNCTION("GOOGLETRANSLATE(A5004, ""zh"", ""en"")"),"irrelevant text")</f>
        <v>irrelevant text</v>
      </c>
      <c r="C5004" s="1" t="str">
        <f ca="1">IFERROR(__xludf.DUMMYFUNCTION("GOOGLETRANSLATE(E5004, ""zh"", ""en"")"),"irrelevant text")</f>
        <v>irrelevant text</v>
      </c>
    </row>
    <row r="5005" spans="1:3" ht="13" x14ac:dyDescent="0.15">
      <c r="A5005" s="1" t="str">
        <f ca="1">IFERROR(__xludf.DUMMYFUNCTION("GOOGLETRANSLATE(A5005, ""zh"", ""en"")"),"Actively integrating into the dual-circulation development strategy to facilitate domestic circulation, we have provided integrated steel distribution services for the construction of the Hangzhou Airport Rail Express since 2019. As an important transport"&amp;"ation supporting project for the Hangzhou Asian Games, this project is time-sensitive and demanding. In particular, the construction of the Hangzhou West Station hub section requires the underground construction to be completed on schedule before the abov"&amp;"e-ground construction can begin.")</f>
        <v>Actively integrating into the dual-circulation development strategy to facilitate domestic circulation, we have provided integrated steel distribution services for the construction of the Hangzhou Airport Rail Express since 2019. As an important transportation supporting project for the Hangzhou Asian Games, this project is time-sensitive and demanding. In particular, the construction of the Hangzhou West Station hub section requires the underground construction to be completed on schedule before the above-ground construction can begin.</v>
      </c>
      <c r="B5005" s="1" t="str">
        <f ca="1">IFERROR(__xludf.DUMMYFUNCTION("GOOGLETRANSLATE(A5005, ""zh"", ""en"")"),"Technological innovation")</f>
        <v>Technological innovation</v>
      </c>
      <c r="C5005" s="1" t="str">
        <f ca="1">IFERROR(__xludf.DUMMYFUNCTION("GOOGLETRANSLATE(E5005, ""zh"", ""en"")"),"Qualitative text")</f>
        <v>Qualitative text</v>
      </c>
    </row>
    <row r="5006" spans="1:3" ht="13" x14ac:dyDescent="0.15">
      <c r="A5006" s="1" t="str">
        <f ca="1">IFERROR(__xludf.DUMMYFUNCTION("GOOGLETRANSLATE(A5006, ""zh"", ""en"")"),"Plan deep purchase production procurement production distribution procurement production distribution return supplier return enterprise return customer return internal or external internal or external end-to-end supply chain station list to supply out lis"&amp;"t output supply in 2022 member companies in the supply chain lean core product packaging form integration production cycle optimization and other aspects of the reduction achieved good results.")</f>
        <v>Plan deep purchase production procurement production distribution procurement production distribution return supplier return enterprise return customer return internal or external internal or external end-to-end supply chain station list to supply out list output supply in 2022 member companies in the supply chain lean core product packaging form integration production cycle optimization and other aspects of the reduction achieved good results.</v>
      </c>
      <c r="B5006" s="1" t="str">
        <f ca="1">IFERROR(__xludf.DUMMYFUNCTION("GOOGLETRANSLATE(A5006, ""zh"", ""en"")"),"supply chain management")</f>
        <v>supply chain management</v>
      </c>
      <c r="C5006" s="1" t="str">
        <f ca="1">IFERROR(__xludf.DUMMYFUNCTION("GOOGLETRANSLATE(E5006, ""zh"", ""en"")"),"Qualitative text")</f>
        <v>Qualitative text</v>
      </c>
    </row>
    <row r="5007" spans="1:3" ht="13" x14ac:dyDescent="0.15">
      <c r="A5007" s="1" t="str">
        <f ca="1">IFERROR(__xludf.DUMMYFUNCTION("GOOGLETRANSLATE(A5007, ""zh"", ""en"")"),"Taking customer needs as its starting point and urban development as its expansion area, Dongyuan Renzhi Service insists on extending its service tentacles and continuously expanding its urban service sectors, such as community operators, community develo"&amp;"pers, humanities protectors and other roles. Through specific cases and targeted breakthroughs adapted to local conditions, it deeply explores the operation and management system of various fields in the city.")</f>
        <v>Taking customer needs as its starting point and urban development as its expansion area, Dongyuan Renzhi Service insists on extending its service tentacles and continuously expanding its urban service sectors, such as community operators, community developers, humanities protectors and other roles. Through specific cases and targeted breakthroughs adapted to local conditions, it deeply explores the operation and management system of various fields in the city.</v>
      </c>
      <c r="B5007" s="1" t="str">
        <f ca="1">IFERROR(__xludf.DUMMYFUNCTION("GOOGLETRANSLATE(A5007, ""zh"", ""en"")"),"Customers and Consumers")</f>
        <v>Customers and Consumers</v>
      </c>
      <c r="C5007" s="1" t="str">
        <f ca="1">IFERROR(__xludf.DUMMYFUNCTION("GOOGLETRANSLATE(E5007, ""zh"", ""en"")"),"Qualitative text")</f>
        <v>Qualitative text</v>
      </c>
    </row>
    <row r="5008" spans="1:3" ht="13" x14ac:dyDescent="0.15">
      <c r="A5008" s="1" t="str">
        <f ca="1">IFERROR(__xludf.DUMMYFUNCTION("GOOGLETRANSLATE(A5008, ""zh"", ""en"")"),"More than 700 people, including representatives of grassroots section chiefs, sales company salesmen, and key personnel of nylon new materials, were organized to visit the company's party members to watch warning education videos such as ""Chu Xin Ru Xin"&amp;""" and use electronic screens to strengthen the promotion of clean government knowledge, integrate large classrooms into small platforms, and effectively promote the clean government education room to visit and watch warning education videos and learn typ"&amp;"ical cases.")</f>
        <v>More than 700 people, including representatives of grassroots section chiefs, sales company salesmen, and key personnel of nylon new materials, were organized to visit the company's party members to watch warning education videos such as "Chu Xin Ru Xin" and use electronic screens to strengthen the promotion of clean government knowledge, integrate large classrooms into small platforms, and effectively promote the clean government education room to visit and watch warning education videos and learn typical cases.</v>
      </c>
      <c r="B5008" s="1" t="str">
        <f ca="1">IFERROR(__xludf.DUMMYFUNCTION("GOOGLETRANSLATE(A5008, ""zh"", ""en"")"),"Anti-corruption and anti-money laundering")</f>
        <v>Anti-corruption and anti-money laundering</v>
      </c>
      <c r="C5008" s="1" t="str">
        <f ca="1">IFERROR(__xludf.DUMMYFUNCTION("GOOGLETRANSLATE(E5008, ""zh"", ""en"")"),"Quantitative Text")</f>
        <v>Quantitative Text</v>
      </c>
    </row>
    <row r="5009" spans="1:3" ht="13" x14ac:dyDescent="0.15">
      <c r="A5009" s="1" t="str">
        <f ca="1">IFERROR(__xludf.DUMMYFUNCTION("GOOGLETRANSLATE(A5009, ""zh"", ""en"")"),"Shema Tizi Cloth held an EAP employee assistance program knowledge training course. Nearly 60 people attended the training, including grassroots party branch secretaries, general branch chairmen of grassroots trade unions, and heads of political work depa"&amp;"rtments of Shenma Tizi Cloth, Shenma Co., Ltd., and Shenma New Materials Company.")</f>
        <v>Shema Tizi Cloth held an EAP employee assistance program knowledge training course. Nearly 60 people attended the training, including grassroots party branch secretaries, general branch chairmen of grassroots trade unions, and heads of political work departments of Shenma Tizi Cloth, Shenma Co., Ltd., and Shenma New Materials Company.</v>
      </c>
      <c r="B5009" s="1" t="str">
        <f ca="1">IFERROR(__xludf.DUMMYFUNCTION("GOOGLETRANSLATE(A5009, ""zh"", ""en"")"),"staff")</f>
        <v>staff</v>
      </c>
      <c r="C5009" s="1" t="str">
        <f ca="1">IFERROR(__xludf.DUMMYFUNCTION("GOOGLETRANSLATE(E5009, ""zh"", ""en"")"),"Quantitative Text")</f>
        <v>Quantitative Text</v>
      </c>
    </row>
    <row r="5010" spans="1:3" ht="13" x14ac:dyDescent="0.15">
      <c r="A5010" s="1" t="str">
        <f ca="1">IFERROR(__xludf.DUMMYFUNCTION("GOOGLETRANSLATE(A5010, ""zh"", ""en"")"),"Conducted two integrity inspections and five integrity training sessions for audit supervision. SDIC Capital attaches great importance to audit supervision, promoting management, controlling risks, and strengthening supervision. It established an audit su"&amp;"pervision and management system through digital and intelligent means, conducted multi-dimensional and multi-level analysis of relevant data, and comprehensively improved the efficiency of audit supervision and management work at the company headquarters "&amp;"and its invested enterprises.")</f>
        <v>Conducted two integrity inspections and five integrity training sessions for audit supervision. SDIC Capital attaches great importance to audit supervision, promoting management, controlling risks, and strengthening supervision. It established an audit supervision and management system through digital and intelligent means, conducted multi-dimensional and multi-level analysis of relevant data, and comprehensively improved the efficiency of audit supervision and management work at the company headquarters and its invested enterprises.</v>
      </c>
      <c r="B5010" s="1" t="str">
        <f ca="1">IFERROR(__xludf.DUMMYFUNCTION("GOOGLETRANSLATE(A5010, ""zh"", ""en"")"),"Audit work")</f>
        <v>Audit work</v>
      </c>
      <c r="C5010" s="1" t="str">
        <f ca="1">IFERROR(__xludf.DUMMYFUNCTION("GOOGLETRANSLATE(E5010, ""zh"", ""en"")"),"Quantitative Text")</f>
        <v>Quantitative Text</v>
      </c>
    </row>
    <row r="5011" spans="1:3" ht="13" x14ac:dyDescent="0.15">
      <c r="A5011" s="1" t="str">
        <f ca="1">IFERROR(__xludf.DUMMYFUNCTION("GOOGLETRANSLATE(A5011, ""zh"", ""en"")"),"11. Energy Savings (10,000 tons of standard coal) The energy savings disclosed in the Environmental, Social and Governance (ESG) report refers to the energy savings achieved by subsidiaries of PetroChina in 2022, based on the same production volume or wor"&amp;"kload, compared to the same period last year, as well as the sum of the energy savings achieved by various energy-saving projects.")</f>
        <v>11. Energy Savings (10,000 tons of standard coal) The energy savings disclosed in the Environmental, Social and Governance (ESG) report refers to the energy savings achieved by subsidiaries of PetroChina in 2022, based on the same production volume or workload, compared to the same period last year, as well as the sum of the energy savings achieved by various energy-saving projects.</v>
      </c>
      <c r="B5011" s="1" t="str">
        <f ca="1">IFERROR(__xludf.DUMMYFUNCTION("GOOGLETRANSLATE(A5011, ""zh"", ""en"")"),"Energy and resource consumption")</f>
        <v>Energy and resource consumption</v>
      </c>
      <c r="C5011" s="1" t="str">
        <f ca="1">IFERROR(__xludf.DUMMYFUNCTION("GOOGLETRANSLATE(E5011, ""zh"", ""en"")"),"Qualitative text")</f>
        <v>Qualitative text</v>
      </c>
    </row>
    <row r="5012" spans="1:3" ht="13" x14ac:dyDescent="0.15">
      <c r="A5012" s="1" t="str">
        <f ca="1">IFERROR(__xludf.DUMMYFUNCTION("GOOGLETRANSLATE(A5012, ""zh"", ""en"")"),"The company strictly abides by the Production Safety Law of the People's Republic of China, the Fire Protection Law of the People's Republic of China, the Law of the People's Republic of China on the Prevention and Control of Occupational Diseases, and ot"&amp;"her relevant laws and regulations, and continues to deepen the operation of the occupational health and safety management system.")</f>
        <v>The company strictly abides by the Production Safety Law of the People's Republic of China, the Fire Protection Law of the People's Republic of China, the Law of the People's Republic of China on the Prevention and Control of Occupational Diseases, and other relevant laws and regulations, and continues to deepen the operation of the occupational health and safety management system.</v>
      </c>
      <c r="B5012" s="1" t="str">
        <f ca="1">IFERROR(__xludf.DUMMYFUNCTION("GOOGLETRANSLATE(A5012, ""zh"", ""en"")"),"staff")</f>
        <v>staff</v>
      </c>
      <c r="C5012" s="1" t="str">
        <f ca="1">IFERROR(__xludf.DUMMYFUNCTION("GOOGLETRANSLATE(E5012, ""zh"", ""en"")"),"Qualitative text")</f>
        <v>Qualitative text</v>
      </c>
    </row>
    <row r="5013" spans="1:3" ht="13" x14ac:dyDescent="0.15">
      <c r="A5013" s="1" t="str">
        <f ca="1">IFERROR(__xludf.DUMMYFUNCTION("GOOGLETRANSLATE(A5013, ""zh"", ""en"")"),"Develop a circular economy, lay out the CCUS industry chain, develop technologies and equipment for efficient carbon dioxide capture, transportation, injection, and storage, and proactively deploy new-generation organic amine adsorbents, solid adsorbents,"&amp;" and other capture technologies. Develop long-distance, large-capacity carbon dioxide transportation and storage data simulations, and achieve integrated air and space monitoring to capture, utilize, and store low-concentration carbon dioxide.")</f>
        <v>Develop a circular economy, lay out the CCUS industry chain, develop technologies and equipment for efficient carbon dioxide capture, transportation, injection, and storage, and proactively deploy new-generation organic amine adsorbents, solid adsorbents, and other capture technologies. Develop long-distance, large-capacity carbon dioxide transportation and storage data simulations, and achieve integrated air and space monitoring to capture, utilize, and store low-concentration carbon dioxide.</v>
      </c>
      <c r="B5013" s="1" t="str">
        <f ca="1">IFERROR(__xludf.DUMMYFUNCTION("GOOGLETRANSLATE(A5013, ""zh"", ""en"")"),"carbon emissions")</f>
        <v>carbon emissions</v>
      </c>
      <c r="C5013" s="1" t="str">
        <f ca="1">IFERROR(__xludf.DUMMYFUNCTION("GOOGLETRANSLATE(E5013, ""zh"", ""en"")"),"Qualitative text")</f>
        <v>Qualitative text</v>
      </c>
    </row>
    <row r="5014" spans="1:3" ht="13" x14ac:dyDescent="0.15">
      <c r="A5014" s="1" t="str">
        <f ca="1">IFERROR(__xludf.DUMMYFUNCTION("GOOGLETRANSLATE(A5014, ""zh"", ""en"")"),"The company strengthened its top-level design and continuously improved the overall layout of the Talent Strengthening Enterprise Project. It has successively formulated the Talent Strengthening Enterprise Project Action Plan, the Talent Strengthening Ent"&amp;"erprise Project 2021-2025 Construction Plan, and the 2022 Operation Schedule. It has also introduced supporting documents such as the Human Resources Value Evaluation Method and the pilot Talent Special Project Promotion Plan for New Energy, New Materials"&amp;", and New Business Development.")</f>
        <v>The company strengthened its top-level design and continuously improved the overall layout of the Talent Strengthening Enterprise Project. It has successively formulated the Talent Strengthening Enterprise Project Action Plan, the Talent Strengthening Enterprise Project 2021-2025 Construction Plan, and the 2022 Operation Schedule. It has also introduced supporting documents such as the Human Resources Value Evaluation Method and the pilot Talent Special Project Promotion Plan for New Energy, New Materials, and New Business Development.</v>
      </c>
      <c r="B5014" s="1" t="str">
        <f ca="1">IFERROR(__xludf.DUMMYFUNCTION("GOOGLETRANSLATE(A5014, ""zh"", ""en"")"),"staff")</f>
        <v>staff</v>
      </c>
      <c r="C5014" s="1" t="str">
        <f ca="1">IFERROR(__xludf.DUMMYFUNCTION("GOOGLETRANSLATE(E5014, ""zh"", ""en"")"),"Qualitative text")</f>
        <v>Qualitative text</v>
      </c>
    </row>
    <row r="5015" spans="1:3" ht="13" x14ac:dyDescent="0.15">
      <c r="A5015" s="1" t="str">
        <f ca="1">IFERROR(__xludf.DUMMYFUNCTION("GOOGLETRANSLATE(A5015, ""zh"", ""en"")"),"138 Innovation for Good Health Continuous Innovation Enjoys Health China Corporate Social Responsibility Report Rating Expert Committee Comprehensive Rating After evaluation by the rating team, Shanghai Fosun Pharmaceutical Group Co., Ltd. 2022 Social Res"&amp;"ponsibility Report was rated five stars and is an excellent corporate social responsibility report.")</f>
        <v>138 Innovation for Good Health Continuous Innovation Enjoys Health China Corporate Social Responsibility Report Rating Expert Committee Comprehensive Rating After evaluation by the rating team, Shanghai Fosun Pharmaceutical Group Co., Ltd. 2022 Social Responsibility Report was rated five stars and is an excellent corporate social responsibility report.</v>
      </c>
      <c r="B5015" s="1" t="str">
        <f ca="1">IFERROR(__xludf.DUMMYFUNCTION("GOOGLETRANSLATE(A5015, ""zh"", ""en"")"),"Sustainable certification")</f>
        <v>Sustainable certification</v>
      </c>
      <c r="C5015" s="1" t="str">
        <f ca="1">IFERROR(__xludf.DUMMYFUNCTION("GOOGLETRANSLATE(E5015, ""zh"", ""en"")"),"Quantitative Text")</f>
        <v>Quantitative Text</v>
      </c>
    </row>
    <row r="5016" spans="1:3" ht="13" x14ac:dyDescent="0.15">
      <c r="A5016" s="1" t="str">
        <f ca="1">IFERROR(__xludf.DUMMYFUNCTION("GOOGLETRANSLATE(A5016, ""zh"", ""en"")"),"Ningxia Pharmaceutical Fermentation Waste Gas Treatment Improvement Project, with a total investment of RMB 2.8 million, upgraded the waste gas treatment facilities in the 1032 fermentation workshop. A new waste gas treatment facility with a treatment cap"&amp;"acity of 85,000 m³h was added. The treatment process used was sodium hypochlorite absorption, water spray absorption, and two-phase superoxide water micro-nano bubbles, significantly improving waste gas treatment efficiency.")</f>
        <v>Ningxia Pharmaceutical Fermentation Waste Gas Treatment Improvement Project, with a total investment of RMB 2.8 million, upgraded the waste gas treatment facilities in the 1032 fermentation workshop. A new waste gas treatment facility with a treatment capacity of 85,000 m³h was added. The treatment process used was sodium hypochlorite absorption, water spray absorption, and two-phase superoxide water micro-nano bubbles, significantly improving waste gas treatment efficiency.</v>
      </c>
      <c r="B5016" s="1" t="str">
        <f ca="1">IFERROR(__xludf.DUMMYFUNCTION("GOOGLETRANSLATE(A5016, ""zh"", ""en"")"),"Waste Management")</f>
        <v>Waste Management</v>
      </c>
      <c r="C5016" s="1" t="str">
        <f ca="1">IFERROR(__xludf.DUMMYFUNCTION("GOOGLETRANSLATE(E5016, ""zh"", ""en"")"),"Quantitative Text")</f>
        <v>Quantitative Text</v>
      </c>
    </row>
    <row r="5017" spans="1:3" ht="13" x14ac:dyDescent="0.15">
      <c r="A5017" s="1" t="str">
        <f ca="1">IFERROR(__xludf.DUMMYFUNCTION("GOOGLETRANSLATE(A5017, ""zh"", ""en"")"),"The first and second phases of the shareholding plan were approved by the Company's shareholders' meeting in June 2021 and May 2022, respectively. The second phase of the shareholding plan was completed on June 7, 2022, through centralized bidding in the "&amp;"secondary market, with a total purchase amount of 6,275,372 shares of the Company's stock for a total transaction amount of RMB 75,740,661.60.")</f>
        <v>The first and second phases of the shareholding plan were approved by the Company's shareholders' meeting in June 2021 and May 2022, respectively. The second phase of the shareholding plan was completed on June 7, 2022, through centralized bidding in the secondary market, with a total purchase amount of 6,275,372 shares of the Company's stock for a total transaction amount of RMB 75,740,661.60.</v>
      </c>
      <c r="B5017" s="1" t="str">
        <f ca="1">IFERROR(__xludf.DUMMYFUNCTION("GOOGLETRANSLATE(A5017, ""zh"", ""en"")"),"Shareholder and creditor rights")</f>
        <v>Shareholder and creditor rights</v>
      </c>
      <c r="C5017" s="1" t="str">
        <f ca="1">IFERROR(__xludf.DUMMYFUNCTION("GOOGLETRANSLATE(E5017, ""zh"", ""en"")"),"Quantitative Text")</f>
        <v>Quantitative Text</v>
      </c>
    </row>
    <row r="5018" spans="1:3" ht="13" x14ac:dyDescent="0.15">
      <c r="A5018" s="1" t="str">
        <f ca="1">IFERROR(__xludf.DUMMYFUNCTION("GOOGLETRANSLATE(A5018, ""zh"", ""en"")"),"88 major system documents are established to control the quality of the entire process of R&amp;D, manufacturing and sales in response to product needs. In terms of quality inspection, according to the provisions of each system document, quality inspection is"&amp;" carried out on products at the stages of raw materials and parts entering the factory, product manufacturing, warehousing and delivery. Unqualified products are reworked, repaired or scrapped according to regulations to ensure that quality problems are n"&amp;"ot leaked.")</f>
        <v>88 major system documents are established to control the quality of the entire process of R&amp;D, manufacturing and sales in response to product needs. In terms of quality inspection, according to the provisions of each system document, quality inspection is carried out on products at the stages of raw materials and parts entering the factory, product manufacturing, warehousing and delivery. Unqualified products are reworked, repaired or scrapped according to regulations to ensure that quality problems are not leaked.</v>
      </c>
      <c r="B5018" s="1" t="str">
        <f ca="1">IFERROR(__xludf.DUMMYFUNCTION("GOOGLETRANSLATE(A5018, ""zh"", ""en"")"),"Product quality")</f>
        <v>Product quality</v>
      </c>
      <c r="C5018" s="1" t="str">
        <f ca="1">IFERROR(__xludf.DUMMYFUNCTION("GOOGLETRANSLATE(E5018, ""zh"", ""en"")"),"Qualitative text")</f>
        <v>Qualitative text</v>
      </c>
    </row>
    <row r="5019" spans="1:3" ht="13" x14ac:dyDescent="0.15">
      <c r="A5019" s="1" t="str">
        <f ca="1">IFERROR(__xludf.DUMMYFUNCTION("GOOGLETRANSLATE(A5019, ""zh"", ""en"")"),"The wastewater delightening tower system project cost RMB 2 million. By building a new single-component wastewater delightening tower system, the separated wastewater discharged from the production was desolventized, distilled and delightened. Through the"&amp;" treatment and recycling at the front end of the wastewater delightening tower, an average of 500L of solvent was recovered per day, and more than 150 tons were recovered annually for reuse in production, realizing the recycling of resources and reducing "&amp;"production costs.")</f>
        <v>The wastewater delightening tower system project cost RMB 2 million. By building a new single-component wastewater delightening tower system, the separated wastewater discharged from the production was desolventized, distilled and delightened. Through the treatment and recycling at the front end of the wastewater delightening tower, an average of 500L of solvent was recovered per day, and more than 150 tons were recovered annually for reuse in production, realizing the recycling of resources and reducing production costs.</v>
      </c>
      <c r="B5019" s="1" t="str">
        <f ca="1">IFERROR(__xludf.DUMMYFUNCTION("GOOGLETRANSLATE(A5019, ""zh"", ""en"")"),"Waste Management")</f>
        <v>Waste Management</v>
      </c>
      <c r="C5019" s="1" t="str">
        <f ca="1">IFERROR(__xludf.DUMMYFUNCTION("GOOGLETRANSLATE(E5019, ""zh"", ""en"")"),"Quantitative Text")</f>
        <v>Quantitative Text</v>
      </c>
    </row>
    <row r="5020" spans="1:3" ht="13" x14ac:dyDescent="0.15">
      <c r="A5020" s="1" t="str">
        <f ca="1">IFERROR(__xludf.DUMMYFUNCTION("GOOGLETRANSLATE(A5020, ""zh"", ""en"")"),"This year, we established a three-stage career development framework for new graduates, encompassing onboarding, growth, and development. Through our new employee onboarding program, which includes induction training, corporate training courses, workplace"&amp;" skills courses, and quality development activities, we help new graduates understand basic company information, quickly learn and adapt to the corporate culture, and complete the transition from campus to workplace.")</f>
        <v>This year, we established a three-stage career development framework for new graduates, encompassing onboarding, growth, and development. Through our new employee onboarding program, which includes induction training, corporate training courses, workplace skills courses, and quality development activities, we help new graduates understand basic company information, quickly learn and adapt to the corporate culture, and complete the transition from campus to workplace.</v>
      </c>
      <c r="B5020" s="1" t="str">
        <f ca="1">IFERROR(__xludf.DUMMYFUNCTION("GOOGLETRANSLATE(A5020, ""zh"", ""en"")"),"staff")</f>
        <v>staff</v>
      </c>
      <c r="C5020" s="1" t="str">
        <f ca="1">IFERROR(__xludf.DUMMYFUNCTION("GOOGLETRANSLATE(E5020, ""zh"", ""en"")"),"Qualitative text")</f>
        <v>Qualitative text</v>
      </c>
    </row>
    <row r="5021" spans="1:3" ht="13" x14ac:dyDescent="0.15">
      <c r="A5021" s="1" t="str">
        <f ca="1">IFERROR(__xludf.DUMMYFUNCTION("GOOGLETRANSLATE(A5021, ""zh"", ""en"")"),"After 15 years of restoration, the area has a green area of ​​560,000 square meters, a water surface area of ​​1,020,000 square meters, 250,000 square meters of lawns and flowers, 100,000 square meters of aquatic plants, more than 1 million trees and shru"&amp;"bs, 99 species of wild plants and more than 60 species of wild animals, including the national second-level protected animals such as the crested grebe, the white-bone fowl, and the mallard.")</f>
        <v>After 15 years of restoration, the area has a green area of ​​560,000 square meters, a water surface area of ​​1,020,000 square meters, 250,000 square meters of lawns and flowers, 100,000 square meters of aquatic plants, more than 1 million trees and shrubs, 99 species of wild plants and more than 60 species of wild animals, including the national second-level protected animals such as the crested grebe, the white-bone fowl, and the mallard.</v>
      </c>
      <c r="B5021" s="1" t="str">
        <f ca="1">IFERROR(__xludf.DUMMYFUNCTION("GOOGLETRANSLATE(A5021, ""zh"", ""en"")"),"biodiversity")</f>
        <v>biodiversity</v>
      </c>
      <c r="C5021" s="1" t="str">
        <f ca="1">IFERROR(__xludf.DUMMYFUNCTION("GOOGLETRANSLATE(E5021, ""zh"", ""en"")"),"Quantitative Text")</f>
        <v>Quantitative Text</v>
      </c>
    </row>
    <row r="5022" spans="1:3" ht="13" x14ac:dyDescent="0.15">
      <c r="A5022" s="1" t="str">
        <f ca="1">IFERROR(__xludf.DUMMYFUNCTION("GOOGLETRANSLATE(A5022, ""zh"", ""en"")"),"In 2022, the company will further strengthen the tracking and research of tax management dynamics, strengthen the study and training of tax policies, continuously deepen the integration of industry, finance and taxation, timely adjust and optimize tax-rel"&amp;"ated business processes, and improve the policy understanding and application capabilities of tax management personnel, providing solid support for promoting the high-quality development of the company.")</f>
        <v>In 2022, the company will further strengthen the tracking and research of tax management dynamics, strengthen the study and training of tax policies, continuously deepen the integration of industry, finance and taxation, timely adjust and optimize tax-related business processes, and improve the policy understanding and application capabilities of tax management personnel, providing solid support for promoting the high-quality development of the company.</v>
      </c>
      <c r="B5022" s="1" t="str">
        <f ca="1">IFERROR(__xludf.DUMMYFUNCTION("GOOGLETRANSLATE(A5022, ""zh"", ""en"")"),"Tax transparency")</f>
        <v>Tax transparency</v>
      </c>
      <c r="C5022" s="1" t="str">
        <f ca="1">IFERROR(__xludf.DUMMYFUNCTION("GOOGLETRANSLATE(E5022, ""zh"", ""en"")"),"Qualitative text")</f>
        <v>Qualitative text</v>
      </c>
    </row>
    <row r="5023" spans="1:3" ht="13" x14ac:dyDescent="0.15">
      <c r="A5023" s="1" t="str">
        <f ca="1">IFERROR(__xludf.DUMMYFUNCTION("GOOGLETRANSLATE(A5023, ""zh"", ""en"")"),"In 2022, we conducted dual-carbon-related research on more than 200 suppliers, accounting for the top 80 suppliers in terms of procurement volume. We conducted research on the setting of carbon peak and carbon neutrality years for enterprises, greenhouse "&amp;"gas inventory verification, carbon reduction scope, major achievements in the green and low-carbon fields, related report disclosure, and future development plans. A total of 197 suppliers responded.")</f>
        <v>In 2022, we conducted dual-carbon-related research on more than 200 suppliers, accounting for the top 80 suppliers in terms of procurement volume. We conducted research on the setting of carbon peak and carbon neutrality years for enterprises, greenhouse gas inventory verification, carbon reduction scope, major achievements in the green and low-carbon fields, related report disclosure, and future development plans. A total of 197 suppliers responded.</v>
      </c>
      <c r="B5023" s="1" t="str">
        <f ca="1">IFERROR(__xludf.DUMMYFUNCTION("GOOGLETRANSLATE(A5023, ""zh"", ""en"")"),"carbon emissions")</f>
        <v>carbon emissions</v>
      </c>
      <c r="C5023" s="1" t="str">
        <f ca="1">IFERROR(__xludf.DUMMYFUNCTION("GOOGLETRANSLATE(E5023, ""zh"", ""en"")"),"Quantitative Text")</f>
        <v>Quantitative Text</v>
      </c>
    </row>
    <row r="5024" spans="1:3" ht="13" x14ac:dyDescent="0.15">
      <c r="A5024" s="1" t="str">
        <f ca="1">IFERROR(__xludf.DUMMYFUNCTION("GOOGLETRANSLATE(A5024, ""zh"", ""en"")"),"We carry out customer-friendly and distinctive financial knowledge education activities for key customer groups such as the elderly, teenagers, ethnic minorities, and new urban residents. We hold aerobics competitions, theme speeches, and photography comp"&amp;"etitions for the elderly, painting competitions for teenagers, and Golden Bee campus consumer protection education activities. We also create exclusive consumer protection classes for key customer groups on the CCB learning platform.")</f>
        <v>We carry out customer-friendly and distinctive financial knowledge education activities for key customer groups such as the elderly, teenagers, ethnic minorities, and new urban residents. We hold aerobics competitions, theme speeches, and photography competitions for the elderly, painting competitions for teenagers, and Golden Bee campus consumer protection education activities. We also create exclusive consumer protection classes for key customer groups on the CCB learning platform.</v>
      </c>
      <c r="B5024" s="1" t="str">
        <f ca="1">IFERROR(__xludf.DUMMYFUNCTION("GOOGLETRANSLATE(A5024, ""zh"", ""en"")"),"Customers and Consumers")</f>
        <v>Customers and Consumers</v>
      </c>
      <c r="C5024" s="1" t="str">
        <f ca="1">IFERROR(__xludf.DUMMYFUNCTION("GOOGLETRANSLATE(E5024, ""zh"", ""en"")"),"Qualitative text")</f>
        <v>Qualitative text</v>
      </c>
    </row>
    <row r="5025" spans="1:3" ht="13" x14ac:dyDescent="0.15">
      <c r="A5025" s="1" t="str">
        <f ca="1">IFERROR(__xludf.DUMMYFUNCTION("GOOGLETRANSLATE(A5025, ""zh"", ""en"")"),"The company's three-level production safety management system continues to improve. All senior executives and production safety managers at all logistics sites have obtained safety training certificates. A total of 78 people hold certificates, accounting "&amp;"for 18% of the total number of employees, excluding contract workers. All company leaders and production safety managers at all levels earnestly fulfill their safety responsibilities in accordance with the ""three controls and three musts"" requirements.")</f>
        <v>The company's three-level production safety management system continues to improve. All senior executives and production safety managers at all logistics sites have obtained safety training certificates. A total of 78 people hold certificates, accounting for 18% of the total number of employees, excluding contract workers. All company leaders and production safety managers at all levels earnestly fulfill their safety responsibilities in accordance with the "three controls and three musts" requirements.</v>
      </c>
      <c r="B5025" s="1" t="str">
        <f ca="1">IFERROR(__xludf.DUMMYFUNCTION("GOOGLETRANSLATE(A5025, ""zh"", ""en"")"),"staff")</f>
        <v>staff</v>
      </c>
      <c r="C5025" s="1" t="str">
        <f ca="1">IFERROR(__xludf.DUMMYFUNCTION("GOOGLETRANSLATE(E5025, ""zh"", ""en"")"),"Quantitative Text")</f>
        <v>Quantitative Text</v>
      </c>
    </row>
    <row r="5026" spans="1:3" ht="13" x14ac:dyDescent="0.15">
      <c r="A5026" s="1" t="str">
        <f ca="1">IFERROR(__xludf.DUMMYFUNCTION("GOOGLETRANSLATE(A5026, ""zh"", ""en"")"),"Note 234: Granted in China (excluding Hong Kong, Linghe, and other regions). Case Study: Caring for Children with Epilepsy. Wanbang Pharmaceutical's Patient Care Benefit Program benefits more children. Vigatin, introduced by Wanbang Pharmaceutical, a Fosu"&amp;"n Pharma member company, is the first officially marketed vigabatrin in China for the treatment of infantile epilepsy.")</f>
        <v>Note 234: Granted in China (excluding Hong Kong, Linghe, and other regions). Case Study: Caring for Children with Epilepsy. Wanbang Pharmaceutical's Patient Care Benefit Program benefits more children. Vigatin, introduced by Wanbang Pharmaceutical, a Fosun Pharma member company, is the first officially marketed vigabatrin in China for the treatment of infantile epilepsy.</v>
      </c>
      <c r="B5026" s="1" t="str">
        <f ca="1">IFERROR(__xludf.DUMMYFUNCTION("GOOGLETRANSLATE(A5026, ""zh"", ""en"")"),"Public welfare and volunteer service")</f>
        <v>Public welfare and volunteer service</v>
      </c>
      <c r="C5026" s="1" t="str">
        <f ca="1">IFERROR(__xludf.DUMMYFUNCTION("GOOGLETRANSLATE(E5026, ""zh"", ""en"")"),"Qualitative text")</f>
        <v>Qualitative text</v>
      </c>
    </row>
    <row r="5027" spans="1:3" ht="13" x14ac:dyDescent="0.15">
      <c r="A5027" s="1" t="str">
        <f ca="1">IFERROR(__xludf.DUMMYFUNCTION("GOOGLETRANSLATE(A5027, ""zh"", ""en"")"),"We attach great importance to and continue to promote ESG management, using ESG as a strategic tool to empower corporate sustainable development, actively responding to Fosun Pharma's MSCIESG rating agreement in 2022 and the national carbon peak and carbo"&amp;"n neutrality leap to A-level, and continuously practicing the concept of low-carbon green development in the pharmaceutical industry that is globally rated by MSCI.")</f>
        <v>We attach great importance to and continue to promote ESG management, using ESG as a strategic tool to empower corporate sustainable development, actively responding to Fosun Pharma's MSCIESG rating agreement in 2022 and the national carbon peak and carbon neutrality leap to A-level, and continuously practicing the concept of low-carbon green development in the pharmaceutical industry that is globally rated by MSCI.</v>
      </c>
      <c r="B5027" s="1" t="str">
        <f ca="1">IFERROR(__xludf.DUMMYFUNCTION("GOOGLETRANSLATE(A5027, ""zh"", ""en"")"),"carbon emissions")</f>
        <v>carbon emissions</v>
      </c>
      <c r="C5027" s="1" t="str">
        <f ca="1">IFERROR(__xludf.DUMMYFUNCTION("GOOGLETRANSLATE(E5027, ""zh"", ""en"")"),"Quantitative Text")</f>
        <v>Quantitative Text</v>
      </c>
    </row>
    <row r="5028" spans="1:3" ht="13" x14ac:dyDescent="0.15">
      <c r="A5028" s="1" t="str">
        <f ca="1">IFERROR(__xludf.DUMMYFUNCTION("GOOGLETRANSLATE(A5028, ""zh"", ""en"")"),"2022 Social Responsibility Report 6.2 Corporate Governance 1. Corporate Governance System The Company strictly complies with the requirements of the Company Law, the Articles of Association and other relevant corporate governance normative documents, and "&amp;"in accordance with the needs and actual conditions of the Company's operations and management, improves the Company's corporate governance structure, strengthens the Company's internal control management system and business processes, and enhances the Com"&amp;"pany's standardized operations.")</f>
        <v>2022 Social Responsibility Report 6.2 Corporate Governance 1. Corporate Governance System The Company strictly complies with the requirements of the Company Law, the Articles of Association and other relevant corporate governance normative documents, and in accordance with the needs and actual conditions of the Company's operations and management, improves the Company's corporate governance structure, strengthens the Company's internal control management system and business processes, and enhances the Company's standardized operations.</v>
      </c>
      <c r="B5028" s="1" t="str">
        <f ca="1">IFERROR(__xludf.DUMMYFUNCTION("GOOGLETRANSLATE(A5028, ""zh"", ""en"")"),"Organizational structure and operations")</f>
        <v>Organizational structure and operations</v>
      </c>
      <c r="C5028" s="1" t="str">
        <f ca="1">IFERROR(__xludf.DUMMYFUNCTION("GOOGLETRANSLATE(E5028, ""zh"", ""en"")"),"Qualitative text")</f>
        <v>Qualitative text</v>
      </c>
    </row>
    <row r="5029" spans="1:3" ht="13" x14ac:dyDescent="0.15">
      <c r="A5029" s="1" t="str">
        <f ca="1">IFERROR(__xludf.DUMMYFUNCTION("GOOGLETRANSLATE(A5029, ""zh"", ""en"")"),"This report is prepared and printed in both simplified Chinese and English. It is available in both paper and electronic formats. The electronic version can be downloaded and read on Fosun Pharma's website at https://www.fosunpharma.com/sustainabilityrepo"&amp;"rt.html.")</f>
        <v>This report is prepared and printed in both simplified Chinese and English. It is available in both paper and electronic formats. The electronic version can be downloaded and read on Fosun Pharma's website at https://www.fosunpharma.com/sustainabilityreport.html.</v>
      </c>
      <c r="B5029" s="1" t="str">
        <f ca="1">IFERROR(__xludf.DUMMYFUNCTION("GOOGLETRANSLATE(A5029, ""zh"", ""en"")"),"irrelevant text")</f>
        <v>irrelevant text</v>
      </c>
      <c r="C5029" s="1" t="str">
        <f ca="1">IFERROR(__xludf.DUMMYFUNCTION("GOOGLETRANSLATE(E5029, ""zh"", ""en"")"),"irrelevant text")</f>
        <v>irrelevant text</v>
      </c>
    </row>
    <row r="5030" spans="1:3" ht="13" x14ac:dyDescent="0.15">
      <c r="A5030" s="1" t="str">
        <f ca="1">IFERROR(__xludf.DUMMYFUNCTION("GOOGLETRANSLATE(A5030, ""zh"", ""en"")"),"CART10 Innovation for Good Health Continuous Innovation for Enjoying Good Health Company Profile Shanghai Fosun Pharmaceutical Group Co., Ltd. Research and clinical development capabilities for best-in-class new drugs Fosun Pharma Stock Code: 600196.SH Ac"&amp;"celerate the development and commercialization of innovative technologies and products")</f>
        <v>CART10 Innovation for Good Health Continuous Innovation for Enjoying Good Health Company Profile Shanghai Fosun Pharmaceutical Group Co., Ltd. Research and clinical development capabilities for best-in-class new drugs Fosun Pharma Stock Code: 600196.SH Accelerate the development and commercialization of innovative technologies and products</v>
      </c>
      <c r="B5030" s="1" t="str">
        <f ca="1">IFERROR(__xludf.DUMMYFUNCTION("GOOGLETRANSLATE(A5030, ""zh"", ""en"")"),"Technological innovation")</f>
        <v>Technological innovation</v>
      </c>
      <c r="C5030" s="1" t="str">
        <f ca="1">IFERROR(__xludf.DUMMYFUNCTION("GOOGLETRANSLATE(E5030, ""zh"", ""en"")"),"Qualitative text")</f>
        <v>Qualitative text</v>
      </c>
    </row>
    <row r="5031" spans="1:3" ht="13" x14ac:dyDescent="0.15">
      <c r="A5031" s="1" t="str">
        <f ca="1">IFERROR(__xludf.DUMMYFUNCTION("GOOGLETRANSLATE(A5031, ""zh"", ""en"")"),"Successfully signed a strategic cooperation agreement with Heilongjiang Longmei Group. Our products primarily focus on high-tech, high-value-added shearer cables. We were shortlisted for Zhejiang Huayou Cobalt's annual centralized computer cable procureme"&amp;"nt framework. Our primary supply products are small, compact computer cables and fluoroplastic heat-resistant specialty cables. We were shortlisted for the Huainan Mining Group's supplier system. Our supply volume tripled that of last year.")</f>
        <v>Successfully signed a strategic cooperation agreement with Heilongjiang Longmei Group. Our products primarily focus on high-tech, high-value-added shearer cables. We were shortlisted for Zhejiang Huayou Cobalt's annual centralized computer cable procurement framework. Our primary supply products are small, compact computer cables and fluoroplastic heat-resistant specialty cables. We were shortlisted for the Huainan Mining Group's supplier system. Our supply volume tripled that of last year.</v>
      </c>
      <c r="B5031" s="1" t="str">
        <f ca="1">IFERROR(__xludf.DUMMYFUNCTION("GOOGLETRANSLATE(A5031, ""zh"", ""en"")"),"supply chain management")</f>
        <v>supply chain management</v>
      </c>
      <c r="C5031" s="1" t="str">
        <f ca="1">IFERROR(__xludf.DUMMYFUNCTION("GOOGLETRANSLATE(E5031, ""zh"", ""en"")"),"Quantitative Text")</f>
        <v>Quantitative Text</v>
      </c>
    </row>
    <row r="5032" spans="1:3" ht="13" x14ac:dyDescent="0.15">
      <c r="A5032" s="1" t="str">
        <f ca="1">IFERROR(__xludf.DUMMYFUNCTION("GOOGLETRANSLATE(A5032, ""zh"", ""en"")"),"44452022 Indigenous Peoples' Heartwarming Plan helps people win vegetable gift packs. Standing firm and working alongside community owners, the regional customer operations team directly created heartwarming welfare activities. The Indigenous Peoples' ser"&amp;"ies was launched in November during the epidemic. The Indigenous Peoples' Heartwarming Plan helps people win vegetable gift packs. Dongyuan Property purchases vegetable gift packs for door-to-door delivery, winning the trust of old owners during this spec"&amp;"ial period.")</f>
        <v>44452022 Indigenous Peoples' Heartwarming Plan helps people win vegetable gift packs. Standing firm and working alongside community owners, the regional customer operations team directly created heartwarming welfare activities. The Indigenous Peoples' series was launched in November during the epidemic. The Indigenous Peoples' Heartwarming Plan helps people win vegetable gift packs. Dongyuan Property purchases vegetable gift packs for door-to-door delivery, winning the trust of old owners during this special period.</v>
      </c>
      <c r="B5032" s="1" t="str">
        <f ca="1">IFERROR(__xludf.DUMMYFUNCTION("GOOGLETRANSLATE(A5032, ""zh"", ""en"")"),"Fighting the epidemic")</f>
        <v>Fighting the epidemic</v>
      </c>
      <c r="C5032" s="1" t="str">
        <f ca="1">IFERROR(__xludf.DUMMYFUNCTION("GOOGLETRANSLATE(E5032, ""zh"", ""en"")"),"Qualitative text")</f>
        <v>Qualitative text</v>
      </c>
    </row>
    <row r="5033" spans="1:3" ht="13" x14ac:dyDescent="0.15">
      <c r="A5033" s="1" t="str">
        <f ca="1">IFERROR(__xludf.DUMMYFUNCTION("GOOGLETRANSLATE(A5033, ""zh"", ""en"")"),"Public Welfare Donation Metal Company donated epidemic prevention materials to Chaoming Street where it is located. 02 Metal Company International Company Environmental Energy Company Chemical Company Jinshi Company 34 In order to welcome the upcoming 614"&amp;" World Blood Donor Day, we continue to promote the spirit of volunteer service, use our passion and love to convey great love and practice social responsibility. On June 10, we organized a free blood donation and love activity.")</f>
        <v>Public Welfare Donation Metal Company donated epidemic prevention materials to Chaoming Street where it is located. 02 Metal Company International Company Environmental Energy Company Chemical Company Jinshi Company 34 In order to welcome the upcoming 614 World Blood Donor Day, we continue to promote the spirit of volunteer service, use our passion and love to convey great love and practice social responsibility. On June 10, we organized a free blood donation and love activity.</v>
      </c>
      <c r="B5033" s="1" t="str">
        <f ca="1">IFERROR(__xludf.DUMMYFUNCTION("GOOGLETRANSLATE(A5033, ""zh"", ""en"")"),"Fighting the epidemic")</f>
        <v>Fighting the epidemic</v>
      </c>
      <c r="C5033" s="1" t="str">
        <f ca="1">IFERROR(__xludf.DUMMYFUNCTION("GOOGLETRANSLATE(E5033, ""zh"", ""en"")"),"Qualitative text")</f>
        <v>Qualitative text</v>
      </c>
    </row>
    <row r="5034" spans="1:3" ht="13" x14ac:dyDescent="0.15">
      <c r="A5034" s="1" t="str">
        <f ca="1">IFERROR(__xludf.DUMMYFUNCTION("GOOGLETRANSLATE(A5034, ""zh"", ""en"")"),"At the same time, we use big data cloud monitoring systems to conduct pre-emptive risk warnings and screening. We identify and sort out anti-corruption, anti-fraud, and anti-money laundering risks at all levels of the company, factory, industrial platform"&amp;", etc. on a daily, weekly, monthly, and quarterly basis. We identify risks in business scenarios through risk audits, transformation, and process diagnosis, and drive governance and improvement of common risks through mechanisms.")</f>
        <v>At the same time, we use big data cloud monitoring systems to conduct pre-emptive risk warnings and screening. We identify and sort out anti-corruption, anti-fraud, and anti-money laundering risks at all levels of the company, factory, industrial platform, etc. on a daily, weekly, monthly, and quarterly basis. We identify risks in business scenarios through risk audits, transformation, and process diagnosis, and drive governance and improvement of common risks through mechanisms.</v>
      </c>
      <c r="B5034" s="1" t="str">
        <f ca="1">IFERROR(__xludf.DUMMYFUNCTION("GOOGLETRANSLATE(A5034, ""zh"", ""en"")"),"Anti-corruption and anti-money laundering")</f>
        <v>Anti-corruption and anti-money laundering</v>
      </c>
      <c r="C5034" s="1" t="str">
        <f ca="1">IFERROR(__xludf.DUMMYFUNCTION("GOOGLETRANSLATE(E5034, ""zh"", ""en"")"),"Qualitative text")</f>
        <v>Qualitative text</v>
      </c>
    </row>
    <row r="5035" spans="1:3" ht="13" x14ac:dyDescent="0.15">
      <c r="A5035" s="1" t="str">
        <f ca="1">IFERROR(__xludf.DUMMYFUNCTION("GOOGLETRANSLATE(A5035, ""zh"", ""en"")"),"Implementing the concept of nursing hospitalization, strengthening nursing quality and improving patient experience, Fosun Pharma will promote high-quality nursing development in various dimensions in nursing research and discipline capabilities. It will "&amp;"empower the core group to address shortcomings, enhance the competitiveness of member hospitals, ensure nursing safety, and provide patients with high-quality competitive advantages.")</f>
        <v>Implementing the concept of nursing hospitalization, strengthening nursing quality and improving patient experience, Fosun Pharma will promote high-quality nursing development in various dimensions in nursing research and discipline capabilities. It will empower the core group to address shortcomings, enhance the competitiveness of member hospitals, ensure nursing safety, and provide patients with high-quality competitive advantages.</v>
      </c>
      <c r="B5035" s="1" t="str">
        <f ca="1">IFERROR(__xludf.DUMMYFUNCTION("GOOGLETRANSLATE(A5035, ""zh"", ""en"")"),"staff")</f>
        <v>staff</v>
      </c>
      <c r="C5035" s="1" t="str">
        <f ca="1">IFERROR(__xludf.DUMMYFUNCTION("GOOGLETRANSLATE(E5035, ""zh"", ""en"")"),"Qualitative text")</f>
        <v>Qualitative text</v>
      </c>
    </row>
    <row r="5036" spans="1:3" ht="13" x14ac:dyDescent="0.15">
      <c r="A5036" s="1" t="str">
        <f ca="1">IFERROR(__xludf.DUMMYFUNCTION("GOOGLETRANSLATE(A5036, ""zh"", ""en"")"),"Actively carry out the safety production publicity and consultation day activities. On June 16, 2021, the company participated in the 6.16 Safety Publicity and Consultation Day activities organized by the Pingdingshan City Safety Production Committee Offi"&amp;"ce at Yingcheng Square to publicize safety production policies and laws and regulations, emergency rescue and other safety knowledge to the public and create a strong safety production atmosphere.")</f>
        <v>Actively carry out the safety production publicity and consultation day activities. On June 16, 2021, the company participated in the 6.16 Safety Publicity and Consultation Day activities organized by the Pingdingshan City Safety Production Committee Office at Yingcheng Square to publicize safety production policies and laws and regulations, emergency rescue and other safety knowledge to the public and create a strong safety production atmosphere.</v>
      </c>
      <c r="B5036" s="1" t="str">
        <f ca="1">IFERROR(__xludf.DUMMYFUNCTION("GOOGLETRANSLATE(A5036, ""zh"", ""en"")"),"staff")</f>
        <v>staff</v>
      </c>
      <c r="C5036" s="1" t="str">
        <f ca="1">IFERROR(__xludf.DUMMYFUNCTION("GOOGLETRANSLATE(E5036, ""zh"", ""en"")"),"Qualitative text")</f>
        <v>Qualitative text</v>
      </c>
    </row>
    <row r="5037" spans="1:3" ht="13" x14ac:dyDescent="0.15">
      <c r="A5037" s="1" t="str">
        <f ca="1">IFERROR(__xludf.DUMMYFUNCTION("GOOGLETRANSLATE(A5037, ""zh"", ""en"")"),"The company's investment in environmental protection is RMB 91.5176 million, which is for the company to implement the ""Two Mountains Theory"" and achieve the synergistic effect of pollution reduction and carbon reduction. It has actively implemented env"&amp;"ironmental protection equipment upgrades and renovations to cope with climate change. It has once again passed the most authoritative and influential EU green certification and created a circular economy and green development model with the characteristic"&amp;"s of the Dizi cloth industry.")</f>
        <v>The company's investment in environmental protection is RMB 91.5176 million, which is for the company to implement the "Two Mountains Theory" and achieve the synergistic effect of pollution reduction and carbon reduction. It has actively implemented environmental protection equipment upgrades and renovations to cope with climate change. It has once again passed the most authoritative and influential EU green certification and created a circular economy and green development model with the characteristics of the Dizi cloth industry.</v>
      </c>
      <c r="B5037" s="1" t="str">
        <f ca="1">IFERROR(__xludf.DUMMYFUNCTION("GOOGLETRANSLATE(A5037, ""zh"", ""en"")"),"Addressing climate change")</f>
        <v>Addressing climate change</v>
      </c>
      <c r="C5037" s="1" t="str">
        <f ca="1">IFERROR(__xludf.DUMMYFUNCTION("GOOGLETRANSLATE(E5037, ""zh"", ""en"")"),"Quantitative Text")</f>
        <v>Quantitative Text</v>
      </c>
    </row>
    <row r="5038" spans="1:3" ht="13" x14ac:dyDescent="0.15">
      <c r="A5038" s="1" t="str">
        <f ca="1">IFERROR(__xludf.DUMMYFUNCTION("GOOGLETRANSLATE(A5038, ""zh"", ""en"")"),"We are focused on achieving near-zero emissions by around 2050. We are committed to strengthening the top-level design of green and low-carbon transformation and development, formulating and releasing the Green and Low-Carbon Development Action Plan 3.0. "&amp;"Following the clean substitution strategy and the three-step green transformation plan, we are implementing the overall deployment in an orderly manner. A green industry layout centered on six major bases and five major projects has taken shape.")</f>
        <v>We are focused on achieving near-zero emissions by around 2050. We are committed to strengthening the top-level design of green and low-carbon transformation and development, formulating and releasing the Green and Low-Carbon Development Action Plan 3.0. Following the clean substitution strategy and the three-step green transformation plan, we are implementing the overall deployment in an orderly manner. A green industry layout centered on six major bases and five major projects has taken shape.</v>
      </c>
      <c r="B5038" s="1" t="str">
        <f ca="1">IFERROR(__xludf.DUMMYFUNCTION("GOOGLETRANSLATE(A5038, ""zh"", ""en"")"),"carbon emissions")</f>
        <v>carbon emissions</v>
      </c>
      <c r="C5038" s="1" t="str">
        <f ca="1">IFERROR(__xludf.DUMMYFUNCTION("GOOGLETRANSLATE(E5038, ""zh"", ""en"")"),"Qualitative text")</f>
        <v>Qualitative text</v>
      </c>
    </row>
    <row r="5039" spans="1:3" ht="13" x14ac:dyDescent="0.15">
      <c r="A5039" s="1" t="str">
        <f ca="1">IFERROR(__xludf.DUMMYFUNCTION("GOOGLETRANSLATE(A5039, ""zh"", ""en"")"),"Use informatization as a new driving force to form a high-quality development booster. Continue to promote digital and intelligent construction. At the production base, continuously improve the informatization and intelligence of the production system, qu"&amp;"ality system, R&amp;D system, and management system. Break the data barriers between various application systems. Use informatization to cultivate new driving forces and use new driving forces to promote the formation of a high-quality development pattern.")</f>
        <v>Use informatization as a new driving force to form a high-quality development booster. Continue to promote digital and intelligent construction. At the production base, continuously improve the informatization and intelligence of the production system, quality system, R&amp;D system, and management system. Break the data barriers between various application systems. Use informatization to cultivate new driving forces and use new driving forces to promote the formation of a high-quality development pattern.</v>
      </c>
      <c r="B5039" s="1" t="str">
        <f ca="1">IFERROR(__xludf.DUMMYFUNCTION("GOOGLETRANSLATE(A5039, ""zh"", ""en"")"),"Technological innovation")</f>
        <v>Technological innovation</v>
      </c>
      <c r="C5039" s="1" t="str">
        <f ca="1">IFERROR(__xludf.DUMMYFUNCTION("GOOGLETRANSLATE(E5039, ""zh"", ""en"")"),"Qualitative text")</f>
        <v>Qualitative text</v>
      </c>
    </row>
    <row r="5040" spans="1:3" ht="13" x14ac:dyDescent="0.15">
      <c r="A5040" s="1" t="str">
        <f ca="1">IFERROR(__xludf.DUMMYFUNCTION("GOOGLETRANSLATE(A5040, ""zh"", ""en"")"),"By further strengthening tailings management awareness, implementing tailings dam safety production responsibilities, optimizing tailings dam life cycle management processes, and refining tailings dam process management requirements, we have successfully "&amp;"improved the systematic nature of tailings dam life cycle management and gradually achieved standardization. We have also gradually improved the reliability and safety assessment and maintenance procedures for tailings dam drainage systems.")</f>
        <v>By further strengthening tailings management awareness, implementing tailings dam safety production responsibilities, optimizing tailings dam life cycle management processes, and refining tailings dam process management requirements, we have successfully improved the systematic nature of tailings dam life cycle management and gradually achieved standardization. We have also gradually improved the reliability and safety assessment and maintenance procedures for tailings dam drainage systems.</v>
      </c>
      <c r="B5040" s="1" t="str">
        <f ca="1">IFERROR(__xludf.DUMMYFUNCTION("GOOGLETRANSLATE(A5040, ""zh"", ""en"")"),"Waste Management")</f>
        <v>Waste Management</v>
      </c>
      <c r="C5040" s="1" t="str">
        <f ca="1">IFERROR(__xludf.DUMMYFUNCTION("GOOGLETRANSLATE(E5040, ""zh"", ""en"")"),"Qualitative text")</f>
        <v>Qualitative text</v>
      </c>
    </row>
    <row r="5041" spans="1:3" ht="13" x14ac:dyDescent="0.15">
      <c r="A5041" s="1" t="str">
        <f ca="1">IFERROR(__xludf.DUMMYFUNCTION("GOOGLETRANSLATE(A5041, ""zh"", ""en"")"),"Based on our own operating conditions, we have formulated a safety and environmental management manual, environmental protection management assessment system and other systems, which provide detailed descriptions of all emission classification methods, mo"&amp;"nitoring methods, disposal processes and emission standards, promote the unification, systematization and standardization of the company's emission management, strive to create a green production line and promote the sustainable development of the company"&amp;".")</f>
        <v>Based on our own operating conditions, we have formulated a safety and environmental management manual, environmental protection management assessment system and other systems, which provide detailed descriptions of all emission classification methods, monitoring methods, disposal processes and emission standards, promote the unification, systematization and standardization of the company's emission management, strive to create a green production line and promote the sustainable development of the company.</v>
      </c>
      <c r="B5041" s="1" t="str">
        <f ca="1">IFERROR(__xludf.DUMMYFUNCTION("GOOGLETRANSLATE(A5041, ""zh"", ""en"")"),"Waste Management")</f>
        <v>Waste Management</v>
      </c>
      <c r="C5041" s="1" t="str">
        <f ca="1">IFERROR(__xludf.DUMMYFUNCTION("GOOGLETRANSLATE(E5041, ""zh"", ""en"")"),"Qualitative text")</f>
        <v>Qualitative text</v>
      </c>
    </row>
    <row r="5042" spans="1:3" ht="13" x14ac:dyDescent="0.15">
      <c r="A5042" s="1" t="str">
        <f ca="1">IFERROR(__xludf.DUMMYFUNCTION("GOOGLETRANSLATE(A5042, ""zh"", ""en"")"),"In 2022, the company will continue to implement the Renfu restricted stock incentive plan and grant the second batch of equity to key R&amp;D, marketing and management talents within the group to stabilize and fully mobilize the work enthusiasm of core backbo"&amp;"ne employees. It will also formulate and launch R&amp;D project milestone incentive plans for the group's important R&amp;D projects to accelerate the progress of R&amp;D projects.")</f>
        <v>In 2022, the company will continue to implement the Renfu restricted stock incentive plan and grant the second batch of equity to key R&amp;D, marketing and management talents within the group to stabilize and fully mobilize the work enthusiasm of core backbone employees. It will also formulate and launch R&amp;D project milestone incentive plans for the group's important R&amp;D projects to accelerate the progress of R&amp;D projects.</v>
      </c>
      <c r="B5042" s="1" t="str">
        <f ca="1">IFERROR(__xludf.DUMMYFUNCTION("GOOGLETRANSLATE(A5042, ""zh"", ""en"")"),"staff")</f>
        <v>staff</v>
      </c>
      <c r="C5042" s="1" t="str">
        <f ca="1">IFERROR(__xludf.DUMMYFUNCTION("GOOGLETRANSLATE(E5042, ""zh"", ""en"")"),"Qualitative text")</f>
        <v>Qualitative text</v>
      </c>
    </row>
    <row r="5043" spans="1:3" ht="13" x14ac:dyDescent="0.15">
      <c r="A5043" s="1" t="str">
        <f ca="1">IFERROR(__xludf.DUMMYFUNCTION("GOOGLETRANSLATE(A5043, ""zh"", ""en"")"),"Case Marketing System Grassroots Management Cadre Training Camp Project 473 employee surveys collected opinions and suggestions 98.4 employee survey overall satisfaction 4748 employee care The company established a comprehensive and diverse welfare policy"&amp;" and care system, carried out various cultural and care activities, created a healthy and harmonious working atmosphere, and enhanced employees' sense of happiness and belonging.")</f>
        <v>Case Marketing System Grassroots Management Cadre Training Camp Project 473 employee surveys collected opinions and suggestions 98.4 employee survey overall satisfaction 4748 employee care The company established a comprehensive and diverse welfare policy and care system, carried out various cultural and care activities, created a healthy and harmonious working atmosphere, and enhanced employees' sense of happiness and belonging.</v>
      </c>
      <c r="B5043" s="1" t="str">
        <f ca="1">IFERROR(__xludf.DUMMYFUNCTION("GOOGLETRANSLATE(A5043, ""zh"", ""en"")"),"staff")</f>
        <v>staff</v>
      </c>
      <c r="C5043" s="1" t="str">
        <f ca="1">IFERROR(__xludf.DUMMYFUNCTION("GOOGLETRANSLATE(E5043, ""zh"", ""en"")"),"Quantitative Text")</f>
        <v>Quantitative Text</v>
      </c>
    </row>
    <row r="5044" spans="1:3" ht="13" x14ac:dyDescent="0.15">
      <c r="A5044" s="1" t="str">
        <f ca="1">IFERROR(__xludf.DUMMYFUNCTION("GOOGLETRANSLATE(A5044, ""zh"", ""en"")"),"Further strengthen the promotion and application of green evaluation indicators such as green management system construction, clean production, safe production, waste treatment, green warehousing, packaging and logistics in supplier evaluation standards. "&amp;"Clarify the selection conditions and requirements in the procurement plan evaluation method and contract terms. Encourage suppliers to develop green technologies and green products and support and guide suppliers' green transformation.")</f>
        <v>Further strengthen the promotion and application of green evaluation indicators such as green management system construction, clean production, safe production, waste treatment, green warehousing, packaging and logistics in supplier evaluation standards. Clarify the selection conditions and requirements in the procurement plan evaluation method and contract terms. Encourage suppliers to develop green technologies and green products and support and guide suppliers' green transformation.</v>
      </c>
      <c r="B5044" s="1" t="str">
        <f ca="1">IFERROR(__xludf.DUMMYFUNCTION("GOOGLETRANSLATE(A5044, ""zh"", ""en"")"),"supply chain management")</f>
        <v>supply chain management</v>
      </c>
      <c r="C5044" s="1" t="str">
        <f ca="1">IFERROR(__xludf.DUMMYFUNCTION("GOOGLETRANSLATE(E5044, ""zh"", ""en"")"),"Qualitative text")</f>
        <v>Qualitative text</v>
      </c>
    </row>
    <row r="5045" spans="1:3" ht="13" x14ac:dyDescent="0.15">
      <c r="A5045" s="1" t="str">
        <f ca="1">IFERROR(__xludf.DUMMYFUNCTION("GOOGLETRANSLATE(A5045, ""zh"", ""en"")"),"In November 2022, to help improve the capabilities of the supply chain management team, Shanghai Electric organized the Shanghai Electric Supply Chain Procurement Training Camp for mid-level managers in charge of procurement management in industrial group"&amp;"s and enterprises. Through classroom lectures, system promotion and topic discussion, the camp helped employees absorb relevant work experience, improve their knowledge reserves and business level.")</f>
        <v>In November 2022, to help improve the capabilities of the supply chain management team, Shanghai Electric organized the Shanghai Electric Supply Chain Procurement Training Camp for mid-level managers in charge of procurement management in industrial groups and enterprises. Through classroom lectures, system promotion and topic discussion, the camp helped employees absorb relevant work experience, improve their knowledge reserves and business level.</v>
      </c>
      <c r="B5045" s="1" t="str">
        <f ca="1">IFERROR(__xludf.DUMMYFUNCTION("GOOGLETRANSLATE(A5045, ""zh"", ""en"")"),"supply chain management")</f>
        <v>supply chain management</v>
      </c>
      <c r="C5045" s="1" t="str">
        <f ca="1">IFERROR(__xludf.DUMMYFUNCTION("GOOGLETRANSLATE(E5045, ""zh"", ""en"")"),"Qualitative text")</f>
        <v>Qualitative text</v>
      </c>
    </row>
    <row r="5046" spans="1:3" ht="13" x14ac:dyDescent="0.15">
      <c r="A5046" s="1" t="str">
        <f ca="1">IFERROR(__xludf.DUMMYFUNCTION("GOOGLETRANSLATE(A5046, ""zh"", ""en"")"),"In 2022, the Group's independently developed improved new drug, Tobramycin Inhalation Solution, was officially approved for marketing. It became the world's first inhaled drug for the treatment of bronchiectasis and the first inhaled antibiotic in China. "&amp;"It effectively solved the problem of bronchiectasis patients having no targeted medication and was a milestone in the development of high-end inhalation preparations in China.")</f>
        <v>In 2022, the Group's independently developed improved new drug, Tobramycin Inhalation Solution, was officially approved for marketing. It became the world's first inhaled drug for the treatment of bronchiectasis and the first inhaled antibiotic in China. It effectively solved the problem of bronchiectasis patients having no targeted medication and was a milestone in the development of high-end inhalation preparations in China.</v>
      </c>
      <c r="B5046" s="1" t="str">
        <f ca="1">IFERROR(__xludf.DUMMYFUNCTION("GOOGLETRANSLATE(A5046, ""zh"", ""en"")"),"Technological innovation")</f>
        <v>Technological innovation</v>
      </c>
      <c r="C5046" s="1" t="str">
        <f ca="1">IFERROR(__xludf.DUMMYFUNCTION("GOOGLETRANSLATE(E5046, ""zh"", ""en"")"),"Qualitative text")</f>
        <v>Qualitative text</v>
      </c>
    </row>
    <row r="5047" spans="1:3" ht="13" x14ac:dyDescent="0.15">
      <c r="A5047" s="1" t="str">
        <f ca="1">IFERROR(__xludf.DUMMYFUNCTION("GOOGLETRANSLATE(A5047, ""zh"", ""en"")"),"The proportion of women in management positions disclosed in the Sustainability Report refers to the ratio of the number of female employees in the management sequence who have signed full-time labor contracts at Sinopec Corporation, excluding dispatched "&amp;"workers, to the total number of female employees in the management sequence who have signed full-time labor contracts, excluding dispatched workers.")</f>
        <v>The proportion of women in management positions disclosed in the Sustainability Report refers to the ratio of the number of female employees in the management sequence who have signed full-time labor contracts at Sinopec Corporation, excluding dispatched workers, to the total number of female employees in the management sequence who have signed full-time labor contracts, excluding dispatched workers.</v>
      </c>
      <c r="B5047" s="1" t="str">
        <f ca="1">IFERROR(__xludf.DUMMYFUNCTION("GOOGLETRANSLATE(A5047, ""zh"", ""en"")"),"staff")</f>
        <v>staff</v>
      </c>
      <c r="C5047" s="1" t="str">
        <f ca="1">IFERROR(__xludf.DUMMYFUNCTION("GOOGLETRANSLATE(E5047, ""zh"", ""en"")"),"Qualitative text")</f>
        <v>Qualitative text</v>
      </c>
    </row>
    <row r="5048" spans="1:3" ht="13" x14ac:dyDescent="0.15">
      <c r="A5048" s="1" t="str">
        <f ca="1">IFERROR(__xludf.DUMMYFUNCTION("GOOGLETRANSLATE(A5048, ""zh"", ""en"")"),"The SDIC Capital Materiality Issues Matrix, based on the characteristics of SDIC Capital as a financial holding company, identifies 24 material issues in the three categories of environment, society, and governance by referring to various domestic and int"&amp;"ernational disclosure frameworks, including the GRIS Standards, SAS, BES, and SG reporting guidelines and the Guidelines for Environmental Information Disclosure by Financial Institutions.")</f>
        <v>The SDIC Capital Materiality Issues Matrix, based on the characteristics of SDIC Capital as a financial holding company, identifies 24 material issues in the three categories of environment, society, and governance by referring to various domestic and international disclosure frameworks, including the GRIS Standards, SAS, BES, and SG reporting guidelines and the Guidelines for Environmental Information Disclosure by Financial Institutions.</v>
      </c>
      <c r="B5048" s="1" t="str">
        <f ca="1">IFERROR(__xludf.DUMMYFUNCTION("GOOGLETRANSLATE(A5048, ""zh"", ""en"")"),"irrelevant text")</f>
        <v>irrelevant text</v>
      </c>
      <c r="C5048" s="1" t="str">
        <f ca="1">IFERROR(__xludf.DUMMYFUNCTION("GOOGLETRANSLATE(E5048, ""zh"", ""en"")"),"irrelevant text")</f>
        <v>irrelevant text</v>
      </c>
    </row>
    <row r="5049" spans="1:3" ht="13" x14ac:dyDescent="0.15">
      <c r="A5049" s="1" t="str">
        <f ca="1">IFERROR(__xludf.DUMMYFUNCTION("GOOGLETRANSLATE(A5049, ""zh"", ""en"")"),"Continuously optimize product development processes and daily record management with reference to ISO9001, ICHQ10, and GMP requirements. Each R&amp;D unit has dedicated R&amp;D QA personnel to monitor compliance at all stages, including product project establishm"&amp;"ent, R&amp;D management, project operation, technology transfer, and daily supervision and inspection. Gradually improve R&amp;D quality management capabilities.")</f>
        <v>Continuously optimize product development processes and daily record management with reference to ISO9001, ICHQ10, and GMP requirements. Each R&amp;D unit has dedicated R&amp;D QA personnel to monitor compliance at all stages, including product project establishment, R&amp;D management, project operation, technology transfer, and daily supervision and inspection. Gradually improve R&amp;D quality management capabilities.</v>
      </c>
      <c r="B5049" s="1" t="str">
        <f ca="1">IFERROR(__xludf.DUMMYFUNCTION("GOOGLETRANSLATE(A5049, ""zh"", ""en"")"),"Product quality")</f>
        <v>Product quality</v>
      </c>
      <c r="C5049" s="1" t="str">
        <f ca="1">IFERROR(__xludf.DUMMYFUNCTION("GOOGLETRANSLATE(E5049, ""zh"", ""en"")"),"Qualitative text")</f>
        <v>Qualitative text</v>
      </c>
    </row>
    <row r="5050" spans="1:3" ht="13" x14ac:dyDescent="0.15">
      <c r="A5050" s="1" t="str">
        <f ca="1">IFERROR(__xludf.DUMMYFUNCTION("GOOGLETRANSLATE(A5050, ""zh"", ""en"")"),"At the same time, we also conduct internal audits on the effectiveness of the R&amp;D quality system. The scope covers pharmaceutical prescription and process research, sample trial production, quality control research, stability research, and other related i"&amp;"nformation involved in the R&amp;D process, such as data records, etc., in order to identify defects in the quality management process and carry out targeted optimization to effectively improve R&amp;D quality management capabilities.")</f>
        <v>At the same time, we also conduct internal audits on the effectiveness of the R&amp;D quality system. The scope covers pharmaceutical prescription and process research, sample trial production, quality control research, stability research, and other related information involved in the R&amp;D process, such as data records, etc., in order to identify defects in the quality management process and carry out targeted optimization to effectively improve R&amp;D quality management capabilities.</v>
      </c>
      <c r="B5050" s="1" t="str">
        <f ca="1">IFERROR(__xludf.DUMMYFUNCTION("GOOGLETRANSLATE(A5050, ""zh"", ""en"")"),"Audit work")</f>
        <v>Audit work</v>
      </c>
      <c r="C5050" s="1" t="str">
        <f ca="1">IFERROR(__xludf.DUMMYFUNCTION("GOOGLETRANSLATE(E5050, ""zh"", ""en"")"),"Qualitative text")</f>
        <v>Qualitative text</v>
      </c>
    </row>
    <row r="5051" spans="1:3" ht="13" x14ac:dyDescent="0.15">
      <c r="A5051" s="1" t="str">
        <f ca="1">IFERROR(__xludf.DUMMYFUNCTION("GOOGLETRANSLATE(A5051, ""zh"", ""en"")"),"We adhere to the principle of appointing people on their merits and recruit outstanding talents extensively. We actively implement the two guarantee tasks assigned by the Shanghai State-owned Assets Supervision and Administration Commission, namely, ensur"&amp;"ing that the total number of college graduates recruited is no less than the 2020 level and ensuring that no less than 50 jobs are arranged. We target recruitment of college graduates in the city and accumulate new strength for the high-quality developmen"&amp;"t of the group.")</f>
        <v>We adhere to the principle of appointing people on their merits and recruit outstanding talents extensively. We actively implement the two guarantee tasks assigned by the Shanghai State-owned Assets Supervision and Administration Commission, namely, ensuring that the total number of college graduates recruited is no less than the 2020 level and ensuring that no less than 50 jobs are arranged. We target recruitment of college graduates in the city and accumulate new strength for the high-quality development of the group.</v>
      </c>
      <c r="B5051" s="1" t="str">
        <f ca="1">IFERROR(__xludf.DUMMYFUNCTION("GOOGLETRANSLATE(A5051, ""zh"", ""en"")"),"Promoting employment")</f>
        <v>Promoting employment</v>
      </c>
      <c r="C5051" s="1" t="str">
        <f ca="1">IFERROR(__xludf.DUMMYFUNCTION("GOOGLETRANSLATE(E5051, ""zh"", ""en"")"),"Quantitative Text")</f>
        <v>Quantitative Text</v>
      </c>
    </row>
    <row r="5052" spans="1:3" ht="13" x14ac:dyDescent="0.15">
      <c r="A5052" s="1" t="str">
        <f ca="1">IFERROR(__xludf.DUMMYFUNCTION("GOOGLETRANSLATE(A5052, ""zh"", ""en"")"),"The event focused on using quality to protect health and on regulating behavior. The themes included seven elements: training check-in, the most glorious achievement, operation skills competition, quality stories around me, everyone is a mastermind, on-si"&amp;"te 5S management evaluation, QCC results evaluation, and quality knowledge competition. It attracted many employees to actively participate and effectively enhanced their quality awareness of quality and compliance.")</f>
        <v>The event focused on using quality to protect health and on regulating behavior. The themes included seven elements: training check-in, the most glorious achievement, operation skills competition, quality stories around me, everyone is a mastermind, on-site 5S management evaluation, QCC results evaluation, and quality knowledge competition. It attracted many employees to actively participate and effectively enhanced their quality awareness of quality and compliance.</v>
      </c>
      <c r="B5052" s="1" t="str">
        <f ca="1">IFERROR(__xludf.DUMMYFUNCTION("GOOGLETRANSLATE(A5052, ""zh"", ""en"")"),"Product quality")</f>
        <v>Product quality</v>
      </c>
      <c r="C5052" s="1" t="str">
        <f ca="1">IFERROR(__xludf.DUMMYFUNCTION("GOOGLETRANSLATE(E5052, ""zh"", ""en"")"),"Qualitative text")</f>
        <v>Qualitative text</v>
      </c>
    </row>
    <row r="5053" spans="1:3" ht="13" x14ac:dyDescent="0.15">
      <c r="A5053" s="1" t="str">
        <f ca="1">IFERROR(__xludf.DUMMYFUNCTION("GOOGLETRANSLATE(A5053, ""zh"", ""en"")"),"Internal Control 462022 Social Responsibility Report: Building a Solid and Stable Foundation for Development. Shanghai Electric continues to improve its audit and supervision mechanisms, earnestly fulfills its audit and supervision responsibilities, and s"&amp;"trives to promote audits of key projects, focusing on key risk areas, conducting special audit investigations, strengthening the application of audit results and joint supervision, and improving the level of audit work to provide support for management de"&amp;"cision-making.")</f>
        <v>Internal Control 462022 Social Responsibility Report: Building a Solid and Stable Foundation for Development. Shanghai Electric continues to improve its audit and supervision mechanisms, earnestly fulfills its audit and supervision responsibilities, and strives to promote audits of key projects, focusing on key risk areas, conducting special audit investigations, strengthening the application of audit results and joint supervision, and improving the level of audit work to provide support for management decision-making.</v>
      </c>
      <c r="B5053" s="1" t="str">
        <f ca="1">IFERROR(__xludf.DUMMYFUNCTION("GOOGLETRANSLATE(A5053, ""zh"", ""en"")"),"Audit work")</f>
        <v>Audit work</v>
      </c>
      <c r="C5053" s="1" t="str">
        <f ca="1">IFERROR(__xludf.DUMMYFUNCTION("GOOGLETRANSLATE(E5053, ""zh"", ""en"")"),"Qualitative text")</f>
        <v>Qualitative text</v>
      </c>
    </row>
    <row r="5054" spans="1:3" ht="13" x14ac:dyDescent="0.15">
      <c r="A5054" s="1" t="str">
        <f ca="1">IFERROR(__xludf.DUMMYFUNCTION("GOOGLETRANSLATE(A5054, ""zh"", ""en"")"),"In 2022, the Group's Board of Directors approved a proposal to establish environmental management targets for carbon emissions within the Joincare Group, solemnly promising that the Group will achieve carbon peak in 2028 and carbon neutrality in 2055. At "&amp;"the same time, ESG indicators will be added to the individual performance appraisals of all members of the Social Responsibility Working Group, deepening the organic integration of corporate strategy and social responsibility.")</f>
        <v>In 2022, the Group's Board of Directors approved a proposal to establish environmental management targets for carbon emissions within the Joincare Group, solemnly promising that the Group will achieve carbon peak in 2028 and carbon neutrality in 2055. At the same time, ESG indicators will be added to the individual performance appraisals of all members of the Social Responsibility Working Group, deepening the organic integration of corporate strategy and social responsibility.</v>
      </c>
      <c r="B5054" s="1" t="str">
        <f ca="1">IFERROR(__xludf.DUMMYFUNCTION("GOOGLETRANSLATE(A5054, ""zh"", ""en"")"),"carbon emissions")</f>
        <v>carbon emissions</v>
      </c>
      <c r="C5054" s="1" t="str">
        <f ca="1">IFERROR(__xludf.DUMMYFUNCTION("GOOGLETRANSLATE(E5054, ""zh"", ""en"")"),"Qualitative text")</f>
        <v>Qualitative text</v>
      </c>
    </row>
    <row r="5055" spans="1:3" ht="13" x14ac:dyDescent="0.15">
      <c r="A5055" s="1" t="str">
        <f ca="1">IFERROR(__xludf.DUMMYFUNCTION("GOOGLETRANSLATE(A5055, ""zh"", ""en"")"),"In terms of antibiotic resistance research, the Group focuses on the resistance risks of tobramycin inhalation solution and the resistance of Pseudomonas aeruginosa. Meanwhile, Livzon Group, a subsidiary of Kangyuan Holdings, continues to advance its rese"&amp;"arch on the resistance of Gram-negative bacteria and fungi, and is collaborating with relevant parties to develop solutions to address the problem of antibiotic resistance.")</f>
        <v>In terms of antibiotic resistance research, the Group focuses on the resistance risks of tobramycin inhalation solution and the resistance of Pseudomonas aeruginosa. Meanwhile, Livzon Group, a subsidiary of Kangyuan Holdings, continues to advance its research on the resistance of Gram-negative bacteria and fungi, and is collaborating with relevant parties to develop solutions to address the problem of antibiotic resistance.</v>
      </c>
      <c r="B5055" s="1" t="str">
        <f ca="1">IFERROR(__xludf.DUMMYFUNCTION("GOOGLETRANSLATE(A5055, ""zh"", ""en"")"),"Product quality")</f>
        <v>Product quality</v>
      </c>
      <c r="C5055" s="1" t="str">
        <f ca="1">IFERROR(__xludf.DUMMYFUNCTION("GOOGLETRANSLATE(E5055, ""zh"", ""en"")"),"Qualitative text")</f>
        <v>Qualitative text</v>
      </c>
    </row>
    <row r="5056" spans="1:3" ht="13" x14ac:dyDescent="0.15">
      <c r="A5056" s="1" t="str">
        <f ca="1">IFERROR(__xludf.DUMMYFUNCTION("GOOGLETRANSLATE(A5056, ""zh"", ""en"")"),"Case study training strengthens the safety production line. Safety and environmental protection are the lifeline of enterprise development. Renfu Pharmaceutical has established a strict and comprehensive environmental safety management system. With safety"&amp;" first and prevention as the priority, it aims to improve environmental protection and health through the participation of all employees in comprehensive management. It encourages subsidiaries to improve their management systems and obtain professional ce"&amp;"rtification to promote the company's standardized, green and safe development.")</f>
        <v>Case study training strengthens the safety production line. Safety and environmental protection are the lifeline of enterprise development. Renfu Pharmaceutical has established a strict and comprehensive environmental safety management system. With safety first and prevention as the priority, it aims to improve environmental protection and health through the participation of all employees in comprehensive management. It encourages subsidiaries to improve their management systems and obtain professional certification to promote the company's standardized, green and safe development.</v>
      </c>
      <c r="B5056" s="1" t="str">
        <f ca="1">IFERROR(__xludf.DUMMYFUNCTION("GOOGLETRANSLATE(A5056, ""zh"", ""en"")"),"Environmental Policy")</f>
        <v>Environmental Policy</v>
      </c>
      <c r="C5056" s="1" t="str">
        <f ca="1">IFERROR(__xludf.DUMMYFUNCTION("GOOGLETRANSLATE(E5056, ""zh"", ""en"")"),"Qualitative text")</f>
        <v>Qualitative text</v>
      </c>
    </row>
    <row r="5057" spans="1:3" ht="13" x14ac:dyDescent="0.15">
      <c r="A5057" s="1" t="str">
        <f ca="1">IFERROR(__xludf.DUMMYFUNCTION("GOOGLETRANSLATE(A5057, ""zh"", ""en"")"),"The company strictly abides by the Law of the People's Republic of China on the Protection of Women's Rights and Interests and effectively protects the maternity leave rights of female employees. The maternity leave duration, salary, maternity insurance a"&amp;"nd other benefits are all guaranteed by the system. Starting from November 2022, the company will increase 10 days of parental leave in accordance with Shandong Province's policies, and male employees' paternity leave will be increased from 7 days to 15 d"&amp;"ays.")</f>
        <v>The company strictly abides by the Law of the People's Republic of China on the Protection of Women's Rights and Interests and effectively protects the maternity leave rights of female employees. The maternity leave duration, salary, maternity insurance and other benefits are all guaranteed by the system. Starting from November 2022, the company will increase 10 days of parental leave in accordance with Shandong Province's policies, and male employees' paternity leave will be increased from 7 days to 15 days.</v>
      </c>
      <c r="B5057" s="1" t="str">
        <f ca="1">IFERROR(__xludf.DUMMYFUNCTION("GOOGLETRANSLATE(A5057, ""zh"", ""en"")"),"staff")</f>
        <v>staff</v>
      </c>
      <c r="C5057" s="1" t="str">
        <f ca="1">IFERROR(__xludf.DUMMYFUNCTION("GOOGLETRANSLATE(E5057, ""zh"", ""en"")"),"Quantitative Text")</f>
        <v>Quantitative Text</v>
      </c>
    </row>
    <row r="5058" spans="1:3" ht="13" x14ac:dyDescent="0.15">
      <c r="A5058" s="1" t="str">
        <f ca="1">IFERROR(__xludf.DUMMYFUNCTION("GOOGLETRANSLATE(A5058, ""zh"", ""en"")"),"Yuanjuchang, in collaboration with Meizi Cultural and Creative, Aijiujiu Charity Aid, Dima Charity Foundation, and Tesla Shanghai Owners Club, launched a charity event to aid rural students in Yushu, Qinghai. They donated over 5,000 picture books, 22,000 "&amp;"pencils, and 1,000 sets of colored crayons to the Sunshine Welfare School in Nangqian County, Yushu, Qinghai, and held a public mental health class for children in Tibetan areas.")</f>
        <v>Yuanjuchang, in collaboration with Meizi Cultural and Creative, Aijiujiu Charity Aid, Dima Charity Foundation, and Tesla Shanghai Owners Club, launched a charity event to aid rural students in Yushu, Qinghai. They donated over 5,000 picture books, 22,000 pencils, and 1,000 sets of colored crayons to the Sunshine Welfare School in Nangqian County, Yushu, Qinghai, and held a public mental health class for children in Tibetan areas.</v>
      </c>
      <c r="B5058" s="1" t="str">
        <f ca="1">IFERROR(__xludf.DUMMYFUNCTION("GOOGLETRANSLATE(A5058, ""zh"", ""en"")"),"Public welfare and volunteer service")</f>
        <v>Public welfare and volunteer service</v>
      </c>
      <c r="C5058" s="1" t="str">
        <f ca="1">IFERROR(__xludf.DUMMYFUNCTION("GOOGLETRANSLATE(E5058, ""zh"", ""en"")"),"Quantitative Text")</f>
        <v>Quantitative Text</v>
      </c>
    </row>
    <row r="5059" spans="1:3" ht="13" x14ac:dyDescent="0.15">
      <c r="A5059" s="1" t="str">
        <f ca="1">IFERROR(__xludf.DUMMYFUNCTION("GOOGLETRANSLATE(A5059, ""zh"", ""en"")"),"Smart Community Project Case Study: Nanjing Yinchangjiang Safe Smart Community Project. Project Highlights: Bookstore Membership App Registration, Self-Service Face Upload Verification, Face Recognition, Door Opening, Crowd Analysis, Video Security Monito"&amp;"ring, etc. Unmanned community bookstores combine technological innovation within limited space to provide a safer and more convenient community reading experience, making the community more diverse.")</f>
        <v>Smart Community Project Case Study: Nanjing Yinchangjiang Safe Smart Community Project. Project Highlights: Bookstore Membership App Registration, Self-Service Face Upload Verification, Face Recognition, Door Opening, Crowd Analysis, Video Security Monitoring, etc. Unmanned community bookstores combine technological innovation within limited space to provide a safer and more convenient community reading experience, making the community more diverse.</v>
      </c>
      <c r="B5059" s="1" t="str">
        <f ca="1">IFERROR(__xludf.DUMMYFUNCTION("GOOGLETRANSLATE(A5059, ""zh"", ""en"")"),"Technological innovation")</f>
        <v>Technological innovation</v>
      </c>
      <c r="C5059" s="1" t="str">
        <f ca="1">IFERROR(__xludf.DUMMYFUNCTION("GOOGLETRANSLATE(E5059, ""zh"", ""en"")"),"Qualitative text")</f>
        <v>Qualitative text</v>
      </c>
    </row>
    <row r="5060" spans="1:3" ht="13" x14ac:dyDescent="0.15">
      <c r="A5060" s="1" t="str">
        <f ca="1">IFERROR(__xludf.DUMMYFUNCTION("GOOGLETRANSLATE(A5060, ""zh"", ""en"")"),"Hiring professional legal advisors to provide legal consulting services for major decisions in the company's daily operations and management. High-quality and efficient handling of litigation and arbitration services. Serving as a provincial model for cle"&amp;"an governance culture. Organizing over 800 Party members, cadres, key personnel, and section chiefs to conduct warning education activities. Providing legal consultation and training for employees for over 600 Party members and cadres.")</f>
        <v>Hiring professional legal advisors to provide legal consulting services for major decisions in the company's daily operations and management. High-quality and efficient handling of litigation and arbitration services. Serving as a provincial model for clean governance culture. Organizing over 800 Party members, cadres, key personnel, and section chiefs to conduct warning education activities. Providing legal consultation and training for employees for over 600 Party members and cadres.</v>
      </c>
      <c r="B5060" s="1" t="str">
        <f ca="1">IFERROR(__xludf.DUMMYFUNCTION("GOOGLETRANSLATE(A5060, ""zh"", ""en"")"),"Legal proceedings and external sanctions")</f>
        <v>Legal proceedings and external sanctions</v>
      </c>
      <c r="C5060" s="1" t="str">
        <f ca="1">IFERROR(__xludf.DUMMYFUNCTION("GOOGLETRANSLATE(E5060, ""zh"", ""en"")"),"Quantitative Text")</f>
        <v>Quantitative Text</v>
      </c>
    </row>
    <row r="5061" spans="1:3" ht="13" x14ac:dyDescent="0.15">
      <c r="A5061" s="1" t="str">
        <f ca="1">IFERROR(__xludf.DUMMYFUNCTION("GOOGLETRANSLATE(A5061, ""zh"", ""en"")"),"Actively serving customers and fulfilling customer responsibilities, we adhere to the development concept that green water and green mountains are gold and silver mountains. Guided by the Group's integrated two-wing development strategy, we aim to become "&amp;"a regional integrated water service provider. We have carried out safety operation and standard improvement for our customers, and treated 147 million tons of sewage throughout the year. All projects achieved a 100% compliance rate for effluent water qual"&amp;"ity.")</f>
        <v>Actively serving customers and fulfilling customer responsibilities, we adhere to the development concept that green water and green mountains are gold and silver mountains. Guided by the Group's integrated two-wing development strategy, we aim to become a regional integrated water service provider. We have carried out safety operation and standard improvement for our customers, and treated 147 million tons of sewage throughout the year. All projects achieved a 100% compliance rate for effluent water quality.</v>
      </c>
      <c r="B5061" s="1" t="str">
        <f ca="1">IFERROR(__xludf.DUMMYFUNCTION("GOOGLETRANSLATE(A5061, ""zh"", ""en"")"),"Water resources")</f>
        <v>Water resources</v>
      </c>
      <c r="C5061" s="1" t="str">
        <f ca="1">IFERROR(__xludf.DUMMYFUNCTION("GOOGLETRANSLATE(E5061, ""zh"", ""en"")"),"Quantitative Text")</f>
        <v>Quantitative Text</v>
      </c>
    </row>
    <row r="5062" spans="1:3" ht="13" x14ac:dyDescent="0.15">
      <c r="A5062" s="1" t="str">
        <f ca="1">IFERROR(__xludf.DUMMYFUNCTION("GOOGLETRANSLATE(A5062, ""zh"", ""en"")"),"The first batch of participating group system standards requirements Fosun Pharma headquarters will determine the proportion of member companies that obtain certification for each member company to the production and manufacturing enterprises, and formula"&amp;"te management requirements for the industry's environmental occupational health and safety work for 18 years. In the future, this batch will gradually expand the group's requirements for the implementation of EHS management and always focus on the coverag"&amp;"e of member companies with PDCA certification.")</f>
        <v>The first batch of participating group system standards requirements Fosun Pharma headquarters will determine the proportion of member companies that obtain certification for each member company to the production and manufacturing enterprises, and formulate management requirements for the industry's environmental occupational health and safety work for 18 years. In the future, this batch will gradually expand the group's requirements for the implementation of EHS management and always focus on the coverage of member companies with PDCA certification.</v>
      </c>
      <c r="B5062" s="1" t="str">
        <f ca="1">IFERROR(__xludf.DUMMYFUNCTION("GOOGLETRANSLATE(A5062, ""zh"", ""en"")"),"Environmental Policy")</f>
        <v>Environmental Policy</v>
      </c>
      <c r="C5062" s="1" t="str">
        <f ca="1">IFERROR(__xludf.DUMMYFUNCTION("GOOGLETRANSLATE(E5062, ""zh"", ""en"")"),"Qualitative text")</f>
        <v>Qualitative text</v>
      </c>
    </row>
    <row r="5063" spans="1:3" ht="13" x14ac:dyDescent="0.15">
      <c r="A5063" s="1" t="str">
        <f ca="1">IFERROR(__xludf.DUMMYFUNCTION("GOOGLETRANSLATE(A5063, ""zh"", ""en"")"),"Through the continuous growth of the organization and the institutional group, we always regard the common development of the enterprise and employees as one of the most important responsibilities of the enterprise, promote team cooperation and create val"&amp;"ue, and continue to strive to create an elite culture for employees, pursue the realization of the group and provide more and better career development opportunities and the vision of common development of employees.")</f>
        <v>Through the continuous growth of the organization and the institutional group, we always regard the common development of the enterprise and employees as one of the most important responsibilities of the enterprise, promote team cooperation and create value, and continue to strive to create an elite culture for employees, pursue the realization of the group and provide more and better career development opportunities and the vision of common development of employees.</v>
      </c>
      <c r="B5063" s="1" t="str">
        <f ca="1">IFERROR(__xludf.DUMMYFUNCTION("GOOGLETRANSLATE(A5063, ""zh"", ""en"")"),"staff")</f>
        <v>staff</v>
      </c>
      <c r="C5063" s="1" t="str">
        <f ca="1">IFERROR(__xludf.DUMMYFUNCTION("GOOGLETRANSLATE(E5063, ""zh"", ""en"")"),"Qualitative text")</f>
        <v>Qualitative text</v>
      </c>
    </row>
    <row r="5064" spans="1:3" ht="13" x14ac:dyDescent="0.15">
      <c r="A5064" s="1" t="str">
        <f ca="1">IFERROR(__xludf.DUMMYFUNCTION("GOOGLETRANSLATE(A5064, ""zh"", ""en"")"),"The precision padding excellence process is based on the international Gartner benchmark, and the agile and stable supply aspect is achieved from end-to-end planning and coordination, from the four pillars of the supply chain, procurement planning, produc"&amp;"tion, understanding of market fluctuations, rapid feedback on production release, logistics, and other related business management to achieve the whole cycle from the body to the precision padding optimization to minimize delivery time.")</f>
        <v>The precision padding excellence process is based on the international Gartner benchmark, and the agile and stable supply aspect is achieved from end-to-end planning and coordination, from the four pillars of the supply chain, procurement planning, production, understanding of market fluctuations, rapid feedback on production release, logistics, and other related business management to achieve the whole cycle from the body to the precision padding optimization to minimize delivery time.</v>
      </c>
      <c r="B5064" s="1" t="str">
        <f ca="1">IFERROR(__xludf.DUMMYFUNCTION("GOOGLETRANSLATE(A5064, ""zh"", ""en"")"),"supply chain management")</f>
        <v>supply chain management</v>
      </c>
      <c r="C5064" s="1" t="str">
        <f ca="1">IFERROR(__xludf.DUMMYFUNCTION("GOOGLETRANSLATE(E5064, ""zh"", ""en"")"),"Qualitative text")</f>
        <v>Qualitative text</v>
      </c>
    </row>
    <row r="5065" spans="1:3" ht="13" x14ac:dyDescent="0.15">
      <c r="A5065" s="1" t="str">
        <f ca="1">IFERROR(__xludf.DUMMYFUNCTION("GOOGLETRANSLATE(A5065, ""zh"", ""en"")"),"Protecting health is a must. We offer free clinics and public welfare assistance to hospitals. Fosun Pharma Group leverages its offline physical medical institutions to alleviate the difficulty of seeing a doctor, while also enhancing the advantages of ci"&amp;"tizens. We deeply cultivate specialized medical services, focus on the grassroots, and allow doctors to go to the grassroots level. We promote health awareness and quality, popularize health knowledge, actively improve the number of clinics, and enter the"&amp;" community to help the vulnerable groups in the sinking areas have a better life and happiness index.")</f>
        <v>Protecting health is a must. We offer free clinics and public welfare assistance to hospitals. Fosun Pharma Group leverages its offline physical medical institutions to alleviate the difficulty of seeing a doctor, while also enhancing the advantages of citizens. We deeply cultivate specialized medical services, focus on the grassroots, and allow doctors to go to the grassroots level. We promote health awareness and quality, popularize health knowledge, actively improve the number of clinics, and enter the community to help the vulnerable groups in the sinking areas have a better life and happiness index.</v>
      </c>
      <c r="B5065" s="1" t="str">
        <f ca="1">IFERROR(__xludf.DUMMYFUNCTION("GOOGLETRANSLATE(A5065, ""zh"", ""en"")"),"Public welfare and volunteer service")</f>
        <v>Public welfare and volunteer service</v>
      </c>
      <c r="C5065" s="1" t="str">
        <f ca="1">IFERROR(__xludf.DUMMYFUNCTION("GOOGLETRANSLATE(E5065, ""zh"", ""en"")"),"Qualitative text")</f>
        <v>Qualitative text</v>
      </c>
    </row>
    <row r="5066" spans="1:3" ht="13" x14ac:dyDescent="0.15">
      <c r="A5066" s="1" t="str">
        <f ca="1">IFERROR(__xludf.DUMMYFUNCTION("GOOGLETRANSLATE(A5066, ""zh"", ""en"")"),"Tuyefeng Biotechnology Co., Ltd. has also become a training company. 80 Innovation for Gcod Health. Continuous innovation and enjoyment of health. Employee development. Talent is the core competitiveness and important asset of an enterprise. We will conti"&amp;"nue to build an elite culture organization and pursue the realization of this set of pictures. The team with entrepreneurial spirit of employees is the development of Fosun Pharma Group.")</f>
        <v>Tuyefeng Biotechnology Co., Ltd. has also become a training company. 80 Innovation for Gcod Health. Continuous innovation and enjoyment of health. Employee development. Talent is the core competitiveness and important asset of an enterprise. We will continue to build an elite culture organization and pursue the realization of this set of pictures. The team with entrepreneurial spirit of employees is the development of Fosun Pharma Group.</v>
      </c>
      <c r="B5066" s="1" t="str">
        <f ca="1">IFERROR(__xludf.DUMMYFUNCTION("GOOGLETRANSLATE(A5066, ""zh"", ""en"")"),"staff")</f>
        <v>staff</v>
      </c>
      <c r="C5066" s="1" t="str">
        <f ca="1">IFERROR(__xludf.DUMMYFUNCTION("GOOGLETRANSLATE(E5066, ""zh"", ""en"")"),"Qualitative text")</f>
        <v>Qualitative text</v>
      </c>
    </row>
    <row r="5067" spans="1:3" ht="13" x14ac:dyDescent="0.15">
      <c r="A5067" s="1" t="str">
        <f ca="1">IFERROR(__xludf.DUMMYFUNCTION("GOOGLETRANSLATE(A5067, ""zh"", ""en"")"),"The Group continues to focus on pharmacovigilance regulations. In 2022, the Group continued to improve pharmacovigilance requirements and changes. By continuously collecting various information, evaluating and building quality systems, the Group continued"&amp;" to implement the safety of pharmaceutical member companies' drugs to ensure the clinical effectiveness of drugs for patients. Regular pharmacovigilance communication meetings were held to ensure that pharmacovigilance risks were higher than those of othe"&amp;"r drugs.")</f>
        <v>The Group continues to focus on pharmacovigilance regulations. In 2022, the Group continued to improve pharmacovigilance requirements and changes. By continuously collecting various information, evaluating and building quality systems, the Group continued to implement the safety of pharmaceutical member companies' drugs to ensure the clinical effectiveness of drugs for patients. Regular pharmacovigilance communication meetings were held to ensure that pharmacovigilance risks were higher than those of other drugs.</v>
      </c>
      <c r="B5067" s="1" t="str">
        <f ca="1">IFERROR(__xludf.DUMMYFUNCTION("GOOGLETRANSLATE(A5067, ""zh"", ""en"")"),"Product quality")</f>
        <v>Product quality</v>
      </c>
      <c r="C5067" s="1" t="str">
        <f ca="1">IFERROR(__xludf.DUMMYFUNCTION("GOOGLETRANSLATE(E5067, ""zh"", ""en"")"),"Qualitative text")</f>
        <v>Qualitative text</v>
      </c>
    </row>
    <row r="5068" spans="1:3" ht="13" x14ac:dyDescent="0.15">
      <c r="A5068" s="1" t="str">
        <f ca="1">IFERROR(__xludf.DUMMYFUNCTION("GOOGLETRANSLATE(A5068, ""zh"", ""en"")"),"Carry out on-site inspections of enterprises in key river basins such as the Yangtze River and the Yellow River to support ecological protection in these two regions. Join the Alliance to End Plastic Waste to jointly protect the marine environment and mar"&amp;"ine life and strictly prevent oil spills at sea. Increase wastewater recycling efforts and minimize fresh water use. Conduct soil and groundwater surveys to strictly prevent soil and groundwater pollution.")</f>
        <v>Carry out on-site inspections of enterprises in key river basins such as the Yangtze River and the Yellow River to support ecological protection in these two regions. Join the Alliance to End Plastic Waste to jointly protect the marine environment and marine life and strictly prevent oil spills at sea. Increase wastewater recycling efforts and minimize fresh water use. Conduct soil and groundwater surveys to strictly prevent soil and groundwater pollution.</v>
      </c>
      <c r="B5068" s="1" t="str">
        <f ca="1">IFERROR(__xludf.DUMMYFUNCTION("GOOGLETRANSLATE(A5068, ""zh"", ""en"")"),"Waste Management")</f>
        <v>Waste Management</v>
      </c>
      <c r="C5068" s="1" t="str">
        <f ca="1">IFERROR(__xludf.DUMMYFUNCTION("GOOGLETRANSLATE(E5068, ""zh"", ""en"")"),"Qualitative text")</f>
        <v>Qualitative text</v>
      </c>
    </row>
    <row r="5069" spans="1:3" ht="13" x14ac:dyDescent="0.15">
      <c r="A5069" s="1" t="str">
        <f ca="1">IFERROR(__xludf.DUMMYFUNCTION("GOOGLETRANSLATE(A5069, ""zh"", ""en"")"),"The project aims to enhance the understanding of young and middle-aged management personnel on the Group's strategic business and the connotation of high-quality development, as well as their awareness of the work requirements of the management improvemen"&amp;"t year. At the same time, it aims to expand their management concepts, management knowledge, and management skills, improve their scientific decision-making ability and excellent execution ability, and build a reserve team of young and middle-aged managem"&amp;"ent talents that are compatible with high-quality development.")</f>
        <v>The project aims to enhance the understanding of young and middle-aged management personnel on the Group's strategic business and the connotation of high-quality development, as well as their awareness of the work requirements of the management improvement year. At the same time, it aims to expand their management concepts, management knowledge, and management skills, improve their scientific decision-making ability and excellent execution ability, and build a reserve team of young and middle-aged management talents that are compatible with high-quality development.</v>
      </c>
      <c r="B5069" s="1" t="str">
        <f ca="1">IFERROR(__xludf.DUMMYFUNCTION("GOOGLETRANSLATE(A5069, ""zh"", ""en"")"),"staff")</f>
        <v>staff</v>
      </c>
      <c r="C5069" s="1" t="str">
        <f ca="1">IFERROR(__xludf.DUMMYFUNCTION("GOOGLETRANSLATE(E5069, ""zh"", ""en"")"),"Qualitative text")</f>
        <v>Qualitative text</v>
      </c>
    </row>
    <row r="5070" spans="1:3" ht="13" x14ac:dyDescent="0.15">
      <c r="A5070" s="1" t="str">
        <f ca="1">IFERROR(__xludf.DUMMYFUNCTION("GOOGLETRANSLATE(A5070, ""zh"", ""en"")"),"Senior management remuneration consists of a monthly salary, value-added share, and annual performance evaluations. This evaluation is a key factor in determining performance bonuses and development. It is primarily determined by factors such as strategic"&amp;" acceptance, market leadership, target competitiveness, micro-enterprise development, platform leadership, and ecological achievements. This guides senior management to proactively implement company strategies and achieve higher market goals.")</f>
        <v>Senior management remuneration consists of a monthly salary, value-added share, and annual performance evaluations. This evaluation is a key factor in determining performance bonuses and development. It is primarily determined by factors such as strategic acceptance, market leadership, target competitiveness, micro-enterprise development, platform leadership, and ecological achievements. This guides senior management to proactively implement company strategies and achieve higher market goals.</v>
      </c>
      <c r="B5070" s="1" t="str">
        <f ca="1">IFERROR(__xludf.DUMMYFUNCTION("GOOGLETRANSLATE(A5070, ""zh"", ""en"")"),"staff")</f>
        <v>staff</v>
      </c>
      <c r="C5070" s="1" t="str">
        <f ca="1">IFERROR(__xludf.DUMMYFUNCTION("GOOGLETRANSLATE(E5070, ""zh"", ""en"")"),"Qualitative text")</f>
        <v>Qualitative text</v>
      </c>
    </row>
    <row r="5071" spans="1:3" ht="13" x14ac:dyDescent="0.15">
      <c r="A5071" s="1" t="str">
        <f ca="1">IFERROR(__xludf.DUMMYFUNCTION("GOOGLETRANSLATE(A5071, ""zh"", ""en"")"),"The company conscientiously implements General Secretary Xi Jinping's important statement that talent is the primary resource, focusing on the company's four teams: cadre talent, technical talent, scientific research talent, and international talent. It f"&amp;"ormulates targeted solutions and highly operational talent training strategies from the aspects of top-level design model, training system construction, personnel capability evaluation, assessment and incentive mechanism, etc.")</f>
        <v>The company conscientiously implements General Secretary Xi Jinping's important statement that talent is the primary resource, focusing on the company's four teams: cadre talent, technical talent, scientific research talent, and international talent. It formulates targeted solutions and highly operational talent training strategies from the aspects of top-level design model, training system construction, personnel capability evaluation, assessment and incentive mechanism, etc.</v>
      </c>
      <c r="B5071" s="1" t="str">
        <f ca="1">IFERROR(__xludf.DUMMYFUNCTION("GOOGLETRANSLATE(A5071, ""zh"", ""en"")"),"staff")</f>
        <v>staff</v>
      </c>
      <c r="C5071" s="1" t="str">
        <f ca="1">IFERROR(__xludf.DUMMYFUNCTION("GOOGLETRANSLATE(E5071, ""zh"", ""en"")"),"Qualitative text")</f>
        <v>Qualitative text</v>
      </c>
    </row>
    <row r="5072" spans="1:3" ht="13" x14ac:dyDescent="0.15">
      <c r="A5072" s="1" t="str">
        <f ca="1">IFERROR(__xludf.DUMMYFUNCTION("GOOGLETRANSLATE(A5072, ""zh"", ""en"")"),"Jointly organized a symposium on lifelong education empowering talent development with Tsinghua University, co-established a learning community for central enterprises, participated in the High-level Forum on Fintech and Digital Economy Development with B"&amp;"eijing Normal University, and participated in an online seminar on innovation and green finance jointly organized by the University of the Chinese Academy of Sciences and Austrian institutions. Contributed CCB solutions to top universities, industry organ"&amp;"izations, etc.")</f>
        <v>Jointly organized a symposium on lifelong education empowering talent development with Tsinghua University, co-established a learning community for central enterprises, participated in the High-level Forum on Fintech and Digital Economy Development with Beijing Normal University, and participated in an online seminar on innovation and green finance jointly organized by the University of the Chinese Academy of Sciences and Austrian institutions. Contributed CCB solutions to top universities, industry organizations, etc.</v>
      </c>
      <c r="B5072" s="1" t="str">
        <f ca="1">IFERROR(__xludf.DUMMYFUNCTION("GOOGLETRANSLATE(A5072, ""zh"", ""en"")"),"Promoting employment")</f>
        <v>Promoting employment</v>
      </c>
      <c r="C5072" s="1" t="str">
        <f ca="1">IFERROR(__xludf.DUMMYFUNCTION("GOOGLETRANSLATE(E5072, ""zh"", ""en"")"),"Qualitative text")</f>
        <v>Qualitative text</v>
      </c>
    </row>
    <row r="5073" spans="1:3" ht="13" x14ac:dyDescent="0.15">
      <c r="A5073" s="1" t="str">
        <f ca="1">IFERROR(__xludf.DUMMYFUNCTION("GOOGLETRANSLATE(A5073, ""zh"", ""en"")"),"The Group's production subsidiaries also give full play to their subjective initiative and regularly conduct self-inspections and self-corrections on the stability of pollutant treatment equipment, solid waste disposal methods, and the implementation of e"&amp;"mergency drills. They promptly rectify any unqualified items found during the inspections and strictly ensure the compliance of EHS implementation, safeguarding the effective operation of the Group's EHS management system.")</f>
        <v>The Group's production subsidiaries also give full play to their subjective initiative and regularly conduct self-inspections and self-corrections on the stability of pollutant treatment equipment, solid waste disposal methods, and the implementation of emergency drills. They promptly rectify any unqualified items found during the inspections and strictly ensure the compliance of EHS implementation, safeguarding the effective operation of the Group's EHS management system.</v>
      </c>
      <c r="B5073" s="1" t="str">
        <f ca="1">IFERROR(__xludf.DUMMYFUNCTION("GOOGLETRANSLATE(A5073, ""zh"", ""en"")"),"Waste Management")</f>
        <v>Waste Management</v>
      </c>
      <c r="C5073" s="1" t="str">
        <f ca="1">IFERROR(__xludf.DUMMYFUNCTION("GOOGLETRANSLATE(E5073, ""zh"", ""en"")"),"Qualitative text")</f>
        <v>Qualitative text</v>
      </c>
    </row>
    <row r="5074" spans="1:3" ht="13" x14ac:dyDescent="0.15">
      <c r="A5074" s="1" t="str">
        <f ca="1">IFERROR(__xludf.DUMMYFUNCTION("GOOGLETRANSLATE(A5074, ""zh"", ""en"")"),"In 2022, we will focus on strengthening the supervision and management capabilities of R&amp;D sites, conducting on-site supervision and inspection from multiple dimensions, including personnel and environment management, instrument and equipment management, "&amp;"material management, reference substance and reference preparation management, stability study management, data reliability inspection, and computerized system review. We will systematically carry out inspections to ensure that internal quality requiremen"&amp;"ts are implemented.")</f>
        <v>In 2022, we will focus on strengthening the supervision and management capabilities of R&amp;D sites, conducting on-site supervision and inspection from multiple dimensions, including personnel and environment management, instrument and equipment management, material management, reference substance and reference preparation management, stability study management, data reliability inspection, and computerized system review. We will systematically carry out inspections to ensure that internal quality requirements are implemented.</v>
      </c>
      <c r="B5074" s="1" t="str">
        <f ca="1">IFERROR(__xludf.DUMMYFUNCTION("GOOGLETRANSLATE(A5074, ""zh"", ""en"")"),"Technological innovation")</f>
        <v>Technological innovation</v>
      </c>
      <c r="C5074" s="1" t="str">
        <f ca="1">IFERROR(__xludf.DUMMYFUNCTION("GOOGLETRANSLATE(E5074, ""zh"", ""en"")"),"Qualitative text")</f>
        <v>Qualitative text</v>
      </c>
    </row>
    <row r="5075" spans="1:3" ht="13" x14ac:dyDescent="0.15">
      <c r="A5075" s="1" t="str">
        <f ca="1">IFERROR(__xludf.DUMMYFUNCTION("GOOGLETRANSLATE(A5075, ""zh"", ""en"")"),"Livzon Group Conducts Employee Satisfaction Survey Case 7.2 Talent Attraction and Retention: Kangyuan places great emphasis on talent team building, has formulated a formal talent development strategy, and continuously explores flexible and diverse talent"&amp;" recruitment methods. While increasing internal talent development, training, and promotion efforts, it continues to introduce high-end talent to improve corporate efficiency and maintain the group's core competitiveness.")</f>
        <v>Livzon Group Conducts Employee Satisfaction Survey Case 7.2 Talent Attraction and Retention: Kangyuan places great emphasis on talent team building, has formulated a formal talent development strategy, and continuously explores flexible and diverse talent recruitment methods. While increasing internal talent development, training, and promotion efforts, it continues to introduce high-end talent to improve corporate efficiency and maintain the group's core competitiveness.</v>
      </c>
      <c r="B5075" s="1" t="str">
        <f ca="1">IFERROR(__xludf.DUMMYFUNCTION("GOOGLETRANSLATE(A5075, ""zh"", ""en"")"),"staff")</f>
        <v>staff</v>
      </c>
      <c r="C5075" s="1" t="str">
        <f ca="1">IFERROR(__xludf.DUMMYFUNCTION("GOOGLETRANSLATE(E5075, ""zh"", ""en"")"),"Qualitative text")</f>
        <v>Qualitative text</v>
      </c>
    </row>
    <row r="5076" spans="1:3" ht="13" x14ac:dyDescent="0.15">
      <c r="A5076" s="1" t="str">
        <f ca="1">IFERROR(__xludf.DUMMYFUNCTION("GOOGLETRANSLATE(A5076, ""zh"", ""en"")"),"The Audit Committee's primary responsibilities are to assist the Board in reviewing financial information and periodic reports, and to review internal control procedures and risk management systems. During the reporting period, the Company convened 18 mee"&amp;"tings of the Audit Committee, including two meetings held without the attendance of Executive Directors, to review the financial information and periodic reports, and to oversee internal and external auditors.")</f>
        <v>The Audit Committee's primary responsibilities are to assist the Board in reviewing financial information and periodic reports, and to review internal control procedures and risk management systems. During the reporting period, the Company convened 18 meetings of the Audit Committee, including two meetings held without the attendance of Executive Directors, to review the financial information and periodic reports, and to oversee internal and external auditors.</v>
      </c>
      <c r="B5076" s="1" t="str">
        <f ca="1">IFERROR(__xludf.DUMMYFUNCTION("GOOGLETRANSLATE(A5076, ""zh"", ""en"")"),"Audit work")</f>
        <v>Audit work</v>
      </c>
      <c r="C5076" s="1" t="str">
        <f ca="1">IFERROR(__xludf.DUMMYFUNCTION("GOOGLETRANSLATE(E5076, ""zh"", ""en"")"),"Quantitative Text")</f>
        <v>Quantitative Text</v>
      </c>
    </row>
    <row r="5077" spans="1:3" ht="13" x14ac:dyDescent="0.15">
      <c r="A5077" s="1" t="str">
        <f ca="1">IFERROR(__xludf.DUMMYFUNCTION("GOOGLETRANSLATE(A5077, ""zh"", ""en"")"),"At the same time, the company has registered and reported insider information on time in accordance with the law. All directors, supervisors, senior management and other relevant insiders have strictly fulfilled their confidentiality obligations during th"&amp;"e window period and sensitive period of periodic reports and other important information. The company has not had any insider information leaks or insiders illegally buying or selling or advising others to buy or sell the company's shares.")</f>
        <v>At the same time, the company has registered and reported insider information on time in accordance with the law. All directors, supervisors, senior management and other relevant insiders have strictly fulfilled their confidentiality obligations during the window period and sensitive period of periodic reports and other important information. The company has not had any insider information leaks or insiders illegally buying or selling or advising others to buy or sell the company's shares.</v>
      </c>
      <c r="B5077" s="1" t="str">
        <f ca="1">IFERROR(__xludf.DUMMYFUNCTION("GOOGLETRANSLATE(A5077, ""zh"", ""en"")"),"Information Disclosure and Investor Communication")</f>
        <v>Information Disclosure and Investor Communication</v>
      </c>
      <c r="C5077" s="1" t="str">
        <f ca="1">IFERROR(__xludf.DUMMYFUNCTION("GOOGLETRANSLATE(E5077, ""zh"", ""en"")"),"Quantitative Text")</f>
        <v>Quantitative Text</v>
      </c>
    </row>
    <row r="5078" spans="1:3" ht="13" x14ac:dyDescent="0.15">
      <c r="A5078" s="1" t="str">
        <f ca="1">IFERROR(__xludf.DUMMYFUNCTION("GOOGLETRANSLATE(A5078, ""zh"", ""en"")"),"At the same time, HB Group will leverage its own global warehousing facilities to fully leverage the connectivity of domestic and overseas warehousing and logistics services. By providing a global and multi-functional logistics supply chain full-process s"&amp;"olution, it will provide more comprehensive upstream and downstream connection support services for the smooth flow of regional bulk commodity trade, and promote the efficient development of infrastructure and industrial layout construction in the Belt an"&amp;"d Road region.")</f>
        <v>At the same time, HB Group will leverage its own global warehousing facilities to fully leverage the connectivity of domestic and overseas warehousing and logistics services. By providing a global and multi-functional logistics supply chain full-process solution, it will provide more comprehensive upstream and downstream connection support services for the smooth flow of regional bulk commodity trade, and promote the efficient development of infrastructure and industrial layout construction in the Belt and Road region.</v>
      </c>
      <c r="B5078" s="1" t="str">
        <f ca="1">IFERROR(__xludf.DUMMYFUNCTION("GOOGLETRANSLATE(A5078, ""zh"", ""en"")"),"supply chain management")</f>
        <v>supply chain management</v>
      </c>
      <c r="C5078" s="1" t="str">
        <f ca="1">IFERROR(__xludf.DUMMYFUNCTION("GOOGLETRANSLATE(E5078, ""zh"", ""en"")"),"Qualitative text")</f>
        <v>Qualitative text</v>
      </c>
    </row>
    <row r="5079" spans="1:3" ht="13" x14ac:dyDescent="0.15">
      <c r="A5079" s="1" t="str">
        <f ca="1">IFERROR(__xludf.DUMMYFUNCTION("GOOGLETRANSLATE(A5079, ""zh"", ""en"")"),"Adhere to the people-oriented approach, do practical things for employees, do good things and solve problems, set up a loving warmth fund, establish a support mechanism for employees in need, improve the files of employees in need, provide financial assis"&amp;"tance to retired and working employees in need, and express condolences to outstanding figures and retired employees, thereby enhancing employees' sense of belonging to the company, improving corporate cohesion, and making employees feel the warmth of hom"&amp;"e.")</f>
        <v>Adhere to the people-oriented approach, do practical things for employees, do good things and solve problems, set up a loving warmth fund, establish a support mechanism for employees in need, improve the files of employees in need, provide financial assistance to retired and working employees in need, and express condolences to outstanding figures and retired employees, thereby enhancing employees' sense of belonging to the company, improving corporate cohesion, and making employees feel the warmth of home.</v>
      </c>
      <c r="B5079" s="1" t="str">
        <f ca="1">IFERROR(__xludf.DUMMYFUNCTION("GOOGLETRANSLATE(A5079, ""zh"", ""en"")"),"staff")</f>
        <v>staff</v>
      </c>
      <c r="C5079" s="1" t="str">
        <f ca="1">IFERROR(__xludf.DUMMYFUNCTION("GOOGLETRANSLATE(E5079, ""zh"", ""en"")"),"Qualitative text")</f>
        <v>Qualitative text</v>
      </c>
    </row>
    <row r="5080" spans="1:3" ht="13" x14ac:dyDescent="0.15">
      <c r="A5080" s="1" t="str">
        <f ca="1">IFERROR(__xludf.DUMMYFUNCTION("GOOGLETRANSLATE(A5080, ""zh"", ""en"")"),"Based on the results of our efforts, we will be able to more calmly respond to the dual challenges of internal business changes and external policy environment. In 2021, the Group will complete and summarize the EHS five-year 2016-2020 strategy to continu"&amp;"ously improve environmental management performance, provide employees with a healthy and safe working environment based on the dual carbon goals of pollution reduction and emission reduction.")</f>
        <v>Based on the results of our efforts, we will be able to more calmly respond to the dual challenges of internal business changes and external policy environment. In 2021, the Group will complete and summarize the EHS five-year 2016-2020 strategy to continuously improve environmental management performance, provide employees with a healthy and safe working environment based on the dual carbon goals of pollution reduction and emission reduction.</v>
      </c>
      <c r="B5080" s="1" t="str">
        <f ca="1">IFERROR(__xludf.DUMMYFUNCTION("GOOGLETRANSLATE(A5080, ""zh"", ""en"")"),"staff")</f>
        <v>staff</v>
      </c>
      <c r="C5080" s="1" t="str">
        <f ca="1">IFERROR(__xludf.DUMMYFUNCTION("GOOGLETRANSLATE(E5080, ""zh"", ""en"")"),"Qualitative text")</f>
        <v>Qualitative text</v>
      </c>
    </row>
    <row r="5081" spans="1:3" ht="13" x14ac:dyDescent="0.15">
      <c r="A5081" s="1" t="str">
        <f ca="1">IFERROR(__xludf.DUMMYFUNCTION("GOOGLETRANSLATE(A5081, ""zh"", ""en"")"),"To fully guarantee the delivery quality of projects across the country, a joint management and control mechanism has been established with R&amp;D, engineering, customer service, property management and other functions. At the same time, special management an"&amp;"d control tools have been developed to shorten the management chain and quickly connect the product quality picture on the project site. On-site quality control problems can be discovered and quickly reported, so as to maximize the deployment of resources"&amp;" to solve problems and achieve quality delivery commitments.")</f>
        <v>To fully guarantee the delivery quality of projects across the country, a joint management and control mechanism has been established with R&amp;D, engineering, customer service, property management and other functions. At the same time, special management and control tools have been developed to shorten the management chain and quickly connect the product quality picture on the project site. On-site quality control problems can be discovered and quickly reported, so as to maximize the deployment of resources to solve problems and achieve quality delivery commitments.</v>
      </c>
      <c r="B5081" s="1" t="str">
        <f ca="1">IFERROR(__xludf.DUMMYFUNCTION("GOOGLETRANSLATE(A5081, ""zh"", ""en"")"),"Product quality")</f>
        <v>Product quality</v>
      </c>
      <c r="C5081" s="1" t="str">
        <f ca="1">IFERROR(__xludf.DUMMYFUNCTION("GOOGLETRANSLATE(E5081, ""zh"", ""en"")"),"Qualitative text")</f>
        <v>Qualitative text</v>
      </c>
    </row>
    <row r="5082" spans="1:3" ht="13" x14ac:dyDescent="0.15">
      <c r="A5082" s="1" t="str">
        <f ca="1">IFERROR(__xludf.DUMMYFUNCTION("GOOGLETRANSLATE(A5082, ""zh"", ""en"")"),"Actively inject product innovation. In 2022, Dongyuan Group improved its material and equipment management system. In addition to the material planning management, on-site inspection, re-inspection after arrival, random inspection by Party A, and the comp"&amp;"any's monthly inspection stipulated in the original system, it also made clear provisions for material sample management and on-site re-testing, further standardizing the process of material sealing ledger preparation and application.")</f>
        <v>Actively inject product innovation. In 2022, Dongyuan Group improved its material and equipment management system. In addition to the material planning management, on-site inspection, re-inspection after arrival, random inspection by Party A, and the company's monthly inspection stipulated in the original system, it also made clear provisions for material sample management and on-site re-testing, further standardizing the process of material sealing ledger preparation and application.</v>
      </c>
      <c r="B5082" s="1" t="str">
        <f ca="1">IFERROR(__xludf.DUMMYFUNCTION("GOOGLETRANSLATE(A5082, ""zh"", ""en"")"),"raw materials")</f>
        <v>raw materials</v>
      </c>
      <c r="C5082" s="1" t="str">
        <f ca="1">IFERROR(__xludf.DUMMYFUNCTION("GOOGLETRANSLATE(E5082, ""zh"", ""en"")"),"Qualitative text")</f>
        <v>Qualitative text</v>
      </c>
    </row>
    <row r="5083" spans="1:3" ht="13" x14ac:dyDescent="0.15">
      <c r="A5083" s="1" t="str">
        <f ca="1">IFERROR(__xludf.DUMMYFUNCTION("GOOGLETRANSLATE(A5083, ""zh"", ""en"")"),"Adhering to the strategic goal of realizing the full value of large-scale properties and closely following the development direction of urban renewal, Dongyuan Renzhi has comprehensively laid out four major areas of residential comprehensive services, int"&amp;"ernational comprehensive services, medical comprehensive services, and industrial park comprehensive services under diversified development opportunities, covering residential, commercial, office, government public buildings, industrial parks, embassies a"&amp;"nd consulates, etc., forming a diversified, specialized and differentiated business model.")</f>
        <v>Adhering to the strategic goal of realizing the full value of large-scale properties and closely following the development direction of urban renewal, Dongyuan Renzhi has comprehensively laid out four major areas of residential comprehensive services, international comprehensive services, medical comprehensive services, and industrial park comprehensive services under diversified development opportunities, covering residential, commercial, office, government public buildings, industrial parks, embassies and consulates, etc., forming a diversified, specialized and differentiated business model.</v>
      </c>
      <c r="B5083" s="1" t="str">
        <f ca="1">IFERROR(__xludf.DUMMYFUNCTION("GOOGLETRANSLATE(A5083, ""zh"", ""en"")"),"Organizational structure and operations")</f>
        <v>Organizational structure and operations</v>
      </c>
      <c r="C5083" s="1" t="str">
        <f ca="1">IFERROR(__xludf.DUMMYFUNCTION("GOOGLETRANSLATE(E5083, ""zh"", ""en"")"),"Qualitative text")</f>
        <v>Qualitative text</v>
      </c>
    </row>
    <row r="5084" spans="1:3" ht="13" x14ac:dyDescent="0.15">
      <c r="A5084" s="1" t="str">
        <f ca="1">IFERROR(__xludf.DUMMYFUNCTION("GOOGLETRANSLATE(A5084, ""zh"", ""en"")"),"Since the joint operation between the company and its partner Wan Zexing, it has promoted the effective utilization of the production capacity of the bankrupt and reorganized Tianli Company, secured employment for more than 260 local employees, and helped"&amp;" the company gradually overcome difficulties. The digital transformation of logistics and manufacturing has improved overall operational efficiency, achieved a high degree of integration of resources and data, and continued to create value for society and"&amp;" local governments.")</f>
        <v>Since the joint operation between the company and its partner Wan Zexing, it has promoted the effective utilization of the production capacity of the bankrupt and reorganized Tianli Company, secured employment for more than 260 local employees, and helped the company gradually overcome difficulties. The digital transformation of logistics and manufacturing has improved overall operational efficiency, achieved a high degree of integration of resources and data, and continued to create value for society and local governments.</v>
      </c>
      <c r="B5084" s="1" t="str">
        <f ca="1">IFERROR(__xludf.DUMMYFUNCTION("GOOGLETRANSLATE(A5084, ""zh"", ""en"")"),"Promoting employment")</f>
        <v>Promoting employment</v>
      </c>
      <c r="C5084" s="1" t="str">
        <f ca="1">IFERROR(__xludf.DUMMYFUNCTION("GOOGLETRANSLATE(E5084, ""zh"", ""en"")"),"Qualitative text")</f>
        <v>Qualitative text</v>
      </c>
    </row>
    <row r="5085" spans="1:3" ht="13" x14ac:dyDescent="0.15">
      <c r="A5085" s="1" t="str">
        <f ca="1">IFERROR(__xludf.DUMMYFUNCTION("GOOGLETRANSLATE(A5085, ""zh"", ""en"")"),"To enhance the office experience of employees, this space takes green and low-carbon development as its goal, integrating IoT applications with environmental comfort scenarios such as air, light, and heat. Through the implementation of digital IoT solutio"&amp;"ns, one-touch scene linkage and voice interactive intelligent control of various environmental equipment such as air conditioning, lighting, and curtains in the space are realized, providing a comfortable experience while reducing electricity consumption "&amp;"for the enterprise.")</f>
        <v>To enhance the office experience of employees, this space takes green and low-carbon development as its goal, integrating IoT applications with environmental comfort scenarios such as air, light, and heat. Through the implementation of digital IoT solutions, one-touch scene linkage and voice interactive intelligent control of various environmental equipment such as air conditioning, lighting, and curtains in the space are realized, providing a comfortable experience while reducing electricity consumption for the enterprise.</v>
      </c>
      <c r="B5085" s="1" t="str">
        <f ca="1">IFERROR(__xludf.DUMMYFUNCTION("GOOGLETRANSLATE(A5085, ""zh"", ""en"")"),"staff")</f>
        <v>staff</v>
      </c>
      <c r="C5085" s="1" t="str">
        <f ca="1">IFERROR(__xludf.DUMMYFUNCTION("GOOGLETRANSLATE(E5085, ""zh"", ""en"")"),"Qualitative text")</f>
        <v>Qualitative text</v>
      </c>
    </row>
    <row r="5086" spans="1:3" ht="13" x14ac:dyDescent="0.15">
      <c r="A5086" s="1" t="str">
        <f ca="1">IFERROR(__xludf.DUMMYFUNCTION("GOOGLETRANSLATE(A5086, ""zh"", ""en"")"),"Focusing on climate-friendly products and services, conducting business research and innovating climate-friendly products, actively developing green financial businesses such as green bonds, green equity financing, and green asset-backed securities, and p"&amp;"roviding financial services to green industry clients such as environmental protection, energy conservation, and clean energy will help the company expand new development space and support clients' sustainable low-carbon transformation.")</f>
        <v>Focusing on climate-friendly products and services, conducting business research and innovating climate-friendly products, actively developing green financial businesses such as green bonds, green equity financing, and green asset-backed securities, and providing financial services to green industry clients such as environmental protection, energy conservation, and clean energy will help the company expand new development space and support clients' sustainable low-carbon transformation.</v>
      </c>
      <c r="B5086" s="1" t="str">
        <f ca="1">IFERROR(__xludf.DUMMYFUNCTION("GOOGLETRANSLATE(A5086, ""zh"", ""en"")"),"Green Finance")</f>
        <v>Green Finance</v>
      </c>
      <c r="C5086" s="1" t="str">
        <f ca="1">IFERROR(__xludf.DUMMYFUNCTION("GOOGLETRANSLATE(E5086, ""zh"", ""en"")"),"Qualitative text")</f>
        <v>Qualitative text</v>
      </c>
    </row>
    <row r="5087" spans="1:3" ht="13" x14ac:dyDescent="0.15">
      <c r="A5087" s="1" t="str">
        <f ca="1">IFERROR(__xludf.DUMMYFUNCTION("GOOGLETRANSLATE(A5087, ""zh"", ""en"")"),"Humanwell Pharmaceuticals upholds the corporate vision of leading the pharmaceutical market segment and becoming an outstanding supplier of pharmaceutical products and services. Based on the corporate mission of keeping the tree of life evergreen, Humanwe"&amp;"ll Pharmaceuticals firmly adheres to the development strategy of becoming a leader in the pharmaceutical market segment. By focusing on the three strategic paths of innovation and internationalization, we will pursue a path of sustainable and healthy deve"&amp;"lopment and build a first-class Chinese pharmaceutical company with global competitiveness.")</f>
        <v>Humanwell Pharmaceuticals upholds the corporate vision of leading the pharmaceutical market segment and becoming an outstanding supplier of pharmaceutical products and services. Based on the corporate mission of keeping the tree of life evergreen, Humanwell Pharmaceuticals firmly adheres to the development strategy of becoming a leader in the pharmaceutical market segment. By focusing on the three strategic paths of innovation and internationalization, we will pursue a path of sustainable and healthy development and build a first-class Chinese pharmaceutical company with global competitiveness.</v>
      </c>
      <c r="B5087" s="1" t="str">
        <f ca="1">IFERROR(__xludf.DUMMYFUNCTION("GOOGLETRANSLATE(A5087, ""zh"", ""en"")"),"Technological innovation")</f>
        <v>Technological innovation</v>
      </c>
      <c r="C5087" s="1" t="str">
        <f ca="1">IFERROR(__xludf.DUMMYFUNCTION("GOOGLETRANSLATE(E5087, ""zh"", ""en"")"),"Qualitative text")</f>
        <v>Qualitative text</v>
      </c>
    </row>
    <row r="5088" spans="1:3" ht="13" x14ac:dyDescent="0.15">
      <c r="A5088" s="1" t="str">
        <f ca="1">IFERROR(__xludf.DUMMYFUNCTION("GOOGLETRANSLATE(A5088, ""zh"", ""en"")"),"Focusing on the overall training of overseas project teams, we will explore and build a matrix-style international talent training model with different levels and specialties, strengthen the training of international leading talents, international profess"&amp;"ional backbones, and international reserve talents, carry out training for overseas project managers, international trade managers, international financial talents, foreign-related legal and compliance talents, and organize advanced training for the strat"&amp;"egic reserve team of reserve talents.")</f>
        <v>Focusing on the overall training of overseas project teams, we will explore and build a matrix-style international talent training model with different levels and specialties, strengthen the training of international leading talents, international professional backbones, and international reserve talents, carry out training for overseas project managers, international trade managers, international financial talents, foreign-related legal and compliance talents, and organize advanced training for the strategic reserve team of reserve talents.</v>
      </c>
      <c r="B5088" s="1" t="str">
        <f ca="1">IFERROR(__xludf.DUMMYFUNCTION("GOOGLETRANSLATE(A5088, ""zh"", ""en"")"),"staff")</f>
        <v>staff</v>
      </c>
      <c r="C5088" s="1" t="str">
        <f ca="1">IFERROR(__xludf.DUMMYFUNCTION("GOOGLETRANSLATE(E5088, ""zh"", ""en"")"),"Qualitative text")</f>
        <v>Qualitative text</v>
      </c>
    </row>
    <row r="5089" spans="1:3" ht="13" x14ac:dyDescent="0.15">
      <c r="A5089" s="1" t="str">
        <f ca="1">IFERROR(__xludf.DUMMYFUNCTION("GOOGLETRANSLATE(A5089, ""zh"", ""en"")"),"Case Study: Building a Model Employee Home. In August 2022, Renmin Pharmaceutical participated in the 2022 East Lake High-tech Zone Employee Badminton Tournament, successfully advanced to the top 8, and won the Outstanding Organization Award. This enriche"&amp;"d the employees' amateur cultural life, improved their sense of happiness, enhanced their physical fitness and healthy living awareness, and further promoted the deep integration of national fitness and national health.")</f>
        <v>Case Study: Building a Model Employee Home. In August 2022, Renmin Pharmaceutical participated in the 2022 East Lake High-tech Zone Employee Badminton Tournament, successfully advanced to the top 8, and won the Outstanding Organization Award. This enriched the employees' amateur cultural life, improved their sense of happiness, enhanced their physical fitness and healthy living awareness, and further promoted the deep integration of national fitness and national health.</v>
      </c>
      <c r="B5089" s="1" t="str">
        <f ca="1">IFERROR(__xludf.DUMMYFUNCTION("GOOGLETRANSLATE(A5089, ""zh"", ""en"")"),"staff")</f>
        <v>staff</v>
      </c>
      <c r="C5089" s="1" t="str">
        <f ca="1">IFERROR(__xludf.DUMMYFUNCTION("GOOGLETRANSLATE(E5089, ""zh"", ""en"")"),"Qualitative text")</f>
        <v>Qualitative text</v>
      </c>
    </row>
    <row r="5090" spans="1:3" ht="13" x14ac:dyDescent="0.15">
      <c r="A5090" s="1" t="str">
        <f ca="1">IFERROR(__xludf.DUMMYFUNCTION("GOOGLETRANSLATE(A5090, ""zh"", ""en"")"),"Ensure the physical and mental health of overseas employees; promote the implementation of the Guiding Opinions on Vigorously Developing the Employee Assistance Program (EAP) and the Implementation Opinions on Doing a Good Job in Overseas EAP Work; streng"&amp;"then training for overseas personnel; provide more targeted psychological counseling services; for example, the China National Geological Survey Company established an overseas employee health management platform; and launched an offshore platform psychol"&amp;"ogical service module for offshore operations.")</f>
        <v>Ensure the physical and mental health of overseas employees; promote the implementation of the Guiding Opinions on Vigorously Developing the Employee Assistance Program (EAP) and the Implementation Opinions on Doing a Good Job in Overseas EAP Work; strengthen training for overseas personnel; provide more targeted psychological counseling services; for example, the China National Geological Survey Company established an overseas employee health management platform; and launched an offshore platform psychological service module for offshore operations.</v>
      </c>
      <c r="B5090" s="1" t="str">
        <f ca="1">IFERROR(__xludf.DUMMYFUNCTION("GOOGLETRANSLATE(A5090, ""zh"", ""en"")"),"staff")</f>
        <v>staff</v>
      </c>
      <c r="C5090" s="1" t="str">
        <f ca="1">IFERROR(__xludf.DUMMYFUNCTION("GOOGLETRANSLATE(E5090, ""zh"", ""en"")"),"Qualitative text")</f>
        <v>Qualitative text</v>
      </c>
    </row>
    <row r="5091" spans="1:3" ht="13" x14ac:dyDescent="0.15">
      <c r="A5091" s="1" t="str">
        <f ca="1">IFERROR(__xludf.DUMMYFUNCTION("GOOGLETRANSLATE(A5091, ""zh"", ""en"")"),"The company's comprehensive risk management approach clarifies the risk management responsibilities of each department, including the basic processes, information system construction, risk management culture, assessment, and supervision. Each subordinate "&amp;"unit formulates and continuously improves its own risk management system, making the organization more scientific, management functions more optimized, and responsibilities more coordinated, ensuring that risk prevention and control are governed by rules "&amp;"and laws.")</f>
        <v>The company's comprehensive risk management approach clarifies the risk management responsibilities of each department, including the basic processes, information system construction, risk management culture, assessment, and supervision. Each subordinate unit formulates and continuously improves its own risk management system, making the organization more scientific, management functions more optimized, and responsibilities more coordinated, ensuring that risk prevention and control are governed by rules and laws.</v>
      </c>
      <c r="B5091" s="1" t="str">
        <f ca="1">IFERROR(__xludf.DUMMYFUNCTION("GOOGLETRANSLATE(A5091, ""zh"", ""en"")"),"Organizational structure and operations")</f>
        <v>Organizational structure and operations</v>
      </c>
      <c r="C5091" s="1" t="str">
        <f ca="1">IFERROR(__xludf.DUMMYFUNCTION("GOOGLETRANSLATE(E5091, ""zh"", ""en"")"),"Qualitative text")</f>
        <v>Qualitative text</v>
      </c>
    </row>
    <row r="5092" spans="1:3" ht="13" x14ac:dyDescent="0.15">
      <c r="A5092" s="1" t="str">
        <f ca="1">IFERROR(__xludf.DUMMYFUNCTION("GOOGLETRANSLATE(A5092, ""zh"", ""en"")"),"Case Study: Green Operations Create a Green Pharmaceutical Company. A side event themed ""Gathering Businesses to Create a Zero-Carbon Future"" was held at the COP27 China Corner in November 2022. The Yangtze River Economic Belt Climate Security and Zero-"&amp;"Carbon Vision Outlook Report was released at the conference. Yichang Renfu's project to reduce boiler steam consumption by 10 tons of natural gas was included in the report's corporate section.")</f>
        <v>Case Study: Green Operations Create a Green Pharmaceutical Company. A side event themed "Gathering Businesses to Create a Zero-Carbon Future" was held at the COP27 China Corner in November 2022. The Yangtze River Economic Belt Climate Security and Zero-Carbon Vision Outlook Report was released at the conference. Yichang Renfu's project to reduce boiler steam consumption by 10 tons of natural gas was included in the report's corporate section.</v>
      </c>
      <c r="B5092" s="1" t="str">
        <f ca="1">IFERROR(__xludf.DUMMYFUNCTION("GOOGLETRANSLATE(A5092, ""zh"", ""en"")"),"Addressing climate change")</f>
        <v>Addressing climate change</v>
      </c>
      <c r="C5092" s="1" t="str">
        <f ca="1">IFERROR(__xludf.DUMMYFUNCTION("GOOGLETRANSLATE(E5092, ""zh"", ""en"")"),"Quantitative Text")</f>
        <v>Quantitative Text</v>
      </c>
    </row>
    <row r="5093" spans="1:3" ht="13" x14ac:dyDescent="0.15">
      <c r="A5093" s="1" t="str">
        <f ca="1">IFERROR(__xludf.DUMMYFUNCTION("GOOGLETRANSLATE(A5093, ""zh"", ""en"")"),"To ensure employee safety, GEA uses engineering robots and automation solutions to support ergonomic resources to predict, assess and control risks. In 2022, it introduced a new ergonomic risk assessment tool to improve the consistency and utilization of "&amp;"ergonomic resources through artificial intelligence, reducing safety risks in manufacturing equipment and process design.")</f>
        <v>To ensure employee safety, GEA uses engineering robots and automation solutions to support ergonomic resources to predict, assess and control risks. In 2022, it introduced a new ergonomic risk assessment tool to improve the consistency and utilization of ergonomic resources through artificial intelligence, reducing safety risks in manufacturing equipment and process design.</v>
      </c>
      <c r="B5093" s="1" t="str">
        <f ca="1">IFERROR(__xludf.DUMMYFUNCTION("GOOGLETRANSLATE(A5093, ""zh"", ""en"")"),"staff")</f>
        <v>staff</v>
      </c>
      <c r="C5093" s="1" t="str">
        <f ca="1">IFERROR(__xludf.DUMMYFUNCTION("GOOGLETRANSLATE(E5093, ""zh"", ""en"")"),"Qualitative text")</f>
        <v>Qualitative text</v>
      </c>
    </row>
    <row r="5094" spans="1:3" ht="13" x14ac:dyDescent="0.15">
      <c r="A5094" s="1" t="str">
        <f ca="1">IFERROR(__xludf.DUMMYFUNCTION("GOOGLETRANSLATE(A5094, ""zh"", ""en"")"),"The company has formulated market product recall and return operation procedures. For products that threaten human health, personal property safety, or have serious quality problems that will cause losses to the company, the company will contribute to soc"&amp;"iety with excellent products and high-quality services. According to the 2022 TV industry use problem released by the China Quality Association, the unqualified products will immediately initiate the recall and disposal process.")</f>
        <v>The company has formulated market product recall and return operation procedures. For products that threaten human health, personal property safety, or have serious quality problems that will cause losses to the company, the company will contribute to society with excellent products and high-quality services. According to the 2022 TV industry use problem released by the China Quality Association, the unqualified products will immediately initiate the recall and disposal process.</v>
      </c>
      <c r="B5094" s="1" t="str">
        <f ca="1">IFERROR(__xludf.DUMMYFUNCTION("GOOGLETRANSLATE(A5094, ""zh"", ""en"")"),"Product quality")</f>
        <v>Product quality</v>
      </c>
      <c r="C5094" s="1" t="str">
        <f ca="1">IFERROR(__xludf.DUMMYFUNCTION("GOOGLETRANSLATE(E5094, ""zh"", ""en"")"),"Qualitative text")</f>
        <v>Qualitative text</v>
      </c>
    </row>
    <row r="5095" spans="1:3" ht="13" x14ac:dyDescent="0.15">
      <c r="A5095" s="1" t="str">
        <f ca="1">IFERROR(__xludf.DUMMYFUNCTION("GOOGLETRANSLATE(A5095, ""zh"", ""en"")"),"Through the national customer service hotline 95517 and Wenwen Xiaoan online service channels, we provide customers with customer consultation, follow-up, complaint handling and other services with a response of seconds. The 95517 hotline provides graded "&amp;"service upgrades based on different business scenarios and customer operation levels. We accurately match exclusive customer service to provide customers with a fast connection, meticulous and warm service experience.")</f>
        <v>Through the national customer service hotline 95517 and Wenwen Xiaoan online service channels, we provide customers with customer consultation, follow-up, complaint handling and other services with a response of seconds. The 95517 hotline provides graded service upgrades based on different business scenarios and customer operation levels. We accurately match exclusive customer service to provide customers with a fast connection, meticulous and warm service experience.</v>
      </c>
      <c r="B5095" s="1" t="str">
        <f ca="1">IFERROR(__xludf.DUMMYFUNCTION("GOOGLETRANSLATE(A5095, ""zh"", ""en"")"),"Customers and Consumers")</f>
        <v>Customers and Consumers</v>
      </c>
      <c r="C5095" s="1" t="str">
        <f ca="1">IFERROR(__xludf.DUMMYFUNCTION("GOOGLETRANSLATE(E5095, ""zh"", ""en"")"),"Qualitative text")</f>
        <v>Qualitative text</v>
      </c>
    </row>
    <row r="5096" spans="1:3" ht="13" x14ac:dyDescent="0.15">
      <c r="A5096" s="1" t="str">
        <f ca="1">IFERROR(__xludf.DUMMYFUNCTION("GOOGLETRANSLATE(A5096, ""zh"", ""en"")"),"In 2022, we adopted a combination of online and offline methods to integrate internal and external resources to carry out training for quality personnel with different product lines, different levels and different needs. The training content includes qual"&amp;"ity management awareness training, ISO series standards learning, QC basics training for front-line employees, special interactive practical training, etc., which have achieved good results.")</f>
        <v>In 2022, we adopted a combination of online and offline methods to integrate internal and external resources to carry out training for quality personnel with different product lines, different levels and different needs. The training content includes quality management awareness training, ISO series standards learning, QC basics training for front-line employees, special interactive practical training, etc., which have achieved good results.</v>
      </c>
      <c r="B5096" s="1" t="str">
        <f ca="1">IFERROR(__xludf.DUMMYFUNCTION("GOOGLETRANSLATE(A5096, ""zh"", ""en"")"),"Product quality")</f>
        <v>Product quality</v>
      </c>
      <c r="C5096" s="1" t="str">
        <f ca="1">IFERROR(__xludf.DUMMYFUNCTION("GOOGLETRANSLATE(E5096, ""zh"", ""en"")"),"Qualitative text")</f>
        <v>Qualitative text</v>
      </c>
    </row>
    <row r="5097" spans="1:3" ht="13" x14ac:dyDescent="0.15">
      <c r="A5097" s="1" t="str">
        <f ca="1">IFERROR(__xludf.DUMMYFUNCTION("GOOGLETRANSLATE(A5097, ""zh"", ""en"")"),"I was honored to assume the role of Chairman of Haier Smart Home in June 2022. I have spent considerable time communicating with customers, employees, and partners, as well as discussions with key shareholders, including Haier Group. I deeply feel that al"&amp;"l stakeholders are looking forward to Haier Smart Home's continued success through economic cycles, under the leadership of this Board of Directors.")</f>
        <v>I was honored to assume the role of Chairman of Haier Smart Home in June 2022. I have spent considerable time communicating with customers, employees, and partners, as well as discussions with key shareholders, including Haier Group. I deeply feel that all stakeholders are looking forward to Haier Smart Home's continued success through economic cycles, under the leadership of this Board of Directors.</v>
      </c>
      <c r="B5097" s="1" t="str">
        <f ca="1">IFERROR(__xludf.DUMMYFUNCTION("GOOGLETRANSLATE(A5097, ""zh"", ""en"")"),"Organizational structure and operations")</f>
        <v>Organizational structure and operations</v>
      </c>
      <c r="C5097" s="1" t="str">
        <f ca="1">IFERROR(__xludf.DUMMYFUNCTION("GOOGLETRANSLATE(E5097, ""zh"", ""en"")"),"Qualitative text")</f>
        <v>Qualitative text</v>
      </c>
    </row>
    <row r="5098" spans="1:3" ht="13" x14ac:dyDescent="0.15">
      <c r="A5098" s="1" t="str">
        <f ca="1">IFERROR(__xludf.DUMMYFUNCTION("GOOGLETRANSLATE(A5098, ""zh"", ""en"")"),"II. Green Production 1. Advocating Green Concepts During the reporting period, the Company and its subsidiaries thoroughly studied, understood, implemented and practiced General Secretary Xi Jinping's Thought on Ecological Civilization. They actively and "&amp;"steadily advanced the implementation of the carbon peak and carbon neutrality tasks and objectives, and insisted on using General Secretary Xi Jinping's Thought on Ecological Civilization to guide practice and promote work, striving for the Company's tran"&amp;"sformation, upgrading and green development.")</f>
        <v>II. Green Production 1. Advocating Green Concepts During the reporting period, the Company and its subsidiaries thoroughly studied, understood, implemented and practiced General Secretary Xi Jinping's Thought on Ecological Civilization. They actively and steadily advanced the implementation of the carbon peak and carbon neutrality tasks and objectives, and insisted on using General Secretary Xi Jinping's Thought on Ecological Civilization to guide practice and promote work, striving for the Company's transformation, upgrading and green development.</v>
      </c>
      <c r="B5098" s="1" t="str">
        <f ca="1">IFERROR(__xludf.DUMMYFUNCTION("GOOGLETRANSLATE(A5098, ""zh"", ""en"")"),"carbon emissions")</f>
        <v>carbon emissions</v>
      </c>
      <c r="C5098" s="1" t="str">
        <f ca="1">IFERROR(__xludf.DUMMYFUNCTION("GOOGLETRANSLATE(E5098, ""zh"", ""en"")"),"Qualitative text")</f>
        <v>Qualitative text</v>
      </c>
    </row>
    <row r="5099" spans="1:3" ht="13" x14ac:dyDescent="0.15">
      <c r="A5099" s="1" t="str">
        <f ca="1">IFERROR(__xludf.DUMMYFUNCTION("GOOGLETRANSLATE(A5099, ""zh"", ""en"")"),"Through risk assessment, SOP and emergency response are established. Each member enterprise combines hazard identification, evaluation, control, procedure and response system plan and implements employee training. At the same time, special self-inspection"&amp;" and self-checklist and other tools are used to fully identify and evaluate hidden dangers, investigate and control them, promote good practices, build safety assessment personnel, equipment, procedures, environment and management, and other factors to im"&amp;"prove the level of safety production.")</f>
        <v>Through risk assessment, SOP and emergency response are established. Each member enterprise combines hazard identification, evaluation, control, procedure and response system plan and implements employee training. At the same time, special self-inspection and self-checklist and other tools are used to fully identify and evaluate hidden dangers, investigate and control them, promote good practices, build safety assessment personnel, equipment, procedures, environment and management, and other factors to improve the level of safety production.</v>
      </c>
      <c r="B5099" s="1" t="str">
        <f ca="1">IFERROR(__xludf.DUMMYFUNCTION("GOOGLETRANSLATE(A5099, ""zh"", ""en"")"),"staff")</f>
        <v>staff</v>
      </c>
      <c r="C5099" s="1" t="str">
        <f ca="1">IFERROR(__xludf.DUMMYFUNCTION("GOOGLETRANSLATE(E5099, ""zh"", ""en"")"),"Qualitative text")</f>
        <v>Qualitative text</v>
      </c>
    </row>
    <row r="5100" spans="1:3" ht="13" x14ac:dyDescent="0.15">
      <c r="A5100" s="1" t="str">
        <f ca="1">IFERROR(__xludf.DUMMYFUNCTION("GOOGLETRANSLATE(A5100, ""zh"", ""en"")"),"Tibet Qomolangma deeply understands the importance of protecting regional biodiversity. We have developed a biodiversity protection manual in accordance with the Wildlife Protection Law of the People's Republic of China, Argentina's Environmental Law No. "&amp;"25675, and the Environmental Protection Law of the Republic of Tajikistan, and have minimized the impact of mining on local ecosystems, flora and fauna.")</f>
        <v>Tibet Qomolangma deeply understands the importance of protecting regional biodiversity. We have developed a biodiversity protection manual in accordance with the Wildlife Protection Law of the People's Republic of China, Argentina's Environmental Law No. 25675, and the Environmental Protection Law of the Republic of Tajikistan, and have minimized the impact of mining on local ecosystems, flora and fauna.</v>
      </c>
      <c r="B5100" s="1" t="str">
        <f ca="1">IFERROR(__xludf.DUMMYFUNCTION("GOOGLETRANSLATE(A5100, ""zh"", ""en"")"),"biodiversity")</f>
        <v>biodiversity</v>
      </c>
      <c r="C5100" s="1" t="str">
        <f ca="1">IFERROR(__xludf.DUMMYFUNCTION("GOOGLETRANSLATE(E5100, ""zh"", ""en"")"),"Qualitative text")</f>
        <v>Qualitative text</v>
      </c>
    </row>
    <row r="5101" spans="1:3" ht="13" x14ac:dyDescent="0.15">
      <c r="A5101" s="1" t="str">
        <f ca="1">IFERROR(__xludf.DUMMYFUNCTION("GOOGLETRANSLATE(A5101, ""zh"", ""en"")"),"For new suppliers, fill out the supplier qualification review form and submit it to the responsible leader and the procurement center for review before it can take effect. For suppliers with established stable relationships, we will establish an annual re"&amp;"view plan and conduct regular on-site quality audits. We will guide suppliers to formulate corrective measures for non-conforming items raised in the application review and track and verify the results of the rectification.")</f>
        <v>For new suppliers, fill out the supplier qualification review form and submit it to the responsible leader and the procurement center for review before it can take effect. For suppliers with established stable relationships, we will establish an annual review plan and conduct regular on-site quality audits. We will guide suppliers to formulate corrective measures for non-conforming items raised in the application review and track and verify the results of the rectification.</v>
      </c>
      <c r="B5101" s="1" t="str">
        <f ca="1">IFERROR(__xludf.DUMMYFUNCTION("GOOGLETRANSLATE(A5101, ""zh"", ""en"")"),"supply chain management")</f>
        <v>supply chain management</v>
      </c>
      <c r="C5101" s="1" t="str">
        <f ca="1">IFERROR(__xludf.DUMMYFUNCTION("GOOGLETRANSLATE(E5101, ""zh"", ""en"")"),"Qualitative text")</f>
        <v>Qualitative text</v>
      </c>
    </row>
    <row r="5102" spans="1:3" ht="13" x14ac:dyDescent="0.15">
      <c r="A5102" s="1" t="str">
        <f ca="1">IFERROR(__xludf.DUMMYFUNCTION("GOOGLETRANSLATE(A5102, ""zh"", ""en"")"),"In 2022, Dongyuan Group will implement green construction in its prefabricated buildings using pure electric bulletproof armored cash transport vehicles, new energy orchard plant protection robots, and green construction. Under the overall framework of gr"&amp;"een development, the real estate sector is actively practicing green construction concepts, including the application of precision construction systems and the use of green and environmentally friendly construction materials to reduce the impact of constr"&amp;"uction on the environment and create a healthy and comfortable living experience for owners.")</f>
        <v>In 2022, Dongyuan Group will implement green construction in its prefabricated buildings using pure electric bulletproof armored cash transport vehicles, new energy orchard plant protection robots, and green construction. Under the overall framework of green development, the real estate sector is actively practicing green construction concepts, including the application of precision construction systems and the use of green and environmentally friendly construction materials to reduce the impact of construction on the environment and create a healthy and comfortable living experience for owners.</v>
      </c>
      <c r="B5102" s="1" t="str">
        <f ca="1">IFERROR(__xludf.DUMMYFUNCTION("GOOGLETRANSLATE(A5102, ""zh"", ""en"")"),"Green Building")</f>
        <v>Green Building</v>
      </c>
      <c r="C5102" s="1" t="str">
        <f ca="1">IFERROR(__xludf.DUMMYFUNCTION("GOOGLETRANSLATE(E5102, ""zh"", ""en"")"),"Qualitative text")</f>
        <v>Qualitative text</v>
      </c>
    </row>
    <row r="5103" spans="1:3" ht="13" x14ac:dyDescent="0.15">
      <c r="A5103" s="1" t="str">
        <f ca="1">IFERROR(__xludf.DUMMYFUNCTION("GOOGLETRANSLATE(A5103, ""zh"", ""en"")"),"The company allocates more financial resources to key areas and weak links in economic and social development through direct equity investment and private equity investment funds, increases support for the real economy, especially scientific and technolog"&amp;"ical innovation and emerging industries, and actively invests in high-quality real enterprises related to independent innovation and cutting-edge technologies to provide support for high-quality social and economic development.")</f>
        <v>The company allocates more financial resources to key areas and weak links in economic and social development through direct equity investment and private equity investment funds, increases support for the real economy, especially scientific and technological innovation and emerging industries, and actively invests in high-quality real enterprises related to independent innovation and cutting-edge technologies to provide support for high-quality social and economic development.</v>
      </c>
      <c r="B5103" s="1" t="str">
        <f ca="1">IFERROR(__xludf.DUMMYFUNCTION("GOOGLETRANSLATE(A5103, ""zh"", ""en"")"),"Technological innovation")</f>
        <v>Technological innovation</v>
      </c>
      <c r="C5103" s="1" t="str">
        <f ca="1">IFERROR(__xludf.DUMMYFUNCTION("GOOGLETRANSLATE(E5103, ""zh"", ""en"")"),"Qualitative text")</f>
        <v>Qualitative text</v>
      </c>
    </row>
    <row r="5104" spans="1:3" ht="13" x14ac:dyDescent="0.15">
      <c r="A5104" s="1" t="str">
        <f ca="1">IFERROR(__xludf.DUMMYFUNCTION("GOOGLETRANSLATE(A5104, ""zh"", ""en"")"),"In addition, the company established a special supervision mechanism for ecological and environmental protection during the year, appointed environmental supervision specialists, and carried out special environmental supervision work on 30 companies in th"&amp;"e oil and gas field, refining, and sales sectors to identify shortcomings in environmental management and propose systematic solutions, further enhance the awareness and ability of all employees in ecological and environmental protection work, and promote"&amp;" the full implementation of ecological and environmental protection responsibilities.")</f>
        <v>In addition, the company established a special supervision mechanism for ecological and environmental protection during the year, appointed environmental supervision specialists, and carried out special environmental supervision work on 30 companies in the oil and gas field, refining, and sales sectors to identify shortcomings in environmental management and propose systematic solutions, further enhance the awareness and ability of all employees in ecological and environmental protection work, and promote the full implementation of ecological and environmental protection responsibilities.</v>
      </c>
      <c r="B5104" s="1" t="str">
        <f ca="1">IFERROR(__xludf.DUMMYFUNCTION("GOOGLETRANSLATE(A5104, ""zh"", ""en"")"),"Environmental Policy")</f>
        <v>Environmental Policy</v>
      </c>
      <c r="C5104" s="1" t="str">
        <f ca="1">IFERROR(__xludf.DUMMYFUNCTION("GOOGLETRANSLATE(E5104, ""zh"", ""en"")"),"Quantitative Text")</f>
        <v>Quantitative Text</v>
      </c>
    </row>
    <row r="5105" spans="1:3" ht="13" x14ac:dyDescent="0.15">
      <c r="A5105" s="1" t="str">
        <f ca="1">IFERROR(__xludf.DUMMYFUNCTION("GOOGLETRANSLATE(A5105, ""zh"", ""en"")"),"The company's environmental protection management regulations clearly stipulate that any negative environmental information such as environmental violations, environmental violations reported by the state or local governments, environmental lawsuits, or m"&amp;"edia exposure due to environmental issues should be reported through the environmental protection information system within 3 working days. Late reporting or concealment will result in severe accountability.")</f>
        <v>The company's environmental protection management regulations clearly stipulate that any negative environmental information such as environmental violations, environmental violations reported by the state or local governments, environmental lawsuits, or media exposure due to environmental issues should be reported through the environmental protection information system within 3 working days. Late reporting or concealment will result in severe accountability.</v>
      </c>
      <c r="B5105" s="1" t="str">
        <f ca="1">IFERROR(__xludf.DUMMYFUNCTION("GOOGLETRANSLATE(A5105, ""zh"", ""en"")"),"Environmental penalties")</f>
        <v>Environmental penalties</v>
      </c>
      <c r="C5105" s="1" t="str">
        <f ca="1">IFERROR(__xludf.DUMMYFUNCTION("GOOGLETRANSLATE(E5105, ""zh"", ""en"")"),"Qualitative text")</f>
        <v>Qualitative text</v>
      </c>
    </row>
    <row r="5106" spans="1:3" ht="13" x14ac:dyDescent="0.15">
      <c r="A5106" s="1" t="str">
        <f ca="1">IFERROR(__xludf.DUMMYFUNCTION("GOOGLETRANSLATE(A5106, ""zh"", ""en"")"),"2022CorporateSocialResponsibilityReport15Diversified Governance The Company's Board of Directors consists of a Strategy Committee, a Planning Committee, a Nomination Committee, a Remuneration and Appraisal Committee, and an Environmental, Social and Gover"&amp;"nance Committee. The Board also establishes the terms of reference and implementation rules for each specialized committee.")</f>
        <v>2022CorporateSocialResponsibilityReport15Diversified Governance The Company's Board of Directors consists of a Strategy Committee, a Planning Committee, a Nomination Committee, a Remuneration and Appraisal Committee, and an Environmental, Social and Governance Committee. The Board also establishes the terms of reference and implementation rules for each specialized committee.</v>
      </c>
      <c r="B5106" s="1" t="str">
        <f ca="1">IFERROR(__xludf.DUMMYFUNCTION("GOOGLETRANSLATE(A5106, ""zh"", ""en"")"),"Organizational structure and operations")</f>
        <v>Organizational structure and operations</v>
      </c>
      <c r="C5106" s="1" t="str">
        <f ca="1">IFERROR(__xludf.DUMMYFUNCTION("GOOGLETRANSLATE(E5106, ""zh"", ""en"")"),"Qualitative text")</f>
        <v>Qualitative text</v>
      </c>
    </row>
    <row r="5107" spans="1:3" ht="13" x14ac:dyDescent="0.15">
      <c r="A5107" s="1" t="str">
        <f ca="1">IFERROR(__xludf.DUMMYFUNCTION("GOOGLETRANSLATE(A5107, ""zh"", ""en"")"),"58 CITIC Securities 2022 Annual Social Responsibility Report. In 2022, CITIC Futures launched a total of 50 agricultural insurance futures projects, a year-on-year increase of 28%. It provided price risk protection for 48,200 farmers, cooperatives, and ag"&amp;"ricultural enterprises in 45 cities and counties across 16 provinces and autonomous regions, with an insured value of 1.389 billion yuan, gaining widespread recognition from the public.")</f>
        <v>58 CITIC Securities 2022 Annual Social Responsibility Report. In 2022, CITIC Futures launched a total of 50 agricultural insurance futures projects, a year-on-year increase of 28%. It provided price risk protection for 48,200 farmers, cooperatives, and agricultural enterprises in 45 cities and counties across 16 provinces and autonomous regions, with an insured value of 1.389 billion yuan, gaining widespread recognition from the public.</v>
      </c>
      <c r="B5107" s="1" t="str">
        <f ca="1">IFERROR(__xludf.DUMMYFUNCTION("GOOGLETRANSLATE(A5107, ""zh"", ""en"")"),"Rural assistance")</f>
        <v>Rural assistance</v>
      </c>
      <c r="C5107" s="1" t="str">
        <f ca="1">IFERROR(__xludf.DUMMYFUNCTION("GOOGLETRANSLATE(E5107, ""zh"", ""en"")"),"Quantitative Text")</f>
        <v>Quantitative Text</v>
      </c>
    </row>
    <row r="5108" spans="1:3" ht="13" x14ac:dyDescent="0.15">
      <c r="A5108" s="1" t="str">
        <f ca="1">IFERROR(__xludf.DUMMYFUNCTION("GOOGLETRANSLATE(A5108, ""zh"", ""en"")"),"Huanneng Company, Yuantong Company, Chemical Company, Investment Company, Industrial Investment Company 0532 actively fulfills its social responsibilities, strives to stabilize and expand employment opportunities, utilizes various recruitment methods, com"&amp;"bines online and offline recruitment, participates in Wuchan Zhongda series of recruitment activities every year, independently participates in more than 10 university job fairs, and organizes member companies to participate in special job fairs of variou"&amp;"s vocational and technical colleges and automotive colleges.")</f>
        <v>Huanneng Company, Yuantong Company, Chemical Company, Investment Company, Industrial Investment Company 0532 actively fulfills its social responsibilities, strives to stabilize and expand employment opportunities, utilizes various recruitment methods, combines online and offline recruitment, participates in Wuchan Zhongda series of recruitment activities every year, independently participates in more than 10 university job fairs, and organizes member companies to participate in special job fairs of various vocational and technical colleges and automotive colleges.</v>
      </c>
      <c r="B5108" s="1" t="str">
        <f ca="1">IFERROR(__xludf.DUMMYFUNCTION("GOOGLETRANSLATE(A5108, ""zh"", ""en"")"),"Promoting employment")</f>
        <v>Promoting employment</v>
      </c>
      <c r="C5108" s="1" t="str">
        <f ca="1">IFERROR(__xludf.DUMMYFUNCTION("GOOGLETRANSLATE(E5108, ""zh"", ""en"")"),"Qualitative text")</f>
        <v>Qualitative text</v>
      </c>
    </row>
    <row r="5109" spans="1:3" ht="13" x14ac:dyDescent="0.15">
      <c r="A5109" s="1" t="str">
        <f ca="1">IFERROR(__xludf.DUMMYFUNCTION("GOOGLETRANSLATE(A5109, ""zh"", ""en"")"),"In 2021, according to the requirements of Pingdingshan Municipal Ecological Environment Bureau, we carried out soil hazard investigation work, improved water resource utilization by formulating hazard investigation methods, actively promoted enterprise wa"&amp;"ter-saving technology transformation, strengthened conservation awareness, established a long-term mechanism, and achieved results in enterprise water-saving work. We carried out hazard investigation, promptly rectified the hazards found, and further impr"&amp;"oved the level of soil and groundwater pollution prevention and control.")</f>
        <v>In 2021, according to the requirements of Pingdingshan Municipal Ecological Environment Bureau, we carried out soil hazard investigation work, improved water resource utilization by formulating hazard investigation methods, actively promoted enterprise water-saving technology transformation, strengthened conservation awareness, established a long-term mechanism, and achieved results in enterprise water-saving work. We carried out hazard investigation, promptly rectified the hazards found, and further improved the level of soil and groundwater pollution prevention and control.</v>
      </c>
      <c r="B5109" s="1" t="str">
        <f ca="1">IFERROR(__xludf.DUMMYFUNCTION("GOOGLETRANSLATE(A5109, ""zh"", ""en"")"),"Water resources")</f>
        <v>Water resources</v>
      </c>
      <c r="C5109" s="1" t="str">
        <f ca="1">IFERROR(__xludf.DUMMYFUNCTION("GOOGLETRANSLATE(E5109, ""zh"", ""en"")"),"Qualitative text")</f>
        <v>Qualitative text</v>
      </c>
    </row>
    <row r="5110" spans="1:3" ht="13" x14ac:dyDescent="0.15">
      <c r="A5110" s="1" t="str">
        <f ca="1">IFERROR(__xludf.DUMMYFUNCTION("GOOGLETRANSLATE(A5110, ""zh"", ""en"")"),"Strengthening the construction of multi-village doctor teams not only requires improving welfare benefits and perfecting career planning, but also requires improving training mechanisms, improving the skills of the editor-in-chief and readers of this pock"&amp;"et book, such as Huo Yong, Department of Cardiology, First Hospital of University of China, and Mu Yiming, Department of Endocrinology, General Hospital of the People's Liberation Army, as well as filling in the gaps in capabilities.")</f>
        <v>Strengthening the construction of multi-village doctor teams not only requires improving welfare benefits and perfecting career planning, but also requires improving training mechanisms, improving the skills of the editor-in-chief and readers of this pocket book, such as Huo Yong, Department of Cardiology, First Hospital of University of China, and Mu Yiming, Department of Endocrinology, General Hospital of the People's Liberation Army, as well as filling in the gaps in capabilities.</v>
      </c>
      <c r="B5110" s="1" t="str">
        <f ca="1">IFERROR(__xludf.DUMMYFUNCTION("GOOGLETRANSLATE(A5110, ""zh"", ""en"")"),"staff")</f>
        <v>staff</v>
      </c>
      <c r="C5110" s="1" t="str">
        <f ca="1">IFERROR(__xludf.DUMMYFUNCTION("GOOGLETRANSLATE(E5110, ""zh"", ""en"")"),"Qualitative text")</f>
        <v>Qualitative text</v>
      </c>
    </row>
    <row r="5111" spans="1:3" ht="13" x14ac:dyDescent="0.15">
      <c r="A5111" s="1" t="str">
        <f ca="1">IFERROR(__xludf.DUMMYFUNCTION("GOOGLETRANSLATE(A5111, ""zh"", ""en"")"),"Case Study: Popularizing Digital Finance: China Construction Bank created a colorful 3D digital consumer protection education exhibition hall based on intelligent AIVR3D technology, breaking the constraints of time and space, integrating knowledge, fun an"&amp;"d interactivity to create a standardized and distinctive financial education content library, enriching the connotation of financial education and continuously optimizing the customer experience. Through mobile phones, financial knowledge is brought to th"&amp;"e homes of ordinary people.")</f>
        <v>Case Study: Popularizing Digital Finance: China Construction Bank created a colorful 3D digital consumer protection education exhibition hall based on intelligent AIVR3D technology, breaking the constraints of time and space, integrating knowledge, fun and interactivity to create a standardized and distinctive financial education content library, enriching the connotation of financial education and continuously optimizing the customer experience. Through mobile phones, financial knowledge is brought to the homes of ordinary people.</v>
      </c>
      <c r="B5111" s="1" t="str">
        <f ca="1">IFERROR(__xludf.DUMMYFUNCTION("GOOGLETRANSLATE(A5111, ""zh"", ""en"")"),"Customers and Consumers")</f>
        <v>Customers and Consumers</v>
      </c>
      <c r="C5111" s="1" t="str">
        <f ca="1">IFERROR(__xludf.DUMMYFUNCTION("GOOGLETRANSLATE(E5111, ""zh"", ""en"")"),"Qualitative text")</f>
        <v>Qualitative text</v>
      </c>
    </row>
    <row r="5112" spans="1:3" ht="13" x14ac:dyDescent="0.15">
      <c r="A5112" s="1" t="str">
        <f ca="1">IFERROR(__xludf.DUMMYFUNCTION("GOOGLETRANSLATE(A5112, ""zh"", ""en"")"),"Ensure the life safety and physical health of employees. 100% detection rate of employee occupational disease hazard factors, 100% effective prevention and control rate, 100% occupational disease physical examination rate, 100% intervention rate for high-"&amp;"risk personnel. For 15 consecutive years, Sinopec has maintained zero deaths in overseas public safety. Sinopec's Mental Health EAP Committee has taken proactive psychological care measures to promote the physical and mental health of employees.")</f>
        <v>Ensure the life safety and physical health of employees. 100% detection rate of employee occupational disease hazard factors, 100% effective prevention and control rate, 100% occupational disease physical examination rate, 100% intervention rate for high-risk personnel. For 15 consecutive years, Sinopec has maintained zero deaths in overseas public safety. Sinopec's Mental Health EAP Committee has taken proactive psychological care measures to promote the physical and mental health of employees.</v>
      </c>
      <c r="B5112" s="1" t="str">
        <f ca="1">IFERROR(__xludf.DUMMYFUNCTION("GOOGLETRANSLATE(A5112, ""zh"", ""en"")"),"staff")</f>
        <v>staff</v>
      </c>
      <c r="C5112" s="1" t="str">
        <f ca="1">IFERROR(__xludf.DUMMYFUNCTION("GOOGLETRANSLATE(E5112, ""zh"", ""en"")"),"Quantitative Text")</f>
        <v>Quantitative Text</v>
      </c>
    </row>
    <row r="5113" spans="1:3" ht="13" x14ac:dyDescent="0.15">
      <c r="A5113" s="1" t="str">
        <f ca="1">IFERROR(__xludf.DUMMYFUNCTION("GOOGLETRANSLATE(A5113, ""zh"", ""en"")"),"At the same time, the company also organized a research activity in China Storage Holdings Co., Ltd., receiving a total of 19 institutions. In addition to discussions and exchanges, the company also organized investors to visit the intelligent exhibition "&amp;"hall of China Storage Intelligent Transportation, showing institutional investors the development history of China Storage Intelligent Transportation, core business, business model, brand value, etc., so that institutional investors have a comprehensive u"&amp;"nderstanding and knowledge of China Storage Intelligent Transportation.")</f>
        <v>At the same time, the company also organized a research activity in China Storage Holdings Co., Ltd., receiving a total of 19 institutions. In addition to discussions and exchanges, the company also organized investors to visit the intelligent exhibition hall of China Storage Intelligent Transportation, showing institutional investors the development history of China Storage Intelligent Transportation, core business, business model, brand value, etc., so that institutional investors have a comprehensive understanding and knowledge of China Storage Intelligent Transportation.</v>
      </c>
      <c r="B5113" s="1" t="str">
        <f ca="1">IFERROR(__xludf.DUMMYFUNCTION("GOOGLETRANSLATE(A5113, ""zh"", ""en"")"),"Information Disclosure and Investor Communication")</f>
        <v>Information Disclosure and Investor Communication</v>
      </c>
      <c r="C5113" s="1" t="str">
        <f ca="1">IFERROR(__xludf.DUMMYFUNCTION("GOOGLETRANSLATE(E5113, ""zh"", ""en"")"),"Quantitative Text")</f>
        <v>Quantitative Text</v>
      </c>
    </row>
    <row r="5114" spans="1:3" ht="13" x14ac:dyDescent="0.15">
      <c r="A5114" s="1" t="str">
        <f ca="1">IFERROR(__xludf.DUMMYFUNCTION("GOOGLETRANSLATE(A5114, ""zh"", ""en"")"),"The company's Party Committee Theory Study Center Group conducted two special study activities on General Secretary Xi Jinping's important statements on production safety in late March and April. The deputy director of the company's Safety Committee and t"&amp;"he safety management personnel of the Operation Management Center conducted special safety training for safety management personnel across the system with the theme of strengthening system construction and improving the inherent safety level and building "&amp;"a dual system.")</f>
        <v>The company's Party Committee Theory Study Center Group conducted two special study activities on General Secretary Xi Jinping's important statements on production safety in late March and April. The deputy director of the company's Safety Committee and the safety management personnel of the Operation Management Center conducted special safety training for safety management personnel across the system with the theme of strengthening system construction and improving the inherent safety level and building a dual system.</v>
      </c>
      <c r="B5114" s="1" t="str">
        <f ca="1">IFERROR(__xludf.DUMMYFUNCTION("GOOGLETRANSLATE(A5114, ""zh"", ""en"")"),"staff")</f>
        <v>staff</v>
      </c>
      <c r="C5114" s="1" t="str">
        <f ca="1">IFERROR(__xludf.DUMMYFUNCTION("GOOGLETRANSLATE(E5114, ""zh"", ""en"")"),"Qualitative text")</f>
        <v>Qualitative text</v>
      </c>
    </row>
    <row r="5115" spans="1:3" ht="13" x14ac:dyDescent="0.15">
      <c r="A5115" s="1" t="str">
        <f ca="1">IFERROR(__xludf.DUMMYFUNCTION("GOOGLETRANSLATE(A5115, ""zh"", ""en"")"),"We have carried out R&amp;D on a number of environmental protection technologies, such as the R&amp;D of external SCR denitrification technology for biomass boilers, the design and development of a digital green and low-carbon environmental protection cloud platf"&amp;"orm based on a smart environmental protection island system, the development of an integrated and efficient desulfurization wastewater purification system based on cyclone clarification technology, and the study of the impact of the co-incineration of dif"&amp;"ferent types of sludge on CO and HCl gas emissions in flue gas.")</f>
        <v>We have carried out R&amp;D on a number of environmental protection technologies, such as the R&amp;D of external SCR denitrification technology for biomass boilers, the design and development of a digital green and low-carbon environmental protection cloud platform based on a smart environmental protection island system, the development of an integrated and efficient desulfurization wastewater purification system based on cyclone clarification technology, and the study of the impact of the co-incineration of different types of sludge on CO and HCl gas emissions in flue gas.</v>
      </c>
      <c r="B5115" s="1" t="str">
        <f ca="1">IFERROR(__xludf.DUMMYFUNCTION("GOOGLETRANSLATE(A5115, ""zh"", ""en"")"),"Waste Management")</f>
        <v>Waste Management</v>
      </c>
      <c r="C5115" s="1" t="str">
        <f ca="1">IFERROR(__xludf.DUMMYFUNCTION("GOOGLETRANSLATE(E5115, ""zh"", ""en"")"),"Qualitative text")</f>
        <v>Qualitative text</v>
      </c>
    </row>
    <row r="5116" spans="1:3" ht="13" x14ac:dyDescent="0.15">
      <c r="A5116" s="1" t="str">
        <f ca="1">IFERROR(__xludf.DUMMYFUNCTION("GOOGLETRANSLATE(A5116, ""zh"", ""en"")"),"Livzon Group has developed its own impurity detection method based on its R&amp;D and quality analysis capabilities. It has transferred this method free of charge to technologically underdeveloped generic drug manufacturers in emerging markets and developing "&amp;"countries, providing them with impurity standards. This has broken the barriers to proprietary technologies in crystal form protection impurity control and detection held by European and American suppliers or original research companies.")</f>
        <v>Livzon Group has developed its own impurity detection method based on its R&amp;D and quality analysis capabilities. It has transferred this method free of charge to technologically underdeveloped generic drug manufacturers in emerging markets and developing countries, providing them with impurity standards. This has broken the barriers to proprietary technologies in crystal form protection impurity control and detection held by European and American suppliers or original research companies.</v>
      </c>
      <c r="B5116" s="1" t="str">
        <f ca="1">IFERROR(__xludf.DUMMYFUNCTION("GOOGLETRANSLATE(A5116, ""zh"", ""en"")"),"Technological innovation")</f>
        <v>Technological innovation</v>
      </c>
      <c r="C5116" s="1" t="str">
        <f ca="1">IFERROR(__xludf.DUMMYFUNCTION("GOOGLETRANSLATE(E5116, ""zh"", ""en"")"),"Qualitative text")</f>
        <v>Qualitative text</v>
      </c>
    </row>
    <row r="5117" spans="1:3" ht="13" x14ac:dyDescent="0.15">
      <c r="A5117" s="1" t="str">
        <f ca="1">IFERROR(__xludf.DUMMYFUNCTION("GOOGLETRANSLATE(A5117, ""zh"", ""en"")"),"Case studies help suppliers grow. Our suppliers assist in improving quality management, production site management, providing financial support and ensuring sales operations. We collaborate on product R&amp;D and innovation to provide products with better qua"&amp;"lity and lower costs. 5354 Renfu Pharmaceuticals continues to deepen in-depth exchanges with universities, pharmaceutical companies, medical institutions and other upstream and downstream industries, achieving resource sharing and co-construction to promo"&amp;"te high-quality development of the industry.")</f>
        <v>Case studies help suppliers grow. Our suppliers assist in improving quality management, production site management, providing financial support and ensuring sales operations. We collaborate on product R&amp;D and innovation to provide products with better quality and lower costs. 5354 Renfu Pharmaceuticals continues to deepen in-depth exchanges with universities, pharmaceutical companies, medical institutions and other upstream and downstream industries, achieving resource sharing and co-construction to promote high-quality development of the industry.</v>
      </c>
      <c r="B5117" s="1" t="str">
        <f ca="1">IFERROR(__xludf.DUMMYFUNCTION("GOOGLETRANSLATE(A5117, ""zh"", ""en"")"),"supply chain management")</f>
        <v>supply chain management</v>
      </c>
      <c r="C5117" s="1" t="str">
        <f ca="1">IFERROR(__xludf.DUMMYFUNCTION("GOOGLETRANSLATE(E5117, ""zh"", ""en"")"),"Qualitative text")</f>
        <v>Qualitative text</v>
      </c>
    </row>
    <row r="5118" spans="1:3" ht="13" x14ac:dyDescent="0.15">
      <c r="A5118" s="1" t="str">
        <f ca="1">IFERROR(__xludf.DUMMYFUNCTION("GOOGLETRANSLATE(A5118, ""zh"", ""en"")"),"The company promotes the integration of ESG concepts with corporate development strategies, uses financial services to serve the real economy and national strategies, promotes the prosperity of environmentally friendly industries and the development of a "&amp;"people-oriented society, creates shared value for stakeholders that is coordinated with economic and social environmental benefits, and relentlessly pursues more outstanding sustainable development performance to build a first-class financial holding plat"&amp;"form for listed central enterprises in China.")</f>
        <v>The company promotes the integration of ESG concepts with corporate development strategies, uses financial services to serve the real economy and national strategies, promotes the prosperity of environmentally friendly industries and the development of a people-oriented society, creates shared value for stakeholders that is coordinated with economic and social environmental benefits, and relentlessly pursues more outstanding sustainable development performance to build a first-class financial holding platform for listed central enterprises in China.</v>
      </c>
      <c r="B5118" s="1" t="str">
        <f ca="1">IFERROR(__xludf.DUMMYFUNCTION("GOOGLETRANSLATE(A5118, ""zh"", ""en"")"),"irrelevant text")</f>
        <v>irrelevant text</v>
      </c>
      <c r="C5118" s="1" t="str">
        <f ca="1">IFERROR(__xludf.DUMMYFUNCTION("GOOGLETRANSLATE(E5118, ""zh"", ""en"")"),"irrelevant text")</f>
        <v>irrelevant text</v>
      </c>
    </row>
    <row r="5119" spans="1:3" ht="13" x14ac:dyDescent="0.15">
      <c r="A5119" s="1" t="str">
        <f ca="1">IFERROR(__xludf.DUMMYFUNCTION("GOOGLETRANSLATE(A5119, ""zh"", ""en"")"),"The welding process room is a technical and service-oriented team. It is mainly responsible for the preparation of welding-related processes, technical development, product production, on-site after-sales service, and other technical support and service f"&amp;"or the entire product life cycle. With its superb and excellent welding technology system, it strives to safeguard the technological leadership and quality excellence of products in six major areas: thermal power, nuclear power, gas turbine, industrial tu"&amp;"rbine service, and overseas market.")</f>
        <v>The welding process room is a technical and service-oriented team. It is mainly responsible for the preparation of welding-related processes, technical development, product production, on-site after-sales service, and other technical support and service for the entire product life cycle. With its superb and excellent welding technology system, it strives to safeguard the technological leadership and quality excellence of products in six major areas: thermal power, nuclear power, gas turbine, industrial turbine service, and overseas market.</v>
      </c>
      <c r="B5119" s="1" t="str">
        <f ca="1">IFERROR(__xludf.DUMMYFUNCTION("GOOGLETRANSLATE(A5119, ""zh"", ""en"")"),"Product quality")</f>
        <v>Product quality</v>
      </c>
      <c r="C5119" s="1" t="str">
        <f ca="1">IFERROR(__xludf.DUMMYFUNCTION("GOOGLETRANSLATE(E5119, ""zh"", ""en"")"),"Qualitative text")</f>
        <v>Qualitative text</v>
      </c>
    </row>
    <row r="5120" spans="1:3" ht="13" x14ac:dyDescent="0.15">
      <c r="A5120" s="1" t="str">
        <f ca="1">IFERROR(__xludf.DUMMYFUNCTION("GOOGLETRANSLATE(A5120, ""zh"", ""en"")"),"In 2022, the company designed 30 document manuals based on the existing system through risk assessment, business interviews, walkthrough testing and other procedures, including 181 secondary control processes, 548 control activities, 551 risk control poin"&amp;"ts, and 185 authority guidelines. Compliance management will be incorporated into the system and process to ensure the legalization and standardization of business activities in all areas and links.")</f>
        <v>In 2022, the company designed 30 document manuals based on the existing system through risk assessment, business interviews, walkthrough testing and other procedures, including 181 secondary control processes, 548 control activities, 551 risk control points, and 185 authority guidelines. Compliance management will be incorporated into the system and process to ensure the legalization and standardization of business activities in all areas and links.</v>
      </c>
      <c r="B5120" s="1" t="str">
        <f ca="1">IFERROR(__xludf.DUMMYFUNCTION("GOOGLETRANSLATE(A5120, ""zh"", ""en"")"),"Legal proceedings and external sanctions")</f>
        <v>Legal proceedings and external sanctions</v>
      </c>
      <c r="C5120" s="1" t="str">
        <f ca="1">IFERROR(__xludf.DUMMYFUNCTION("GOOGLETRANSLATE(E5120, ""zh"", ""en"")"),"Quantitative Text")</f>
        <v>Quantitative Text</v>
      </c>
    </row>
    <row r="5121" spans="1:3" ht="13" x14ac:dyDescent="0.15">
      <c r="A5121" s="1" t="str">
        <f ca="1">IFERROR(__xludf.DUMMYFUNCTION("GOOGLETRANSLATE(A5121, ""zh"", ""en"")"),"The company has established and continuously improved a closed-loop management system for complaint improvement. Through hotlines, online voice chats, online public opinion monitoring, government express trains and other multi-channels, it collects inform"&amp;"ation on supplier performance management and control procedures, potential supplier registration and management control procedures, establishes a complaint handling center, clarifies the complaint classification and handling process, and handles it in a s"&amp;"tandardized manner. It responds quickly within 2 hours and is completed within 72 hours.")</f>
        <v>The company has established and continuously improved a closed-loop management system for complaint improvement. Through hotlines, online voice chats, online public opinion monitoring, government express trains and other multi-channels, it collects information on supplier performance management and control procedures, potential supplier registration and management control procedures, establishes a complaint handling center, clarifies the complaint classification and handling process, and handles it in a standardized manner. It responds quickly within 2 hours and is completed within 72 hours.</v>
      </c>
      <c r="B5121" s="1" t="str">
        <f ca="1">IFERROR(__xludf.DUMMYFUNCTION("GOOGLETRANSLATE(A5121, ""zh"", ""en"")"),"Reporting System")</f>
        <v>Reporting System</v>
      </c>
      <c r="C5121" s="1" t="str">
        <f ca="1">IFERROR(__xludf.DUMMYFUNCTION("GOOGLETRANSLATE(E5121, ""zh"", ""en"")"),"Qualitative text")</f>
        <v>Qualitative text</v>
      </c>
    </row>
    <row r="5122" spans="1:3" ht="13" x14ac:dyDescent="0.15">
      <c r="A5122" s="1" t="str">
        <f ca="1">IFERROR(__xludf.DUMMYFUNCTION("GOOGLETRANSLATE(A5122, ""zh"", ""en"")"),"SDIC Taikang Trust provided RMB136.757 billion in funding for inclusive finance projects, serving 2,257 small and medium-sized enterprises. SDIC Taikang Trust's supply chain finance model helps transportation and logistics-related inclusive finance client"&amp;"s maintain stable operations. SDIC Taikang Trust began engaging in inclusive finance business in 2016 and has been focusing on promoting this business since 2018.")</f>
        <v>SDIC Taikang Trust provided RMB136.757 billion in funding for inclusive finance projects, serving 2,257 small and medium-sized enterprises. SDIC Taikang Trust's supply chain finance model helps transportation and logistics-related inclusive finance clients maintain stable operations. SDIC Taikang Trust began engaging in inclusive finance business in 2016 and has been focusing on promoting this business since 2018.</v>
      </c>
      <c r="B5122" s="1" t="str">
        <f ca="1">IFERROR(__xludf.DUMMYFUNCTION("GOOGLETRANSLATE(A5122, ""zh"", ""en"")"),"supply chain management")</f>
        <v>supply chain management</v>
      </c>
      <c r="C5122" s="1" t="str">
        <f ca="1">IFERROR(__xludf.DUMMYFUNCTION("GOOGLETRANSLATE(E5122, ""zh"", ""en"")"),"Quantitative Text")</f>
        <v>Quantitative Text</v>
      </c>
    </row>
    <row r="5123" spans="1:3" ht="13" x14ac:dyDescent="0.15">
      <c r="A5123" s="1" t="str">
        <f ca="1">IFERROR(__xludf.DUMMYFUNCTION("GOOGLETRANSLATE(A5123, ""zh"", ""en"")"),"The overall turnover rate disclosed in the China Construction Bank's Social Responsibility Report by gender refers to the ratio of male and female employees under labor contracts who voluntarily proposed to terminate their contracts with the company as of"&amp;" the end of the reporting period, excluding overseas institutions, domestic and overseas subsidiaries, to the average number of male and female employees in 2021 and 2022.")</f>
        <v>The overall turnover rate disclosed in the China Construction Bank's Social Responsibility Report by gender refers to the ratio of male and female employees under labor contracts who voluntarily proposed to terminate their contracts with the company as of the end of the reporting period, excluding overseas institutions, domestic and overseas subsidiaries, to the average number of male and female employees in 2021 and 2022.</v>
      </c>
      <c r="B5123" s="1" t="str">
        <f ca="1">IFERROR(__xludf.DUMMYFUNCTION("GOOGLETRANSLATE(A5123, ""zh"", ""en"")"),"staff")</f>
        <v>staff</v>
      </c>
      <c r="C5123" s="1" t="str">
        <f ca="1">IFERROR(__xludf.DUMMYFUNCTION("GOOGLETRANSLATE(E5123, ""zh"", ""en"")"),"Quantitative Text")</f>
        <v>Quantitative Text</v>
      </c>
    </row>
    <row r="5124" spans="1:3" ht="13" x14ac:dyDescent="0.15">
      <c r="A5124" s="1" t="str">
        <f ca="1">IFERROR(__xludf.DUMMYFUNCTION("GOOGLETRANSLATE(A5124, ""zh"", ""en"")"),"China Construction Bank Corporation has formulated a Personal Information Protection Policy to explain in detail to customers the Bank's specific provisions on the collection and use of personal information, the use of cookies and similar technologies, th"&amp;"e sharing, transfer and public disclosure of customer personal information, the storage and protection of customer personal information, the granting of personal information control rights, and how to handle information of minors.")</f>
        <v>China Construction Bank Corporation has formulated a Personal Information Protection Policy to explain in detail to customers the Bank's specific provisions on the collection and use of personal information, the use of cookies and similar technologies, the sharing, transfer and public disclosure of customer personal information, the storage and protection of customer personal information, the granting of personal information control rights, and how to handle information of minors.</v>
      </c>
      <c r="B5124" s="1" t="str">
        <f ca="1">IFERROR(__xludf.DUMMYFUNCTION("GOOGLETRANSLATE(A5124, ""zh"", ""en"")"),"Data security")</f>
        <v>Data security</v>
      </c>
      <c r="C5124" s="1" t="str">
        <f ca="1">IFERROR(__xludf.DUMMYFUNCTION("GOOGLETRANSLATE(E5124, ""zh"", ""en"")"),"Qualitative text")</f>
        <v>Qualitative text</v>
      </c>
    </row>
    <row r="5125" spans="1:3" ht="13" x14ac:dyDescent="0.15">
      <c r="A5125" s="1" t="str">
        <f ca="1">IFERROR(__xludf.DUMMYFUNCTION("GOOGLETRANSLATE(A5125, ""zh"", ""en"")"),"The Bank strictly implements all anti-money laundering and financial sanctions regulatory requirements, practices risk-based management in depth, and restructures the institution's money laundering risk self-assessment system through a sound anti-money la"&amp;"undering management framework, improves the construction of the anti-money laundering system, and continuously strengthens the effectiveness of fulfilling core anti-money laundering obligations. The level of money laundering risk management continues to i"&amp;"mprove, safeguarding the healthy development of the business.")</f>
        <v>The Bank strictly implements all anti-money laundering and financial sanctions regulatory requirements, practices risk-based management in depth, and restructures the institution's money laundering risk self-assessment system through a sound anti-money laundering management framework, improves the construction of the anti-money laundering system, and continuously strengthens the effectiveness of fulfilling core anti-money laundering obligations. The level of money laundering risk management continues to improve, safeguarding the healthy development of the business.</v>
      </c>
      <c r="B5125" s="1" t="str">
        <f ca="1">IFERROR(__xludf.DUMMYFUNCTION("GOOGLETRANSLATE(A5125, ""zh"", ""en"")"),"Anti-corruption and anti-money laundering")</f>
        <v>Anti-corruption and anti-money laundering</v>
      </c>
      <c r="C5125" s="1" t="str">
        <f ca="1">IFERROR(__xludf.DUMMYFUNCTION("GOOGLETRANSLATE(E5125, ""zh"", ""en"")"),"Qualitative text")</f>
        <v>Qualitative text</v>
      </c>
    </row>
    <row r="5126" spans="1:3" ht="13" x14ac:dyDescent="0.15">
      <c r="A5126" s="1" t="str">
        <f ca="1">IFERROR(__xludf.DUMMYFUNCTION("GOOGLETRANSLATE(A5126, ""zh"", ""en"")"),"2022 Social Responsibility Report 2022 Social Responsibility Report A New Landscape of Open Collaboration 04 Shanghai Electric has consistently adhered to multi-level, multi-field, and multi-form exchanges, continuously expanding its areas of cooperation "&amp;"with upstream and downstream industry chain partners. Through collaborative development, it has enhanced its own capabilities in integrating industry, academia, and research, and deeply explored new dual-carbon opportunities through multi-dimensional coll"&amp;"aboration with strategic partners.")</f>
        <v>2022 Social Responsibility Report 2022 Social Responsibility Report A New Landscape of Open Collaboration 04 Shanghai Electric has consistently adhered to multi-level, multi-field, and multi-form exchanges, continuously expanding its areas of cooperation with upstream and downstream industry chain partners. Through collaborative development, it has enhanced its own capabilities in integrating industry, academia, and research, and deeply explored new dual-carbon opportunities through multi-dimensional collaboration with strategic partners.</v>
      </c>
      <c r="B5126" s="1" t="str">
        <f ca="1">IFERROR(__xludf.DUMMYFUNCTION("GOOGLETRANSLATE(A5126, ""zh"", ""en"")"),"Organizational structure and operations")</f>
        <v>Organizational structure and operations</v>
      </c>
      <c r="C5126" s="1" t="str">
        <f ca="1">IFERROR(__xludf.DUMMYFUNCTION("GOOGLETRANSLATE(E5126, ""zh"", ""en"")"),"Qualitative text")</f>
        <v>Qualitative text</v>
      </c>
    </row>
    <row r="5127" spans="1:3" ht="13" x14ac:dyDescent="0.15">
      <c r="A5127" s="1" t="str">
        <f ca="1">IFERROR(__xludf.DUMMYFUNCTION("GOOGLETRANSLATE(A5127, ""zh"", ""en"")"),"In December 2022, Sinopec and three other Chinese companies were selected for the Corporate Biodiversity Conservation Case Collection. This case collection was jointly compiled by the World Business Council for Sustainable Development (WBCSD) and other or"&amp;"ganizations and released at the China Corner side event of the second phase of the 15th Conference of the Parties to the Convention on Biological Diversity (COP15) in Montreal, Canada.")</f>
        <v>In December 2022, Sinopec and three other Chinese companies were selected for the Corporate Biodiversity Conservation Case Collection. This case collection was jointly compiled by the World Business Council for Sustainable Development (WBCSD) and other organizations and released at the China Corner side event of the second phase of the 15th Conference of the Parties to the Convention on Biological Diversity (COP15) in Montreal, Canada.</v>
      </c>
      <c r="B5127" s="1" t="str">
        <f ca="1">IFERROR(__xludf.DUMMYFUNCTION("GOOGLETRANSLATE(A5127, ""zh"", ""en"")"),"biodiversity")</f>
        <v>biodiversity</v>
      </c>
      <c r="C5127" s="1" t="str">
        <f ca="1">IFERROR(__xludf.DUMMYFUNCTION("GOOGLETRANSLATE(E5127, ""zh"", ""en"")"),"Quantitative Text")</f>
        <v>Quantitative Text</v>
      </c>
    </row>
    <row r="5128" spans="1:3" ht="13" x14ac:dyDescent="0.15">
      <c r="A5128" s="1" t="str">
        <f ca="1">IFERROR(__xludf.DUMMYFUNCTION("GOOGLETRANSLATE(A5128, ""zh"", ""en"")"),"Case Study: Clean production reduces energy consumption. Green operation: The company continues to develop green factories and proactively conducts clean production audits. By analyzing pollution sources and important environmental factors, pollution prev"&amp;"ention and control is implemented at the source. Pollution prevention and control is implemented in every position to ensure that pollutant emissions are continuously reduced on the basis of meeting emission standards, reducing the impact of the company's"&amp;" production and operation activities on the environment.")</f>
        <v>Case Study: Clean production reduces energy consumption. Green operation: The company continues to develop green factories and proactively conducts clean production audits. By analyzing pollution sources and important environmental factors, pollution prevention and control is implemented at the source. Pollution prevention and control is implemented in every position to ensure that pollutant emissions are continuously reduced on the basis of meeting emission standards, reducing the impact of the company's production and operation activities on the environment.</v>
      </c>
      <c r="B5128" s="1" t="str">
        <f ca="1">IFERROR(__xludf.DUMMYFUNCTION("GOOGLETRANSLATE(A5128, ""zh"", ""en"")"),"Energy and resource consumption")</f>
        <v>Energy and resource consumption</v>
      </c>
      <c r="C5128" s="1" t="str">
        <f ca="1">IFERROR(__xludf.DUMMYFUNCTION("GOOGLETRANSLATE(E5128, ""zh"", ""en"")"),"Qualitative text")</f>
        <v>Qualitative text</v>
      </c>
    </row>
    <row r="5129" spans="1:3" ht="13" x14ac:dyDescent="0.15">
      <c r="A5129" s="1" t="str">
        <f ca="1">IFERROR(__xludf.DUMMYFUNCTION("GOOGLETRANSLATE(A5129, ""zh"", ""en"")"),"As of 2022, the company has 2018 professional and technical qualifications. 11 people have won national awards, 23 people have won provincial talent awards, 6 people have won municipal talent awards, and 32 people have won district talent awards. Sanxia P"&amp;"unotin was recognized as the Yichang Amino Acid Raw Material Engineering Technology Research Center and received a financial reward of 100,000 yuan.")</f>
        <v>As of 2022, the company has 2018 professional and technical qualifications. 11 people have won national awards, 23 people have won provincial talent awards, 6 people have won municipal talent awards, and 32 people have won district talent awards. Sanxia Punotin was recognized as the Yichang Amino Acid Raw Material Engineering Technology Research Center and received a financial reward of 100,000 yuan.</v>
      </c>
      <c r="B5129" s="1" t="str">
        <f ca="1">IFERROR(__xludf.DUMMYFUNCTION("GOOGLETRANSLATE(A5129, ""zh"", ""en"")"),"Technological innovation")</f>
        <v>Technological innovation</v>
      </c>
      <c r="C5129" s="1" t="str">
        <f ca="1">IFERROR(__xludf.DUMMYFUNCTION("GOOGLETRANSLATE(E5129, ""zh"", ""en"")"),"Quantitative Text")</f>
        <v>Quantitative Text</v>
      </c>
    </row>
    <row r="5130" spans="1:3" ht="13" x14ac:dyDescent="0.15">
      <c r="A5130" s="1" t="str">
        <f ca="1">IFERROR(__xludf.DUMMYFUNCTION("GOOGLETRANSLATE(A5130, ""zh"", ""en"")"),"This training focuses on ESG and sustainable development strategic paths, product innovation, technology empowerment, ESG communication, and brand influence. It guides front-line companies to think about sustainable development strategies from an ESG pers"&amp;"pective, and makes companies realize that the essence of sustainable development strategies is to continuously solve business problems and reshape the business landscape by creating social value.")</f>
        <v>This training focuses on ESG and sustainable development strategic paths, product innovation, technology empowerment, ESG communication, and brand influence. It guides front-line companies to think about sustainable development strategies from an ESG perspective, and makes companies realize that the essence of sustainable development strategies is to continuously solve business problems and reshape the business landscape by creating social value.</v>
      </c>
      <c r="B5130" s="1" t="str">
        <f ca="1">IFERROR(__xludf.DUMMYFUNCTION("GOOGLETRANSLATE(A5130, ""zh"", ""en"")"),"Technological innovation")</f>
        <v>Technological innovation</v>
      </c>
      <c r="C5130" s="1" t="str">
        <f ca="1">IFERROR(__xludf.DUMMYFUNCTION("GOOGLETRANSLATE(E5130, ""zh"", ""en"")"),"Qualitative text")</f>
        <v>Qualitative text</v>
      </c>
    </row>
    <row r="5131" spans="1:3" ht="13" x14ac:dyDescent="0.15">
      <c r="A5131" s="1" t="str">
        <f ca="1">IFERROR(__xludf.DUMMYFUNCTION("GOOGLETRANSLATE(A5131, ""zh"", ""en"")"),"This year, the Institute of Biomedicine and Tencent Quantum Lab collaborated on AI-enabled microbial synthetic biology research and the establishment and optimization of model strain metabolic network models based on machine learning. The goal is to trans"&amp;"form and optimize chassis strains by combining experiments and algorithms to increase the production of natural products such as aromatic amino acids and downstream derivatives.")</f>
        <v>This year, the Institute of Biomedicine and Tencent Quantum Lab collaborated on AI-enabled microbial synthetic biology research and the establishment and optimization of model strain metabolic network models based on machine learning. The goal is to transform and optimize chassis strains by combining experiments and algorithms to increase the production of natural products such as aromatic amino acids and downstream derivatives.</v>
      </c>
      <c r="B5131" s="1" t="str">
        <f ca="1">IFERROR(__xludf.DUMMYFUNCTION("GOOGLETRANSLATE(A5131, ""zh"", ""en"")"),"Technological innovation")</f>
        <v>Technological innovation</v>
      </c>
      <c r="C5131" s="1" t="str">
        <f ca="1">IFERROR(__xludf.DUMMYFUNCTION("GOOGLETRANSLATE(E5131, ""zh"", ""en"")"),"Qualitative text")</f>
        <v>Qualitative text</v>
      </c>
    </row>
    <row r="5132" spans="1:3" ht="13" x14ac:dyDescent="0.15">
      <c r="A5132" s="1" t="str">
        <f ca="1">IFERROR(__xludf.DUMMYFUNCTION("GOOGLETRANSLATE(A5132, ""zh"", ""en"")"),"The company resolutely implements the overall requirements and deployment of the state on production safety, strictly matches the requirements of ISO9001, ISO14001, ISO45001, follows the QHSE management framework, integrates key production and operation f"&amp;"actors such as human resources, market and equipment procurement, and establishes a globally unified QHSE international management system that emphasizes both domestic and foreign management.")</f>
        <v>The company resolutely implements the overall requirements and deployment of the state on production safety, strictly matches the requirements of ISO9001, ISO14001, ISO45001, follows the QHSE management framework, integrates key production and operation factors such as human resources, market and equipment procurement, and establishes a globally unified QHSE international management system that emphasizes both domestic and foreign management.</v>
      </c>
      <c r="B5132" s="1" t="str">
        <f ca="1">IFERROR(__xludf.DUMMYFUNCTION("GOOGLETRANSLATE(A5132, ""zh"", ""en"")"),"Environmental Policy")</f>
        <v>Environmental Policy</v>
      </c>
      <c r="C5132" s="1" t="str">
        <f ca="1">IFERROR(__xludf.DUMMYFUNCTION("GOOGLETRANSLATE(E5132, ""zh"", ""en"")"),"Qualitative text")</f>
        <v>Qualitative text</v>
      </c>
    </row>
    <row r="5133" spans="1:3" ht="13" x14ac:dyDescent="0.15">
      <c r="A5133" s="1" t="str">
        <f ca="1">IFERROR(__xludf.DUMMYFUNCTION("GOOGLETRANSLATE(A5133, ""zh"", ""en"")"),"Fang Yongbin, Party Secretary and Chairman of China Storage Development Co., Ltd. 56 The company was established in 1996 by six independent legal entities of Tianjin Company, a subsidiary of China Storage Group, through public offering of shares with the "&amp;"approval of China Securities Regulatory Commission (Zheng Jian Zhu Zi 1996 No. 378). The total share capital after issuance is 51,630,000 shares.")</f>
        <v>Fang Yongbin, Party Secretary and Chairman of China Storage Development Co., Ltd. 56 The company was established in 1996 by six independent legal entities of Tianjin Company, a subsidiary of China Storage Group, through public offering of shares with the approval of China Securities Regulatory Commission (Zheng Jian Zhu Zi 1996 No. 378). The total share capital after issuance is 51,630,000 shares.</v>
      </c>
      <c r="B5133" s="1" t="str">
        <f ca="1">IFERROR(__xludf.DUMMYFUNCTION("GOOGLETRANSLATE(A5133, ""zh"", ""en"")"),"Organizational structure and operations")</f>
        <v>Organizational structure and operations</v>
      </c>
      <c r="C5133" s="1" t="str">
        <f ca="1">IFERROR(__xludf.DUMMYFUNCTION("GOOGLETRANSLATE(E5133, ""zh"", ""en"")"),"Quantitative Text")</f>
        <v>Quantitative Text</v>
      </c>
    </row>
    <row r="5134" spans="1:3" ht="13" x14ac:dyDescent="0.15">
      <c r="A5134" s="1" t="str">
        <f ca="1">IFERROR(__xludf.DUMMYFUNCTION("GOOGLETRANSLATE(A5134, ""zh"", ""en"")"),"This year, the Group, taking national strategic needs as the starting point for development, thoroughly researched and demonstrated the strategic direction and path of five major business clusters, four major supporting platforms, and three major key proj"&amp;"ects. Under the correct leadership of the Group, the Company thoroughly studied and implemented the spirit of the 19th National Congress of the Communist Party of China, the 19th Plenary Sessions, and the 20th National Congress of the Communist Party of C"&amp;"hina, actively adjusted its strategic positioning, and coordinated and promoted various tasks around the strategic goals.")</f>
        <v>This year, the Group, taking national strategic needs as the starting point for development, thoroughly researched and demonstrated the strategic direction and path of five major business clusters, four major supporting platforms, and three major key projects. Under the correct leadership of the Group, the Company thoroughly studied and implemented the spirit of the 19th National Congress of the Communist Party of China, the 19th Plenary Sessions, and the 20th National Congress of the Communist Party of China, actively adjusted its strategic positioning, and coordinated and promoted various tasks around the strategic goals.</v>
      </c>
      <c r="B5134" s="1" t="str">
        <f ca="1">IFERROR(__xludf.DUMMYFUNCTION("GOOGLETRANSLATE(A5134, ""zh"", ""en"")"),"Organizational structure and operations")</f>
        <v>Organizational structure and operations</v>
      </c>
      <c r="C5134" s="1" t="str">
        <f ca="1">IFERROR(__xludf.DUMMYFUNCTION("GOOGLETRANSLATE(E5134, ""zh"", ""en"")"),"Qualitative text")</f>
        <v>Qualitative text</v>
      </c>
    </row>
    <row r="5135" spans="1:3" ht="13" x14ac:dyDescent="0.15">
      <c r="A5135" s="1" t="str">
        <f ca="1">IFERROR(__xludf.DUMMYFUNCTION("GOOGLETRANSLATE(A5135, ""zh"", ""en"")"),"Research and Innovation The company's R&amp;D investment totaled RMB 71.2427 million. The company has 344 R&amp;D personnel. There are 18 valid invention patents, 67 utility model patents, and 40 software copyrights. Zhongchu Hengke Internet of Things System Co.,"&amp;" Ltd. owns a number of core independent intellectual property rights, including 18 valid invention patents, 67 utility model patents, and 40 software copyrights.")</f>
        <v>Research and Innovation The company's R&amp;D investment totaled RMB 71.2427 million. The company has 344 R&amp;D personnel. There are 18 valid invention patents, 67 utility model patents, and 40 software copyrights. Zhongchu Hengke Internet of Things System Co., Ltd. owns a number of core independent intellectual property rights, including 18 valid invention patents, 67 utility model patents, and 40 software copyrights.</v>
      </c>
      <c r="B5135" s="1" t="str">
        <f ca="1">IFERROR(__xludf.DUMMYFUNCTION("GOOGLETRANSLATE(A5135, ""zh"", ""en"")"),"Intellectual Property Protection")</f>
        <v>Intellectual Property Protection</v>
      </c>
      <c r="C5135" s="1" t="str">
        <f ca="1">IFERROR(__xludf.DUMMYFUNCTION("GOOGLETRANSLATE(E5135, ""zh"", ""en"")"),"Quantitative Text")</f>
        <v>Quantitative Text</v>
      </c>
    </row>
    <row r="5136" spans="1:3" ht="13" x14ac:dyDescent="0.15">
      <c r="A5136" s="1" t="str">
        <f ca="1">IFERROR(__xludf.DUMMYFUNCTION("GOOGLETRANSLATE(A5136, ""zh"", ""en"")"),"15. China Storage Development Co., Ltd. attaches great importance to the construction of Party conduct, clean governance and anti-corruption work. It strictly abides by the Company Law of the People's Republic of China, the Several Provisions on the Hones"&amp;"t Practice of State-owned Enterprise Leaders and other relevant laws and regulations. Through in-depth supervision, inspection and clean governance education, it strengthens the line of defense of integrity and self-discipline and creates a clean and upri"&amp;"ght corporate culture.")</f>
        <v>15. China Storage Development Co., Ltd. attaches great importance to the construction of Party conduct, clean governance and anti-corruption work. It strictly abides by the Company Law of the People's Republic of China, the Several Provisions on the Honest Practice of State-owned Enterprise Leaders and other relevant laws and regulations. Through in-depth supervision, inspection and clean governance education, it strengthens the line of defense of integrity and self-discipline and creates a clean and upright corporate culture.</v>
      </c>
      <c r="B5136" s="1" t="str">
        <f ca="1">IFERROR(__xludf.DUMMYFUNCTION("GOOGLETRANSLATE(A5136, ""zh"", ""en"")"),"Anti-corruption and anti-money laundering")</f>
        <v>Anti-corruption and anti-money laundering</v>
      </c>
      <c r="C5136" s="1" t="str">
        <f ca="1">IFERROR(__xludf.DUMMYFUNCTION("GOOGLETRANSLATE(E5136, ""zh"", ""en"")"),"Qualitative text")</f>
        <v>Qualitative text</v>
      </c>
    </row>
    <row r="5137" spans="1:3" ht="13" x14ac:dyDescent="0.15">
      <c r="A5137" s="1" t="str">
        <f ca="1">IFERROR(__xludf.DUMMYFUNCTION("GOOGLETRANSLATE(A5137, ""zh"", ""en"")"),"The Tajik president fully affirmed Emomali's performance when he cut the ribbon at the smelter in the industrial park, and promised to reward him with a house and cover all his wedding expenses. As his Chinese proficiency improved, Tajik-China Mining sele"&amp;"cted him to study abroad at Kunming University of Science and Technology in China to learn professional skills. He has now become a production backbone of the Tajik-China Mining Smelter, serving as an instructor training Tajik employees in metallurgical s"&amp;"kills.")</f>
        <v>The Tajik president fully affirmed Emomali's performance when he cut the ribbon at the smelter in the industrial park, and promised to reward him with a house and cover all his wedding expenses. As his Chinese proficiency improved, Tajik-China Mining selected him to study abroad at Kunming University of Science and Technology in China to learn professional skills. He has now become a production backbone of the Tajik-China Mining Smelter, serving as an instructor training Tajik employees in metallurgical skills.</v>
      </c>
      <c r="B5137" s="1" t="str">
        <f ca="1">IFERROR(__xludf.DUMMYFUNCTION("GOOGLETRANSLATE(A5137, ""zh"", ""en"")"),"staff")</f>
        <v>staff</v>
      </c>
      <c r="C5137" s="1" t="str">
        <f ca="1">IFERROR(__xludf.DUMMYFUNCTION("GOOGLETRANSLATE(E5137, ""zh"", ""en"")"),"Qualitative text")</f>
        <v>Qualitative text</v>
      </c>
    </row>
    <row r="5138" spans="1:3" ht="13" x14ac:dyDescent="0.15">
      <c r="A5138" s="1" t="str">
        <f ca="1">IFERROR(__xludf.DUMMYFUNCTION("GOOGLETRANSLATE(A5138, ""zh"", ""en"")"),"Four Haier Smart Home companies were included in the 2022 Green Manufacturing List. On February 9, 2023, two Haier Smart Home companies were recognized as Green Supply Chain Management Companies by the Ministry of Industry and Information Technology, and "&amp;"two factories were recognized as Green Factories. Haier Smart Home has a total of four national-level green supply chain management companies and has also become the company with the largest number of national-level green factories in Qingdao.")</f>
        <v>Four Haier Smart Home companies were included in the 2022 Green Manufacturing List. On February 9, 2023, two Haier Smart Home companies were recognized as Green Supply Chain Management Companies by the Ministry of Industry and Information Technology, and two factories were recognized as Green Factories. Haier Smart Home has a total of four national-level green supply chain management companies and has also become the company with the largest number of national-level green factories in Qingdao.</v>
      </c>
      <c r="B5138" s="1" t="str">
        <f ca="1">IFERROR(__xludf.DUMMYFUNCTION("GOOGLETRANSLATE(A5138, ""zh"", ""en"")"),"supply chain management")</f>
        <v>supply chain management</v>
      </c>
      <c r="C5138" s="1" t="str">
        <f ca="1">IFERROR(__xludf.DUMMYFUNCTION("GOOGLETRANSLATE(E5138, ""zh"", ""en"")"),"Quantitative Text")</f>
        <v>Quantitative Text</v>
      </c>
    </row>
    <row r="5139" spans="1:3" ht="13" x14ac:dyDescent="0.15">
      <c r="A5139" s="1" t="str">
        <f ca="1">IFERROR(__xludf.DUMMYFUNCTION("GOOGLETRANSLATE(A5139, ""zh"", ""en"")"),"Postal Code: 467000 Tel: 03753921906 Organizational Scope Fax: 03753921500 The organizational scope of this report covers all operating lines of Shenma Industrial Co., Ltd. and its subsidiaries. Email: smsyaqjsc163.com, and is generally consistent with th"&amp;"e scope disclosed in the company's annual report.")</f>
        <v>Postal Code: 467000 Tel: 03753921906 Organizational Scope Fax: 03753921500 The organizational scope of this report covers all operating lines of Shenma Industrial Co., Ltd. and its subsidiaries. Email: smsyaqjsc163.com, and is generally consistent with the scope disclosed in the company's annual report.</v>
      </c>
      <c r="B5139" s="1" t="str">
        <f ca="1">IFERROR(__xludf.DUMMYFUNCTION("GOOGLETRANSLATE(A5139, ""zh"", ""en"")"),"irrelevant text")</f>
        <v>irrelevant text</v>
      </c>
      <c r="C5139" s="1" t="str">
        <f ca="1">IFERROR(__xludf.DUMMYFUNCTION("GOOGLETRANSLATE(E5139, ""zh"", ""en"")"),"irrelevant text")</f>
        <v>irrelevant text</v>
      </c>
    </row>
    <row r="5140" spans="1:3" ht="13" x14ac:dyDescent="0.15">
      <c r="A5140" s="1" t="str">
        <f ca="1">IFERROR(__xludf.DUMMYFUNCTION("GOOGLETRANSLATE(A5140, ""zh"", ""en"")"),"By improving the energy measurement, statistics and testing system, we continuously strengthen the basic capacity of energy conservation. Each power plant under our jurisdiction has established a standardized energy conservation management system, so that"&amp;" every employee has a law to follow, which promotes and supports the implementation of energy conservation work. By establishing a standard performance appraisal system and implementing refined management of energy conservation and consumption reduction, "&amp;"we have increased the enthusiasm of employees for energy conservation and emission reduction.")</f>
        <v>By improving the energy measurement, statistics and testing system, we continuously strengthen the basic capacity of energy conservation. Each power plant under our jurisdiction has established a standardized energy conservation management system, so that every employee has a law to follow, which promotes and supports the implementation of energy conservation work. By establishing a standard performance appraisal system and implementing refined management of energy conservation and consumption reduction, we have increased the enthusiasm of employees for energy conservation and emission reduction.</v>
      </c>
      <c r="B5140" s="1" t="str">
        <f ca="1">IFERROR(__xludf.DUMMYFUNCTION("GOOGLETRANSLATE(A5140, ""zh"", ""en"")"),"Energy and resource consumption")</f>
        <v>Energy and resource consumption</v>
      </c>
      <c r="C5140" s="1" t="str">
        <f ca="1">IFERROR(__xludf.DUMMYFUNCTION("GOOGLETRANSLATE(E5140, ""zh"", ""en"")"),"Qualitative text")</f>
        <v>Qualitative text</v>
      </c>
    </row>
    <row r="5141" spans="1:3" ht="13" x14ac:dyDescent="0.15">
      <c r="A5141" s="1" t="str">
        <f ca="1">IFERROR(__xludf.DUMMYFUNCTION("GOOGLETRANSLATE(A5141, ""zh"", ""en"")"),"Protecting local water resources in Australia. China National Petroleum Corporation 2022 Environmental, Social, and Governance Report 94 Case Study: CASE actively responded to the Chadian government's ""One Tree Per Person"" afforestation program and sign"&amp;"ed a framework agreement with the Chadian Ministry of Environment to participate in afforestation projects in three provinces and cities, including N'Djamena.")</f>
        <v>Protecting local water resources in Australia. China National Petroleum Corporation 2022 Environmental, Social, and Governance Report 94 Case Study: CASE actively responded to the Chadian government's "One Tree Per Person" afforestation program and signed a framework agreement with the Chadian Ministry of Environment to participate in afforestation projects in three provinces and cities, including N'Djamena.</v>
      </c>
      <c r="B5141" s="1" t="str">
        <f ca="1">IFERROR(__xludf.DUMMYFUNCTION("GOOGLETRANSLATE(A5141, ""zh"", ""en"")"),"biodiversity")</f>
        <v>biodiversity</v>
      </c>
      <c r="C5141" s="1" t="str">
        <f ca="1">IFERROR(__xludf.DUMMYFUNCTION("GOOGLETRANSLATE(E5141, ""zh"", ""en"")"),"Quantitative Text")</f>
        <v>Quantitative Text</v>
      </c>
    </row>
    <row r="5142" spans="1:3" ht="13" x14ac:dyDescent="0.15">
      <c r="A5142" s="1" t="str">
        <f ca="1">IFERROR(__xludf.DUMMYFUNCTION("GOOGLETRANSLATE(A5142, ""zh"", ""en"")"),"P56 About this Report Chairman's Statement Statement of the Board About Haier Smart Home Appendix 9190 Haier Smart Home Co., Ltd. Environmental, Social and Governance Report Scope Aspects Disclosure Requirements Index Social B4 Labor Standards General Dis"&amp;"closure Information on 1. Policies and 2. Compliance with relevant laws and regulations that have a significant impact on the issuer regarding the prevention of child labor or forced labor")</f>
        <v>P56 About this Report Chairman's Statement Statement of the Board About Haier Smart Home Appendix 9190 Haier Smart Home Co., Ltd. Environmental, Social and Governance Report Scope Aspects Disclosure Requirements Index Social B4 Labor Standards General Disclosure Information on 1. Policies and 2. Compliance with relevant laws and regulations that have a significant impact on the issuer regarding the prevention of child labor or forced labor</v>
      </c>
      <c r="B5142" s="1" t="str">
        <f ca="1">IFERROR(__xludf.DUMMYFUNCTION("GOOGLETRANSLATE(A5142, ""zh"", ""en"")"),"staff")</f>
        <v>staff</v>
      </c>
      <c r="C5142" s="1" t="str">
        <f ca="1">IFERROR(__xludf.DUMMYFUNCTION("GOOGLETRANSLATE(E5142, ""zh"", ""en"")"),"Qualitative text")</f>
        <v>Qualitative text</v>
      </c>
    </row>
    <row r="5143" spans="1:3" ht="13" x14ac:dyDescent="0.15">
      <c r="A5143" s="1" t="str">
        <f ca="1">IFERROR(__xludf.DUMMYFUNCTION("GOOGLETRANSLATE(A5143, ""zh"", ""en"")"),"The Bank launched a digital financial education zone during marketing activities such as the Bank's Welfare Season, the 40th Struggle Season, and the Wealth Season. This zone attracted over 700 million visits annually. Using intelligent VRAI 3D technology"&amp;", the company created a colorful online consumer protection 3D digital exhibition hall, providing customers with an immersive financial education experience.")</f>
        <v>The Bank launched a digital financial education zone during marketing activities such as the Bank's Welfare Season, the 40th Struggle Season, and the Wealth Season. This zone attracted over 700 million visits annually. Using intelligent VRAI 3D technology, the company created a colorful online consumer protection 3D digital exhibition hall, providing customers with an immersive financial education experience.</v>
      </c>
      <c r="B5143" s="1" t="str">
        <f ca="1">IFERROR(__xludf.DUMMYFUNCTION("GOOGLETRANSLATE(A5143, ""zh"", ""en"")"),"Customers and Consumers")</f>
        <v>Customers and Consumers</v>
      </c>
      <c r="C5143" s="1" t="str">
        <f ca="1">IFERROR(__xludf.DUMMYFUNCTION("GOOGLETRANSLATE(E5143, ""zh"", ""en"")"),"Quantitative Text")</f>
        <v>Quantitative Text</v>
      </c>
    </row>
    <row r="5144" spans="1:3" ht="13" x14ac:dyDescent="0.15">
      <c r="A5144" s="1" t="str">
        <f ca="1">IFERROR(__xludf.DUMMYFUNCTION("GOOGLETRANSLATE(A5144, ""zh"", ""en"")"),"China Construction Bank Corporation 2022 Social Responsibility Report 29 Figure 29: CCB underwrites sustainable bonds for Huaneng Hydropower. Figure 29: Xiaowan Hydropower Station, a project raised and invested in this bond issue. CCB's carbon ledger. The"&amp;" carbon ledger-based personal financial services submitted by CCB in 2022 were selected as the fourth batch of innovative application cases for Beijing's Fintech Innovation Regulatory Tools.")</f>
        <v>China Construction Bank Corporation 2022 Social Responsibility Report 29 Figure 29: CCB underwrites sustainable bonds for Huaneng Hydropower. Figure 29: Xiaowan Hydropower Station, a project raised and invested in this bond issue. CCB's carbon ledger. The carbon ledger-based personal financial services submitted by CCB in 2022 were selected as the fourth batch of innovative application cases for Beijing's Fintech Innovation Regulatory Tools.</v>
      </c>
      <c r="B5144" s="1" t="str">
        <f ca="1">IFERROR(__xludf.DUMMYFUNCTION("GOOGLETRANSLATE(A5144, ""zh"", ""en"")"),"carbon emissions")</f>
        <v>carbon emissions</v>
      </c>
      <c r="C5144" s="1" t="str">
        <f ca="1">IFERROR(__xludf.DUMMYFUNCTION("GOOGLETRANSLATE(E5144, ""zh"", ""en"")"),"Quantitative Text")</f>
        <v>Quantitative Text</v>
      </c>
    </row>
    <row r="5145" spans="1:3" ht="13" x14ac:dyDescent="0.15">
      <c r="A5145" s="1" t="str">
        <f ca="1">IFERROR(__xludf.DUMMYFUNCTION("GOOGLETRANSLATE(A5145, ""zh"", ""en"")"),"A comprehensive cooperation agreement was signed with Jindong Second Hospital to establish a two-way referral three-level grid with Jinhua People's Hospital as the support and Jindong Second Hospital as the center. The 10 expert workstations in the area, "&amp;"including Fucun Ditian Xietang and other health centers at all levels, are carrying out medical assistance services in an orderly manner and actively carrying out aid work in Tibet. Three medical workers were dispatched to provide long-term support to Dao"&amp;"fu County People's Hospital.")</f>
        <v>A comprehensive cooperation agreement was signed with Jindong Second Hospital to establish a two-way referral three-level grid with Jinhua People's Hospital as the support and Jindong Second Hospital as the center. The 10 expert workstations in the area, including Fucun Ditian Xietang and other health centers at all levels, are carrying out medical assistance services in an orderly manner and actively carrying out aid work in Tibet. Three medical workers were dispatched to provide long-term support to Daofu County People's Hospital.</v>
      </c>
      <c r="B5145" s="1" t="str">
        <f ca="1">IFERROR(__xludf.DUMMYFUNCTION("GOOGLETRANSLATE(A5145, ""zh"", ""en"")"),"Rural assistance")</f>
        <v>Rural assistance</v>
      </c>
      <c r="C5145" s="1" t="str">
        <f ca="1">IFERROR(__xludf.DUMMYFUNCTION("GOOGLETRANSLATE(E5145, ""zh"", ""en"")"),"Quantitative Text")</f>
        <v>Quantitative Text</v>
      </c>
    </row>
    <row r="5146" spans="1:3" ht="13" x14ac:dyDescent="0.15">
      <c r="A5146" s="1" t="str">
        <f ca="1">IFERROR(__xludf.DUMMYFUNCTION("GOOGLETRANSLATE(A5146, ""zh"", ""en"")"),"4. Domestic Market: In 2022, the China Division will continue to deepen its channel network construction and focus on segmented project channel expansion. The establishment of the operator team and backend has been completed. The centralized work of chann"&amp;"el distribution network development is progressing steadily. Currently, the commercial distribution channel has newly developed 100 offline customers nationwide, generating an average monthly sales volume of more than 3 million yuan.")</f>
        <v>4. Domestic Market: In 2022, the China Division will continue to deepen its channel network construction and focus on segmented project channel expansion. The establishment of the operator team and backend has been completed. The centralized work of channel distribution network development is progressing steadily. Currently, the commercial distribution channel has newly developed 100 offline customers nationwide, generating an average monthly sales volume of more than 3 million yuan.</v>
      </c>
      <c r="B5146" s="1" t="str">
        <f ca="1">IFERROR(__xludf.DUMMYFUNCTION("GOOGLETRANSLATE(A5146, ""zh"", ""en"")"),"Customers and Consumers")</f>
        <v>Customers and Consumers</v>
      </c>
      <c r="C5146" s="1" t="str">
        <f ca="1">IFERROR(__xludf.DUMMYFUNCTION("GOOGLETRANSLATE(E5146, ""zh"", ""en"")"),"Quantitative Text")</f>
        <v>Quantitative Text</v>
      </c>
    </row>
    <row r="5147" spans="1:3" ht="13" x14ac:dyDescent="0.15">
      <c r="A5147" s="1" t="str">
        <f ca="1">IFERROR(__xludf.DUMMYFUNCTION("GOOGLETRANSLATE(A5147, ""zh"", ""en"")"),"In the Tazhong operation area, the company has worked closely with the Xinjiang Institute of Ecology and Geography of the Chinese Academy of Sciences to create a diverse and stable ecological chain. They have adopted a three-in-one construction model of a"&amp;" botanical garden, a plant demonstration garden, and a green area around the apartments. They have selected and introduced plants that can adapt to desert environmental conditions from all over the country for cultivation and planting, forming a botanical"&amp;" garden with more than 260 species of desert plants.")</f>
        <v>In the Tazhong operation area, the company has worked closely with the Xinjiang Institute of Ecology and Geography of the Chinese Academy of Sciences to create a diverse and stable ecological chain. They have adopted a three-in-one construction model of a botanical garden, a plant demonstration garden, and a green area around the apartments. They have selected and introduced plants that can adapt to desert environmental conditions from all over the country for cultivation and planting, forming a botanical garden with more than 260 species of desert plants.</v>
      </c>
      <c r="B5147" s="1" t="str">
        <f ca="1">IFERROR(__xludf.DUMMYFUNCTION("GOOGLETRANSLATE(A5147, ""zh"", ""en"")"),"biodiversity")</f>
        <v>biodiversity</v>
      </c>
      <c r="C5147" s="1" t="str">
        <f ca="1">IFERROR(__xludf.DUMMYFUNCTION("GOOGLETRANSLATE(E5147, ""zh"", ""en"")"),"Quantitative Text")</f>
        <v>Quantitative Text</v>
      </c>
    </row>
    <row r="5148" spans="1:3" ht="13" x14ac:dyDescent="0.15">
      <c r="A5148" s="1" t="str">
        <f ca="1">IFERROR(__xludf.DUMMYFUNCTION("GOOGLETRANSLATE(A5148, ""zh"", ""en"")"),"The 30 initiatives selected this time received an enthusiastic response from all employees at all levels of the bank. 114 institutions participated in the offline voting, 150,000 employees cast a total of more than 700,000 votes, and more than 5,000 messa"&amp;"ges were left. The series of employee care measures launched by the head office and branches were positively affirmed and believed to be well-received by employees, effective, innovative and distinctive.")</f>
        <v>The 30 initiatives selected this time received an enthusiastic response from all employees at all levels of the bank. 114 institutions participated in the offline voting, 150,000 employees cast a total of more than 700,000 votes, and more than 5,000 messages were left. The series of employee care measures launched by the head office and branches were positively affirmed and believed to be well-received by employees, effective, innovative and distinctive.</v>
      </c>
      <c r="B5148" s="1" t="str">
        <f ca="1">IFERROR(__xludf.DUMMYFUNCTION("GOOGLETRANSLATE(A5148, ""zh"", ""en"")"),"staff")</f>
        <v>staff</v>
      </c>
      <c r="C5148" s="1" t="str">
        <f ca="1">IFERROR(__xludf.DUMMYFUNCTION("GOOGLETRANSLATE(E5148, ""zh"", ""en"")"),"Quantitative Text")</f>
        <v>Quantitative Text</v>
      </c>
    </row>
    <row r="5149" spans="1:3" ht="13" x14ac:dyDescent="0.15">
      <c r="A5149" s="1" t="str">
        <f ca="1">IFERROR(__xludf.DUMMYFUNCTION("GOOGLETRANSLATE(A5149, ""zh"", ""en"")"),"Consumption assistance, local assistance, education assistance, employment assistance. COSL firmly regards achieving the effective connection between consolidating and expanding the results of poverty alleviation and rural revitalization as a key politica"&amp;"l task, and regards it as a key means to fulfill the social responsibility of state-owned enterprises. We actively participate in local construction, continue to build Hope Primary Schools, vigorously carry out consumption assistance, and fulfill the soci"&amp;"al responsibility of central enterprises with practical actions.")</f>
        <v>Consumption assistance, local assistance, education assistance, employment assistance. COSL firmly regards achieving the effective connection between consolidating and expanding the results of poverty alleviation and rural revitalization as a key political task, and regards it as a key means to fulfill the social responsibility of state-owned enterprises. We actively participate in local construction, continue to build Hope Primary Schools, vigorously carry out consumption assistance, and fulfill the social responsibility of central enterprises with practical actions.</v>
      </c>
      <c r="B5149" s="1" t="str">
        <f ca="1">IFERROR(__xludf.DUMMYFUNCTION("GOOGLETRANSLATE(A5149, ""zh"", ""en"")"),"Rural assistance")</f>
        <v>Rural assistance</v>
      </c>
      <c r="C5149" s="1" t="str">
        <f ca="1">IFERROR(__xludf.DUMMYFUNCTION("GOOGLETRANSLATE(E5149, ""zh"", ""en"")"),"Qualitative text")</f>
        <v>Qualitative text</v>
      </c>
    </row>
    <row r="5150" spans="1:3" ht="13" x14ac:dyDescent="0.15">
      <c r="A5150" s="1" t="str">
        <f ca="1">IFERROR(__xludf.DUMMYFUNCTION("GOOGLETRANSLATE(A5150, ""zh"", ""en"")"),"Comply with labor laws and other relevant laws and regulations; respect and safeguard the legitimate rights and interests of employees; comply with production safety laws; strictly prevent all types of accidents; ensure production safety; comply with the "&amp;"Anti-Unfair Competition Law; the Patent Law of the People's Republic of China and other relevant laws and regulations; promote fair competition; respect and protect intellectual property rights; comply with environmental protection laws and other relevant"&amp;" laws and regulations; actively respond to climate change and protect the ecological environment.")</f>
        <v>Comply with labor laws and other relevant laws and regulations; respect and safeguard the legitimate rights and interests of employees; comply with production safety laws; strictly prevent all types of accidents; ensure production safety; comply with the Anti-Unfair Competition Law; the Patent Law of the People's Republic of China and other relevant laws and regulations; promote fair competition; respect and protect intellectual property rights; comply with environmental protection laws and other relevant laws and regulations; actively respond to climate change and protect the ecological environment.</v>
      </c>
      <c r="B5150" s="1" t="str">
        <f ca="1">IFERROR(__xludf.DUMMYFUNCTION("GOOGLETRANSLATE(A5150, ""zh"", ""en"")"),"Legal proceedings and external sanctions")</f>
        <v>Legal proceedings and external sanctions</v>
      </c>
      <c r="C5150" s="1" t="str">
        <f ca="1">IFERROR(__xludf.DUMMYFUNCTION("GOOGLETRANSLATE(E5150, ""zh"", ""en"")"),"Qualitative text")</f>
        <v>Qualitative text</v>
      </c>
    </row>
    <row r="5151" spans="1:3" ht="13" x14ac:dyDescent="0.15">
      <c r="A5151" s="1" t="str">
        <f ca="1">IFERROR(__xludf.DUMMYFUNCTION("GOOGLETRANSLATE(A5151, ""zh"", ""en"")"),"With world-class vulnerability discovery and attack and defense capabilities, we have accumulated massive network-wide security big data and nearly 10,000 original and core technology invention patents. We have built a new generation of network security c"&amp;"apability system with security brain as the core and are committed to becoming a new-era network security operator with national-level technical capabilities, national-level data scale, and national-level planning capabilities.")</f>
        <v>With world-class vulnerability discovery and attack and defense capabilities, we have accumulated massive network-wide security big data and nearly 10,000 original and core technology invention patents. We have built a new generation of network security capability system with security brain as the core and are committed to becoming a new-era network security operator with national-level technical capabilities, national-level data scale, and national-level planning capabilities.</v>
      </c>
      <c r="B5151" s="1" t="str">
        <f ca="1">IFERROR(__xludf.DUMMYFUNCTION("GOOGLETRANSLATE(A5151, ""zh"", ""en"")"),"Data security")</f>
        <v>Data security</v>
      </c>
      <c r="C5151" s="1" t="str">
        <f ca="1">IFERROR(__xludf.DUMMYFUNCTION("GOOGLETRANSLATE(E5151, ""zh"", ""en"")"),"Qualitative text")</f>
        <v>Qualitative text</v>
      </c>
    </row>
    <row r="5152" spans="1:3" ht="13" x14ac:dyDescent="0.15">
      <c r="A5152" s="1" t="str">
        <f ca="1">IFERROR(__xludf.DUMMYFUNCTION("GOOGLETRANSLATE(A5152, ""zh"", ""en"")"),"The use of clean energy such as solar energy and water resources conservation and utilization has commenced. The water resource recycling project in Haining Warp Knitting Park under the Environmental Company has started construction on 0203. The main plan"&amp;"t of the agricultural and forestry biomass incineration cogeneration project in Jinyi New District, Jinhua, under the Environmental Company, has been completed and put into operation. 70 efforts have been made to increase the innovation and research and d"&amp;"evelopment of green products to benefit the people and meet their health needs.")</f>
        <v>The use of clean energy such as solar energy and water resources conservation and utilization has commenced. The water resource recycling project in Haining Warp Knitting Park under the Environmental Company has started construction on 0203. The main plant of the agricultural and forestry biomass incineration cogeneration project in Jinyi New District, Jinhua, under the Environmental Company, has been completed and put into operation. 70 efforts have been made to increase the innovation and research and development of green products to benefit the people and meet their health needs.</v>
      </c>
      <c r="B5152" s="1" t="str">
        <f ca="1">IFERROR(__xludf.DUMMYFUNCTION("GOOGLETRANSLATE(A5152, ""zh"", ""en"")"),"Water resources")</f>
        <v>Water resources</v>
      </c>
      <c r="C5152" s="1" t="str">
        <f ca="1">IFERROR(__xludf.DUMMYFUNCTION("GOOGLETRANSLATE(E5152, ""zh"", ""en"")"),"Qualitative text")</f>
        <v>Qualitative text</v>
      </c>
    </row>
    <row r="5153" spans="1:3" ht="13" x14ac:dyDescent="0.15">
      <c r="A5153" s="1" t="str">
        <f ca="1">IFERROR(__xludf.DUMMYFUNCTION("GOOGLETRANSLATE(A5153, ""zh"", ""en"")"),"Throughout the year, our union held eight employee lectures, including music sharing sessions, calligraphy and painting to welcome the spring and send blessings, ""Chinese imprints in the vast sea of ​​stars,"" parent-child lectures on Liubao tea culture,"&amp;" portrait photography techniques, and home gardening. These lectures provided employees with health knowledge, cultural arts, and practical skills. More than 120 employees participated in the on-site events, and more than 90,000 people participated in the"&amp;" online live broadcasts.")</f>
        <v>Throughout the year, our union held eight employee lectures, including music sharing sessions, calligraphy and painting to welcome the spring and send blessings, "Chinese imprints in the vast sea of ​​stars," parent-child lectures on Liubao tea culture, portrait photography techniques, and home gardening. These lectures provided employees with health knowledge, cultural arts, and practical skills. More than 120 employees participated in the on-site events, and more than 90,000 people participated in the online live broadcasts.</v>
      </c>
      <c r="B5153" s="1" t="str">
        <f ca="1">IFERROR(__xludf.DUMMYFUNCTION("GOOGLETRANSLATE(A5153, ""zh"", ""en"")"),"staff")</f>
        <v>staff</v>
      </c>
      <c r="C5153" s="1" t="str">
        <f ca="1">IFERROR(__xludf.DUMMYFUNCTION("GOOGLETRANSLATE(E5153, ""zh"", ""en"")"),"Quantitative Text")</f>
        <v>Quantitative Text</v>
      </c>
    </row>
    <row r="5154" spans="1:3" ht="13" x14ac:dyDescent="0.15">
      <c r="A5154" s="1" t="str">
        <f ca="1">IFERROR(__xludf.DUMMYFUNCTION("GOOGLETRANSLATE(A5154, ""zh"", ""en"")"),"At the same time, the company adopts a variety of learning methods such as offline multi-venue small-class learning and online live video learning through training. At the same time, it uses WeChat groups and the company's OA platform to push and share re"&amp;"levant learning materials, which makes it more convenient for cadres and employees to study independently after class in work and life. It truly promotes learning by doing and promoting application by learning, opens up the talent training channel and rea"&amp;"lizes the training planning goals.")</f>
        <v>At the same time, the company adopts a variety of learning methods such as offline multi-venue small-class learning and online live video learning through training. At the same time, it uses WeChat groups and the company's OA platform to push and share relevant learning materials, which makes it more convenient for cadres and employees to study independently after class in work and life. It truly promotes learning by doing and promoting application by learning, opens up the talent training channel and realizes the training planning goals.</v>
      </c>
      <c r="B5154" s="1" t="str">
        <f ca="1">IFERROR(__xludf.DUMMYFUNCTION("GOOGLETRANSLATE(A5154, ""zh"", ""en"")"),"staff")</f>
        <v>staff</v>
      </c>
      <c r="C5154" s="1" t="str">
        <f ca="1">IFERROR(__xludf.DUMMYFUNCTION("GOOGLETRANSLATE(E5154, ""zh"", ""en"")"),"Qualitative text")</f>
        <v>Qualitative text</v>
      </c>
    </row>
    <row r="5155" spans="1:3" ht="13" x14ac:dyDescent="0.15">
      <c r="A5155" s="1" t="str">
        <f ca="1">IFERROR(__xludf.DUMMYFUNCTION("GOOGLETRANSLATE(A5155, ""zh"", ""en"")"),"In March 2022, a Chinese language class launching ceremony was held in Islamikot, Thar Coalfield, Sindh Province, Pakistan. The Thar Chinese Language Teaching Center, jointly organized by Shanghai Electric Pakistan Thar Coalfield Block 1 Coal-Electricity "&amp;"Integration Project and the Confucius Institute at Karachi University, was officially established. The center aims to provide free basic Chinese language teaching services to local residents and Pakistani employees of the project.")</f>
        <v>In March 2022, a Chinese language class launching ceremony was held in Islamikot, Thar Coalfield, Sindh Province, Pakistan. The Thar Chinese Language Teaching Center, jointly organized by Shanghai Electric Pakistan Thar Coalfield Block 1 Coal-Electricity Integration Project and the Confucius Institute at Karachi University, was officially established. The center aims to provide free basic Chinese language teaching services to local residents and Pakistani employees of the project.</v>
      </c>
      <c r="B5155" s="1" t="str">
        <f ca="1">IFERROR(__xludf.DUMMYFUNCTION("GOOGLETRANSLATE(A5155, ""zh"", ""en"")"),"Promoting employment")</f>
        <v>Promoting employment</v>
      </c>
      <c r="C5155" s="1" t="str">
        <f ca="1">IFERROR(__xludf.DUMMYFUNCTION("GOOGLETRANSLATE(E5155, ""zh"", ""en"")"),"Qualitative text")</f>
        <v>Qualitative text</v>
      </c>
    </row>
    <row r="5156" spans="1:3" ht="13" x14ac:dyDescent="0.15">
      <c r="A5156" s="1" t="str">
        <f ca="1">IFERROR(__xludf.DUMMYFUNCTION("GOOGLETRANSLATE(A5156, ""zh"", ""en"")"),"3248 Major Aspects Level General Disclosure and Key Performance Indicator Disclosure Index B. Social Employment and Labor Practices Level B1 Employment General Disclosure Information on: a) Remuneration and dismissal; b) Recruitment and promotion; c) Work"&amp;"ing hours; d) Holidays; d) Equal opportunities; d) Diversity; d) Anti-discrimination; and d) Other benefits and benefits. a) Policies; and b) Compliance with relevant laws and regulations that have a significant impact on the issuer.")</f>
        <v>3248 Major Aspects Level General Disclosure and Key Performance Indicator Disclosure Index B. Social Employment and Labor Practices Level B1 Employment General Disclosure Information on: a) Remuneration and dismissal; b) Recruitment and promotion; c) Working hours; d) Holidays; d) Equal opportunities; d) Diversity; d) Anti-discrimination; and d) Other benefits and benefits. a) Policies; and b) Compliance with relevant laws and regulations that have a significant impact on the issuer.</v>
      </c>
      <c r="B5156" s="1" t="str">
        <f ca="1">IFERROR(__xludf.DUMMYFUNCTION("GOOGLETRANSLATE(A5156, ""zh"", ""en"")"),"staff")</f>
        <v>staff</v>
      </c>
      <c r="C5156" s="1" t="str">
        <f ca="1">IFERROR(__xludf.DUMMYFUNCTION("GOOGLETRANSLATE(E5156, ""zh"", ""en"")"),"Qualitative text")</f>
        <v>Qualitative text</v>
      </c>
    </row>
    <row r="5157" spans="1:3" ht="13" x14ac:dyDescent="0.15">
      <c r="A5157" s="1" t="str">
        <f ca="1">IFERROR(__xludf.DUMMYFUNCTION("GOOGLETRANSLATE(A5157, ""zh"", ""en"")"),"The Group continues to maintain positive communication with its customers through marketing policies, further standardizes Fosun Pharma Group's responsible approach to customers, and continuously and accurately understands marketing activities, ensures co"&amp;"mmunication with relevant parties to promote and meet customers' needs and expectations, establishes trusting customer service relationships, complies with relevant laws and regulations, and provides a smooth communication bridge when marketing the Group'"&amp;"s products and services, continuously enhancing customer value.")</f>
        <v>The Group continues to maintain positive communication with its customers through marketing policies, further standardizes Fosun Pharma Group's responsible approach to customers, and continuously and accurately understands marketing activities, ensures communication with relevant parties to promote and meet customers' needs and expectations, establishes trusting customer service relationships, complies with relevant laws and regulations, and provides a smooth communication bridge when marketing the Group's products and services, continuously enhancing customer value.</v>
      </c>
      <c r="B5157" s="1" t="str">
        <f ca="1">IFERROR(__xludf.DUMMYFUNCTION("GOOGLETRANSLATE(A5157, ""zh"", ""en"")"),"Customers and Consumers")</f>
        <v>Customers and Consumers</v>
      </c>
      <c r="C5157" s="1" t="str">
        <f ca="1">IFERROR(__xludf.DUMMYFUNCTION("GOOGLETRANSLATE(E5157, ""zh"", ""en"")"),"Qualitative text")</f>
        <v>Qualitative text</v>
      </c>
    </row>
    <row r="5158" spans="1:3" ht="13" x14ac:dyDescent="0.15">
      <c r="A5158" s="1" t="str">
        <f ca="1">IFERROR(__xludf.DUMMYFUNCTION("GOOGLETRANSLATE(A5158, ""zh"", ""en"")"),"To further clarify the rights of the board of directors and management, enable the board of directors to play an important role in strategic decision-making and risk prevention, and ensure that the management team exercises its powers and performs its dut"&amp;"ies in accordance with the law, so as to achieve operational planning, implementation and strong management, Shanghai Electric has formulated the Board of Directors Authorization Management Measures based on the existing articles of association and the re"&amp;"quirements of the State-owned Assets Supervision and Administration Commission of the State Council for the board of directors' development work in the three-year action plan for state-owned enterprise reform.")</f>
        <v>To further clarify the rights of the board of directors and management, enable the board of directors to play an important role in strategic decision-making and risk prevention, and ensure that the management team exercises its powers and performs its duties in accordance with the law, so as to achieve operational planning, implementation and strong management, Shanghai Electric has formulated the Board of Directors Authorization Management Measures based on the existing articles of association and the requirements of the State-owned Assets Supervision and Administration Commission of the State Council for the board of directors' development work in the three-year action plan for state-owned enterprise reform.</v>
      </c>
      <c r="B5158" s="1" t="str">
        <f ca="1">IFERROR(__xludf.DUMMYFUNCTION("GOOGLETRANSLATE(A5158, ""zh"", ""en"")"),"Organizational structure and operations")</f>
        <v>Organizational structure and operations</v>
      </c>
      <c r="C5158" s="1" t="str">
        <f ca="1">IFERROR(__xludf.DUMMYFUNCTION("GOOGLETRANSLATE(E5158, ""zh"", ""en"")"),"Qualitative text")</f>
        <v>Qualitative text</v>
      </c>
    </row>
    <row r="5159" spans="1:3" ht="13" x14ac:dyDescent="0.15">
      <c r="A5159" s="1" t="str">
        <f ca="1">IFERROR(__xludf.DUMMYFUNCTION("GOOGLETRANSLATE(A5159, ""zh"", ""en"")"),"Climate Scenario Description RCP8.5 assumes no climate change policy interventions are implemented. The baseline scenario is characterized by increasing greenhouse gas emissions and concentrations to the point where all climate commitments (NDCs) and long"&amp;"-term net zero targets issued by governments around the world are to be achieved by a temperature rise of 5 APS by 2100.")</f>
        <v>Climate Scenario Description RCP8.5 assumes no climate change policy interventions are implemented. The baseline scenario is characterized by increasing greenhouse gas emissions and concentrations to the point where all climate commitments (NDCs) and long-term net zero targets issued by governments around the world are to be achieved by a temperature rise of 5 APS by 2100.</v>
      </c>
      <c r="B5159" s="1" t="str">
        <f ca="1">IFERROR(__xludf.DUMMYFUNCTION("GOOGLETRANSLATE(A5159, ""zh"", ""en"")"),"Addressing climate change")</f>
        <v>Addressing climate change</v>
      </c>
      <c r="C5159" s="1" t="str">
        <f ca="1">IFERROR(__xludf.DUMMYFUNCTION("GOOGLETRANSLATE(E5159, ""zh"", ""en"")"),"Qualitative text")</f>
        <v>Qualitative text</v>
      </c>
    </row>
    <row r="5160" spans="1:3" ht="13" x14ac:dyDescent="0.15">
      <c r="A5160" s="1" t="str">
        <f ca="1">IFERROR(__xludf.DUMMYFUNCTION("GOOGLETRANSLATE(A5160, ""zh"", ""en"")"),"Key topics: corporate governance, compliance operations, anti-corruption, anti-money laundering, data security and privacy protection, investor education, sustainable supply chain management, fintech, standardized operations, digital transformation, custo"&amp;"mer service. CITIC Securities adheres to prudent operations and continuously improves compliance and risk management, standardizing corporate operations from multiple perspectives, including anti-money laundering, honest practices, information security an"&amp;"d privacy protection, and supply chain management.")</f>
        <v>Key topics: corporate governance, compliance operations, anti-corruption, anti-money laundering, data security and privacy protection, investor education, sustainable supply chain management, fintech, standardized operations, digital transformation, customer service. CITIC Securities adheres to prudent operations and continuously improves compliance and risk management, standardizing corporate operations from multiple perspectives, including anti-money laundering, honest practices, information security and privacy protection, and supply chain management.</v>
      </c>
      <c r="B5160" s="1" t="str">
        <f ca="1">IFERROR(__xludf.DUMMYFUNCTION("GOOGLETRANSLATE(A5160, ""zh"", ""en"")"),"Anti-corruption and anti-money laundering")</f>
        <v>Anti-corruption and anti-money laundering</v>
      </c>
      <c r="C5160" s="1" t="str">
        <f ca="1">IFERROR(__xludf.DUMMYFUNCTION("GOOGLETRANSLATE(E5160, ""zh"", ""en"")"),"Qualitative text")</f>
        <v>Qualitative text</v>
      </c>
    </row>
    <row r="5161" spans="1:3" ht="13" x14ac:dyDescent="0.15">
      <c r="A5161" s="1" t="str">
        <f ca="1">IFERROR(__xludf.DUMMYFUNCTION("GOOGLETRANSLATE(A5161, ""zh"", ""en"")"),"The intelligent information platform collects public information, classifies public opinions, and identifies subjects and risk events. It provides intelligent public opinion monitoring, intelligent announcement summaries, and real-time push of risk event "&amp;"information for business departments. This greatly improves the scope and real-time coverage of market public opinion by business departments, helping business personnel improve their risk identification and business opportunity discovery capabilities.")</f>
        <v>The intelligent information platform collects public information, classifies public opinions, and identifies subjects and risk events. It provides intelligent public opinion monitoring, intelligent announcement summaries, and real-time push of risk event information for business departments. This greatly improves the scope and real-time coverage of market public opinion by business departments, helping business personnel improve their risk identification and business opportunity discovery capabilities.</v>
      </c>
      <c r="B5161" s="1" t="str">
        <f ca="1">IFERROR(__xludf.DUMMYFUNCTION("GOOGLETRANSLATE(A5161, ""zh"", ""en"")"),"Information Disclosure and Investor Communication")</f>
        <v>Information Disclosure and Investor Communication</v>
      </c>
      <c r="C5161" s="1" t="str">
        <f ca="1">IFERROR(__xludf.DUMMYFUNCTION("GOOGLETRANSLATE(E5161, ""zh"", ""en"")"),"Qualitative text")</f>
        <v>Qualitative text</v>
      </c>
    </row>
    <row r="5162" spans="1:3" ht="13" x14ac:dyDescent="0.15">
      <c r="A5162" s="1" t="str">
        <f ca="1">IFERROR(__xludf.DUMMYFUNCTION("GOOGLETRANSLATE(A5162, ""zh"", ""en"")"),"This year, the Group's previously developed inhalation preparations saw a harvest period. Four products, including tobramycin inhalation solution, levalbuterol hydrochloride nebulized inhalation solution 3ml 1.25mg, terbutaline sulfate nebulized inhalatio"&amp;"n solution, and acetylcysteine ​​inhalation solution, were approved for marketing. Furthermore, several Class II improved new drugs and generic drugs achieved milestones in their research and development.")</f>
        <v>This year, the Group's previously developed inhalation preparations saw a harvest period. Four products, including tobramycin inhalation solution, levalbuterol hydrochloride nebulized inhalation solution 3ml 1.25mg, terbutaline sulfate nebulized inhalation solution, and acetylcysteine ​​inhalation solution, were approved for marketing. Furthermore, several Class II improved new drugs and generic drugs achieved milestones in their research and development.</v>
      </c>
      <c r="B5162" s="1" t="str">
        <f ca="1">IFERROR(__xludf.DUMMYFUNCTION("GOOGLETRANSLATE(A5162, ""zh"", ""en"")"),"Product quality")</f>
        <v>Product quality</v>
      </c>
      <c r="C5162" s="1" t="str">
        <f ca="1">IFERROR(__xludf.DUMMYFUNCTION("GOOGLETRANSLATE(E5162, ""zh"", ""en"")"),"Qualitative text")</f>
        <v>Qualitative text</v>
      </c>
    </row>
    <row r="5163" spans="1:3" ht="13" x14ac:dyDescent="0.15">
      <c r="A5163" s="1" t="str">
        <f ca="1">IFERROR(__xludf.DUMMYFUNCTION("GOOGLETRANSLATE(A5163, ""zh"", ""en"")"),"Taking Xinxiang Haibin as an example, digital monitoring and manual detection of waste gas are carried out. Xinxiang Haibin has installed monitoring equipment for both organized and unorganized waste gas. It is managed and operated by a qualified third pa"&amp;"rty. The waste gas pollution factors are continuously monitored dynamically and the data is uploaded to the National Key Pollution Source Automatic Monitoring and Basic Database System Guofa Platform in real time.")</f>
        <v>Taking Xinxiang Haibin as an example, digital monitoring and manual detection of waste gas are carried out. Xinxiang Haibin has installed monitoring equipment for both organized and unorganized waste gas. It is managed and operated by a qualified third party. The waste gas pollution factors are continuously monitored dynamically and the data is uploaded to the National Key Pollution Source Automatic Monitoring and Basic Database System Guofa Platform in real time.</v>
      </c>
      <c r="B5163" s="1" t="str">
        <f ca="1">IFERROR(__xludf.DUMMYFUNCTION("GOOGLETRANSLATE(A5163, ""zh"", ""en"")"),"Waste Management")</f>
        <v>Waste Management</v>
      </c>
      <c r="C5163" s="1" t="str">
        <f ca="1">IFERROR(__xludf.DUMMYFUNCTION("GOOGLETRANSLATE(E5163, ""zh"", ""en"")"),"Qualitative text")</f>
        <v>Qualitative text</v>
      </c>
    </row>
    <row r="5164" spans="1:3" ht="13" x14ac:dyDescent="0.15">
      <c r="A5164" s="1" t="str">
        <f ca="1">IFERROR(__xludf.DUMMYFUNCTION("GOOGLETRANSLATE(A5164, ""zh"", ""en"")"),"In accordance with the unified deployment and requirements of the Zhejiang Provincial State-owned Assets Supervision and Administration Commission, the Group has thoroughly implemented key reforms such as secondary mixed-ownership reform, mergers and acqu"&amp;"isitions, and reorganization. It has embarked on a path of reform characterized by local state-owned enterprises through continuous mixed-ownership reform, overall listing, and improved quality and efficiency. This has greatly enhanced the vitality and ef"&amp;"ficiency of the enterprise, better realized the preservation and appreciation of state-owned capital, and strived to build a large, strong, prosperous, beautiful, and respected outstanding listed company.")</f>
        <v>In accordance with the unified deployment and requirements of the Zhejiang Provincial State-owned Assets Supervision and Administration Commission, the Group has thoroughly implemented key reforms such as secondary mixed-ownership reform, mergers and acquisitions, and reorganization. It has embarked on a path of reform characterized by local state-owned enterprises through continuous mixed-ownership reform, overall listing, and improved quality and efficiency. This has greatly enhanced the vitality and efficiency of the enterprise, better realized the preservation and appreciation of state-owned capital, and strived to build a large, strong, prosperous, beautiful, and respected outstanding listed company.</v>
      </c>
      <c r="B5164" s="1" t="str">
        <f ca="1">IFERROR(__xludf.DUMMYFUNCTION("GOOGLETRANSLATE(A5164, ""zh"", ""en"")"),"Organizational structure and operations")</f>
        <v>Organizational structure and operations</v>
      </c>
      <c r="C5164" s="1" t="str">
        <f ca="1">IFERROR(__xludf.DUMMYFUNCTION("GOOGLETRANSLATE(E5164, ""zh"", ""en"")"),"Qualitative text")</f>
        <v>Qualitative text</v>
      </c>
    </row>
    <row r="5165" spans="1:3" ht="13" x14ac:dyDescent="0.15">
      <c r="A5165" s="1" t="str">
        <f ca="1">IFERROR(__xludf.DUMMYFUNCTION("GOOGLETRANSLATE(A5165, ""zh"", ""en"")"),"Improve corporate governance: 5 supervisors and 2 employee supervisors. The company prioritizes transparent information disclosure and actively manages investor relations. Based on strict compliance with relevant laws and regulations, it strives to enhanc"&amp;"e the initiative and diversity of information disclosure and establish a multi-level, positive interaction mechanism for investors. Digitalization is used to make information disclosure and investor communication more efficient.")</f>
        <v>Improve corporate governance: 5 supervisors and 2 employee supervisors. The company prioritizes transparent information disclosure and actively manages investor relations. Based on strict compliance with relevant laws and regulations, it strives to enhance the initiative and diversity of information disclosure and establish a multi-level, positive interaction mechanism for investors. Digitalization is used to make information disclosure and investor communication more efficient.</v>
      </c>
      <c r="B5165" s="1" t="str">
        <f ca="1">IFERROR(__xludf.DUMMYFUNCTION("GOOGLETRANSLATE(A5165, ""zh"", ""en"")"),"Information Disclosure and Investor Communication")</f>
        <v>Information Disclosure and Investor Communication</v>
      </c>
      <c r="C5165" s="1" t="str">
        <f ca="1">IFERROR(__xludf.DUMMYFUNCTION("GOOGLETRANSLATE(E5165, ""zh"", ""en"")"),"Qualitative text")</f>
        <v>Qualitative text</v>
      </c>
    </row>
    <row r="5166" spans="1:3" ht="13" x14ac:dyDescent="0.15">
      <c r="A5166" s="1" t="str">
        <f ca="1">IFERROR(__xludf.DUMMYFUNCTION("GOOGLETRANSLATE(A5166, ""zh"", ""en"")"),"The company has established partnerships with four First Nations communities and three Métis communities surrounding the Mackay River Oil Sands Project and signed bilateral agreements that define the channels and methods for the company to communicate wit"&amp;"h the communities, negotiate production, operation and development plans, report to the government, share information on potential business opportunities, address community concerns, and build working-level and leadership-level relationships.")</f>
        <v>The company has established partnerships with four First Nations communities and three Métis communities surrounding the Mackay River Oil Sands Project and signed bilateral agreements that define the channels and methods for the company to communicate with the communities, negotiate production, operation and development plans, report to the government, share information on potential business opportunities, address community concerns, and build working-level and leadership-level relationships.</v>
      </c>
      <c r="B5166" s="1" t="str">
        <f ca="1">IFERROR(__xludf.DUMMYFUNCTION("GOOGLETRANSLATE(A5166, ""zh"", ""en"")"),"Rural assistance")</f>
        <v>Rural assistance</v>
      </c>
      <c r="C5166" s="1" t="str">
        <f ca="1">IFERROR(__xludf.DUMMYFUNCTION("GOOGLETRANSLATE(E5166, ""zh"", ""en"")"),"Qualitative text")</f>
        <v>Qualitative text</v>
      </c>
    </row>
    <row r="5167" spans="1:3" ht="13" x14ac:dyDescent="0.15">
      <c r="A5167" s="1" t="str">
        <f ca="1">IFERROR(__xludf.DUMMYFUNCTION("GOOGLETRANSLATE(A5167, ""zh"", ""en"")"),"Cooperating with the University of Queensland in Australia to promote local operations. We actively promote local operations, strictly abide by the laws and regulations of the place where we operate, pay taxes transparently and legally, promote local empl"&amp;"oyment, give priority to purchasing and using local products and services, provide local suppliers, contractors and service providers with opportunities to participate in projects, and support the development of local small and medium-sized enterprises an"&amp;"d community entrepreneurs.")</f>
        <v>Cooperating with the University of Queensland in Australia to promote local operations. We actively promote local operations, strictly abide by the laws and regulations of the place where we operate, pay taxes transparently and legally, promote local employment, give priority to purchasing and using local products and services, provide local suppliers, contractors and service providers with opportunities to participate in projects, and support the development of local small and medium-sized enterprises and community entrepreneurs.</v>
      </c>
      <c r="B5167" s="1" t="str">
        <f ca="1">IFERROR(__xludf.DUMMYFUNCTION("GOOGLETRANSLATE(A5167, ""zh"", ""en"")"),"Promoting employment")</f>
        <v>Promoting employment</v>
      </c>
      <c r="C5167" s="1" t="str">
        <f ca="1">IFERROR(__xludf.DUMMYFUNCTION("GOOGLETRANSLATE(E5167, ""zh"", ""en"")"),"Qualitative text")</f>
        <v>Qualitative text</v>
      </c>
    </row>
    <row r="5168" spans="1:3" ht="13" x14ac:dyDescent="0.15">
      <c r="A5168" s="1" t="str">
        <f ca="1">IFERROR(__xludf.DUMMYFUNCTION("GOOGLETRANSLATE(A5168, ""zh"", ""en"")"),"Actively promote the construction of the security management system for domestic business. Prepare and issue guidelines for the design of the security management system framework. Form a strategic goal for domestic business. Clarify the key points, work p"&amp;"rocesses and basic requirements for the preparation of system documents. Promote the organic integration of security risk control measures into production and operation business control processes and relevant regulations. Continuously enhance the ability "&amp;"to prevent, control and deal with risks.")</f>
        <v>Actively promote the construction of the security management system for domestic business. Prepare and issue guidelines for the design of the security management system framework. Form a strategic goal for domestic business. Clarify the key points, work processes and basic requirements for the preparation of system documents. Promote the organic integration of security risk control measures into production and operation business control processes and relevant regulations. Continuously enhance the ability to prevent, control and deal with risks.</v>
      </c>
      <c r="B5168" s="1" t="str">
        <f ca="1">IFERROR(__xludf.DUMMYFUNCTION("GOOGLETRANSLATE(A5168, ""zh"", ""en"")"),"Data security")</f>
        <v>Data security</v>
      </c>
      <c r="C5168" s="1" t="str">
        <f ca="1">IFERROR(__xludf.DUMMYFUNCTION("GOOGLETRANSLATE(E5168, ""zh"", ""en"")"),"Qualitative text")</f>
        <v>Qualitative text</v>
      </c>
    </row>
    <row r="5169" spans="1:3" ht="13" x14ac:dyDescent="0.15">
      <c r="A5169" s="1" t="str">
        <f ca="1">IFERROR(__xludf.DUMMYFUNCTION("GOOGLETRANSLATE(A5169, ""zh"", ""en"")"),"Case Study: Optimization of materials and equipment has brought significant energy-saving benefits. Guangzhou Petrochemical continues to implement plans to build a world-class green energy and chemical enterprise. Energy-saving and carbon-reduction measur"&amp;"es have been implemented, focusing on public engineering systems such as water, electricity, steam, and wind power, as well as the utilization of waste heat and new energy. A total of 61 measures have been formulated to create a world-class green energy a"&amp;"nd chemical enterprise, and 42 of them have been completed.")</f>
        <v>Case Study: Optimization of materials and equipment has brought significant energy-saving benefits. Guangzhou Petrochemical continues to implement plans to build a world-class green energy and chemical enterprise. Energy-saving and carbon-reduction measures have been implemented, focusing on public engineering systems such as water, electricity, steam, and wind power, as well as the utilization of waste heat and new energy. A total of 61 measures have been formulated to create a world-class green energy and chemical enterprise, and 42 of them have been completed.</v>
      </c>
      <c r="B5169" s="1" t="str">
        <f ca="1">IFERROR(__xludf.DUMMYFUNCTION("GOOGLETRANSLATE(A5169, ""zh"", ""en"")"),"Energy and resource consumption")</f>
        <v>Energy and resource consumption</v>
      </c>
      <c r="C5169" s="1" t="str">
        <f ca="1">IFERROR(__xludf.DUMMYFUNCTION("GOOGLETRANSLATE(E5169, ""zh"", ""en"")"),"Quantitative Text")</f>
        <v>Quantitative Text</v>
      </c>
    </row>
    <row r="5170" spans="1:3" ht="13" x14ac:dyDescent="0.15">
      <c r="A5170" s="1" t="str">
        <f ca="1">IFERROR(__xludf.DUMMYFUNCTION("GOOGLETRANSLATE(A5170, ""zh"", ""en"")"),"After the company disclosed its 2022 interim report, it promptly held an offline investor exchange meeting. Mr. Wang Jiancheng, Chairman and Party Secretary of the company, and Mr. Guo Liang, Secretary of the Board of Directors, attended the meeting and a"&amp;"ctively responded to investor concerns. By directly communicating with investors, the company's development strategy and reform measures were explained, highlighting the highlights of reform and development, and correctly guiding investors' reasonable exp"&amp;"ectations.")</f>
        <v>After the company disclosed its 2022 interim report, it promptly held an offline investor exchange meeting. Mr. Wang Jiancheng, Chairman and Party Secretary of the company, and Mr. Guo Liang, Secretary of the Board of Directors, attended the meeting and actively responded to investor concerns. By directly communicating with investors, the company's development strategy and reform measures were explained, highlighting the highlights of reform and development, and correctly guiding investors' reasonable expectations.</v>
      </c>
      <c r="B5170" s="1" t="str">
        <f ca="1">IFERROR(__xludf.DUMMYFUNCTION("GOOGLETRANSLATE(A5170, ""zh"", ""en"")"),"Information Disclosure and Investor Communication")</f>
        <v>Information Disclosure and Investor Communication</v>
      </c>
      <c r="C5170" s="1" t="str">
        <f ca="1">IFERROR(__xludf.DUMMYFUNCTION("GOOGLETRANSLATE(E5170, ""zh"", ""en"")"),"Qualitative text")</f>
        <v>Qualitative text</v>
      </c>
    </row>
    <row r="5171" spans="1:3" ht="13" x14ac:dyDescent="0.15">
      <c r="A5171" s="1" t="str">
        <f ca="1">IFERROR(__xludf.DUMMYFUNCTION("GOOGLETRANSLATE(A5171, ""zh"", ""en"")"),"100100100100 Pollutant Emission Control Global warming has a significant impact on both natural and social systems. The company is actively promoting transformation and upgrading in energy conservation, environmental protection, green, low-carbon, and int"&amp;"elligent manufacturing. On the one hand, it is responding to the risks that climate change may bring to production and operations, and on the other hand, it is minimizing the impact of corporate operations on the climate.")</f>
        <v>100100100100 Pollutant Emission Control Global warming has a significant impact on both natural and social systems. The company is actively promoting transformation and upgrading in energy conservation, environmental protection, green, low-carbon, and intelligent manufacturing. On the one hand, it is responding to the risks that climate change may bring to production and operations, and on the other hand, it is minimizing the impact of corporate operations on the climate.</v>
      </c>
      <c r="B5171" s="1" t="str">
        <f ca="1">IFERROR(__xludf.DUMMYFUNCTION("GOOGLETRANSLATE(A5171, ""zh"", ""en"")"),"Addressing climate change")</f>
        <v>Addressing climate change</v>
      </c>
      <c r="C5171" s="1" t="str">
        <f ca="1">IFERROR(__xludf.DUMMYFUNCTION("GOOGLETRANSLATE(E5171, ""zh"", ""en"")"),"Qualitative text")</f>
        <v>Qualitative text</v>
      </c>
    </row>
    <row r="5172" spans="1:3" ht="13" x14ac:dyDescent="0.15">
      <c r="A5172" s="1" t="str">
        <f ca="1">IFERROR(__xludf.DUMMYFUNCTION("GOOGLETRANSLATE(A5172, ""zh"", ""en"")"),"There are 44 invention patents, 268 utility model patents, and 50 authorized utility model patents for information construction. The company continues to promote information projects and intelligent manufacturing construction. In terms of building smart D"&amp;"izibu, it takes the opportunity of retreating from the city and entering the park to use new technologies and new means such as the Internet, big data, and artificial intelligence to vigorously promote the construction of ""three transformations"" and cre"&amp;"ate smart factories and innovative enterprises.")</f>
        <v>There are 44 invention patents, 268 utility model patents, and 50 authorized utility model patents for information construction. The company continues to promote information projects and intelligent manufacturing construction. In terms of building smart Dizibu, it takes the opportunity of retreating from the city and entering the park to use new technologies and new means such as the Internet, big data, and artificial intelligence to vigorously promote the construction of "three transformations" and create smart factories and innovative enterprises.</v>
      </c>
      <c r="B5172" s="1" t="str">
        <f ca="1">IFERROR(__xludf.DUMMYFUNCTION("GOOGLETRANSLATE(A5172, ""zh"", ""en"")"),"Technological innovation")</f>
        <v>Technological innovation</v>
      </c>
      <c r="C5172" s="1" t="str">
        <f ca="1">IFERROR(__xludf.DUMMYFUNCTION("GOOGLETRANSLATE(E5172, ""zh"", ""en"")"),"Quantitative Text")</f>
        <v>Quantitative Text</v>
      </c>
    </row>
    <row r="5173" spans="1:3" ht="13" x14ac:dyDescent="0.15">
      <c r="A5173" s="1" t="str">
        <f ca="1">IFERROR(__xludf.DUMMYFUNCTION("GOOGLETRANSLATE(A5173, ""zh"", ""en"")"),"Haier Smart Home actively responds to national policies and calls, integrating low-carbon and healthy concepts into the entire product life cycle, focusing on recyclable and environmentally friendly materials, energy conservation, consumption reduction, a"&amp;"nd pollutant emissions. It has developed and implemented a number of low-carbon highlight technologies and processes, effectively supporting national energy conservation and carbon reduction through scientific and technological means, and driving the sust"&amp;"ainable development of the entire industry and the trend of green consumption.")</f>
        <v>Haier Smart Home actively responds to national policies and calls, integrating low-carbon and healthy concepts into the entire product life cycle, focusing on recyclable and environmentally friendly materials, energy conservation, consumption reduction, and pollutant emissions. It has developed and implemented a number of low-carbon highlight technologies and processes, effectively supporting national energy conservation and carbon reduction through scientific and technological means, and driving the sustainable development of the entire industry and the trend of green consumption.</v>
      </c>
      <c r="B5173" s="1" t="str">
        <f ca="1">IFERROR(__xludf.DUMMYFUNCTION("GOOGLETRANSLATE(A5173, ""zh"", ""en"")"),"carbon emissions")</f>
        <v>carbon emissions</v>
      </c>
      <c r="C5173" s="1" t="str">
        <f ca="1">IFERROR(__xludf.DUMMYFUNCTION("GOOGLETRANSLATE(E5173, ""zh"", ""en"")"),"Qualitative text")</f>
        <v>Qualitative text</v>
      </c>
    </row>
    <row r="5174" spans="1:3" ht="13" x14ac:dyDescent="0.15">
      <c r="A5174" s="1" t="str">
        <f ca="1">IFERROR(__xludf.DUMMYFUNCTION("GOOGLETRANSLATE(A5174, ""zh"", ""en"")"),"Internal construction covers a two-tier internal training system. The company level focuses on general skills training for employees and special skills training to address the general learning needs of employees. More than 100 courses have been held, with"&amp;" 4,500 employees participating. The department level focuses on cultivating employees' practical skills in specific positions. The secondary training system has a total of nearly 40 courses, covering more than 200 employees.")</f>
        <v>Internal construction covers a two-tier internal training system. The company level focuses on general skills training for employees and special skills training to address the general learning needs of employees. More than 100 courses have been held, with 4,500 employees participating. The department level focuses on cultivating employees' practical skills in specific positions. The secondary training system has a total of nearly 40 courses, covering more than 200 employees.</v>
      </c>
      <c r="B5174" s="1" t="str">
        <f ca="1">IFERROR(__xludf.DUMMYFUNCTION("GOOGLETRANSLATE(A5174, ""zh"", ""en"")"),"staff")</f>
        <v>staff</v>
      </c>
      <c r="C5174" s="1" t="str">
        <f ca="1">IFERROR(__xludf.DUMMYFUNCTION("GOOGLETRANSLATE(E5174, ""zh"", ""en"")"),"Quantitative Text")</f>
        <v>Quantitative Text</v>
      </c>
    </row>
    <row r="5175" spans="1:3" ht="13" x14ac:dyDescent="0.15">
      <c r="A5175" s="1" t="str">
        <f ca="1">IFERROR(__xludf.DUMMYFUNCTION("GOOGLETRANSLATE(A5175, ""zh"", ""en"")"),"The company regularly organizes employee representatives to submit proposals on issues related to enterprise safety, production, environmental protection, enterprise management, production and operation, salary distribution, employee education and welfare"&amp;". The responsible departments collect information and provide feedback. At the same time, a complete closed-loop feedback mechanism for proposal processing is established. For proposals that are not filed, written feedback is promptly provided to the empl"&amp;"oyee representatives who submitted the proposals, and explanations are provided.")</f>
        <v>The company regularly organizes employee representatives to submit proposals on issues related to enterprise safety, production, environmental protection, enterprise management, production and operation, salary distribution, employee education and welfare. The responsible departments collect information and provide feedback. At the same time, a complete closed-loop feedback mechanism for proposal processing is established. For proposals that are not filed, written feedback is promptly provided to the employee representatives who submitted the proposals, and explanations are provided.</v>
      </c>
      <c r="B5175" s="1" t="str">
        <f ca="1">IFERROR(__xludf.DUMMYFUNCTION("GOOGLETRANSLATE(A5175, ""zh"", ""en"")"),"staff")</f>
        <v>staff</v>
      </c>
      <c r="C5175" s="1" t="str">
        <f ca="1">IFERROR(__xludf.DUMMYFUNCTION("GOOGLETRANSLATE(E5175, ""zh"", ""en"")"),"Qualitative text")</f>
        <v>Qualitative text</v>
      </c>
    </row>
    <row r="5176" spans="1:3" ht="13" x14ac:dyDescent="0.15">
      <c r="A5176" s="1" t="str">
        <f ca="1">IFERROR(__xludf.DUMMYFUNCTION("GOOGLETRANSLATE(A5176, ""zh"", ""en"")"),"Anji Green Bonds help Anji safeguard its green mountains and clear waters. China Investment and Insurance Corporation (CIIC) collaborates with international partners to protect biodiversity. SDIC Capital upholds the concept of green development, safeguard"&amp;"s the implementation of national strategies, and promotes SDIC Leasing's vigorous development of green leasing, focusing on livelihoods and inclusive green industries. Through direct leasing, sale and leaseback, and factoring models, SDIC Capital collabor"&amp;"ates with stakeholders to promote ecological civilization.")</f>
        <v>Anji Green Bonds help Anji safeguard its green mountains and clear waters. China Investment and Insurance Corporation (CIIC) collaborates with international partners to protect biodiversity. SDIC Capital upholds the concept of green development, safeguards the implementation of national strategies, and promotes SDIC Leasing's vigorous development of green leasing, focusing on livelihoods and inclusive green industries. Through direct leasing, sale and leaseback, and factoring models, SDIC Capital collaborates with stakeholders to promote ecological civilization.</v>
      </c>
      <c r="B5176" s="1" t="str">
        <f ca="1">IFERROR(__xludf.DUMMYFUNCTION("GOOGLETRANSLATE(A5176, ""zh"", ""en"")"),"biodiversity")</f>
        <v>biodiversity</v>
      </c>
      <c r="C5176" s="1" t="str">
        <f ca="1">IFERROR(__xludf.DUMMYFUNCTION("GOOGLETRANSLATE(E5176, ""zh"", ""en"")"),"Qualitative text")</f>
        <v>Qualitative text</v>
      </c>
    </row>
    <row r="5177" spans="1:3" ht="13" x14ac:dyDescent="0.15">
      <c r="A5177" s="1" t="str">
        <f ca="1">IFERROR(__xludf.DUMMYFUNCTION("GOOGLETRANSLATE(A5177, ""zh"", ""en"")"),"Headquarters, Business Divisions, Subsidiaries, Grassroots Enterprises, Sinopec Corporation, Sinopec Corporation 5556 Corporate Governance, Strengthening Security, Addressing Climate Change, Respecting Human Rights, Cultivating Talents, Protecting the Env"&amp;"ironment, Fulfilling Social Responsibilities, and Conserving Water. Sinopec's industrial water is primarily sourced from surface water, groundwater, and municipal water supplies, and water withdrawal permits have been obtained.")</f>
        <v>Headquarters, Business Divisions, Subsidiaries, Grassroots Enterprises, Sinopec Corporation, Sinopec Corporation 5556 Corporate Governance, Strengthening Security, Addressing Climate Change, Respecting Human Rights, Cultivating Talents, Protecting the Environment, Fulfilling Social Responsibilities, and Conserving Water. Sinopec's industrial water is primarily sourced from surface water, groundwater, and municipal water supplies, and water withdrawal permits have been obtained.</v>
      </c>
      <c r="B5177" s="1" t="str">
        <f ca="1">IFERROR(__xludf.DUMMYFUNCTION("GOOGLETRANSLATE(A5177, ""zh"", ""en"")"),"Water resources")</f>
        <v>Water resources</v>
      </c>
      <c r="C5177" s="1" t="str">
        <f ca="1">IFERROR(__xludf.DUMMYFUNCTION("GOOGLETRANSLATE(E5177, ""zh"", ""en"")"),"Quantitative Text")</f>
        <v>Quantitative Text</v>
      </c>
    </row>
    <row r="5178" spans="1:3" ht="13" x14ac:dyDescent="0.15">
      <c r="A5178" s="1" t="str">
        <f ca="1">IFERROR(__xludf.DUMMYFUNCTION("GOOGLETRANSLATE(A5178, ""zh"", ""en"")"),"Zibu Development Company's Guangkuaifa Electric 35 Shenma Shi's 2021 Social Responsibility Report emphasizes environmental education. Shenma shares consistently carry out various forms of environmental protection publicity and education activities to stre"&amp;"ngthen all employees' awareness of environmental protection laws and regulations, popularize and promote basic environmental protection knowledge, and build a better home from the details. Standardize the behavior habits of all employees and enhance their"&amp;" awareness of environmental protection.")</f>
        <v>Zibu Development Company's Guangkuaifa Electric 35 Shenma Shi's 2021 Social Responsibility Report emphasizes environmental education. Shenma shares consistently carry out various forms of environmental protection publicity and education activities to strengthen all employees' awareness of environmental protection laws and regulations, popularize and promote basic environmental protection knowledge, and build a better home from the details. Standardize the behavior habits of all employees and enhance their awareness of environmental protection.</v>
      </c>
      <c r="B5178" s="1" t="str">
        <f ca="1">IFERROR(__xludf.DUMMYFUNCTION("GOOGLETRANSLATE(A5178, ""zh"", ""en"")"),"Environmental Policy")</f>
        <v>Environmental Policy</v>
      </c>
      <c r="C5178" s="1" t="str">
        <f ca="1">IFERROR(__xludf.DUMMYFUNCTION("GOOGLETRANSLATE(E5178, ""zh"", ""en"")"),"Qualitative text")</f>
        <v>Qualitative text</v>
      </c>
    </row>
    <row r="5179" spans="1:3" ht="13" x14ac:dyDescent="0.15">
      <c r="A5179" s="1" t="str">
        <f ca="1">IFERROR(__xludf.DUMMYFUNCTION("GOOGLETRANSLATE(A5179, ""zh"", ""en"")"),"Scholarships totaling RMB 447,000 were awarded to 685 outstanding university students from 17 universities, including China University of Petroleum. The China Petroleum Scholarship Program was implemented for the 22nd consecutive year. China National Petr"&amp;"oleum Corporation 2022 Environmental, Social, and Governance Report 90 Healthcare and Health Improving healthcare standards is essential to eliminating public health risks in underdeveloped regions.")</f>
        <v>Scholarships totaling RMB 447,000 were awarded to 685 outstanding university students from 17 universities, including China University of Petroleum. The China Petroleum Scholarship Program was implemented for the 22nd consecutive year. China National Petroleum Corporation 2022 Environmental, Social, and Governance Report 90 Healthcare and Health Improving healthcare standards is essential to eliminating public health risks in underdeveloped regions.</v>
      </c>
      <c r="B5179" s="1" t="str">
        <f ca="1">IFERROR(__xludf.DUMMYFUNCTION("GOOGLETRANSLATE(A5179, ""zh"", ""en"")"),"Public welfare and volunteer service")</f>
        <v>Public welfare and volunteer service</v>
      </c>
      <c r="C5179" s="1" t="str">
        <f ca="1">IFERROR(__xludf.DUMMYFUNCTION("GOOGLETRANSLATE(E5179, ""zh"", ""en"")"),"Quantitative Text")</f>
        <v>Quantitative Text</v>
      </c>
    </row>
    <row r="5180" spans="1:3" ht="13" x14ac:dyDescent="0.15">
      <c r="A5180" s="1" t="str">
        <f ca="1">IFERROR(__xludf.DUMMYFUNCTION("GOOGLETRANSLATE(A5180, ""zh"", ""en"")"),"On October 12, Leng Weiqing, Party Secretary and Chairman of Shanghai Electric, chaired an expanded meeting of the theoretical study group of the Party Committee of the Group. The meeting focused on the spirit of General Secretary Xi Jinping's recent impo"&amp;"rtant speech, focusing on the theme of Shanghai Electric's exchange rate risk management under the current complex political situation. The meeting was held in a group discussion format.")</f>
        <v>On October 12, Leng Weiqing, Party Secretary and Chairman of Shanghai Electric, chaired an expanded meeting of the theoretical study group of the Party Committee of the Group. The meeting focused on the spirit of General Secretary Xi Jinping's recent important speech, focusing on the theme of Shanghai Electric's exchange rate risk management under the current complex political situation. The meeting was held in a group discussion format.</v>
      </c>
      <c r="B5180" s="1" t="str">
        <f ca="1">IFERROR(__xludf.DUMMYFUNCTION("GOOGLETRANSLATE(A5180, ""zh"", ""en"")"),"Organizational structure and operations")</f>
        <v>Organizational structure and operations</v>
      </c>
      <c r="C5180" s="1" t="str">
        <f ca="1">IFERROR(__xludf.DUMMYFUNCTION("GOOGLETRANSLATE(E5180, ""zh"", ""en"")"),"Qualitative text")</f>
        <v>Qualitative text</v>
      </c>
    </row>
    <row r="5181" spans="1:3" ht="13" x14ac:dyDescent="0.15">
      <c r="A5181" s="1" t="str">
        <f ca="1">IFERROR(__xludf.DUMMYFUNCTION("GOOGLETRANSLATE(A5181, ""zh"", ""en"")"),"At the same time, in 2022, we implemented change management in accordance with international standards to ensure that the production process was expanded to include the scope of production license, and we received GMP compliance, which met the requirement"&amp;"s of the registered process. The drug quality met the requirements of the registered group standard and the MAH special flight inspection, and in 2022, we obtained the A rating in the credit rating assessment of Shanghai Pharmaceutical Manufacturers.")</f>
        <v>At the same time, in 2022, we implemented change management in accordance with international standards to ensure that the production process was expanded to include the scope of production license, and we received GMP compliance, which met the requirements of the registered process. The drug quality met the requirements of the registered group standard and the MAH special flight inspection, and in 2022, we obtained the A rating in the credit rating assessment of Shanghai Pharmaceutical Manufacturers.</v>
      </c>
      <c r="B5181" s="1" t="str">
        <f ca="1">IFERROR(__xludf.DUMMYFUNCTION("GOOGLETRANSLATE(A5181, ""zh"", ""en"")"),"Product quality")</f>
        <v>Product quality</v>
      </c>
      <c r="C5181" s="1" t="str">
        <f ca="1">IFERROR(__xludf.DUMMYFUNCTION("GOOGLETRANSLATE(E5181, ""zh"", ""en"")"),"Quantitative Text")</f>
        <v>Quantitative Text</v>
      </c>
    </row>
    <row r="5182" spans="1:3" ht="13" x14ac:dyDescent="0.15">
      <c r="A5182" s="1" t="str">
        <f ca="1">IFERROR(__xludf.DUMMYFUNCTION("GOOGLETRANSLATE(A5182, ""zh"", ""en"")"),"PetroChina has taken various measures, such as improving the teaching environment, enhancing teaching quality, strengthening the teaching staff, and creating a good family environment, to give full play to its social influence and appeal. By creating dist"&amp;"inctive schools, innovating student aid models, and linking various educational resources, it has helped young people in underdeveloped areas obtain equal educational opportunities and advocated for the whole society to pay attention to and work together "&amp;"to solve the problem of educational equity.")</f>
        <v>PetroChina has taken various measures, such as improving the teaching environment, enhancing teaching quality, strengthening the teaching staff, and creating a good family environment, to give full play to its social influence and appeal. By creating distinctive schools, innovating student aid models, and linking various educational resources, it has helped young people in underdeveloped areas obtain equal educational opportunities and advocated for the whole society to pay attention to and work together to solve the problem of educational equity.</v>
      </c>
      <c r="B5182" s="1" t="str">
        <f ca="1">IFERROR(__xludf.DUMMYFUNCTION("GOOGLETRANSLATE(A5182, ""zh"", ""en"")"),"Public welfare and volunteer service")</f>
        <v>Public welfare and volunteer service</v>
      </c>
      <c r="C5182" s="1" t="str">
        <f ca="1">IFERROR(__xludf.DUMMYFUNCTION("GOOGLETRANSLATE(E5182, ""zh"", ""en"")"),"Qualitative text")</f>
        <v>Qualitative text</v>
      </c>
    </row>
    <row r="5183" spans="1:3" ht="13" x14ac:dyDescent="0.15">
      <c r="A5183" s="1" t="str">
        <f ca="1">IFERROR(__xludf.DUMMYFUNCTION("GOOGLETRANSLATE(A5183, ""zh"", ""en"")"),"Livzon Group supplies generic chemical drugs or biosimilars to the Asian, African and Latin American markets. These drugs are cheaper than original formulations and achieve similar therapeutic effects. We adopt a pricing structure suitable for emerging ma"&amp;"rkets and developing countries, setting reasonable prices that are consistent with local development levels. Livzon Group waives product market authorization fees in underdeveloped and low-income countries.")</f>
        <v>Livzon Group supplies generic chemical drugs or biosimilars to the Asian, African and Latin American markets. These drugs are cheaper than original formulations and achieve similar therapeutic effects. We adopt a pricing structure suitable for emerging markets and developing countries, setting reasonable prices that are consistent with local development levels. Livzon Group waives product market authorization fees in underdeveloped and low-income countries.</v>
      </c>
      <c r="B5183" s="1" t="str">
        <f ca="1">IFERROR(__xludf.DUMMYFUNCTION("GOOGLETRANSLATE(A5183, ""zh"", ""en"")"),"Product quality")</f>
        <v>Product quality</v>
      </c>
      <c r="C5183" s="1" t="str">
        <f ca="1">IFERROR(__xludf.DUMMYFUNCTION("GOOGLETRANSLATE(E5183, ""zh"", ""en"")"),"Qualitative text")</f>
        <v>Qualitative text</v>
      </c>
    </row>
    <row r="5184" spans="1:3" ht="13" x14ac:dyDescent="0.15">
      <c r="A5184" s="1" t="str">
        <f ca="1">IFERROR(__xludf.DUMMYFUNCTION("GOOGLETRANSLATE(A5184, ""zh"", ""en"")"),"Advanced Units in Trade Union Work Advanced Units Shenma Group Trade Union Committee China Pingmei Shenma Group Trade Union March 2021 March 5 Democratic Management Company conscientiously implements the staff representative conference system The company "&amp;"and grassroots units hold staff representative conferences respectively to implement the spirit of the group company's staff representative conference and vote on important work items of grassroots units to ensure that employee representatives participate"&amp;" in democratic management at the source")</f>
        <v>Advanced Units in Trade Union Work Advanced Units Shenma Group Trade Union Committee China Pingmei Shenma Group Trade Union March 2021 March 5 Democratic Management Company conscientiously implements the staff representative conference system The company and grassroots units hold staff representative conferences respectively to implement the spirit of the group company's staff representative conference and vote on important work items of grassroots units to ensure that employee representatives participate in democratic management at the source</v>
      </c>
      <c r="B5184" s="1" t="str">
        <f ca="1">IFERROR(__xludf.DUMMYFUNCTION("GOOGLETRANSLATE(A5184, ""zh"", ""en"")"),"staff")</f>
        <v>staff</v>
      </c>
      <c r="C5184" s="1" t="str">
        <f ca="1">IFERROR(__xludf.DUMMYFUNCTION("GOOGLETRANSLATE(E5184, ""zh"", ""en"")"),"Qualitative text")</f>
        <v>Qualitative text</v>
      </c>
    </row>
    <row r="5185" spans="1:3" ht="13" x14ac:dyDescent="0.15">
      <c r="A5185" s="1" t="str">
        <f ca="1">IFERROR(__xludf.DUMMYFUNCTION("GOOGLETRANSLATE(A5185, ""zh"", ""en"")"),"The incentive targets of this incentive plan include directors, senior managers, middle managers, core technical business personnel and employees who are deemed necessary to be incentivized by the Group's Board of Directors. The exercise conditions for th"&amp;"e incentive targets are to achieve performance appraisal targets, fully mobilize the enthusiasm and creativity of core backbone employees, and create a corporate atmosphere of shared responsibility and value.")</f>
        <v>The incentive targets of this incentive plan include directors, senior managers, middle managers, core technical business personnel and employees who are deemed necessary to be incentivized by the Group's Board of Directors. The exercise conditions for the incentive targets are to achieve performance appraisal targets, fully mobilize the enthusiasm and creativity of core backbone employees, and create a corporate atmosphere of shared responsibility and value.</v>
      </c>
      <c r="B5185" s="1" t="str">
        <f ca="1">IFERROR(__xludf.DUMMYFUNCTION("GOOGLETRANSLATE(A5185, ""zh"", ""en"")"),"staff")</f>
        <v>staff</v>
      </c>
      <c r="C5185" s="1" t="str">
        <f ca="1">IFERROR(__xludf.DUMMYFUNCTION("GOOGLETRANSLATE(E5185, ""zh"", ""en"")"),"Qualitative text")</f>
        <v>Qualitative text</v>
      </c>
    </row>
    <row r="5186" spans="1:3" ht="13" x14ac:dyDescent="0.15">
      <c r="A5186" s="1" t="str">
        <f ca="1">IFERROR(__xludf.DUMMYFUNCTION("GOOGLETRANSLATE(A5186, ""zh"", ""en"")"),"The company has formulated public indicators for production equipment, instruments and meters, and monitored the shutdown and power outage of facilities and supporting equipment in 2022. The energy management system is used to realize intelligent alarm pr"&amp;"ocessing. Lighting in office and public areas is controlled by zone and time. The total annual electricity consumption is 34145.9 thousand kWh. Energy-saving faucets are replaced and throttle valves are added to cultivate employees' awareness of water con"&amp;"servation.")</f>
        <v>The company has formulated public indicators for production equipment, instruments and meters, and monitored the shutdown and power outage of facilities and supporting equipment in 2022. The energy management system is used to realize intelligent alarm processing. Lighting in office and public areas is controlled by zone and time. The total annual electricity consumption is 34145.9 thousand kWh. Energy-saving faucets are replaced and throttle valves are added to cultivate employees' awareness of water conservation.</v>
      </c>
      <c r="B5186" s="1" t="str">
        <f ca="1">IFERROR(__xludf.DUMMYFUNCTION("GOOGLETRANSLATE(A5186, ""zh"", ""en"")"),"Energy and resource consumption")</f>
        <v>Energy and resource consumption</v>
      </c>
      <c r="C5186" s="1" t="str">
        <f ca="1">IFERROR(__xludf.DUMMYFUNCTION("GOOGLETRANSLATE(E5186, ""zh"", ""en"")"),"Quantitative Text")</f>
        <v>Quantitative Text</v>
      </c>
    </row>
    <row r="5187" spans="1:3" ht="13" x14ac:dyDescent="0.15">
      <c r="A5187" s="1" t="str">
        <f ca="1">IFERROR(__xludf.DUMMYFUNCTION("GOOGLETRANSLATE(A5187, ""zh"", ""en"")"),"We refer to the Task Force on Climate-related Financial Disclosures (TCFD) disclosure framework to proactively identify, assess, and manage the impact of physical and transition risks and opportunities related to climate change on operations and business "&amp;"at the company level. We assess the potential financial impact of identified key climate-related risks and opportunities and develop risk management and strategic plans to proactively address climate change.")</f>
        <v>We refer to the Task Force on Climate-related Financial Disclosures (TCFD) disclosure framework to proactively identify, assess, and manage the impact of physical and transition risks and opportunities related to climate change on operations and business at the company level. We assess the potential financial impact of identified key climate-related risks and opportunities and develop risk management and strategic plans to proactively address climate change.</v>
      </c>
      <c r="B5187" s="1" t="str">
        <f ca="1">IFERROR(__xludf.DUMMYFUNCTION("GOOGLETRANSLATE(A5187, ""zh"", ""en"")"),"Addressing climate change")</f>
        <v>Addressing climate change</v>
      </c>
      <c r="C5187" s="1" t="str">
        <f ca="1">IFERROR(__xludf.DUMMYFUNCTION("GOOGLETRANSLATE(E5187, ""zh"", ""en"")"),"Qualitative text")</f>
        <v>Qualitative text</v>
      </c>
    </row>
    <row r="5188" spans="1:3" ht="13" x14ac:dyDescent="0.15">
      <c r="A5188" s="1" t="str">
        <f ca="1">IFERROR(__xludf.DUMMYFUNCTION("GOOGLETRANSLATE(A5188, ""zh"", ""en"")"),"Chronic risks: Continuous high temperatures and droughts. Rising temperatures require companies to equip more refrigeration equipment, increasing operating costs. Developing and applying more energy-efficient refrigeration equipment. Employees may not be "&amp;"able to work outdoors for long periods of time during the hot season, affecting operational efficiency. Scientifically arranging production plans and carefully deploying production organizations improves operational efficiency. Long-term droughts may lead"&amp;" to water shortages, affecting operational stability.")</f>
        <v>Chronic risks: Continuous high temperatures and droughts. Rising temperatures require companies to equip more refrigeration equipment, increasing operating costs. Developing and applying more energy-efficient refrigeration equipment. Employees may not be able to work outdoors for long periods of time during the hot season, affecting operational efficiency. Scientifically arranging production plans and carefully deploying production organizations improves operational efficiency. Long-term droughts may lead to water shortages, affecting operational stability.</v>
      </c>
      <c r="B5188" s="1" t="str">
        <f ca="1">IFERROR(__xludf.DUMMYFUNCTION("GOOGLETRANSLATE(A5188, ""zh"", ""en"")"),"Addressing climate change")</f>
        <v>Addressing climate change</v>
      </c>
      <c r="C5188" s="1" t="str">
        <f ca="1">IFERROR(__xludf.DUMMYFUNCTION("GOOGLETRANSLATE(E5188, ""zh"", ""en"")"),"Qualitative text")</f>
        <v>Qualitative text</v>
      </c>
    </row>
    <row r="5189" spans="1:3" ht="13" x14ac:dyDescent="0.15">
      <c r="A5189" s="1" t="str">
        <f ca="1">IFERROR(__xludf.DUMMYFUNCTION("GOOGLETRANSLATE(A5189, ""zh"", ""en"")"),"The company's report on Sinopec's biodiversity park construction details two representative cases of Sinopec's biodiversity benefits: Zhenhai Refining and Chemical's only egret habitat in China's petrochemical industry, and Yanshan Petrochemical's wetland"&amp;" natural ecological restoration system for industrial wastewater treatment that meets discharge standards and ecological industrial wastewater comprehensive purification practices.")</f>
        <v>The company's report on Sinopec's biodiversity park construction details two representative cases of Sinopec's biodiversity benefits: Zhenhai Refining and Chemical's only egret habitat in China's petrochemical industry, and Yanshan Petrochemical's wetland natural ecological restoration system for industrial wastewater treatment that meets discharge standards and ecological industrial wastewater comprehensive purification practices.</v>
      </c>
      <c r="B5189" s="1" t="str">
        <f ca="1">IFERROR(__xludf.DUMMYFUNCTION("GOOGLETRANSLATE(A5189, ""zh"", ""en"")"),"biodiversity")</f>
        <v>biodiversity</v>
      </c>
      <c r="C5189" s="1" t="str">
        <f ca="1">IFERROR(__xludf.DUMMYFUNCTION("GOOGLETRANSLATE(E5189, ""zh"", ""en"")"),"Qualitative text")</f>
        <v>Qualitative text</v>
      </c>
    </row>
    <row r="5190" spans="1:3" ht="13" x14ac:dyDescent="0.15">
      <c r="A5190" s="1" t="str">
        <f ca="1">IFERROR(__xludf.DUMMYFUNCTION("GOOGLETRANSLATE(A5190, ""zh"", ""en"")"),"We strictly adhere to the applicable laws and regulations and the highest standards of business ethics in all locations where the company operates. We have also formulated the Shanghai Electric Group's Implementation Opinions on Building a Mechanism to Pr"&amp;"omote the Construction of a Clean and Honest Party Conduct, requiring all Party members and cadres to uphold their ideals and convictions, exercise strict self-discipline, exercise self-discipline, and introspect, strictly observe disciplinary red lines a"&amp;"nd legal bottom lines, and always maintain a clean and honest political character.")</f>
        <v>We strictly adhere to the applicable laws and regulations and the highest standards of business ethics in all locations where the company operates. We have also formulated the Shanghai Electric Group's Implementation Opinions on Building a Mechanism to Promote the Construction of a Clean and Honest Party Conduct, requiring all Party members and cadres to uphold their ideals and convictions, exercise strict self-discipline, exercise self-discipline, and introspect, strictly observe disciplinary red lines and legal bottom lines, and always maintain a clean and honest political character.</v>
      </c>
      <c r="B5190" s="1" t="str">
        <f ca="1">IFERROR(__xludf.DUMMYFUNCTION("GOOGLETRANSLATE(A5190, ""zh"", ""en"")"),"Anti-corruption and anti-money laundering")</f>
        <v>Anti-corruption and anti-money laundering</v>
      </c>
      <c r="C5190" s="1" t="str">
        <f ca="1">IFERROR(__xludf.DUMMYFUNCTION("GOOGLETRANSLATE(E5190, ""zh"", ""en"")"),"Qualitative text")</f>
        <v>Qualitative text</v>
      </c>
    </row>
    <row r="5191" spans="1:3" ht="13" x14ac:dyDescent="0.15">
      <c r="A5191" s="1" t="str">
        <f ca="1">IFERROR(__xludf.DUMMYFUNCTION("GOOGLETRANSLATE(A5191, ""zh"", ""en"")"),"Case Study: SDIC Taikang Trust innovates supply chain finance with a targeted purchase and sales model. SDIC Taikang Trust adopts a targeted purchase and sales model in its supply chain finance business to deeply serve the real economy, effectively shorte"&amp;"ning the payment cycle of upstream suppliers, enhancing liquidity, expanding resources with upstream suppliers and intermediary traders, providing practical financial support to the real economy and leveraging industry-finance synergy.")</f>
        <v>Case Study: SDIC Taikang Trust innovates supply chain finance with a targeted purchase and sales model. SDIC Taikang Trust adopts a targeted purchase and sales model in its supply chain finance business to deeply serve the real economy, effectively shortening the payment cycle of upstream suppliers, enhancing liquidity, expanding resources with upstream suppliers and intermediary traders, providing practical financial support to the real economy and leveraging industry-finance synergy.</v>
      </c>
      <c r="B5191" s="1" t="str">
        <f ca="1">IFERROR(__xludf.DUMMYFUNCTION("GOOGLETRANSLATE(A5191, ""zh"", ""en"")"),"supply chain management")</f>
        <v>supply chain management</v>
      </c>
      <c r="C5191" s="1" t="str">
        <f ca="1">IFERROR(__xludf.DUMMYFUNCTION("GOOGLETRANSLATE(E5191, ""zh"", ""en"")"),"Qualitative text")</f>
        <v>Qualitative text</v>
      </c>
    </row>
    <row r="5192" spans="1:3" ht="13" x14ac:dyDescent="0.15">
      <c r="A5192" s="1" t="str">
        <f ca="1">IFERROR(__xludf.DUMMYFUNCTION("GOOGLETRANSLATE(A5192, ""zh"", ""en"")"),"6. Direct greenhouse gas emissions range: 1 million tons of carbon dioxide equivalent. The direct greenhouse gas emissions disclosed in the Environmental, Social and Governance (ESG) report refer to the sum of direct greenhouse gas emissions generated by "&amp;"subsidiaries of China National Petroleum Corporation through fuel combustion and fugitive emissions in 2022, minus the amount of greenhouse gas recovery and utilization.")</f>
        <v>6. Direct greenhouse gas emissions range: 1 million tons of carbon dioxide equivalent. The direct greenhouse gas emissions disclosed in the Environmental, Social and Governance (ESG) report refer to the sum of direct greenhouse gas emissions generated by subsidiaries of China National Petroleum Corporation through fuel combustion and fugitive emissions in 2022, minus the amount of greenhouse gas recovery and utilization.</v>
      </c>
      <c r="B5192" s="1" t="str">
        <f ca="1">IFERROR(__xludf.DUMMYFUNCTION("GOOGLETRANSLATE(A5192, ""zh"", ""en"")"),"carbon emissions")</f>
        <v>carbon emissions</v>
      </c>
      <c r="C5192" s="1" t="str">
        <f ca="1">IFERROR(__xludf.DUMMYFUNCTION("GOOGLETRANSLATE(E5192, ""zh"", ""en"")"),"Quantitative Text")</f>
        <v>Quantitative Text</v>
      </c>
    </row>
    <row r="5193" spans="1:3" ht="13" x14ac:dyDescent="0.15">
      <c r="A5193" s="1" t="str">
        <f ca="1">IFERROR(__xludf.DUMMYFUNCTION("GOOGLETRANSLATE(A5193, ""zh"", ""en"")"),"By the end of 2022, Shanghai Electric has 62 national high-tech enterprises, 7 national enterprise technology centers in Shanghai and other provinces and cities, 14 engineering technology research centers in Shanghai and other provinces and cities, 7 key "&amp;"laboratories in Shanghai, 4 CNAS-certified laboratories, 10 academician and expert workstations, and 3 postdoctoral research workstations.")</f>
        <v>By the end of 2022, Shanghai Electric has 62 national high-tech enterprises, 7 national enterprise technology centers in Shanghai and other provinces and cities, 14 engineering technology research centers in Shanghai and other provinces and cities, 7 key laboratories in Shanghai, 4 CNAS-certified laboratories, 10 academician and expert workstations, and 3 postdoctoral research workstations.</v>
      </c>
      <c r="B5193" s="1" t="str">
        <f ca="1">IFERROR(__xludf.DUMMYFUNCTION("GOOGLETRANSLATE(A5193, ""zh"", ""en"")"),"Technological innovation")</f>
        <v>Technological innovation</v>
      </c>
      <c r="C5193" s="1" t="str">
        <f ca="1">IFERROR(__xludf.DUMMYFUNCTION("GOOGLETRANSLATE(E5193, ""zh"", ""en"")"),"Quantitative Text")</f>
        <v>Quantitative Text</v>
      </c>
    </row>
    <row r="5194" spans="1:3" ht="13" x14ac:dyDescent="0.15">
      <c r="A5194" s="1" t="str">
        <f ca="1">IFERROR(__xludf.DUMMYFUNCTION("GOOGLETRANSLATE(A5194, ""zh"", ""en"")"),"Shanghai Electric Group Co., Ltd. 55. In developing scientific research talent, the Group places great emphasis on the establishment of a strategic human resources support system. The Group is committed to establishing an organizational system with orderl"&amp;"y, efficient, and coordinated management, as well as an open and cooperative scientific and technological innovation ecosystem. This aims to shape a resonant innovation and development pattern across the Group, safeguarding its long-term development.")</f>
        <v>Shanghai Electric Group Co., Ltd. 55. In developing scientific research talent, the Group places great emphasis on the establishment of a strategic human resources support system. The Group is committed to establishing an organizational system with orderly, efficient, and coordinated management, as well as an open and cooperative scientific and technological innovation ecosystem. This aims to shape a resonant innovation and development pattern across the Group, safeguarding its long-term development.</v>
      </c>
      <c r="B5194" s="1" t="str">
        <f ca="1">IFERROR(__xludf.DUMMYFUNCTION("GOOGLETRANSLATE(A5194, ""zh"", ""en"")"),"Technological innovation")</f>
        <v>Technological innovation</v>
      </c>
      <c r="C5194" s="1" t="str">
        <f ca="1">IFERROR(__xludf.DUMMYFUNCTION("GOOGLETRANSLATE(E5194, ""zh"", ""en"")"),"Qualitative text")</f>
        <v>Qualitative text</v>
      </c>
    </row>
    <row r="5195" spans="1:3" ht="13" x14ac:dyDescent="0.15">
      <c r="A5195" s="1" t="str">
        <f ca="1">IFERROR(__xludf.DUMMYFUNCTION("GOOGLETRANSLATE(A5195, ""zh"", ""en"")"),"GEA is the only appliance manufacturer to implement the U.S. Environmental Protection Agency's Responsible Appliance Disposal (RAD) program. Since 2011, the amount of waste foam it has processed is equivalent to reducing the carbon emissions of 220,599 ho"&amp;"useholds for one year.")</f>
        <v>GEA is the only appliance manufacturer to implement the U.S. Environmental Protection Agency's Responsible Appliance Disposal (RAD) program. Since 2011, the amount of waste foam it has processed is equivalent to reducing the carbon emissions of 220,599 households for one year.</v>
      </c>
      <c r="B5195" s="1" t="str">
        <f ca="1">IFERROR(__xludf.DUMMYFUNCTION("GOOGLETRANSLATE(A5195, ""zh"", ""en"")"),"Waste Management")</f>
        <v>Waste Management</v>
      </c>
      <c r="C5195" s="1" t="str">
        <f ca="1">IFERROR(__xludf.DUMMYFUNCTION("GOOGLETRANSLATE(E5195, ""zh"", ""en"")"),"Quantitative Text")</f>
        <v>Quantitative Text</v>
      </c>
    </row>
    <row r="5196" spans="1:3" ht="13" x14ac:dyDescent="0.15">
      <c r="A5196" s="1" t="str">
        <f ca="1">IFERROR(__xludf.DUMMYFUNCTION("GOOGLETRANSLATE(A5196, ""zh"", ""en"")"),"Digital Science's super-large enterprise group digital ecology and smart supply chain collaborative integration platform project, and Huanneng's key technology and demonstration of multi-energy complementary low-carbon heating and power supply based on hy"&amp;"brid energy storage have been selected for the 2023 Vanguard Leading Goose R&amp;D Program. This not only demonstrates the company's comprehensive strength in R&amp;D and technological innovation, but also represents another fruitful achievement of innovation-dri"&amp;"ven development.")</f>
        <v>Digital Science's super-large enterprise group digital ecology and smart supply chain collaborative integration platform project, and Huanneng's key technology and demonstration of multi-energy complementary low-carbon heating and power supply based on hybrid energy storage have been selected for the 2023 Vanguard Leading Goose R&amp;D Program. This not only demonstrates the company's comprehensive strength in R&amp;D and technological innovation, but also represents another fruitful achievement of innovation-driven development.</v>
      </c>
      <c r="B5196" s="1" t="str">
        <f ca="1">IFERROR(__xludf.DUMMYFUNCTION("GOOGLETRANSLATE(A5196, ""zh"", ""en"")"),"Technological innovation")</f>
        <v>Technological innovation</v>
      </c>
      <c r="C5196" s="1" t="str">
        <f ca="1">IFERROR(__xludf.DUMMYFUNCTION("GOOGLETRANSLATE(E5196, ""zh"", ""en"")"),"Qualitative text")</f>
        <v>Qualitative text</v>
      </c>
    </row>
    <row r="5197" spans="1:3" ht="13" x14ac:dyDescent="0.15">
      <c r="A5197" s="1" t="str">
        <f ca="1">IFERROR(__xludf.DUMMYFUNCTION("GOOGLETRANSLATE(A5197, ""zh"", ""en"")"),"At the same time, Shanghai Electric continues to promote the ""One Game, One Table, One Network"" scientific and technological innovation strategy, playing a leading role in the group's innovative R&amp;D work, and gradually forming a scientific and technolog"&amp;"ical innovation mechanism that leads to planning, project collaboration, and talent exchange. It promotes R&amp;D cooperation among enterprises within the group, promotes complementary advantages within the group, and collaborates on resources to build a mult"&amp;"i-level, multi-field, cross-industry group technology exchange platform.")</f>
        <v>At the same time, Shanghai Electric continues to promote the "One Game, One Table, One Network" scientific and technological innovation strategy, playing a leading role in the group's innovative R&amp;D work, and gradually forming a scientific and technological innovation mechanism that leads to planning, project collaboration, and talent exchange. It promotes R&amp;D cooperation among enterprises within the group, promotes complementary advantages within the group, and collaborates on resources to build a multi-level, multi-field, cross-industry group technology exchange platform.</v>
      </c>
      <c r="B5197" s="1" t="str">
        <f ca="1">IFERROR(__xludf.DUMMYFUNCTION("GOOGLETRANSLATE(A5197, ""zh"", ""en"")"),"Technological innovation")</f>
        <v>Technological innovation</v>
      </c>
      <c r="C5197" s="1" t="str">
        <f ca="1">IFERROR(__xludf.DUMMYFUNCTION("GOOGLETRANSLATE(E5197, ""zh"", ""en"")"),"Qualitative text")</f>
        <v>Qualitative text</v>
      </c>
    </row>
    <row r="5198" spans="1:3" ht="13" x14ac:dyDescent="0.15">
      <c r="A5198" s="1" t="str">
        <f ca="1">IFERROR(__xludf.DUMMYFUNCTION("GOOGLETRANSLATE(A5198, ""zh"", ""en"")"),"Through various automation methods, Fosun Pharma adheres to the introduction of information technology systems in the pharmaceutical industry in 2022, reducing human factors in the process of drug production inspection and the main responsibility system o"&amp;"f market license holders according to drug management. Under the premise of improving quality, the overall efficiency of production quality was improved through official sampling and official inspection methods revised in 2019.")</f>
        <v>Through various automation methods, Fosun Pharma adheres to the introduction of information technology systems in the pharmaceutical industry in 2022, reducing human factors in the process of drug production inspection and the main responsibility system of market license holders according to drug management. Under the premise of improving quality, the overall efficiency of production quality was improved through official sampling and official inspection methods revised in 2019.</v>
      </c>
      <c r="B5198" s="1" t="str">
        <f ca="1">IFERROR(__xludf.DUMMYFUNCTION("GOOGLETRANSLATE(A5198, ""zh"", ""en"")"),"Product quality")</f>
        <v>Product quality</v>
      </c>
      <c r="C5198" s="1" t="str">
        <f ca="1">IFERROR(__xludf.DUMMYFUNCTION("GOOGLETRANSLATE(E5198, ""zh"", ""en"")"),"Qualitative text")</f>
        <v>Qualitative text</v>
      </c>
    </row>
    <row r="5199" spans="1:3" ht="13" x14ac:dyDescent="0.15">
      <c r="A5199" s="1" t="str">
        <f ca="1">IFERROR(__xludf.DUMMYFUNCTION("GOOGLETRANSLATE(A5199, ""zh"", ""en"")"),"The concept of quasi-supervisors and quasi-responsible persons has been deeply rooted in the minds of every manager. In 2022, the management of each member company carried out multiple routine safety inspections of different contents before the festival a"&amp;"nd in key areas, including the condition of enclosures and equipment, employee safety measures, chemical storage and use, etc., to firmly implement the responsibility for safe production, effectively control risks, and promptly eliminate hidden dangers to"&amp;" ensure the safe production of the company.")</f>
        <v>The concept of quasi-supervisors and quasi-responsible persons has been deeply rooted in the minds of every manager. In 2022, the management of each member company carried out multiple routine safety inspections of different contents before the festival and in key areas, including the condition of enclosures and equipment, employee safety measures, chemical storage and use, etc., to firmly implement the responsibility for safe production, effectively control risks, and promptly eliminate hidden dangers to ensure the safe production of the company.</v>
      </c>
      <c r="B5199" s="1" t="str">
        <f ca="1">IFERROR(__xludf.DUMMYFUNCTION("GOOGLETRANSLATE(A5199, ""zh"", ""en"")"),"staff")</f>
        <v>staff</v>
      </c>
      <c r="C5199" s="1" t="str">
        <f ca="1">IFERROR(__xludf.DUMMYFUNCTION("GOOGLETRANSLATE(E5199, ""zh"", ""en"")"),"Qualitative text")</f>
        <v>Qualitative text</v>
      </c>
    </row>
    <row r="5200" spans="1:3" ht="13" x14ac:dyDescent="0.15">
      <c r="A5200" s="1" t="str">
        <f ca="1">IFERROR(__xludf.DUMMYFUNCTION("GOOGLETRANSLATE(A5200, ""zh"", ""en"")"),"Localization and Diversification: 96.69% of our overseas projects have foreign employees. We promote cultural integration by fully respecting the diversity of cultures and the customs and habits of local residents. We create a multicultural and integrated"&amp;" environment, encourage employees from different cultural backgrounds to communicate with each other, enhance their understanding of each other's values ​​and traditional customs, and strengthen the cross-cultural collaboration capabilities of employees o"&amp;"f different nationalities.")</f>
        <v>Localization and Diversification: 96.69% of our overseas projects have foreign employees. We promote cultural integration by fully respecting the diversity of cultures and the customs and habits of local residents. We create a multicultural and integrated environment, encourage employees from different cultural backgrounds to communicate with each other, enhance their understanding of each other's values ​​and traditional customs, and strengthen the cross-cultural collaboration capabilities of employees of different nationalities.</v>
      </c>
      <c r="B5200" s="1" t="str">
        <f ca="1">IFERROR(__xludf.DUMMYFUNCTION("GOOGLETRANSLATE(A5200, ""zh"", ""en"")"),"staff")</f>
        <v>staff</v>
      </c>
      <c r="C5200" s="1" t="str">
        <f ca="1">IFERROR(__xludf.DUMMYFUNCTION("GOOGLETRANSLATE(E5200, ""zh"", ""en"")"),"Quantitative Text")</f>
        <v>Quantitative Text</v>
      </c>
    </row>
    <row r="5201" spans="1:3" ht="13" x14ac:dyDescent="0.15">
      <c r="A5201" s="1" t="str">
        <f ca="1">IFERROR(__xludf.DUMMYFUNCTION("GOOGLETRANSLATE(A5201, ""zh"", ""en"")"),"Organized the headquarters and its affiliated units to participate in the group's first Integrity Culture Month themed educational activity; organized more than 1,000 cadres and employees to participate in online quizzes; organized the viewing of warning "&amp;"education films; collected more than 90 works on integrity culture; held 18 integrity micro-videos; held system publicity and implementation conferences and conferences on Party conduct, clean governance, and anti-corruption work; and conducted one collec"&amp;"tive integrity talk with leaders of affiliated enterprises.")</f>
        <v>Organized the headquarters and its affiliated units to participate in the group's first Integrity Culture Month themed educational activity; organized more than 1,000 cadres and employees to participate in online quizzes; organized the viewing of warning education films; collected more than 90 works on integrity culture; held 18 integrity micro-videos; held system publicity and implementation conferences and conferences on Party conduct, clean governance, and anti-corruption work; and conducted one collective integrity talk with leaders of affiliated enterprises.</v>
      </c>
      <c r="B5201" s="1" t="str">
        <f ca="1">IFERROR(__xludf.DUMMYFUNCTION("GOOGLETRANSLATE(A5201, ""zh"", ""en"")"),"Anti-corruption and anti-money laundering")</f>
        <v>Anti-corruption and anti-money laundering</v>
      </c>
      <c r="C5201" s="1" t="str">
        <f ca="1">IFERROR(__xludf.DUMMYFUNCTION("GOOGLETRANSLATE(E5201, ""zh"", ""en"")"),"Quantitative Text")</f>
        <v>Quantitative Text</v>
      </c>
    </row>
    <row r="5202" spans="1:3" ht="13" x14ac:dyDescent="0.15">
      <c r="A5202" s="1" t="str">
        <f ca="1">IFERROR(__xludf.DUMMYFUNCTION("GOOGLETRANSLATE(A5202, ""zh"", ""en"")"),"The company allows anonymous reporting. Regulations prohibit unauthorized verification of the handwriting, network IP address, and other information of anonymous reports. If the reporter is suspected of false accusations or other violations of discipline "&amp;"or law, the above methods must be used to trace his or her identity. The approval process must be followed. Deliberate disclosure of the reporter's information or retaliation against the reporter will be dealt with seriously once verified.")</f>
        <v>The company allows anonymous reporting. Regulations prohibit unauthorized verification of the handwriting, network IP address, and other information of anonymous reports. If the reporter is suspected of false accusations or other violations of discipline or law, the above methods must be used to trace his or her identity. The approval process must be followed. Deliberate disclosure of the reporter's information or retaliation against the reporter will be dealt with seriously once verified.</v>
      </c>
      <c r="B5202" s="1" t="str">
        <f ca="1">IFERROR(__xludf.DUMMYFUNCTION("GOOGLETRANSLATE(A5202, ""zh"", ""en"")"),"Reporting System")</f>
        <v>Reporting System</v>
      </c>
      <c r="C5202" s="1" t="str">
        <f ca="1">IFERROR(__xludf.DUMMYFUNCTION("GOOGLETRANSLATE(E5202, ""zh"", ""en"")"),"Qualitative text")</f>
        <v>Qualitative text</v>
      </c>
    </row>
    <row r="5203" spans="1:3" ht="13" x14ac:dyDescent="0.15">
      <c r="A5203" s="1" t="str">
        <f ca="1">IFERROR(__xludf.DUMMYFUNCTION("GOOGLETRANSLATE(A5203, ""zh"", ""en"")"),"During the reporting period, the company presided over the establishment of 1 national standard, 6 industry standards, and 12 group standards, presided over the release of 1 international standard, and jointly launched 6 group standards with Beijing Certi"&amp;"fication Center Co., Ltd. for environmental label certification. It participated in the establishment of 2 international standards, 6 national standards, 15 industry standards, and more than 40 group standards, and participated in the release of 1 nationa"&amp;"l standard and 23 group standards.")</f>
        <v>During the reporting period, the company presided over the establishment of 1 national standard, 6 industry standards, and 12 group standards, presided over the release of 1 international standard, and jointly launched 6 group standards with Beijing Certification Center Co., Ltd. for environmental label certification. It participated in the establishment of 2 international standards, 6 national standards, 15 industry standards, and more than 40 group standards, and participated in the release of 1 national standard and 23 group standards.</v>
      </c>
      <c r="B5203" s="1" t="str">
        <f ca="1">IFERROR(__xludf.DUMMYFUNCTION("GOOGLETRANSLATE(A5203, ""zh"", ""en"")"),"Sustainable certification")</f>
        <v>Sustainable certification</v>
      </c>
      <c r="C5203" s="1" t="str">
        <f ca="1">IFERROR(__xludf.DUMMYFUNCTION("GOOGLETRANSLATE(E5203, ""zh"", ""en"")"),"Quantitative Text")</f>
        <v>Quantitative Text</v>
      </c>
    </row>
    <row r="5204" spans="1:3" ht="13" x14ac:dyDescent="0.15">
      <c r="A5204" s="1" t="str">
        <f ca="1">IFERROR(__xludf.DUMMYFUNCTION("GOOGLETRANSLATE(A5204, ""zh"", ""en"")"),"In 2022, the Board's Risk Management Committee reviewed the Environmental and Climate Risk Analysis Report, the 2021 ESG-Related Factors Risk Quantification Work Report, and other work reports. It also listened to management's report on the effectiveness "&amp;"of environmental and climate risk management in 2021, the main work measures taken, and the main problems encountered. It also provided opinions and suggestions on the next work priorities and reporting arrangements.")</f>
        <v>In 2022, the Board's Risk Management Committee reviewed the Environmental and Climate Risk Analysis Report, the 2021 ESG-Related Factors Risk Quantification Work Report, and other work reports. It also listened to management's report on the effectiveness of environmental and climate risk management in 2021, the main work measures taken, and the main problems encountered. It also provided opinions and suggestions on the next work priorities and reporting arrangements.</v>
      </c>
      <c r="B5204" s="1" t="str">
        <f ca="1">IFERROR(__xludf.DUMMYFUNCTION("GOOGLETRANSLATE(A5204, ""zh"", ""en"")"),"Addressing climate change")</f>
        <v>Addressing climate change</v>
      </c>
      <c r="C5204" s="1" t="str">
        <f ca="1">IFERROR(__xludf.DUMMYFUNCTION("GOOGLETRANSLATE(E5204, ""zh"", ""en"")"),"Qualitative text")</f>
        <v>Qualitative text</v>
      </c>
    </row>
    <row r="5205" spans="1:3" ht="13" x14ac:dyDescent="0.15">
      <c r="A5205" s="1" t="str">
        <f ca="1">IFERROR(__xludf.DUMMYFUNCTION("GOOGLETRANSLATE(A5205, ""zh"", ""en"")"),"In the financial knowledge popularization activities such as the 3.15 Consumer Rights Protection Publicity Week and the Financial Education Publicity Month, more than 300,000 employees of the Bank's 14,000 branches actively participated in carrying out mo"&amp;"re than 164,000 online and offline activities, reaching more than 1.13 billion customers. The Bank was rated as an outstanding organizing unit in the 3.15 Education Publicity Week and Financial Education Publicity Month activities.")</f>
        <v>In the financial knowledge popularization activities such as the 3.15 Consumer Rights Protection Publicity Week and the Financial Education Publicity Month, more than 300,000 employees of the Bank's 14,000 branches actively participated in carrying out more than 164,000 online and offline activities, reaching more than 1.13 billion customers. The Bank was rated as an outstanding organizing unit in the 3.15 Education Publicity Week and Financial Education Publicity Month activities.</v>
      </c>
      <c r="B5205" s="1" t="str">
        <f ca="1">IFERROR(__xludf.DUMMYFUNCTION("GOOGLETRANSLATE(A5205, ""zh"", ""en"")"),"Customers and Consumers")</f>
        <v>Customers and Consumers</v>
      </c>
      <c r="C5205" s="1" t="str">
        <f ca="1">IFERROR(__xludf.DUMMYFUNCTION("GOOGLETRANSLATE(E5205, ""zh"", ""en"")"),"Quantitative Text")</f>
        <v>Quantitative Text</v>
      </c>
    </row>
    <row r="5206" spans="1:3" ht="13" x14ac:dyDescent="0.15">
      <c r="A5206" s="1" t="str">
        <f ca="1">IFERROR(__xludf.DUMMYFUNCTION("GOOGLETRANSLATE(A5206, ""zh"", ""en"")"),"The Workers' Harbor is like a warm seed that blossoms with the employees' genuine love for public welfare, inspiring a resonance of love in the society. More and more like-minded partners are emerging in the Harbor to practice the beauty of great love tog"&amp;"ether, making every worker in the city feel more fulfilled and happy, and sharing the achievements of urban development.")</f>
        <v>The Workers' Harbor is like a warm seed that blossoms with the employees' genuine love for public welfare, inspiring a resonance of love in the society. More and more like-minded partners are emerging in the Harbor to practice the beauty of great love together, making every worker in the city feel more fulfilled and happy, and sharing the achievements of urban development.</v>
      </c>
      <c r="B5206" s="1" t="str">
        <f ca="1">IFERROR(__xludf.DUMMYFUNCTION("GOOGLETRANSLATE(A5206, ""zh"", ""en"")"),"Public welfare and volunteer service")</f>
        <v>Public welfare and volunteer service</v>
      </c>
      <c r="C5206" s="1" t="str">
        <f ca="1">IFERROR(__xludf.DUMMYFUNCTION("GOOGLETRANSLATE(E5206, ""zh"", ""en"")"),"Qualitative text")</f>
        <v>Qualitative text</v>
      </c>
    </row>
    <row r="5207" spans="1:3" ht="13" x14ac:dyDescent="0.15">
      <c r="A5207" s="1" t="str">
        <f ca="1">IFERROR(__xludf.DUMMYFUNCTION("GOOGLETRANSLATE(A5207, ""zh"", ""en"")"),"The Group has formulated and implemented the 2.0 version of its new talent policy, issued the implementation opinions on implementing the new talent policy and creating a high-level talent ecosystem, and implemented a pilot program for the management and "&amp;"use of special talent funds, among other supporting systems. It has also planned 20 measures for talent introduction, training, cultivation, utilization, evaluation, allocation, incentives, and service guarantees. Measures such as subsidizing employees to"&amp;" enroll in on-the-job academic degrees have been well received.")</f>
        <v>The Group has formulated and implemented the 2.0 version of its new talent policy, issued the implementation opinions on implementing the new talent policy and creating a high-level talent ecosystem, and implemented a pilot program for the management and use of special talent funds, among other supporting systems. It has also planned 20 measures for talent introduction, training, cultivation, utilization, evaluation, allocation, incentives, and service guarantees. Measures such as subsidizing employees to enroll in on-the-job academic degrees have been well received.</v>
      </c>
      <c r="B5207" s="1" t="str">
        <f ca="1">IFERROR(__xludf.DUMMYFUNCTION("GOOGLETRANSLATE(A5207, ""zh"", ""en"")"),"staff")</f>
        <v>staff</v>
      </c>
      <c r="C5207" s="1" t="str">
        <f ca="1">IFERROR(__xludf.DUMMYFUNCTION("GOOGLETRANSLATE(E5207, ""zh"", ""en"")"),"Qualitative text")</f>
        <v>Qualitative text</v>
      </c>
    </row>
    <row r="5208" spans="1:3" ht="13" x14ac:dyDescent="0.15">
      <c r="A5208" s="1" t="str">
        <f ca="1">IFERROR(__xludf.DUMMYFUNCTION("GOOGLETRANSLATE(A5208, ""zh"", ""en"")"),"The program mainly provides financial empowerment training for young backbones and grassroots cadres such as college student village officials, deputy village heads in finance, who play an important role in the rural revitalization strategy and modern rur"&amp;"al governance. It uses the cultivation of young financial talents as a link to extend financial services to villages, build transaction scenarios in villages, and carry out training classes in villages. It uses financial wisdom to empower agriculture, rur"&amp;"al areas and farmers, and promote rural development.")</f>
        <v>The program mainly provides financial empowerment training for young backbones and grassroots cadres such as college student village officials, deputy village heads in finance, who play an important role in the rural revitalization strategy and modern rural governance. It uses the cultivation of young financial talents as a link to extend financial services to villages, build transaction scenarios in villages, and carry out training classes in villages. It uses financial wisdom to empower agriculture, rural areas and farmers, and promote rural development.</v>
      </c>
      <c r="B5208" s="1" t="str">
        <f ca="1">IFERROR(__xludf.DUMMYFUNCTION("GOOGLETRANSLATE(A5208, ""zh"", ""en"")"),"Rural assistance")</f>
        <v>Rural assistance</v>
      </c>
      <c r="C5208" s="1" t="str">
        <f ca="1">IFERROR(__xludf.DUMMYFUNCTION("GOOGLETRANSLATE(E5208, ""zh"", ""en"")"),"Qualitative text")</f>
        <v>Qualitative text</v>
      </c>
    </row>
    <row r="5209" spans="1:3" ht="13" x14ac:dyDescent="0.15">
      <c r="A5209" s="1" t="str">
        <f ca="1">IFERROR(__xludf.DUMMYFUNCTION("GOOGLETRANSLATE(A5209, ""zh"", ""en"")"),"The Fujian Branch has promoted the construction of a special greenhouse system that complements agriculture and photovoltaics. Through rooftop power generation, planting under the shed and breeding in the greenhouse, this system achieves three uses in one"&amp;" place. The system provides 49.32 million kWh of electricity to the grid annually, reduces carbon dioxide emissions by approximately 41,400 tons, and attracts agricultural tourism to rural areas, allowing more villagers to enjoy green food at their doorst"&amp;"eps. This system is driving rural revitalization and shared prosperity.")</f>
        <v>The Fujian Branch has promoted the construction of a special greenhouse system that complements agriculture and photovoltaics. Through rooftop power generation, planting under the shed and breeding in the greenhouse, this system achieves three uses in one place. The system provides 49.32 million kWh of electricity to the grid annually, reduces carbon dioxide emissions by approximately 41,400 tons, and attracts agricultural tourism to rural areas, allowing more villagers to enjoy green food at their doorsteps. This system is driving rural revitalization and shared prosperity.</v>
      </c>
      <c r="B5209" s="1" t="str">
        <f ca="1">IFERROR(__xludf.DUMMYFUNCTION("GOOGLETRANSLATE(A5209, ""zh"", ""en"")"),"Rural assistance")</f>
        <v>Rural assistance</v>
      </c>
      <c r="C5209" s="1" t="str">
        <f ca="1">IFERROR(__xludf.DUMMYFUNCTION("GOOGLETRANSLATE(E5209, ""zh"", ""en"")"),"Quantitative Text")</f>
        <v>Quantitative Text</v>
      </c>
    </row>
    <row r="5210" spans="1:3" ht="13" x14ac:dyDescent="0.15">
      <c r="A5210" s="1" t="str">
        <f ca="1">IFERROR(__xludf.DUMMYFUNCTION("GOOGLETRANSLATE(A5210, ""zh"", ""en"")"),"Strengthening the contractual management of management teams 1062022 Social Responsibility Report During the reporting period, Shanghai Electric introduced 28 leading technical talents in fields such as hydrogen energy, photovoltaic energy storage, etc. t"&amp;"hrough an open talent recruitment program with full empowerment and a pilot program of breakthrough value quantification and open and transparent incentive mechanisms. A total of 14 people at the group level participated in the pilot program to promote th"&amp;"e mechanism of unveiling and appointing leaders for major projects.")</f>
        <v>Strengthening the contractual management of management teams 1062022 Social Responsibility Report During the reporting period, Shanghai Electric introduced 28 leading technical talents in fields such as hydrogen energy, photovoltaic energy storage, etc. through an open talent recruitment program with full empowerment and a pilot program of breakthrough value quantification and open and transparent incentive mechanisms. A total of 14 people at the group level participated in the pilot program to promote the mechanism of unveiling and appointing leaders for major projects.</v>
      </c>
      <c r="B5210" s="1" t="str">
        <f ca="1">IFERROR(__xludf.DUMMYFUNCTION("GOOGLETRANSLATE(A5210, ""zh"", ""en"")"),"staff")</f>
        <v>staff</v>
      </c>
      <c r="C5210" s="1" t="str">
        <f ca="1">IFERROR(__xludf.DUMMYFUNCTION("GOOGLETRANSLATE(E5210, ""zh"", ""en"")"),"Quantitative Text")</f>
        <v>Quantitative Text</v>
      </c>
    </row>
    <row r="5211" spans="1:3" ht="13" x14ac:dyDescent="0.15">
      <c r="A5211" s="1" t="str">
        <f ca="1">IFERROR(__xludf.DUMMYFUNCTION("GOOGLETRANSLATE(A5211, ""zh"", ""en"")"),"39 CITIC Securities 2022 Annual Social Responsibility Report II. Broad Development Platform 1. Improving the Talent Development System The company focuses on talent development and continuously improves and adjusts its talent development system. It provid"&amp;"es personalized, high-quality training for all new employees, professional talents, and management personnel, and collaborates with professional institutions to continuously improve the overall quality of employees and achieve the common development of em"&amp;"ployees and the company.")</f>
        <v>39 CITIC Securities 2022 Annual Social Responsibility Report II. Broad Development Platform 1. Improving the Talent Development System The company focuses on talent development and continuously improves and adjusts its talent development system. It provides personalized, high-quality training for all new employees, professional talents, and management personnel, and collaborates with professional institutions to continuously improve the overall quality of employees and achieve the common development of employees and the company.</v>
      </c>
      <c r="B5211" s="1" t="str">
        <f ca="1">IFERROR(__xludf.DUMMYFUNCTION("GOOGLETRANSLATE(A5211, ""zh"", ""en"")"),"staff")</f>
        <v>staff</v>
      </c>
      <c r="C5211" s="1" t="str">
        <f ca="1">IFERROR(__xludf.DUMMYFUNCTION("GOOGLETRANSLATE(E5211, ""zh"", ""en"")"),"Qualitative text")</f>
        <v>Qualitative text</v>
      </c>
    </row>
    <row r="5212" spans="1:3" ht="13" x14ac:dyDescent="0.15">
      <c r="A5212" s="1" t="str">
        <f ca="1">IFERROR(__xludf.DUMMYFUNCTION("GOOGLETRANSLATE(A5212, ""zh"", ""en"")"),"2021 Social Responsibility Report: Shenma Industrial Co., Ltd. Social Responsibility Management; Social Responsibility Management Case Studies; The Youth League Committee of Shenma Curtain Fabrics carries out volunteer activities inspired by Lei Feng. On "&amp;"the occasion of the 58th Lei Feng Memorial Day and the 22nd China Youth Volunteer Service Day, the company's Youth League Committee meticulously organized a series of volunteer activities to celebrate the ""Youth Contributes to a New Journey"" and the ""L"&amp;"ei Feng Spirit Accompanying Me"" campaign.")</f>
        <v>2021 Social Responsibility Report: Shenma Industrial Co., Ltd. Social Responsibility Management; Social Responsibility Management Case Studies; The Youth League Committee of Shenma Curtain Fabrics carries out volunteer activities inspired by Lei Feng. On the occasion of the 58th Lei Feng Memorial Day and the 22nd China Youth Volunteer Service Day, the company's Youth League Committee meticulously organized a series of volunteer activities to celebrate the "Youth Contributes to a New Journey" and the "Lei Feng Spirit Accompanying Me" campaign.</v>
      </c>
      <c r="B5212" s="1" t="str">
        <f ca="1">IFERROR(__xludf.DUMMYFUNCTION("GOOGLETRANSLATE(A5212, ""zh"", ""en"")"),"Public welfare and volunteer service")</f>
        <v>Public welfare and volunteer service</v>
      </c>
      <c r="C5212" s="1" t="str">
        <f ca="1">IFERROR(__xludf.DUMMYFUNCTION("GOOGLETRANSLATE(E5212, ""zh"", ""en"")"),"Qualitative text")</f>
        <v>Qualitative text</v>
      </c>
    </row>
    <row r="5213" spans="1:3" ht="13" x14ac:dyDescent="0.15">
      <c r="A5213" s="1" t="str">
        <f ca="1">IFERROR(__xludf.DUMMYFUNCTION("GOOGLETRANSLATE(A5213, ""zh"", ""en"")"),"During the reporting period, the company convened shareholders' meetings in strict accordance with the company's articles of association and the rules of procedure for shareholders' meetings, and strictly observed the relevant provisions on voting matters"&amp;" and voting procedures. All shareholders were treated equally and the interests of small and medium shareholders were effectively protected. All shareholders were ensured to fully exercise their rights and fully protect the legitimate rights and interests"&amp;" of the company and shareholders. Lawyers were present to witness the shareholders' meetings.")</f>
        <v>During the reporting period, the company convened shareholders' meetings in strict accordance with the company's articles of association and the rules of procedure for shareholders' meetings, and strictly observed the relevant provisions on voting matters and voting procedures. All shareholders were treated equally and the interests of small and medium shareholders were effectively protected. All shareholders were ensured to fully exercise their rights and fully protect the legitimate rights and interests of the company and shareholders. Lawyers were present to witness the shareholders' meetings.</v>
      </c>
      <c r="B5213" s="1" t="str">
        <f ca="1">IFERROR(__xludf.DUMMYFUNCTION("GOOGLETRANSLATE(A5213, ""zh"", ""en"")"),"Shareholder and creditor rights")</f>
        <v>Shareholder and creditor rights</v>
      </c>
      <c r="C5213" s="1" t="str">
        <f ca="1">IFERROR(__xludf.DUMMYFUNCTION("GOOGLETRANSLATE(E5213, ""zh"", ""en"")"),"Qualitative text")</f>
        <v>Qualitative text</v>
      </c>
    </row>
    <row r="5214" spans="1:3" ht="13" x14ac:dyDescent="0.15">
      <c r="A5214" s="1" t="str">
        <f ca="1">IFERROR(__xludf.DUMMYFUNCTION("GOOGLETRANSLATE(A5214, ""zh"", ""en"")"),"Three Market Responsibilities and One Product Quality Management: The company always regards honest production and operation as the lifeline of enterprise development. Every year, it signs a letter of commitment for legal and compliant operation, a letter"&amp;" of commitment for product quality, and a letter of commitment for honest cooperation and fair competition with its affiliated factories.")</f>
        <v>Three Market Responsibilities and One Product Quality Management: The company always regards honest production and operation as the lifeline of enterprise development. Every year, it signs a letter of commitment for legal and compliant operation, a letter of commitment for product quality, and a letter of commitment for honest cooperation and fair competition with its affiliated factories.</v>
      </c>
      <c r="B5214" s="1" t="str">
        <f ca="1">IFERROR(__xludf.DUMMYFUNCTION("GOOGLETRANSLATE(A5214, ""zh"", ""en"")"),"Product quality")</f>
        <v>Product quality</v>
      </c>
      <c r="C5214" s="1" t="str">
        <f ca="1">IFERROR(__xludf.DUMMYFUNCTION("GOOGLETRANSLATE(E5214, ""zh"", ""en"")"),"Qualitative text")</f>
        <v>Qualitative text</v>
      </c>
    </row>
    <row r="5215" spans="1:3" ht="13" x14ac:dyDescent="0.15">
      <c r="A5215" s="1" t="str">
        <f ca="1">IFERROR(__xludf.DUMMYFUNCTION("GOOGLETRANSLATE(A5215, ""zh"", ""en"")"),"Adhere to the attitude of being responsible to customers and society, strive to achieve win-win and development between enterprises and customers, and provide guarantee for the sustainable development of enterprises")</f>
        <v>Adhere to the attitude of being responsible to customers and society, strive to achieve win-win and development between enterprises and customers, and provide guarantee for the sustainable development of enterprises</v>
      </c>
      <c r="B5215" s="1" t="str">
        <f ca="1">IFERROR(__xludf.DUMMYFUNCTION("GOOGLETRANSLATE(A5215, ""zh"", ""en"")"),"Customers and Consumers")</f>
        <v>Customers and Consumers</v>
      </c>
      <c r="C5215" s="1" t="str">
        <f ca="1">IFERROR(__xludf.DUMMYFUNCTION("GOOGLETRANSLATE(E5215, ""zh"", ""en"")"),"Qualitative text")</f>
        <v>Qualitative text</v>
      </c>
    </row>
    <row r="5216" spans="1:3" ht="13" x14ac:dyDescent="0.15">
      <c r="A5216" s="1" t="str">
        <f ca="1">IFERROR(__xludf.DUMMYFUNCTION("GOOGLETRANSLATE(A5216, ""zh"", ""en"")"),"Group Headquarters Management, Supervision, and Oversight Focus on Inspections of Industrial Group Grassroots Units Focus on Inspections of Shanghai Electric's Three-Level Supervision Network Architecture Safety and Environmental Risk Control Promote a Gr"&amp;"een Concept of Steady Progress 2022 Social Responsibility Report Shanghai Electric Group Co., Ltd. 71 In 2022, the Group further refined its safety and environmental management objectives by clarifying safety and environmental management responsibilities "&amp;"and assessment methods.")</f>
        <v>Group Headquarters Management, Supervision, and Oversight Focus on Inspections of Industrial Group Grassroots Units Focus on Inspections of Shanghai Electric's Three-Level Supervision Network Architecture Safety and Environmental Risk Control Promote a Green Concept of Steady Progress 2022 Social Responsibility Report Shanghai Electric Group Co., Ltd. 71 In 2022, the Group further refined its safety and environmental management objectives by clarifying safety and environmental management responsibilities and assessment methods.</v>
      </c>
      <c r="B5216" s="1" t="str">
        <f ca="1">IFERROR(__xludf.DUMMYFUNCTION("GOOGLETRANSLATE(A5216, ""zh"", ""en"")"),"Organizational structure and operations")</f>
        <v>Organizational structure and operations</v>
      </c>
      <c r="C5216" s="1" t="str">
        <f ca="1">IFERROR(__xludf.DUMMYFUNCTION("GOOGLETRANSLATE(E5216, ""zh"", ""en"")"),"Qualitative text")</f>
        <v>Qualitative text</v>
      </c>
    </row>
    <row r="5217" spans="1:3" ht="13" x14ac:dyDescent="0.15">
      <c r="A5217" s="1" t="str">
        <f ca="1">IFERROR(__xludf.DUMMYFUNCTION("GOOGLETRANSLATE(A5217, ""zh"", ""en"")"),"Together, we foster a positive atmosphere of respecting and cherishing talented individuals. Shanghai Electric Group Co., Ltd.'s 99th visit warms hearts and unites the electric community. Shanghai Electric leaders care deeply about their employees, consta"&amp;"ntly monitor their progress, and wholeheartedly care for them. They extend condolences to employees working on the front lines and traveling to other places, as well as care for model workers and employees in need, allowing all employees to truly feel the"&amp;" warmth of the Shanghai Electric family.")</f>
        <v>Together, we foster a positive atmosphere of respecting and cherishing talented individuals. Shanghai Electric Group Co., Ltd.'s 99th visit warms hearts and unites the electric community. Shanghai Electric leaders care deeply about their employees, constantly monitor their progress, and wholeheartedly care for them. They extend condolences to employees working on the front lines and traveling to other places, as well as care for model workers and employees in need, allowing all employees to truly feel the warmth of the Shanghai Electric family.</v>
      </c>
      <c r="B5217" s="1" t="str">
        <f ca="1">IFERROR(__xludf.DUMMYFUNCTION("GOOGLETRANSLATE(A5217, ""zh"", ""en"")"),"staff")</f>
        <v>staff</v>
      </c>
      <c r="C5217" s="1" t="str">
        <f ca="1">IFERROR(__xludf.DUMMYFUNCTION("GOOGLETRANSLATE(E5217, ""zh"", ""en"")"),"Qualitative text")</f>
        <v>Qualitative text</v>
      </c>
    </row>
    <row r="5218" spans="1:3" ht="13" x14ac:dyDescent="0.15">
      <c r="A5218" s="1" t="str">
        <f ca="1">IFERROR(__xludf.DUMMYFUNCTION("GOOGLETRANSLATE(A5218, ""zh"", ""en"")"),"Deliver user satisfaction, quality culture and training. Three manufacturing delivery as the goal. Four market and user delivery. SM1 stability, damage and abandonment to ensure the stability of supplier materials. Hisense Visual attaches great importance"&amp;" to the construction of quality culture. Through various forms of quality training and colorful quality month event planning, we promote all employees to establish the awareness of quality first, strictly fulfill quality responsibilities and strictly foll"&amp;"ow the work process standards.")</f>
        <v>Deliver user satisfaction, quality culture and training. Three manufacturing delivery as the goal. Four market and user delivery. SM1 stability, damage and abandonment to ensure the stability of supplier materials. Hisense Visual attaches great importance to the construction of quality culture. Through various forms of quality training and colorful quality month event planning, we promote all employees to establish the awareness of quality first, strictly fulfill quality responsibilities and strictly follow the work process standards.</v>
      </c>
      <c r="B5218" s="1" t="str">
        <f ca="1">IFERROR(__xludf.DUMMYFUNCTION("GOOGLETRANSLATE(A5218, ""zh"", ""en"")"),"Product quality")</f>
        <v>Product quality</v>
      </c>
      <c r="C5218" s="1" t="str">
        <f ca="1">IFERROR(__xludf.DUMMYFUNCTION("GOOGLETRANSLATE(E5218, ""zh"", ""en"")"),"Qualitative text")</f>
        <v>Qualitative text</v>
      </c>
    </row>
    <row r="5219" spans="1:3" ht="13" x14ac:dyDescent="0.15">
      <c r="A5219" s="1" t="str">
        <f ca="1">IFERROR(__xludf.DUMMYFUNCTION("GOOGLETRANSLATE(A5219, ""zh"", ""en"")"),"The Company complies with the relevant provisions of the Shanghai Stock Exchange's Guidelines for Listed Companies on Self-Regulatory and Related-Party Transactions No. 5. All ongoing related-party transactions with related parties adhere to fair, equitab"&amp;"le, and transparent pricing principles. These transactions will not adversely affect the Company's future financial position and operating results, will not create reliance on related parties, and will not affect the Company's independence.")</f>
        <v>The Company complies with the relevant provisions of the Shanghai Stock Exchange's Guidelines for Listed Companies on Self-Regulatory and Related-Party Transactions No. 5. All ongoing related-party transactions with related parties adhere to fair, equitable, and transparent pricing principles. These transactions will not adversely affect the Company's future financial position and operating results, will not create reliance on related parties, and will not affect the Company's independence.</v>
      </c>
      <c r="B5219" s="1" t="str">
        <f ca="1">IFERROR(__xludf.DUMMYFUNCTION("GOOGLETRANSLATE(A5219, ""zh"", ""en"")"),"Shareholder and creditor rights")</f>
        <v>Shareholder and creditor rights</v>
      </c>
      <c r="C5219" s="1" t="str">
        <f ca="1">IFERROR(__xludf.DUMMYFUNCTION("GOOGLETRANSLATE(E5219, ""zh"", ""en"")"),"Qualitative text")</f>
        <v>Qualitative text</v>
      </c>
    </row>
    <row r="5220" spans="1:3" ht="13" x14ac:dyDescent="0.15">
      <c r="A5220" s="1" t="str">
        <f ca="1">IFERROR(__xludf.DUMMYFUNCTION("GOOGLETRANSLATE(A5220, ""zh"", ""en"")"),"In 2022, the company added a chapter on integrity control to the overall coordination and control plan for construction projects and the project management manual, as well as the integrity control template for construction projects. It also explicitly inc"&amp;"orporated integrity risk management into key aspects such as project bidding, project change contract settlement, quality and safety management, contractor management, and project acceptance and on-site inspections during the early stages of the project.")</f>
        <v>In 2022, the company added a chapter on integrity control to the overall coordination and control plan for construction projects and the project management manual, as well as the integrity control template for construction projects. It also explicitly incorporated integrity risk management into key aspects such as project bidding, project change contract settlement, quality and safety management, contractor management, and project acceptance and on-site inspections during the early stages of the project.</v>
      </c>
      <c r="B5220" s="1" t="str">
        <f ca="1">IFERROR(__xludf.DUMMYFUNCTION("GOOGLETRANSLATE(A5220, ""zh"", ""en"")"),"Anti-corruption and anti-money laundering")</f>
        <v>Anti-corruption and anti-money laundering</v>
      </c>
      <c r="C5220" s="1" t="str">
        <f ca="1">IFERROR(__xludf.DUMMYFUNCTION("GOOGLETRANSLATE(E5220, ""zh"", ""en"")"),"Qualitative text")</f>
        <v>Qualitative text</v>
      </c>
    </row>
    <row r="5221" spans="1:3" ht="13" x14ac:dyDescent="0.15">
      <c r="A5221" s="1" t="str">
        <f ca="1">IFERROR(__xludf.DUMMYFUNCTION("GOOGLETRANSLATE(A5221, ""zh"", ""en"")"),"Give Time to Life: A Charity Project to Care for Cancer Patients Lights Up the Path to Treatment and Recovery for Cancer Patients. On December 7, 2022, the Charity Project to Give Time to Life, a charity project to care for cancer patients, jointly initia"&amp;"ted by Chengling Enterprise, Shanghai Henlius, the Rehabilitation Branch of the Chinese Anti-Cancer Association, Shanghai Cancer Rehabilitation Club, Shanghai Fosun Foundation, and Shanghai Fosun Art Center, was held in Shanghai.")</f>
        <v>Give Time to Life: A Charity Project to Care for Cancer Patients Lights Up the Path to Treatment and Recovery for Cancer Patients. On December 7, 2022, the Charity Project to Give Time to Life, a charity project to care for cancer patients, jointly initiated by Chengling Enterprise, Shanghai Henlius, the Rehabilitation Branch of the Chinese Anti-Cancer Association, Shanghai Cancer Rehabilitation Club, Shanghai Fosun Foundation, and Shanghai Fosun Art Center, was held in Shanghai.</v>
      </c>
      <c r="B5221" s="1" t="str">
        <f ca="1">IFERROR(__xludf.DUMMYFUNCTION("GOOGLETRANSLATE(A5221, ""zh"", ""en"")"),"Public welfare and volunteer service")</f>
        <v>Public welfare and volunteer service</v>
      </c>
      <c r="C5221" s="1" t="str">
        <f ca="1">IFERROR(__xludf.DUMMYFUNCTION("GOOGLETRANSLATE(E5221, ""zh"", ""en"")"),"Qualitative text")</f>
        <v>Qualitative text</v>
      </c>
    </row>
    <row r="5222" spans="1:3" ht="13" x14ac:dyDescent="0.15">
      <c r="A5222" s="1" t="str">
        <f ca="1">IFERROR(__xludf.DUMMYFUNCTION("GOOGLETRANSLATE(A5222, ""zh"", ""en"")"),"The Board of Supervisors shall earnestly perform its supervisory duties, supervise and evaluate the performance of the Board of Directors and management in fulfilling their ESG-related responsibilities, continuously monitor the implementation of the ESG s"&amp;"trategy, conduct special research on ESG work progress, and strengthen the top-level design and consolidate the 1. This report is prepared in accordance with the following requirements of the Environmental, Social and Governance Reporting Guidelines issue"&amp;"d by the Hong Kong Stock Exchange on December 18, 2019.")</f>
        <v>The Board of Supervisors shall earnestly perform its supervisory duties, supervise and evaluate the performance of the Board of Directors and management in fulfilling their ESG-related responsibilities, continuously monitor the implementation of the ESG strategy, conduct special research on ESG work progress, and strengthen the top-level design and consolidate the 1. This report is prepared in accordance with the following requirements of the Environmental, Social and Governance Reporting Guidelines issued by the Hong Kong Stock Exchange on December 18, 2019.</v>
      </c>
      <c r="B5222" s="1" t="str">
        <f ca="1">IFERROR(__xludf.DUMMYFUNCTION("GOOGLETRANSLATE(A5222, ""zh"", ""en"")"),"Organizational structure and operations")</f>
        <v>Organizational structure and operations</v>
      </c>
      <c r="C5222" s="1" t="str">
        <f ca="1">IFERROR(__xludf.DUMMYFUNCTION("GOOGLETRANSLATE(E5222, ""zh"", ""en"")"),"Qualitative text")</f>
        <v>Qualitative text</v>
      </c>
    </row>
    <row r="5223" spans="1:3" ht="13" x14ac:dyDescent="0.15">
      <c r="A5223" s="1" t="str">
        <f ca="1">IFERROR(__xludf.DUMMYFUNCTION("GOOGLETRANSLATE(A5223, ""zh"", ""en"")"),"Serving Employees: The Bank is committed to building a broad development platform for its employees. Following the principle of ""one center, two mindsets, three stages, and four levels,"" we prioritize employees, adhere to business and product thinking, "&amp;"and continuously promote the development of a full-cycle training system for employee career development through the three stages of productization, systematization, and ecosystemization, enhancing talent growth through training and operational capabiliti"&amp;"es, and corporate strategy.")</f>
        <v>Serving Employees: The Bank is committed to building a broad development platform for its employees. Following the principle of "one center, two mindsets, three stages, and four levels," we prioritize employees, adhere to business and product thinking, and continuously promote the development of a full-cycle training system for employee career development through the three stages of productization, systematization, and ecosystemization, enhancing talent growth through training and operational capabilities, and corporate strategy.</v>
      </c>
      <c r="B5223" s="1" t="str">
        <f ca="1">IFERROR(__xludf.DUMMYFUNCTION("GOOGLETRANSLATE(A5223, ""zh"", ""en"")"),"staff")</f>
        <v>staff</v>
      </c>
      <c r="C5223" s="1" t="str">
        <f ca="1">IFERROR(__xludf.DUMMYFUNCTION("GOOGLETRANSLATE(E5223, ""zh"", ""en"")"),"Qualitative text")</f>
        <v>Qualitative text</v>
      </c>
    </row>
    <row r="5224" spans="1:3" ht="13" x14ac:dyDescent="0.15">
      <c r="A5224" s="1" t="str">
        <f ca="1">IFERROR(__xludf.DUMMYFUNCTION("GOOGLETRANSLATE(A5224, ""zh"", ""en"")"),"There are 8,613 youth volunteer service teams, a total of 105,400 youth volunteers. In 2022, a total of 22,801 volunteer service teams were carried out. Employee volunteer projects The company encourages employees to promote the volunteer spirit of dedica"&amp;"tion, friendship, mutual assistance and progress. Youth employee volunteer service teams are established to widely participate in social welfare activities such as poverty alleviation, community construction, environmental protection, disaster rescue and "&amp;"other social welfare activities.")</f>
        <v>There are 8,613 youth volunteer service teams, a total of 105,400 youth volunteers. In 2022, a total of 22,801 volunteer service teams were carried out. Employee volunteer projects The company encourages employees to promote the volunteer spirit of dedication, friendship, mutual assistance and progress. Youth employee volunteer service teams are established to widely participate in social welfare activities such as poverty alleviation, community construction, environmental protection, disaster rescue and other social welfare activities.</v>
      </c>
      <c r="B5224" s="1" t="str">
        <f ca="1">IFERROR(__xludf.DUMMYFUNCTION("GOOGLETRANSLATE(A5224, ""zh"", ""en"")"),"Public welfare and volunteer service")</f>
        <v>Public welfare and volunteer service</v>
      </c>
      <c r="C5224" s="1" t="str">
        <f ca="1">IFERROR(__xludf.DUMMYFUNCTION("GOOGLETRANSLATE(E5224, ""zh"", ""en"")"),"Quantitative Text")</f>
        <v>Quantitative Text</v>
      </c>
    </row>
    <row r="5225" spans="1:3" ht="13" x14ac:dyDescent="0.15">
      <c r="A5225" s="1" t="str">
        <f ca="1">IFERROR(__xludf.DUMMYFUNCTION("GOOGLETRANSLATE(A5225, ""zh"", ""en"")"),"Focusing on dual-carbon thematic learning, focusing on dual-carbon opportunities and jointly building a green home, Shanghai Electric Group Co., Ltd. 19 In May 2022, as the first forum in Shanghai Electric's dual-carbon theme salon series, the ""Dual Carb"&amp;"on Future E-together to Create Diversified Energy Storage Industry Development"" forum was held online, attracting more than 5,000 viewers online and receiving widespread attention and unanimous praise.")</f>
        <v>Focusing on dual-carbon thematic learning, focusing on dual-carbon opportunities and jointly building a green home, Shanghai Electric Group Co., Ltd. 19 In May 2022, as the first forum in Shanghai Electric's dual-carbon theme salon series, the "Dual Carbon Future E-together to Create Diversified Energy Storage Industry Development" forum was held online, attracting more than 5,000 viewers online and receiving widespread attention and unanimous praise.</v>
      </c>
      <c r="B5225" s="1" t="str">
        <f ca="1">IFERROR(__xludf.DUMMYFUNCTION("GOOGLETRANSLATE(A5225, ""zh"", ""en"")"),"carbon emissions")</f>
        <v>carbon emissions</v>
      </c>
      <c r="C5225" s="1" t="str">
        <f ca="1">IFERROR(__xludf.DUMMYFUNCTION("GOOGLETRANSLATE(E5225, ""zh"", ""en"")"),"Quantitative Text")</f>
        <v>Quantitative Text</v>
      </c>
    </row>
    <row r="5226" spans="1:3" ht="13" x14ac:dyDescent="0.15">
      <c r="A5226" s="1" t="str">
        <f ca="1">IFERROR(__xludf.DUMMYFUNCTION("GOOGLETRANSLATE(A5226, ""zh"", ""en"")"),"36 Innovation for GcdHealth helps solve the problems in developing countries and underdeveloped areas. Continuous innovation and enjoyment of health promote the development and accessibility of innovative drugs for rare diseases. Fosun Pharma Group active"&amp;"ly responds to the national advocacy of the relevant pulmonary fibrosis and pulmonary hypertension indications for rare diseases and focuses on clinical emergency and rare disease drug research and development.")</f>
        <v>36 Innovation for GcdHealth helps solve the problems in developing countries and underdeveloped areas. Continuous innovation and enjoyment of health promote the development and accessibility of innovative drugs for rare diseases. Fosun Pharma Group actively responds to the national advocacy of the relevant pulmonary fibrosis and pulmonary hypertension indications for rare diseases and focuses on clinical emergency and rare disease drug research and development.</v>
      </c>
      <c r="B5226" s="1" t="str">
        <f ca="1">IFERROR(__xludf.DUMMYFUNCTION("GOOGLETRANSLATE(A5226, ""zh"", ""en"")"),"Technological innovation")</f>
        <v>Technological innovation</v>
      </c>
      <c r="C5226" s="1" t="str">
        <f ca="1">IFERROR(__xludf.DUMMYFUNCTION("GOOGLETRANSLATE(E5226, ""zh"", ""en"")"),"Qualitative text")</f>
        <v>Qualitative text</v>
      </c>
    </row>
    <row r="5227" spans="1:3" ht="13" x14ac:dyDescent="0.15">
      <c r="A5227" s="1" t="str">
        <f ca="1">IFERROR(__xludf.DUMMYFUNCTION("GOOGLETRANSLATE(A5227, ""zh"", ""en"")"),"At the same time, we have set up nearly ten other facilities, including dance classes, running groups, and ballroom. The Group complies with the state's requirements for occupational health risk warnings in daily supervision, informs workers of individual"&amp;" protection, and strengthens on-site supervision. We have strengthened Fosun Technology's employee gymnasium and employee health examinations at the Fosun Science and Technology Innovation Center to achieve a closed-loop occupational health system. We hav"&amp;"e also updated the management of health facilities, such as table tennis rooms, basketball courts, and tennis courts.")</f>
        <v>At the same time, we have set up nearly ten other facilities, including dance classes, running groups, and ballroom. The Group complies with the state's requirements for occupational health risk warnings in daily supervision, informs workers of individual protection, and strengthens on-site supervision. We have strengthened Fosun Technology's employee gymnasium and employee health examinations at the Fosun Science and Technology Innovation Center to achieve a closed-loop occupational health system. We have also updated the management of health facilities, such as table tennis rooms, basketball courts, and tennis courts.</v>
      </c>
      <c r="B5227" s="1" t="str">
        <f ca="1">IFERROR(__xludf.DUMMYFUNCTION("GOOGLETRANSLATE(A5227, ""zh"", ""en"")"),"staff")</f>
        <v>staff</v>
      </c>
      <c r="C5227" s="1" t="str">
        <f ca="1">IFERROR(__xludf.DUMMYFUNCTION("GOOGLETRANSLATE(E5227, ""zh"", ""en"")"),"Qualitative text")</f>
        <v>Qualitative text</v>
      </c>
    </row>
    <row r="5228" spans="1:3" ht="13" x14ac:dyDescent="0.15">
      <c r="A5228" s="1" t="str">
        <f ca="1">IFERROR(__xludf.DUMMYFUNCTION("GOOGLETRANSLATE(A5228, ""zh"", ""en"")"),"In August 2022, over 50 new employees from the company's pharmaceutical research institute and functional departments received a two-week project-based training program. Through online learning, team building, senior management lectures, exchanges between"&amp;" new and old employees, production workshop visits, graduation project presentations, and other activities, the program helped new employees to identify their career goals, strengthen their professional foundation, understand the company culture, and succ"&amp;"essfully launch their careers.")</f>
        <v>In August 2022, over 50 new employees from the company's pharmaceutical research institute and functional departments received a two-week project-based training program. Through online learning, team building, senior management lectures, exchanges between new and old employees, production workshop visits, graduation project presentations, and other activities, the program helped new employees to identify their career goals, strengthen their professional foundation, understand the company culture, and successfully launch their careers.</v>
      </c>
      <c r="B5228" s="1" t="str">
        <f ca="1">IFERROR(__xludf.DUMMYFUNCTION("GOOGLETRANSLATE(A5228, ""zh"", ""en"")"),"staff")</f>
        <v>staff</v>
      </c>
      <c r="C5228" s="1" t="str">
        <f ca="1">IFERROR(__xludf.DUMMYFUNCTION("GOOGLETRANSLATE(E5228, ""zh"", ""en"")"),"Qualitative text")</f>
        <v>Qualitative text</v>
      </c>
    </row>
    <row r="5229" spans="1:3" ht="13" x14ac:dyDescent="0.15">
      <c r="A5229" s="1" t="str">
        <f ca="1">IFERROR(__xludf.DUMMYFUNCTION("GOOGLETRANSLATE(A5229, ""zh"", ""en"")"),"Electric shock accident emergency drill Comprehensive emergency drill case On June 29, 2022, Jiaozuo Kangyuan conducted a methanol leak fire emergency drill in the storage area according to the safety production work plan and the special emergency plan fo"&amp;"r fire and explosion accidents. Participants in the drill included the production director, workshop manager, solvent position manager, each section manager, workshop safety officer, solvent team leader, and each team member.")</f>
        <v>Electric shock accident emergency drill Comprehensive emergency drill case On June 29, 2022, Jiaozuo Kangyuan conducted a methanol leak fire emergency drill in the storage area according to the safety production work plan and the special emergency plan for fire and explosion accidents. Participants in the drill included the production director, workshop manager, solvent position manager, each section manager, workshop safety officer, solvent team leader, and each team member.</v>
      </c>
      <c r="B5229" s="1" t="str">
        <f ca="1">IFERROR(__xludf.DUMMYFUNCTION("GOOGLETRANSLATE(A5229, ""zh"", ""en"")"),"staff")</f>
        <v>staff</v>
      </c>
      <c r="C5229" s="1" t="str">
        <f ca="1">IFERROR(__xludf.DUMMYFUNCTION("GOOGLETRANSLATE(E5229, ""zh"", ""en"")"),"Qualitative text")</f>
        <v>Qualitative text</v>
      </c>
    </row>
    <row r="5230" spans="1:3" ht="13" x14ac:dyDescent="0.15">
      <c r="A5230" s="1" t="str">
        <f ca="1">IFERROR(__xludf.DUMMYFUNCTION("GOOGLETRANSLATE(A5230, ""zh"", ""en"")"),"58InnovationforGoodHealth continues to innovate and enjoy healthy responsible marketing. It is an important part of Fosun Pharma Group's domestic operation platform. It deeply empowers and integrates the group's ecological resources through the same means"&amp;". It mainly includes patients, doctors, and other partners to release synergistic value and optimize customer service experience, providing customers with distributors, agents, medical experts, etc.")</f>
        <v>58InnovationforGoodHealth continues to innovate and enjoy healthy responsible marketing. It is an important part of Fosun Pharma Group's domestic operation platform. It deeply empowers and integrates the group's ecological resources through the same means. It mainly includes patients, doctors, and other partners to release synergistic value and optimize customer service experience, providing customers with distributors, agents, medical experts, etc.</v>
      </c>
      <c r="B5230" s="1" t="str">
        <f ca="1">IFERROR(__xludf.DUMMYFUNCTION("GOOGLETRANSLATE(A5230, ""zh"", ""en"")"),"Customers and Consumers")</f>
        <v>Customers and Consumers</v>
      </c>
      <c r="C5230" s="1" t="str">
        <f ca="1">IFERROR(__xludf.DUMMYFUNCTION("GOOGLETRANSLATE(E5230, ""zh"", ""en"")"),"Qualitative text")</f>
        <v>Qualitative text</v>
      </c>
    </row>
    <row r="5231" spans="1:3" ht="13" x14ac:dyDescent="0.15">
      <c r="A5231" s="1" t="str">
        <f ca="1">IFERROR(__xludf.DUMMYFUNCTION("GOOGLETRANSLATE(A5231, ""zh"", ""en"")"),"The expected increase in greenhouse gas emission costs includes direct increases in carbon taxes or indirect increases in carbon offsets. Fuel price increases are part of the ongoing efforts to achieve the Baltic Agreement's temperature control targets. D"&amp;"omestic and international governments are gradually improving their emission trading management systems and total emission control. The increased pricing of greenhouse gas emissions will lead to the continued increase in the Group's operating costs due to"&amp;" the burden of excess emissions.")</f>
        <v>The expected increase in greenhouse gas emission costs includes direct increases in carbon taxes or indirect increases in carbon offsets. Fuel price increases are part of the ongoing efforts to achieve the Baltic Agreement's temperature control targets. Domestic and international governments are gradually improving their emission trading management systems and total emission control. The increased pricing of greenhouse gas emissions will lead to the continued increase in the Group's operating costs due to the burden of excess emissions.</v>
      </c>
      <c r="B5231" s="1" t="str">
        <f ca="1">IFERROR(__xludf.DUMMYFUNCTION("GOOGLETRANSLATE(A5231, ""zh"", ""en"")"),"carbon emissions")</f>
        <v>carbon emissions</v>
      </c>
      <c r="C5231" s="1" t="str">
        <f ca="1">IFERROR(__xludf.DUMMYFUNCTION("GOOGLETRANSLATE(E5231, ""zh"", ""en"")"),"Qualitative text")</f>
        <v>Qualitative text</v>
      </c>
    </row>
    <row r="5232" spans="1:3" ht="13" x14ac:dyDescent="0.15">
      <c r="A5232" s="1" t="str">
        <f ca="1">IFERROR(__xludf.DUMMYFUNCTION("GOOGLETRANSLATE(A5232, ""zh"", ""en"")"),"Integrate intellectual property management with the entire process of new product development and marketing. During the reporting period, the Group's patent applications for its pharmaceutical segment were dynamically processed throughout the project esta"&amp;"blishment and development process, reaching 249 projects, including 16 US patent applications, 17 PCT applications for intellectual property technology and legal analysis, identification and early warning, and 48 invention patents.")</f>
        <v>Integrate intellectual property management with the entire process of new product development and marketing. During the reporting period, the Group's patent applications for its pharmaceutical segment were dynamically processed throughout the project establishment and development process, reaching 249 projects, including 16 US patent applications, 17 PCT applications for intellectual property technology and legal analysis, identification and early warning, and 48 invention patents.</v>
      </c>
      <c r="B5232" s="1" t="str">
        <f ca="1">IFERROR(__xludf.DUMMYFUNCTION("GOOGLETRANSLATE(A5232, ""zh"", ""en"")"),"Intellectual Property Protection")</f>
        <v>Intellectual Property Protection</v>
      </c>
      <c r="C5232" s="1" t="str">
        <f ca="1">IFERROR(__xludf.DUMMYFUNCTION("GOOGLETRANSLATE(E5232, ""zh"", ""en"")"),"Quantitative Text")</f>
        <v>Quantitative Text</v>
      </c>
    </row>
    <row r="5233" spans="1:3" ht="13" x14ac:dyDescent="0.15">
      <c r="A5233" s="1" t="str">
        <f ca="1">IFERROR(__xludf.DUMMYFUNCTION("GOOGLETRANSLATE(A5233, ""zh"", ""en"")"),"As the first inhaled antibiotic in China, Tobramycin Inhalation Solution, an improved new drug independently developed by Kangyuan Health, was officially approved for marketing in October 2022. This has overcome the plight of Chinese bronchiectasis patien"&amp;"ts who have no nebulized antibiotics available, filling the gap in inhalation treatment for Chinese bronchiectasis patients with Pseudomonas aeruginosa infection and is a major breakthrough in the field of respiratory diseases.")</f>
        <v>As the first inhaled antibiotic in China, Tobramycin Inhalation Solution, an improved new drug independently developed by Kangyuan Health, was officially approved for marketing in October 2022. This has overcome the plight of Chinese bronchiectasis patients who have no nebulized antibiotics available, filling the gap in inhalation treatment for Chinese bronchiectasis patients with Pseudomonas aeruginosa infection and is a major breakthrough in the field of respiratory diseases.</v>
      </c>
      <c r="B5233" s="1" t="str">
        <f ca="1">IFERROR(__xludf.DUMMYFUNCTION("GOOGLETRANSLATE(A5233, ""zh"", ""en"")"),"Technological innovation")</f>
        <v>Technological innovation</v>
      </c>
      <c r="C5233" s="1" t="str">
        <f ca="1">IFERROR(__xludf.DUMMYFUNCTION("GOOGLETRANSLATE(E5233, ""zh"", ""en"")"),"Qualitative text")</f>
        <v>Qualitative text</v>
      </c>
    </row>
    <row r="5234" spans="1:3" ht="13" x14ac:dyDescent="0.15">
      <c r="A5234" s="1" t="str">
        <f ca="1">IFERROR(__xludf.DUMMYFUNCTION("GOOGLETRANSLATE(A5234, ""zh"", ""en"")"),"While deepening our research in key therapeutic areas such as respiratory diseases, digestive system diseases, assisted reproduction, psychiatric disorders, and tumor immunology, we continue to increase our investment in R&amp;D and innovation, working with l"&amp;"eading domestic R&amp;D teams to conduct in-depth research and expand the R&amp;D of other high-end formulations and new drug delivery devices with market potential, further enriching our R&amp;D pipeline and improving the Group's product structure and business layou"&amp;"t.")</f>
        <v>While deepening our research in key therapeutic areas such as respiratory diseases, digestive system diseases, assisted reproduction, psychiatric disorders, and tumor immunology, we continue to increase our investment in R&amp;D and innovation, working with leading domestic R&amp;D teams to conduct in-depth research and expand the R&amp;D of other high-end formulations and new drug delivery devices with market potential, further enriching our R&amp;D pipeline and improving the Group's product structure and business layout.</v>
      </c>
      <c r="B5234" s="1" t="str">
        <f ca="1">IFERROR(__xludf.DUMMYFUNCTION("GOOGLETRANSLATE(A5234, ""zh"", ""en"")"),"Fighting the epidemic")</f>
        <v>Fighting the epidemic</v>
      </c>
      <c r="C5234" s="1" t="str">
        <f ca="1">IFERROR(__xludf.DUMMYFUNCTION("GOOGLETRANSLATE(E5234, ""zh"", ""en"")"),"Qualitative text")</f>
        <v>Qualitative text</v>
      </c>
    </row>
    <row r="5235" spans="1:3" ht="13" x14ac:dyDescent="0.15">
      <c r="A5235" s="1" t="str">
        <f ca="1">IFERROR(__xludf.DUMMYFUNCTION("GOOGLETRANSLATE(A5235, ""zh"", ""en"")"),"8425199339232242930526241240452525178526740412022 Employee Care: Multiple Care During Special Periods In response to the novel coronavirus infection, the company organized multiple online psychological counseling and training sessions, purchased daily nec"&amp;"essities for employees, and provided multiple care from various psychological and physiological perspectives.")</f>
        <v>8425199339232242930526241240452525178526740412022 Employee Care: Multiple Care During Special Periods In response to the novel coronavirus infection, the company organized multiple online psychological counseling and training sessions, purchased daily necessities for employees, and provided multiple care from various psychological and physiological perspectives.</v>
      </c>
      <c r="B5235" s="1" t="str">
        <f ca="1">IFERROR(__xludf.DUMMYFUNCTION("GOOGLETRANSLATE(A5235, ""zh"", ""en"")"),"Fighting the epidemic")</f>
        <v>Fighting the epidemic</v>
      </c>
      <c r="C5235" s="1" t="str">
        <f ca="1">IFERROR(__xludf.DUMMYFUNCTION("GOOGLETRANSLATE(E5235, ""zh"", ""en"")"),"Qualitative text")</f>
        <v>Qualitative text</v>
      </c>
    </row>
    <row r="5236" spans="1:3" ht="13" x14ac:dyDescent="0.15">
      <c r="A5236" s="1" t="str">
        <f ca="1">IFERROR(__xludf.DUMMYFUNCTION("GOOGLETRANSLATE(A5236, ""zh"", ""en"")"),"Differentiate the industry characteristics, governance capabilities, and management foundations of companies in different sectors. Starting in 2021, we will be the first among provincial state-owned enterprises to implement a board operation evaluation me"&amp;"chanism for second-tier subsidiaries. In 2022, it will be extended to third-tier subsidiaries for the first time. The evaluation results will be linked to the annual performance appraisal of subsidiaries, further enhancing the ability of subsidiaries' boa"&amp;"rds of directors to exercise their rights and perform their duties and improving the level of standardized board operations.")</f>
        <v>Differentiate the industry characteristics, governance capabilities, and management foundations of companies in different sectors. Starting in 2021, we will be the first among provincial state-owned enterprises to implement a board operation evaluation mechanism for second-tier subsidiaries. In 2022, it will be extended to third-tier subsidiaries for the first time. The evaluation results will be linked to the annual performance appraisal of subsidiaries, further enhancing the ability of subsidiaries' boards of directors to exercise their rights and perform their duties and improving the level of standardized board operations.</v>
      </c>
      <c r="B5236" s="1" t="str">
        <f ca="1">IFERROR(__xludf.DUMMYFUNCTION("GOOGLETRANSLATE(A5236, ""zh"", ""en"")"),"Organizational structure and operations")</f>
        <v>Organizational structure and operations</v>
      </c>
      <c r="C5236" s="1" t="str">
        <f ca="1">IFERROR(__xludf.DUMMYFUNCTION("GOOGLETRANSLATE(E5236, ""zh"", ""en"")"),"Qualitative text")</f>
        <v>Qualitative text</v>
      </c>
    </row>
    <row r="5237" spans="1:3" ht="13" x14ac:dyDescent="0.15">
      <c r="A5237" s="1" t="str">
        <f ca="1">IFERROR(__xludf.DUMMYFUNCTION("GOOGLETRANSLATE(A5237, ""zh"", ""en"")"),"The Group actively participated in the forum and conducted in-depth discussions on the two major themes of risk identification and control of inhalation preparation registration inspections, and the new development of primary and secondary packaging (APIs"&amp;"), and inhalation devices. Chief Scientist Dr. Jin Fang delivered a keynote speech on risk considerations in the R&amp;D and production of inhalation preparations at the conference. Through the exchange of scientific and professional viewpoints, the Group pro"&amp;"vided suggestions for the development of the domestic inhalation preparation industry.")</f>
        <v>The Group actively participated in the forum and conducted in-depth discussions on the two major themes of risk identification and control of inhalation preparation registration inspections, and the new development of primary and secondary packaging (APIs), and inhalation devices. Chief Scientist Dr. Jin Fang delivered a keynote speech on risk considerations in the R&amp;D and production of inhalation preparations at the conference. Through the exchange of scientific and professional viewpoints, the Group provided suggestions for the development of the domestic inhalation preparation industry.</v>
      </c>
      <c r="B5237" s="1" t="str">
        <f ca="1">IFERROR(__xludf.DUMMYFUNCTION("GOOGLETRANSLATE(A5237, ""zh"", ""en"")"),"Technological innovation")</f>
        <v>Technological innovation</v>
      </c>
      <c r="C5237" s="1" t="str">
        <f ca="1">IFERROR(__xludf.DUMMYFUNCTION("GOOGLETRANSLATE(E5237, ""zh"", ""en"")"),"Qualitative text")</f>
        <v>Qualitative text</v>
      </c>
    </row>
    <row r="5238" spans="1:3" ht="13" x14ac:dyDescent="0.15">
      <c r="A5238" s="1" t="str">
        <f ca="1">IFERROR(__xludf.DUMMYFUNCTION("GOOGLETRANSLATE(A5238, ""zh"", ""en"")"),"Deepen consumption support and social contribution 93 We adhere to the international cooperation concept of mutual benefit, win-win and common development, respect the cultural customs of the place where we do business, and strive to establish long-term a"&amp;"nd stable cooperative relations with the host country. We actively integrate the company's development into the local economic and social development, actively create economic and social value, and work with the host government and business partners to pr"&amp;"omote the prosperity and development of the local community.")</f>
        <v>Deepen consumption support and social contribution 93 We adhere to the international cooperation concept of mutual benefit, win-win and common development, respect the cultural customs of the place where we do business, and strive to establish long-term and stable cooperative relations with the host country. We actively integrate the company's development into the local economic and social development, actively create economic and social value, and work with the host government and business partners to promote the prosperity and development of the local community.</v>
      </c>
      <c r="B5238" s="1" t="str">
        <f ca="1">IFERROR(__xludf.DUMMYFUNCTION("GOOGLETRANSLATE(A5238, ""zh"", ""en"")"),"Rural assistance")</f>
        <v>Rural assistance</v>
      </c>
      <c r="C5238" s="1" t="str">
        <f ca="1">IFERROR(__xludf.DUMMYFUNCTION("GOOGLETRANSLATE(E5238, ""zh"", ""en"")"),"Quantitative Text")</f>
        <v>Quantitative Text</v>
      </c>
    </row>
    <row r="5239" spans="1:3" ht="13" x14ac:dyDescent="0.15">
      <c r="A5239" s="1" t="str">
        <f ca="1">IFERROR(__xludf.DUMMYFUNCTION("GOOGLETRANSLATE(A5239, ""zh"", ""en"")"),"Reporting Principles: Describe or explain how the following reporting principles are applied in preparing the ESG report. Materiality: The ESG report should disclose: i) the process for identifying significant ESG factors and the criteria for selecting th"&amp;"ese factors; ii) if the issuer has conducted stakeholder engagement, a description of the significant stakeholders identified and the issuer's stakeholder engagement process and outcomes.")</f>
        <v>Reporting Principles: Describe or explain how the following reporting principles are applied in preparing the ESG report. Materiality: The ESG report should disclose: i) the process for identifying significant ESG factors and the criteria for selecting these factors; ii) if the issuer has conducted stakeholder engagement, a description of the significant stakeholders identified and the issuer's stakeholder engagement process and outcomes.</v>
      </c>
      <c r="B5239" s="1" t="str">
        <f ca="1">IFERROR(__xludf.DUMMYFUNCTION("GOOGLETRANSLATE(A5239, ""zh"", ""en"")"),"Information Disclosure and Investor Communication")</f>
        <v>Information Disclosure and Investor Communication</v>
      </c>
      <c r="C5239" s="1" t="str">
        <f ca="1">IFERROR(__xludf.DUMMYFUNCTION("GOOGLETRANSLATE(E5239, ""zh"", ""en"")"),"Qualitative text")</f>
        <v>Qualitative text</v>
      </c>
    </row>
    <row r="5240" spans="1:3" ht="13" x14ac:dyDescent="0.15">
      <c r="A5240" s="1" t="str">
        <f ca="1">IFERROR(__xludf.DUMMYFUNCTION("GOOGLETRANSLATE(A5240, ""zh"", ""en"")"),"Green Operations 0866 Joincare Pharmaceutical Group Co., Ltd. 8.1 Environmental Management System Joincare strictly abides by the Environmental Protection Law of the People's Republic of China, the Energy Conservation Law of the People's Republic of China"&amp;", the Measures for the Administration of Transfer of Hazardous Wastes and other environmental protection laws and regulations. We actively promote the development of our internal environmental management system and have formulated and disclosed our EHS ma"&amp;"nagement policy on our official website.")</f>
        <v>Green Operations 0866 Joincare Pharmaceutical Group Co., Ltd. 8.1 Environmental Management System Joincare strictly abides by the Environmental Protection Law of the People's Republic of China, the Energy Conservation Law of the People's Republic of China, the Measures for the Administration of Transfer of Hazardous Wastes and other environmental protection laws and regulations. We actively promote the development of our internal environmental management system and have formulated and disclosed our EHS management policy on our official website.</v>
      </c>
      <c r="B5240" s="1" t="str">
        <f ca="1">IFERROR(__xludf.DUMMYFUNCTION("GOOGLETRANSLATE(A5240, ""zh"", ""en"")"),"Environmental Policy")</f>
        <v>Environmental Policy</v>
      </c>
      <c r="C5240" s="1" t="str">
        <f ca="1">IFERROR(__xludf.DUMMYFUNCTION("GOOGLETRANSLATE(E5240, ""zh"", ""en"")"),"Qualitative text")</f>
        <v>Qualitative text</v>
      </c>
    </row>
    <row r="5241" spans="1:3" ht="13" x14ac:dyDescent="0.15">
      <c r="A5241" s="1" t="str">
        <f ca="1">IFERROR(__xludf.DUMMYFUNCTION("GOOGLETRANSLATE(A5241, ""zh"", ""en"")"),"The Group has 6,585 female employees, accounting for 46.65% of the Group's total employees, of which 34.25% are female employees in management. 2022 Social Responsibility Report 7.1.2 Listening and Communicating The Group respects the opinions and suggest"&amp;"ions of employees, establishes smooth communication channels for employees to express their opinions, supports employees to take ownership and promote the development of the Company.")</f>
        <v>The Group has 6,585 female employees, accounting for 46.65% of the Group's total employees, of which 34.25% are female employees in management. 2022 Social Responsibility Report 7.1.2 Listening and Communicating The Group respects the opinions and suggestions of employees, establishes smooth communication channels for employees to express their opinions, supports employees to take ownership and promote the development of the Company.</v>
      </c>
      <c r="B5241" s="1" t="str">
        <f ca="1">IFERROR(__xludf.DUMMYFUNCTION("GOOGLETRANSLATE(A5241, ""zh"", ""en"")"),"staff")</f>
        <v>staff</v>
      </c>
      <c r="C5241" s="1" t="str">
        <f ca="1">IFERROR(__xludf.DUMMYFUNCTION("GOOGLETRANSLATE(E5241, ""zh"", ""en"")"),"Quantitative Text")</f>
        <v>Quantitative Text</v>
      </c>
    </row>
    <row r="5242" spans="1:3" ht="13" x14ac:dyDescent="0.15">
      <c r="A5242" s="1" t="str">
        <f ca="1">IFERROR(__xludf.DUMMYFUNCTION("GOOGLETRANSLATE(A5242, ""zh"", ""en"")"),"In July 2022, Yichang Renfu was invited to conduct an online exchange activity with Gansu Pharmaceutical Alkali Factory on eight aspects including corporate strategic management, marketing, R&amp;D and innovation. The two parties will carry out in-depth and e"&amp;"xtensive cooperation in key areas such as strategic management, organizational management, operational management, financial management, scientific and technological management, risk management, human resources management, and market management to promote"&amp;" the comprehensive improvement of the management system of the pharmaceutical alkali factory.")</f>
        <v>In July 2022, Yichang Renfu was invited to conduct an online exchange activity with Gansu Pharmaceutical Alkali Factory on eight aspects including corporate strategic management, marketing, R&amp;D and innovation. The two parties will carry out in-depth and extensive cooperation in key areas such as strategic management, organizational management, operational management, financial management, scientific and technological management, risk management, human resources management, and market management to promote the comprehensive improvement of the management system of the pharmaceutical alkali factory.</v>
      </c>
      <c r="B5242" s="1" t="str">
        <f ca="1">IFERROR(__xludf.DUMMYFUNCTION("GOOGLETRANSLATE(A5242, ""zh"", ""en"")"),"Technological innovation")</f>
        <v>Technological innovation</v>
      </c>
      <c r="C5242" s="1" t="str">
        <f ca="1">IFERROR(__xludf.DUMMYFUNCTION("GOOGLETRANSLATE(E5242, ""zh"", ""en"")"),"Qualitative text")</f>
        <v>Qualitative text</v>
      </c>
    </row>
    <row r="5243" spans="1:3" ht="13" x14ac:dyDescent="0.15">
      <c r="A5243" s="1" t="str">
        <f ca="1">IFERROR(__xludf.DUMMYFUNCTION("GOOGLETRANSLATE(A5243, ""zh"", ""en"")"),"09CorporateSocialResponsibilityReport202210GovernanceResponsibilityFair CompetitionThe company strictly abides by the provisions of the Civil Code, the Anti-Unfair Competition Law of the People's Republic of China, and the Anti-Monopoly Law of the People'"&amp;"s Republic of China. It adheres to the principles of equality, honesty, integrity, and fairness, and resolutely opposes any behavior that disrupts the market competition order.")</f>
        <v>09CorporateSocialResponsibilityReport202210GovernanceResponsibilityFair CompetitionThe company strictly abides by the provisions of the Civil Code, the Anti-Unfair Competition Law of the People's Republic of China, and the Anti-Monopoly Law of the People's Republic of China. It adheres to the principles of equality, honesty, integrity, and fairness, and resolutely opposes any behavior that disrupts the market competition order.</v>
      </c>
      <c r="B5243" s="1" t="str">
        <f ca="1">IFERROR(__xludf.DUMMYFUNCTION("GOOGLETRANSLATE(A5243, ""zh"", ""en"")"),"Anti-unfair competition")</f>
        <v>Anti-unfair competition</v>
      </c>
      <c r="C5243" s="1" t="str">
        <f ca="1">IFERROR(__xludf.DUMMYFUNCTION("GOOGLETRANSLATE(E5243, ""zh"", ""en"")"),"Qualitative text")</f>
        <v>Qualitative text</v>
      </c>
    </row>
    <row r="5244" spans="1:3" ht="13" x14ac:dyDescent="0.15">
      <c r="A5244" s="1" t="str">
        <f ca="1">IFERROR(__xludf.DUMMYFUNCTION("GOOGLETRANSLATE(A5244, ""zh"", ""en"")"),"Stable Operations 0643 CITIC Securities 2022 Annual Social Responsibility Report I. Standardized Operations 1. Governance Structure 2. Risk Management CITIC Securities strictly abides by and implements the Company Law and the Securities Law, continuously "&amp;"improves its corporate governance structure, continuously standardizes its internal governance structure, actively creates a favorable internal and external governance environment, and earnestly safeguards the interests of all shareholders to promote the "&amp;"healthy and stable development of the company.")</f>
        <v>Stable Operations 0643 CITIC Securities 2022 Annual Social Responsibility Report I. Standardized Operations 1. Governance Structure 2. Risk Management CITIC Securities strictly abides by and implements the Company Law and the Securities Law, continuously improves its corporate governance structure, continuously standardizes its internal governance structure, actively creates a favorable internal and external governance environment, and earnestly safeguards the interests of all shareholders to promote the healthy and stable development of the company.</v>
      </c>
      <c r="B5244" s="1" t="str">
        <f ca="1">IFERROR(__xludf.DUMMYFUNCTION("GOOGLETRANSLATE(A5244, ""zh"", ""en"")"),"Organizational structure and operations")</f>
        <v>Organizational structure and operations</v>
      </c>
      <c r="C5244" s="1" t="str">
        <f ca="1">IFERROR(__xludf.DUMMYFUNCTION("GOOGLETRANSLATE(E5244, ""zh"", ""en"")"),"Qualitative text")</f>
        <v>Qualitative text</v>
      </c>
    </row>
    <row r="5245" spans="1:3" ht="13" x14ac:dyDescent="0.15">
      <c r="A5245" s="1" t="str">
        <f ca="1">IFERROR(__xludf.DUMMYFUNCTION("GOOGLETRANSLATE(A5245, ""zh"", ""en"")"),"The company continues to optimize its anti-money laundering systems. In 2022, the company formulated detailed implementation rules for anti-money laundering inspections and rectifications to further standardize the company's anti-money laundering inspecti"&amp;"ons and rectifications. It also revised the anti-money laundering performance appraisal and reward and punishment guidelines, incorporated anti-money laundering performance appraisals as one of the appraisal indicators into compliance appraisals, and cont"&amp;"inuously strengthened supervision and management of anti-money laundering work to improve the level of anti-money laundering work.")</f>
        <v>The company continues to optimize its anti-money laundering systems. In 2022, the company formulated detailed implementation rules for anti-money laundering inspections and rectifications to further standardize the company's anti-money laundering inspections and rectifications. It also revised the anti-money laundering performance appraisal and reward and punishment guidelines, incorporated anti-money laundering performance appraisals as one of the appraisal indicators into compliance appraisals, and continuously strengthened supervision and management of anti-money laundering work to improve the level of anti-money laundering work.</v>
      </c>
      <c r="B5245" s="1" t="str">
        <f ca="1">IFERROR(__xludf.DUMMYFUNCTION("GOOGLETRANSLATE(A5245, ""zh"", ""en"")"),"Anti-corruption and anti-money laundering")</f>
        <v>Anti-corruption and anti-money laundering</v>
      </c>
      <c r="C5245" s="1" t="str">
        <f ca="1">IFERROR(__xludf.DUMMYFUNCTION("GOOGLETRANSLATE(E5245, ""zh"", ""en"")"),"Qualitative text")</f>
        <v>Qualitative text</v>
      </c>
    </row>
    <row r="5246" spans="1:3" ht="13" x14ac:dyDescent="0.15">
      <c r="A5246" s="1" t="str">
        <f ca="1">IFERROR(__xludf.DUMMYFUNCTION("GOOGLETRANSLATE(A5246, ""zh"", ""en"")"),"Molnupiravir, an oral COVID-19 drug, and Pfizer's generic version of Nirmatrelvir, an oral COVID-19 drug, are licensed as a combination of Ritonavir and Molnupiravir, both oral drugs with completely independent intellectual property rights in China. Produ"&amp;"ction of these drugs will resume in July 2022, encompassing both APIs and finished drugs.")</f>
        <v>Molnupiravir, an oral COVID-19 drug, and Pfizer's generic version of Nirmatrelvir, an oral COVID-19 drug, are licensed as a combination of Ritonavir and Molnupiravir, both oral drugs with completely independent intellectual property rights in China. Production of these drugs will resume in July 2022, encompassing both APIs and finished drugs.</v>
      </c>
      <c r="B5246" s="1" t="str">
        <f ca="1">IFERROR(__xludf.DUMMYFUNCTION("GOOGLETRANSLATE(A5246, ""zh"", ""en"")"),"Fighting the epidemic")</f>
        <v>Fighting the epidemic</v>
      </c>
      <c r="C5246" s="1" t="str">
        <f ca="1">IFERROR(__xludf.DUMMYFUNCTION("GOOGLETRANSLATE(E5246, ""zh"", ""en"")"),"Qualitative text")</f>
        <v>Qualitative text</v>
      </c>
    </row>
    <row r="5247" spans="1:3" ht="13" x14ac:dyDescent="0.15">
      <c r="A5247" s="1" t="str">
        <f ca="1">IFERROR(__xludf.DUMMYFUNCTION("GOOGLETRANSLATE(A5247, ""zh"", ""en"")"),"39 2021 Social Responsibility Report Shenma Industrial Co., Ltd. Building a Better Home Together The company organized the preparation of the 2021 Occupational Disease Prevention and Control Work Plan and Implementation Plan and other documents to carry o"&amp;"ut occupational disease prevention and control work in a solid manner. Each year, it hired a third-party organization to conduct testing on the company's occupational hazards in accordance with the provisions of the Trade Union Law of the People's Republi"&amp;"c of China and the collective contract and the legal institutions of the place of operation.")</f>
        <v>39 2021 Social Responsibility Report Shenma Industrial Co., Ltd. Building a Better Home Together The company organized the preparation of the 2021 Occupational Disease Prevention and Control Work Plan and Implementation Plan and other documents to carry out occupational disease prevention and control work in a solid manner. Each year, it hired a third-party organization to conduct testing on the company's occupational hazards in accordance with the provisions of the Trade Union Law of the People's Republic of China and the collective contract and the legal institutions of the place of operation.</v>
      </c>
      <c r="B5247" s="1" t="str">
        <f ca="1">IFERROR(__xludf.DUMMYFUNCTION("GOOGLETRANSLATE(A5247, ""zh"", ""en"")"),"staff")</f>
        <v>staff</v>
      </c>
      <c r="C5247" s="1" t="str">
        <f ca="1">IFERROR(__xludf.DUMMYFUNCTION("GOOGLETRANSLATE(E5247, ""zh"", ""en"")"),"Qualitative text")</f>
        <v>Qualitative text</v>
      </c>
    </row>
    <row r="5248" spans="1:3" ht="13" x14ac:dyDescent="0.15">
      <c r="A5248" s="1" t="str">
        <f ca="1">IFERROR(__xludf.DUMMYFUNCTION("GOOGLETRANSLATE(A5248, ""zh"", ""en"")"),"Second, green procurement is promoted throughout the entire procurement process. Green evaluation indicators are added during the selection and testing phase. During the candidate qualification review phase, attention is paid to the green qualifications o"&amp;"f suppliers and products. Under the same conditions, suppliers with green qualifications are given priority in procurement. The weight of green indicators is increased during the procurement execution phase.")</f>
        <v>Second, green procurement is promoted throughout the entire procurement process. Green evaluation indicators are added during the selection and testing phase. During the candidate qualification review phase, attention is paid to the green qualifications of suppliers and products. Under the same conditions, suppliers with green qualifications are given priority in procurement. The weight of green indicators is increased during the procurement execution phase.</v>
      </c>
      <c r="B5248" s="1" t="str">
        <f ca="1">IFERROR(__xludf.DUMMYFUNCTION("GOOGLETRANSLATE(A5248, ""zh"", ""en"")"),"supply chain management")</f>
        <v>supply chain management</v>
      </c>
      <c r="C5248" s="1" t="str">
        <f ca="1">IFERROR(__xludf.DUMMYFUNCTION("GOOGLETRANSLATE(E5248, ""zh"", ""en"")"),"Qualitative text")</f>
        <v>Qualitative text</v>
      </c>
    </row>
    <row r="5249" spans="1:3" ht="13" x14ac:dyDescent="0.15">
      <c r="A5249" s="1" t="str">
        <f ca="1">IFERROR(__xludf.DUMMYFUNCTION("GOOGLETRANSLATE(A5249, ""zh"", ""en"")"),"List of Climate Change Risks and Opportunities: Responses to Climate Change Risks; Transition Risks; Policy and Legal Risks; The government is introducing stricter policies and regulations to mitigate climate change; Increased compliance work for business"&amp;"es; Related lawsuits or claims may increase; Closely monitor changes in environmental laws, regulations, and policies and respond promptly; China's carbon emissions trading and implementation of a carbon pricing mechanism will increase business operating "&amp;"costs.")</f>
        <v>List of Climate Change Risks and Opportunities: Responses to Climate Change Risks; Transition Risks; Policy and Legal Risks; The government is introducing stricter policies and regulations to mitigate climate change; Increased compliance work for businesses; Related lawsuits or claims may increase; Closely monitor changes in environmental laws, regulations, and policies and respond promptly; China's carbon emissions trading and implementation of a carbon pricing mechanism will increase business operating costs.</v>
      </c>
      <c r="B5249" s="1" t="str">
        <f ca="1">IFERROR(__xludf.DUMMYFUNCTION("GOOGLETRANSLATE(A5249, ""zh"", ""en"")"),"carbon emissions")</f>
        <v>carbon emissions</v>
      </c>
      <c r="C5249" s="1" t="str">
        <f ca="1">IFERROR(__xludf.DUMMYFUNCTION("GOOGLETRANSLATE(E5249, ""zh"", ""en"")"),"Qualitative text")</f>
        <v>Qualitative text</v>
      </c>
    </row>
    <row r="5250" spans="1:3" ht="13" x14ac:dyDescent="0.15">
      <c r="A5250" s="1" t="str">
        <f ca="1">IFERROR(__xludf.DUMMYFUNCTION("GOOGLETRANSLATE(A5250, ""zh"", ""en"")"),"The auditing firm, ShineWing Certified Public Accountants (Special General Partnership), audited the effectiveness of the company's internal control over its 2022 financial reporting and concluded that the company maintained effective internal control ove"&amp;"r its financial reporting and general meeting of shareholders in all material respects as of December 31, 2022. The audit opinion was consistent with the company's self-assessment.")</f>
        <v>The auditing firm, ShineWing Certified Public Accountants (Special General Partnership), audited the effectiveness of the company's internal control over its 2022 financial reporting and concluded that the company maintained effective internal control over its financial reporting and general meeting of shareholders in all material respects as of December 31, 2022. The audit opinion was consistent with the company's self-assessment.</v>
      </c>
      <c r="B5250" s="1" t="str">
        <f ca="1">IFERROR(__xludf.DUMMYFUNCTION("GOOGLETRANSLATE(A5250, ""zh"", ""en"")"),"Audit work")</f>
        <v>Audit work</v>
      </c>
      <c r="C5250" s="1" t="str">
        <f ca="1">IFERROR(__xludf.DUMMYFUNCTION("GOOGLETRANSLATE(E5250, ""zh"", ""en"")"),"Qualitative text")</f>
        <v>Qualitative text</v>
      </c>
    </row>
    <row r="5251" spans="1:3" ht="13" x14ac:dyDescent="0.15">
      <c r="A5251" s="1" t="str">
        <f ca="1">IFERROR(__xludf.DUMMYFUNCTION("GOOGLETRANSLATE(A5251, ""zh"", ""en"")"),"In addition, the company cooperated with the Ministry of Ecology and Environment's Environmental Planning Institute, the Ministry of Ecology and Environment's Environmental Engineering Assessment Center, Dalian Petrochemical Research Institute, and Qingda"&amp;"o Safety Engineering Research Institute to study the accounting and monitoring methods of volatile organic compound unorganized emissions from petrochemical enterprises. It carried out research on two topics: research on the accounting methods of volatile"&amp;" organic compound emissions from petrochemical enterprises and research on the VOCs monitoring system for petrochemical enterprises.")</f>
        <v>In addition, the company cooperated with the Ministry of Ecology and Environment's Environmental Planning Institute, the Ministry of Ecology and Environment's Environmental Engineering Assessment Center, Dalian Petrochemical Research Institute, and Qingdao Safety Engineering Research Institute to study the accounting and monitoring methods of volatile organic compound unorganized emissions from petrochemical enterprises. It carried out research on two topics: research on the accounting methods of volatile organic compound emissions from petrochemical enterprises and research on the VOCs monitoring system for petrochemical enterprises.</v>
      </c>
      <c r="B5251" s="1" t="str">
        <f ca="1">IFERROR(__xludf.DUMMYFUNCTION("GOOGLETRANSLATE(A5251, ""zh"", ""en"")"),"Waste Management")</f>
        <v>Waste Management</v>
      </c>
      <c r="C5251" s="1" t="str">
        <f ca="1">IFERROR(__xludf.DUMMYFUNCTION("GOOGLETRANSLATE(E5251, ""zh"", ""en"")"),"Qualitative text")</f>
        <v>Qualitative text</v>
      </c>
    </row>
    <row r="5252" spans="1:3" ht="13" x14ac:dyDescent="0.15">
      <c r="A5252" s="1" t="str">
        <f ca="1">IFERROR(__xludf.DUMMYFUNCTION("GOOGLETRANSLATE(A5252, ""zh"", ""en"")"),"In addition, the company organizes job title evaluations every year, covering all employees. Starting from the individual capabilities and contributions of employees, the company evaluates employees who have performed outstandingly during their current jo"&amp;"b title. B1 Talent Standard System B2 Talent Assessment System B3 Talent Inventory B4 Talent Development Mechanism matches job title promotions with salary adjustments, helping employees achieve self-realization value in small steps.")</f>
        <v>In addition, the company organizes job title evaluations every year, covering all employees. Starting from the individual capabilities and contributions of employees, the company evaluates employees who have performed outstandingly during their current job title. B1 Talent Standard System B2 Talent Assessment System B3 Talent Inventory B4 Talent Development Mechanism matches job title promotions with salary adjustments, helping employees achieve self-realization value in small steps.</v>
      </c>
      <c r="B5252" s="1" t="str">
        <f ca="1">IFERROR(__xludf.DUMMYFUNCTION("GOOGLETRANSLATE(A5252, ""zh"", ""en"")"),"staff")</f>
        <v>staff</v>
      </c>
      <c r="C5252" s="1" t="str">
        <f ca="1">IFERROR(__xludf.DUMMYFUNCTION("GOOGLETRANSLATE(E5252, ""zh"", ""en"")"),"Qualitative text")</f>
        <v>Qualitative text</v>
      </c>
    </row>
    <row r="5253" spans="1:3" ht="13" x14ac:dyDescent="0.15">
      <c r="A5253" s="1" t="str">
        <f ca="1">IFERROR(__xludf.DUMMYFUNCTION("GOOGLETRANSLATE(A5253, ""zh"", ""en"")"),"CQC Mark Certification China Quality Certification Center During the reporting period, the company was newly recognized as two provincial and municipal specialized, specialized, and innovative small and medium-sized enterprises, of which Qingdao Hisense C"&amp;"ommercial Display Co., Ltd. was approved as a Shandong Province specialized, specialized, and innovative FCCSDOCICBETS7BVAUDIX small and medium-sized enterprise, and Qingdao Xinxin Microelectronics Technology Co., Ltd. was approved as a Qingdao City speci"&amp;"alized, specialized, and innovative small and medium-sized enterprise.")</f>
        <v>CQC Mark Certification China Quality Certification Center During the reporting period, the company was newly recognized as two provincial and municipal specialized, specialized, and innovative small and medium-sized enterprises, of which Qingdao Hisense Commercial Display Co., Ltd. was approved as a Shandong Province specialized, specialized, and innovative FCCSDOCICBETS7BVAUDIX small and medium-sized enterprise, and Qingdao Xinxin Microelectronics Technology Co., Ltd. was approved as a Qingdao City specialized, specialized, and innovative small and medium-sized enterprise.</v>
      </c>
      <c r="B5253" s="1" t="str">
        <f ca="1">IFERROR(__xludf.DUMMYFUNCTION("GOOGLETRANSLATE(A5253, ""zh"", ""en"")"),"Sustainable certification")</f>
        <v>Sustainable certification</v>
      </c>
      <c r="C5253" s="1" t="str">
        <f ca="1">IFERROR(__xludf.DUMMYFUNCTION("GOOGLETRANSLATE(E5253, ""zh"", ""en"")"),"Quantitative Text")</f>
        <v>Quantitative Text</v>
      </c>
    </row>
    <row r="5254" spans="1:3" ht="13" x14ac:dyDescent="0.15">
      <c r="A5254" s="1" t="str">
        <f ca="1">IFERROR(__xludf.DUMMYFUNCTION("GOOGLETRANSLATE(A5254, ""zh"", ""en"")"),"The company's Party Committee has always adhered to the general working principle of seeking progress while maintaining stability, taking advantage of opportunities, forging ahead in overcoming difficulties, and focusing on strictly governing the Party. I"&amp;"t has actively played the role of grassroots Party organizations as a fighting fortress and Party members as pioneers and models, closely relying on Party building to strengthen development and strengthen concepts, and is committed to creating a red light"&amp;", green lighting, and sunshine Party building brand to promote the company's high-quality development with high-quality Party building.")</f>
        <v>The company's Party Committee has always adhered to the general working principle of seeking progress while maintaining stability, taking advantage of opportunities, forging ahead in overcoming difficulties, and focusing on strictly governing the Party. It has actively played the role of grassroots Party organizations as a fighting fortress and Party members as pioneers and models, closely relying on Party building to strengthen development and strengthen concepts, and is committed to creating a red light, green lighting, and sunshine Party building brand to promote the company's high-quality development with high-quality Party building.</v>
      </c>
      <c r="B5254" s="1" t="str">
        <f ca="1">IFERROR(__xludf.DUMMYFUNCTION("GOOGLETRANSLATE(A5254, ""zh"", ""en"")"),"Organizational structure and operations")</f>
        <v>Organizational structure and operations</v>
      </c>
      <c r="C5254" s="1" t="str">
        <f ca="1">IFERROR(__xludf.DUMMYFUNCTION("GOOGLETRANSLATE(E5254, ""zh"", ""en"")"),"Qualitative text")</f>
        <v>Qualitative text</v>
      </c>
    </row>
    <row r="5255" spans="1:3" ht="13" x14ac:dyDescent="0.15">
      <c r="A5255" s="1" t="str">
        <f ca="1">IFERROR(__xludf.DUMMYFUNCTION("GOOGLETRANSLATE(A5255, ""zh"", ""en"")"),"In 2022, the company launched a series of activities, including a Lantern Festival riddle guessing contest with prizes, a flower arrangement event to pay tribute to women, a new feather flying and seeing the difference employee badminton tournament, and a"&amp;" National Day gala. The Shangyu District Health and Education Department was invited to conduct a lecture on caring for life and promoting health for employees, breast health screening for all female employees, and a national health fitness monitoring act"&amp;"ivity for all employees in Zhejiang.")</f>
        <v>In 2022, the company launched a series of activities, including a Lantern Festival riddle guessing contest with prizes, a flower arrangement event to pay tribute to women, a new feather flying and seeing the difference employee badminton tournament, and a National Day gala. The Shangyu District Health and Education Department was invited to conduct a lecture on caring for life and promoting health for employees, breast health screening for all female employees, and a national health fitness monitoring activity for all employees in Zhejiang.</v>
      </c>
      <c r="B5255" s="1" t="str">
        <f ca="1">IFERROR(__xludf.DUMMYFUNCTION("GOOGLETRANSLATE(A5255, ""zh"", ""en"")"),"staff")</f>
        <v>staff</v>
      </c>
      <c r="C5255" s="1" t="str">
        <f ca="1">IFERROR(__xludf.DUMMYFUNCTION("GOOGLETRANSLATE(E5255, ""zh"", ""en"")"),"Qualitative text")</f>
        <v>Qualitative text</v>
      </c>
    </row>
    <row r="5256" spans="1:3" ht="13" x14ac:dyDescent="0.15">
      <c r="A5256" s="1" t="str">
        <f ca="1">IFERROR(__xludf.DUMMYFUNCTION("GOOGLETRANSLATE(A5256, ""zh"", ""en"")"),"The company is a privately-controlled listed company in the lighting industry. Its products include LED lighting products and lighting control systems, covering commercial lighting, home lighting, office lighting, and outdoor lighting. It is one of the ea"&amp;"rliest companies in my country to have the right to import and export independently. Its products have obtained more than 50 international standard certifications, including the ULC, FCC, VDE, CEG, TUV, and CSA in Canada.")</f>
        <v>The company is a privately-controlled listed company in the lighting industry. Its products include LED lighting products and lighting control systems, covering commercial lighting, home lighting, office lighting, and outdoor lighting. It is one of the earliest companies in my country to have the right to import and export independently. Its products have obtained more than 50 international standard certifications, including the ULC, FCC, VDE, CEG, TUV, and CSA in Canada.</v>
      </c>
      <c r="B5256" s="1" t="str">
        <f ca="1">IFERROR(__xludf.DUMMYFUNCTION("GOOGLETRANSLATE(A5256, ""zh"", ""en"")"),"Product quality")</f>
        <v>Product quality</v>
      </c>
      <c r="C5256" s="1" t="str">
        <f ca="1">IFERROR(__xludf.DUMMYFUNCTION("GOOGLETRANSLATE(E5256, ""zh"", ""en"")"),"Quantitative Text")</f>
        <v>Quantitative Text</v>
      </c>
    </row>
    <row r="5257" spans="1:3" ht="13" x14ac:dyDescent="0.15">
      <c r="A5257" s="1" t="str">
        <f ca="1">IFERROR(__xludf.DUMMYFUNCTION("GOOGLETRANSLATE(A5257, ""zh"", ""en"")"),"P49 Environment 7. Enterprises should prepare for environmental challenges and establish environmental systems. Seriously implement the Environmental Protection Law and other laws, regulations, and normative documents. Continuously revise and update the s"&amp;"ystems. Establish and improve the enterprise environmental protection system. Promote standardized management of environmental protection work. Actively carry out environmental impact assessments for major projects. Develop countermeasures and measures to"&amp;" avoid and mitigate environmental impacts.")</f>
        <v>P49 Environment 7. Enterprises should prepare for environmental challenges and establish environmental systems. Seriously implement the Environmental Protection Law and other laws, regulations, and normative documents. Continuously revise and update the systems. Establish and improve the enterprise environmental protection system. Promote standardized management of environmental protection work. Actively carry out environmental impact assessments for major projects. Develop countermeasures and measures to avoid and mitigate environmental impacts.</v>
      </c>
      <c r="B5257" s="1" t="str">
        <f ca="1">IFERROR(__xludf.DUMMYFUNCTION("GOOGLETRANSLATE(A5257, ""zh"", ""en"")"),"Environmental Policy")</f>
        <v>Environmental Policy</v>
      </c>
      <c r="C5257" s="1" t="str">
        <f ca="1">IFERROR(__xludf.DUMMYFUNCTION("GOOGLETRANSLATE(E5257, ""zh"", ""en"")"),"Qualitative text")</f>
        <v>Qualitative text</v>
      </c>
    </row>
    <row r="5258" spans="1:3" ht="13" x14ac:dyDescent="0.15">
      <c r="A5258" s="1" t="str">
        <f ca="1">IFERROR(__xludf.DUMMYFUNCTION("GOOGLETRANSLATE(A5258, ""zh"", ""en"")"),"At the beginning of the year, we signed safety production responsibility letters with all departments and units, actively organized employees to participate in activities such as the Ankang Cup Safety Production Month organized by the group, and ensured s"&amp;"afety work before and after major holidays such as the Spring Festival and National Day. We carried out more than 20 safety site inspections during the year, organized and held 4 safety production work meetings, 2 special safety production trainings, and "&amp;"1 fire emergency drill. We achieved zero safety production accidents throughout the year.")</f>
        <v>At the beginning of the year, we signed safety production responsibility letters with all departments and units, actively organized employees to participate in activities such as the Ankang Cup Safety Production Month organized by the group, and ensured safety work before and after major holidays such as the Spring Festival and National Day. We carried out more than 20 safety site inspections during the year, organized and held 4 safety production work meetings, 2 special safety production trainings, and 1 fire emergency drill. We achieved zero safety production accidents throughout the year.</v>
      </c>
      <c r="B5258" s="1" t="str">
        <f ca="1">IFERROR(__xludf.DUMMYFUNCTION("GOOGLETRANSLATE(A5258, ""zh"", ""en"")"),"staff")</f>
        <v>staff</v>
      </c>
      <c r="C5258" s="1" t="str">
        <f ca="1">IFERROR(__xludf.DUMMYFUNCTION("GOOGLETRANSLATE(E5258, ""zh"", ""en"")"),"Quantitative Text")</f>
        <v>Quantitative Text</v>
      </c>
    </row>
    <row r="5259" spans="1:3" ht="13" x14ac:dyDescent="0.15">
      <c r="A5259" s="1" t="str">
        <f ca="1">IFERROR(__xludf.DUMMYFUNCTION("GOOGLETRANSLATE(A5259, ""zh"", ""en"")"),"Unswervingly uphold the Party's leadership and strengthen Party building as the fundamental political prerequisite for the development and strengthening of the company. Always maintain the political foundation of working for the Party in the economic fiel"&amp;"d. Establish two maintenance and implementation mechanisms. Sorting out General Secretary Xi Jinping's important instructions and instructions in various business areas of the company, a total of 166 items, implementing ledger management, project promotio"&amp;"n, checklist and account closing management to ensure that every item is implemented.")</f>
        <v>Unswervingly uphold the Party's leadership and strengthen Party building as the fundamental political prerequisite for the development and strengthening of the company. Always maintain the political foundation of working for the Party in the economic field. Establish two maintenance and implementation mechanisms. Sorting out General Secretary Xi Jinping's important instructions and instructions in various business areas of the company, a total of 166 items, implementing ledger management, project promotion, checklist and account closing management to ensure that every item is implemented.</v>
      </c>
      <c r="B5259" s="1" t="str">
        <f ca="1">IFERROR(__xludf.DUMMYFUNCTION("GOOGLETRANSLATE(A5259, ""zh"", ""en"")"),"Organizational structure and operations")</f>
        <v>Organizational structure and operations</v>
      </c>
      <c r="C5259" s="1" t="str">
        <f ca="1">IFERROR(__xludf.DUMMYFUNCTION("GOOGLETRANSLATE(E5259, ""zh"", ""en"")"),"Quantitative Text")</f>
        <v>Quantitative Text</v>
      </c>
    </row>
    <row r="5260" spans="1:3" ht="13" x14ac:dyDescent="0.15">
      <c r="A5260" s="1" t="str">
        <f ca="1">IFERROR(__xludf.DUMMYFUNCTION("GOOGLETRANSLATE(A5260, ""zh"", ""en"")"),"Throughout the year, the Group did not receive any complaints about user privacy leaks in various stages of data collection, transmission, storage and use, nor did any data leakage-related incidents occur. The Group has fulfilled its social responsibility"&amp;" and cultural duties as a leading Chinese medical and health industry group in data security throughout the entire life cycle and usage scenarios.")</f>
        <v>Throughout the year, the Group did not receive any complaints about user privacy leaks in various stages of data collection, transmission, storage and use, nor did any data leakage-related incidents occur. The Group has fulfilled its social responsibility and cultural duties as a leading Chinese medical and health industry group in data security throughout the entire life cycle and usage scenarios.</v>
      </c>
      <c r="B5260" s="1" t="str">
        <f ca="1">IFERROR(__xludf.DUMMYFUNCTION("GOOGLETRANSLATE(A5260, ""zh"", ""en"")"),"Data security")</f>
        <v>Data security</v>
      </c>
      <c r="C5260" s="1" t="str">
        <f ca="1">IFERROR(__xludf.DUMMYFUNCTION("GOOGLETRANSLATE(E5260, ""zh"", ""en"")"),"Quantitative Text")</f>
        <v>Quantitative Text</v>
      </c>
    </row>
    <row r="5261" spans="1:3" ht="13" x14ac:dyDescent="0.15">
      <c r="A5261" s="1" t="str">
        <f ca="1">IFERROR(__xludf.DUMMYFUNCTION("GOOGLETRANSLATE(A5261, ""zh"", ""en"")"),"Xinxiang Haibin New Sewage Anaerobic Treatment System Project, RMB 5 million, renovated the anaerobic section of the sewage treatment plant, built new hydrolysis and acidification tanks, AE anaerobic reactors, anaerobic sedimentation tanks, biogas cabinet"&amp;"s, 0.7MW biogas atmospheric pressure hot water boilers and other facilities to convert organic pollutants into biogas, removing 1,188 tons of COD annually and generating over 500,000 cubic meters of biogas, effectively achieving resource recycling and reu"&amp;"se.")</f>
        <v>Xinxiang Haibin New Sewage Anaerobic Treatment System Project, RMB 5 million, renovated the anaerobic section of the sewage treatment plant, built new hydrolysis and acidification tanks, AE anaerobic reactors, anaerobic sedimentation tanks, biogas cabinets, 0.7MW biogas atmospheric pressure hot water boilers and other facilities to convert organic pollutants into biogas, removing 1,188 tons of COD annually and generating over 500,000 cubic meters of biogas, effectively achieving resource recycling and reuse.</v>
      </c>
      <c r="B5261" s="1" t="str">
        <f ca="1">IFERROR(__xludf.DUMMYFUNCTION("GOOGLETRANSLATE(A5261, ""zh"", ""en"")"),"Waste Management")</f>
        <v>Waste Management</v>
      </c>
      <c r="C5261" s="1" t="str">
        <f ca="1">IFERROR(__xludf.DUMMYFUNCTION("GOOGLETRANSLATE(E5261, ""zh"", ""en"")"),"Quantitative Text")</f>
        <v>Quantitative Text</v>
      </c>
    </row>
    <row r="5262" spans="1:3" ht="13" x14ac:dyDescent="0.15">
      <c r="A5262" s="1" t="str">
        <f ca="1">IFERROR(__xludf.DUMMYFUNCTION("GOOGLETRANSLATE(A5262, ""zh"", ""en"")"),"Sensor devices for low-carbon travel, paperless office, regular maintenance, intelligent temperature control. Paperless office, regular maintenance, low-carbon travel, sensor devices for intelligent temperature control, green procurement, and promoting a "&amp;"steady and long-term green philosophy. 2022 Social Responsibility Report. In May 2022, Shanghai Electric held its Biodiversity Day publicity event, aligning with the theme of International Biodiversity Day: Building a Global Community of Life.")</f>
        <v>Sensor devices for low-carbon travel, paperless office, regular maintenance, intelligent temperature control. Paperless office, regular maintenance, low-carbon travel, sensor devices for intelligent temperature control, green procurement, and promoting a steady and long-term green philosophy. 2022 Social Responsibility Report. In May 2022, Shanghai Electric held its Biodiversity Day publicity event, aligning with the theme of International Biodiversity Day: Building a Global Community of Life.</v>
      </c>
      <c r="B5262" s="1" t="str">
        <f ca="1">IFERROR(__xludf.DUMMYFUNCTION("GOOGLETRANSLATE(A5262, ""zh"", ""en"")"),"biodiversity")</f>
        <v>biodiversity</v>
      </c>
      <c r="C5262" s="1" t="str">
        <f ca="1">IFERROR(__xludf.DUMMYFUNCTION("GOOGLETRANSLATE(E5262, ""zh"", ""en"")"),"Qualitative text")</f>
        <v>Qualitative text</v>
      </c>
    </row>
    <row r="5263" spans="1:3" ht="13" x14ac:dyDescent="0.15">
      <c r="A5263" s="1" t="str">
        <f ca="1">IFERROR(__xludf.DUMMYFUNCTION("GOOGLETRANSLATE(A5263, ""zh"", ""en"")"),"Quality Management System Case Study: Optimizing the Quality Management System. Hubei Renfu adopts a combination of online and offline training in accordance with the requirements of the quality education and training and assessment system management syst"&amp;"em and the annual training plan. At the beginning of each year, the company formulates the annual GSP training plan and conducts quality management training to help employees better understand various laws and regulations and improve the quality managemen"&amp;"t awareness of personnel in various positions.")</f>
        <v>Quality Management System Case Study: Optimizing the Quality Management System. Hubei Renfu adopts a combination of online and offline training in accordance with the requirements of the quality education and training and assessment system management system and the annual training plan. At the beginning of each year, the company formulates the annual GSP training plan and conducts quality management training to help employees better understand various laws and regulations and improve the quality management awareness of personnel in various positions.</v>
      </c>
      <c r="B5263" s="1" t="str">
        <f ca="1">IFERROR(__xludf.DUMMYFUNCTION("GOOGLETRANSLATE(A5263, ""zh"", ""en"")"),"Product quality")</f>
        <v>Product quality</v>
      </c>
      <c r="C5263" s="1" t="str">
        <f ca="1">IFERROR(__xludf.DUMMYFUNCTION("GOOGLETRANSLATE(E5263, ""zh"", ""en"")"),"Qualitative text")</f>
        <v>Qualitative text</v>
      </c>
    </row>
    <row r="5264" spans="1:3" ht="13" x14ac:dyDescent="0.15">
      <c r="A5264" s="1" t="str">
        <f ca="1">IFERROR(__xludf.DUMMYFUNCTION("GOOGLETRANSLATE(A5264, ""zh"", ""en"")"),"The company provides multi-channel and comprehensive investor relations services, including publicizing investor consultation telephone, fax and email responses. Shanghai Stock Exchange E-Interactive has established an investor relations management team t"&amp;"o receive investor visits and inquiries, respond to investors promptly, and listen carefully to investors' suggestions and opinions on various issues raised in the company's management and business development. We will effectively protect investors' legit"&amp;"imate rights and interests.")</f>
        <v>The company provides multi-channel and comprehensive investor relations services, including publicizing investor consultation telephone, fax and email responses. Shanghai Stock Exchange E-Interactive has established an investor relations management team to receive investor visits and inquiries, respond to investors promptly, and listen carefully to investors' suggestions and opinions on various issues raised in the company's management and business development. We will effectively protect investors' legitimate rights and interests.</v>
      </c>
      <c r="B5264" s="1" t="str">
        <f ca="1">IFERROR(__xludf.DUMMYFUNCTION("GOOGLETRANSLATE(A5264, ""zh"", ""en"")"),"Information Disclosure and Investor Communication")</f>
        <v>Information Disclosure and Investor Communication</v>
      </c>
      <c r="C5264" s="1" t="str">
        <f ca="1">IFERROR(__xludf.DUMMYFUNCTION("GOOGLETRANSLATE(E5264, ""zh"", ""en"")"),"Qualitative text")</f>
        <v>Qualitative text</v>
      </c>
    </row>
    <row r="5265" spans="1:3" ht="13" x14ac:dyDescent="0.15">
      <c r="A5265" s="1" t="str">
        <f ca="1">IFERROR(__xludf.DUMMYFUNCTION("GOOGLETRANSLATE(A5265, ""zh"", ""en"")"),"The company has established a talent training system for management sequence. Through the pilot program for senior executives, the sailing program and sailing program for department A and B corners, and the sailing program for future managers, the company"&amp;" organizes training for managers at all levels and reserve talents. It invites professors and experts from well-known universities to hold lectures and introduces internationally renowned copyright courses to broaden managers' horizons and enhance their l"&amp;"eadership.")</f>
        <v>The company has established a talent training system for management sequence. Through the pilot program for senior executives, the sailing program and sailing program for department A and B corners, and the sailing program for future managers, the company organizes training for managers at all levels and reserve talents. It invites professors and experts from well-known universities to hold lectures and introduces internationally renowned copyright courses to broaden managers' horizons and enhance their leadership.</v>
      </c>
      <c r="B5265" s="1" t="str">
        <f ca="1">IFERROR(__xludf.DUMMYFUNCTION("GOOGLETRANSLATE(A5265, ""zh"", ""en"")"),"Organizational structure and operations")</f>
        <v>Organizational structure and operations</v>
      </c>
      <c r="C5265" s="1" t="str">
        <f ca="1">IFERROR(__xludf.DUMMYFUNCTION("GOOGLETRANSLATE(E5265, ""zh"", ""en"")"),"Qualitative text")</f>
        <v>Qualitative text</v>
      </c>
    </row>
    <row r="5266" spans="1:3" ht="13" x14ac:dyDescent="0.15">
      <c r="A5266" s="1" t="str">
        <f ca="1">IFERROR(__xludf.DUMMYFUNCTION("GOOGLETRANSLATE(A5266, ""zh"", ""en"")"),"The Nomination Committee will make recommendations to the Board on the nomination and appointment of Board members and succession planning when nominating and appointing Board members. It will consider various diversity factors, including the independence"&amp;" of non-executive directors, and review the training and continuous professional development of directors and senior management, including but not limited to gender, age, culture and educational background, in accordance with this policy.")</f>
        <v>The Nomination Committee will make recommendations to the Board on the nomination and appointment of Board members and succession planning when nominating and appointing Board members. It will consider various diversity factors, including the independence of non-executive directors, and review the training and continuous professional development of directors and senior management, including but not limited to gender, age, culture and educational background, in accordance with this policy.</v>
      </c>
      <c r="B5266" s="1" t="str">
        <f ca="1">IFERROR(__xludf.DUMMYFUNCTION("GOOGLETRANSLATE(A5266, ""zh"", ""en"")"),"Organizational structure and operations")</f>
        <v>Organizational structure and operations</v>
      </c>
      <c r="C5266" s="1" t="str">
        <f ca="1">IFERROR(__xludf.DUMMYFUNCTION("GOOGLETRANSLATE(E5266, ""zh"", ""en"")"),"Qualitative text")</f>
        <v>Qualitative text</v>
      </c>
    </row>
    <row r="5267" spans="1:3" ht="13" x14ac:dyDescent="0.15">
      <c r="A5267" s="1" t="str">
        <f ca="1">IFERROR(__xludf.DUMMYFUNCTION("GOOGLETRANSLATE(A5267, ""zh"", ""en"")"),"In 2022, Shanghai Electric held a total of 36 meetings of the Board of Directors, General Meetings of Shareholders and various professional committees, including 1 annual general meeting of shareholders, 3 extraordinary general meetings of shareholders, a"&amp;"nd 2 class shareholder meetings. A total of 16 proposals were reviewed and all were passed. A total of 14 meetings of the Board of Directors, 14 audit committees, 1 compensation committee, and 1 strategic committee were held, and a total of 101 proposals "&amp;"were reviewed.")</f>
        <v>In 2022, Shanghai Electric held a total of 36 meetings of the Board of Directors, General Meetings of Shareholders and various professional committees, including 1 annual general meeting of shareholders, 3 extraordinary general meetings of shareholders, and 2 class shareholder meetings. A total of 16 proposals were reviewed and all were passed. A total of 14 meetings of the Board of Directors, 14 audit committees, 1 compensation committee, and 1 strategic committee were held, and a total of 101 proposals were reviewed.</v>
      </c>
      <c r="B5267" s="1" t="str">
        <f ca="1">IFERROR(__xludf.DUMMYFUNCTION("GOOGLETRANSLATE(A5267, ""zh"", ""en"")"),"Organizational structure and operations")</f>
        <v>Organizational structure and operations</v>
      </c>
      <c r="C5267" s="1" t="str">
        <f ca="1">IFERROR(__xludf.DUMMYFUNCTION("GOOGLETRANSLATE(E5267, ""zh"", ""en"")"),"Quantitative Text")</f>
        <v>Quantitative Text</v>
      </c>
    </row>
    <row r="5268" spans="1:3" ht="13" x14ac:dyDescent="0.15">
      <c r="A5268" s="1" t="str">
        <f ca="1">IFERROR(__xludf.DUMMYFUNCTION("GOOGLETRANSLATE(A5268, ""zh"", ""en"")"),"In 2022, the Group will advocate and practice the concept of ""full development"" and the harmonious and sustainable development of the enterprise's economy, society and environment. The Group will always focus on the current decomposition goals, resolute"&amp;"ly eliminate environmental pollution, actively promote energy conservation and emission reduction, protect ecological diversity, effectively carry out EHS management work, and build environmentally friendly communities by grasping the existing situation.")</f>
        <v>In 2022, the Group will advocate and practice the concept of "full development" and the harmonious and sustainable development of the enterprise's economy, society and environment. The Group will always focus on the current decomposition goals, resolutely eliminate environmental pollution, actively promote energy conservation and emission reduction, protect ecological diversity, effectively carry out EHS management work, and build environmentally friendly communities by grasping the existing situation.</v>
      </c>
      <c r="B5268" s="1" t="str">
        <f ca="1">IFERROR(__xludf.DUMMYFUNCTION("GOOGLETRANSLATE(A5268, ""zh"", ""en"")"),"Environmental Policy")</f>
        <v>Environmental Policy</v>
      </c>
      <c r="C5268" s="1" t="str">
        <f ca="1">IFERROR(__xludf.DUMMYFUNCTION("GOOGLETRANSLATE(E5268, ""zh"", ""en"")"),"Qualitative text")</f>
        <v>Qualitative text</v>
      </c>
    </row>
    <row r="5269" spans="1:3" ht="13" x14ac:dyDescent="0.15">
      <c r="A5269" s="1" t="str">
        <f ca="1">IFERROR(__xludf.DUMMYFUNCTION("GOOGLETRANSLATE(A5269, ""zh"", ""en"")"),"We also emphasize the integration of the Discipline Inspection Commissions of all directly affiliated units into the management of enterprises, strengthen the control over enterprises outside Shanghai, overseas, and newly established or established enterp"&amp;"rises, establish integrity files for enterprise leaders and key personnel, and carry out special supervision work. Discipline Inspection Commissions at all levels strengthen communication and coordination with relevant functional departments to jointly so"&amp;"lve problems and ensure the ability to prevent and control corporate integrity risks.")</f>
        <v>We also emphasize the integration of the Discipline Inspection Commissions of all directly affiliated units into the management of enterprises, strengthen the control over enterprises outside Shanghai, overseas, and newly established or established enterprises, establish integrity files for enterprise leaders and key personnel, and carry out special supervision work. Discipline Inspection Commissions at all levels strengthen communication and coordination with relevant functional departments to jointly solve problems and ensure the ability to prevent and control corporate integrity risks.</v>
      </c>
      <c r="B5269" s="1" t="str">
        <f ca="1">IFERROR(__xludf.DUMMYFUNCTION("GOOGLETRANSLATE(A5269, ""zh"", ""en"")"),"Anti-corruption and anti-money laundering")</f>
        <v>Anti-corruption and anti-money laundering</v>
      </c>
      <c r="C5269" s="1" t="str">
        <f ca="1">IFERROR(__xludf.DUMMYFUNCTION("GOOGLETRANSLATE(E5269, ""zh"", ""en"")"),"Qualitative text")</f>
        <v>Qualitative text</v>
      </c>
    </row>
    <row r="5270" spans="1:3" ht="13" x14ac:dyDescent="0.15">
      <c r="A5270" s="1" t="str">
        <f ca="1">IFERROR(__xludf.DUMMYFUNCTION("GOOGLETRANSLATE(A5270, ""zh"", ""en"")"),"In 2018, we responded to the central government's call for poverty alleviation and donated 500,000 yuan to participate in the special action of the Organization Department of the Zhejiang Provincial Party Committee to eliminate weak villages with 1,000 en"&amp;"terprises. We donated 1 million yuan annually to the Shangyu Charity Federation and 100,000 yuan to the paired villages. We donated 100,000 yuan to Cao'e Education. We donated sunshine lamps to children in impoverished mountainous areas of Sichuan and the"&amp;" people in the Yunan Mountain area on holidays such as March 5, Lei Feng Day, and Children's Day.")</f>
        <v>In 2018, we responded to the central government's call for poverty alleviation and donated 500,000 yuan to participate in the special action of the Organization Department of the Zhejiang Provincial Party Committee to eliminate weak villages with 1,000 enterprises. We donated 1 million yuan annually to the Shangyu Charity Federation and 100,000 yuan to the paired villages. We donated 100,000 yuan to Cao'e Education. We donated sunshine lamps to children in impoverished mountainous areas of Sichuan and the people in the Yunan Mountain area on holidays such as March 5, Lei Feng Day, and Children's Day.</v>
      </c>
      <c r="B5270" s="1" t="str">
        <f ca="1">IFERROR(__xludf.DUMMYFUNCTION("GOOGLETRANSLATE(A5270, ""zh"", ""en"")"),"Rural assistance")</f>
        <v>Rural assistance</v>
      </c>
      <c r="C5270" s="1" t="str">
        <f ca="1">IFERROR(__xludf.DUMMYFUNCTION("GOOGLETRANSLATE(E5270, ""zh"", ""en"")"),"Quantitative Text")</f>
        <v>Quantitative Text</v>
      </c>
    </row>
    <row r="5271" spans="1:3" ht="13" x14ac:dyDescent="0.15">
      <c r="A5271" s="1" t="str">
        <f ca="1">IFERROR(__xludf.DUMMYFUNCTION("GOOGLETRANSLATE(A5271, ""zh"", ""en"")"),"Pay taxes transparently and in accordance with the law. PetroChina Company Limited 2022 Environmental, Social and Governance Report 96 PetroChina continues to improve its international operations and management capabilities, promotes employee localization"&amp;", respects local employee culture, promotes cultural integration, conducts local employee training programs, accelerates local employee growth, and injects momentum into the social and economic development of the local area while achieving its own develop"&amp;"ment.")</f>
        <v>Pay taxes transparently and in accordance with the law. PetroChina Company Limited 2022 Environmental, Social and Governance Report 96 PetroChina continues to improve its international operations and management capabilities, promotes employee localization, respects local employee culture, promotes cultural integration, conducts local employee training programs, accelerates local employee growth, and injects momentum into the social and economic development of the local area while achieving its own development.</v>
      </c>
      <c r="B5271" s="1" t="str">
        <f ca="1">IFERROR(__xludf.DUMMYFUNCTION("GOOGLETRANSLATE(A5271, ""zh"", ""en"")"),"staff")</f>
        <v>staff</v>
      </c>
      <c r="C5271" s="1" t="str">
        <f ca="1">IFERROR(__xludf.DUMMYFUNCTION("GOOGLETRANSLATE(E5271, ""zh"", ""en"")"),"Qualitative text")</f>
        <v>Qualitative text</v>
      </c>
    </row>
    <row r="5272" spans="1:3" ht="13" x14ac:dyDescent="0.15">
      <c r="A5272" s="1" t="str">
        <f ca="1">IFERROR(__xludf.DUMMYFUNCTION("GOOGLETRANSLATE(A5272, ""zh"", ""en"")"),"Atmospheric Emission Management Tailings Management Visit Tibet Qomolangma Corporate Governance Environmental Industry Co-building Employee Community 29 Industry Joint Development Quality Management 30 Technical Cooperation and Innovation 31 Supply Chain "&amp;"Management 31302022 Tibet Qomolangma Sustainability Report Tibet Qomolangma has won unanimous praise and favor from customers with its technological advantages, reliable product quality assurance and excellent service quality.")</f>
        <v>Atmospheric Emission Management Tailings Management Visit Tibet Qomolangma Corporate Governance Environmental Industry Co-building Employee Community 29 Industry Joint Development Quality Management 30 Technical Cooperation and Innovation 31 Supply Chain Management 31302022 Tibet Qomolangma Sustainability Report Tibet Qomolangma has won unanimous praise and favor from customers with its technological advantages, reliable product quality assurance and excellent service quality.</v>
      </c>
      <c r="B5272" s="1" t="str">
        <f ca="1">IFERROR(__xludf.DUMMYFUNCTION("GOOGLETRANSLATE(A5272, ""zh"", ""en"")"),"Customers and Consumers")</f>
        <v>Customers and Consumers</v>
      </c>
      <c r="C5272" s="1" t="str">
        <f ca="1">IFERROR(__xludf.DUMMYFUNCTION("GOOGLETRANSLATE(E5272, ""zh"", ""en"")"),"Qualitative text")</f>
        <v>Qualitative text</v>
      </c>
    </row>
    <row r="5273" spans="1:3" ht="13" x14ac:dyDescent="0.15">
      <c r="A5273" s="1" t="str">
        <f ca="1">IFERROR(__xludf.DUMMYFUNCTION("GOOGLETRANSLATE(A5273, ""zh"", ""en"")"),"We support the United Nations Sustainable Development Goals and other international standards and initiatives, such as the United Nations Global Compact and the United Nations 2030 Agenda for Sustainable Development, and pursue sustainable development. We"&amp;" advocate for providing clean, reliable, and affordable energy to society in a responsible, sustainable, and ethical manner, abide by laws and regulations, respect human rights, protect the environment, and contribute to the economic and social developmen"&amp;"t of the regions where we operate.")</f>
        <v>We support the United Nations Sustainable Development Goals and other international standards and initiatives, such as the United Nations Global Compact and the United Nations 2030 Agenda for Sustainable Development, and pursue sustainable development. We advocate for providing clean, reliable, and affordable energy to society in a responsible, sustainable, and ethical manner, abide by laws and regulations, respect human rights, protect the environment, and contribute to the economic and social development of the regions where we operate.</v>
      </c>
      <c r="B5273" s="1" t="str">
        <f ca="1">IFERROR(__xludf.DUMMYFUNCTION("GOOGLETRANSLATE(A5273, ""zh"", ""en"")"),"Organizational structure and operations")</f>
        <v>Organizational structure and operations</v>
      </c>
      <c r="C5273" s="1" t="str">
        <f ca="1">IFERROR(__xludf.DUMMYFUNCTION("GOOGLETRANSLATE(E5273, ""zh"", ""en"")"),"Qualitative text")</f>
        <v>Qualitative text</v>
      </c>
    </row>
    <row r="5274" spans="1:3" ht="13" x14ac:dyDescent="0.15">
      <c r="A5274" s="1" t="str">
        <f ca="1">IFERROR(__xludf.DUMMYFUNCTION("GOOGLETRANSLATE(A5274, ""zh"", ""en"")"),"The selected Sino-German Drum Green Factory has achieved harmless production of raw materials, clean waste resource utilization, and low-carbon energy. The factory's clean production audit implementation and acceptance pass rate is 100%, the air compresso"&amp;"r waste heat recovery system efficiency is 81%, and the factory's solid waste recycling rate, harmless treatment rate of industrial hazardous waste, and harmless treatment rate of construction hazardous waste and domestic garbage have all reached 100%.")</f>
        <v>The selected Sino-German Drum Green Factory has achieved harmless production of raw materials, clean waste resource utilization, and low-carbon energy. The factory's clean production audit implementation and acceptance pass rate is 100%, the air compressor waste heat recovery system efficiency is 81%, and the factory's solid waste recycling rate, harmless treatment rate of industrial hazardous waste, and harmless treatment rate of construction hazardous waste and domestic garbage have all reached 100%.</v>
      </c>
      <c r="B5274" s="1" t="str">
        <f ca="1">IFERROR(__xludf.DUMMYFUNCTION("GOOGLETRANSLATE(A5274, ""zh"", ""en"")"),"Waste Management")</f>
        <v>Waste Management</v>
      </c>
      <c r="C5274" s="1" t="str">
        <f ca="1">IFERROR(__xludf.DUMMYFUNCTION("GOOGLETRANSLATE(E5274, ""zh"", ""en"")"),"Quantitative Text")</f>
        <v>Quantitative Text</v>
      </c>
    </row>
    <row r="5275" spans="1:3" ht="13" x14ac:dyDescent="0.15">
      <c r="A5275" s="1" t="str">
        <f ca="1">IFERROR(__xludf.DUMMYFUNCTION("GOOGLETRANSLATE(A5275, ""zh"", ""en"")"),"P3 Reporting Principles Describe or explain how the following reporting principles are applied in preparing the ESG report: Materiality The ESG report should disclose: i) the process for identifying significant ESG factors and the criteria for selecting t"&amp;"hese factors; ii) if the issuer has conducted stakeholder engagement, a description of the significant stakeholders identified and the issuer's stakeholder engagement process and outcomes;")</f>
        <v>P3 Reporting Principles Describe or explain how the following reporting principles are applied in preparing the ESG report: Materiality The ESG report should disclose: i) the process for identifying significant ESG factors and the criteria for selecting these factors; ii) if the issuer has conducted stakeholder engagement, a description of the significant stakeholders identified and the issuer's stakeholder engagement process and outcomes;</v>
      </c>
      <c r="B5275" s="1" t="str">
        <f ca="1">IFERROR(__xludf.DUMMYFUNCTION("GOOGLETRANSLATE(A5275, ""zh"", ""en"")"),"Organizational structure and operations")</f>
        <v>Organizational structure and operations</v>
      </c>
      <c r="C5275" s="1" t="str">
        <f ca="1">IFERROR(__xludf.DUMMYFUNCTION("GOOGLETRANSLATE(E5275, ""zh"", ""en"")"),"Qualitative text")</f>
        <v>Qualitative text</v>
      </c>
    </row>
    <row r="5276" spans="1:3" ht="13" x14ac:dyDescent="0.15">
      <c r="A5276" s="1" t="str">
        <f ca="1">IFERROR(__xludf.DUMMYFUNCTION("GOOGLETRANSLATE(A5276, ""zh"", ""en"")"),"Transformation risks: Policy and legal risks. Under the dual carbon goals, the government is promoting a shift from dual control of energy consumption to dual control of total carbon emissions and intensity. Stricter laws and regulations will be introduce"&amp;"d to limit or reduce carbon emissions to promote green and low-carbon transformation of enterprises. This will bring compliance risks to high-emission and high-energy-consuming industries. It may lead to increased investment in energy conservation and emi"&amp;"ssion reduction by companies, thereby increasing their compliance operating costs.")</f>
        <v>Transformation risks: Policy and legal risks. Under the dual carbon goals, the government is promoting a shift from dual control of energy consumption to dual control of total carbon emissions and intensity. Stricter laws and regulations will be introduced to limit or reduce carbon emissions to promote green and low-carbon transformation of enterprises. This will bring compliance risks to high-emission and high-energy-consuming industries. It may lead to increased investment in energy conservation and emission reduction by companies, thereby increasing their compliance operating costs.</v>
      </c>
      <c r="B5276" s="1" t="str">
        <f ca="1">IFERROR(__xludf.DUMMYFUNCTION("GOOGLETRANSLATE(A5276, ""zh"", ""en"")"),"carbon emissions")</f>
        <v>carbon emissions</v>
      </c>
      <c r="C5276" s="1" t="str">
        <f ca="1">IFERROR(__xludf.DUMMYFUNCTION("GOOGLETRANSLATE(E5276, ""zh"", ""en"")"),"Qualitative text")</f>
        <v>Qualitative text</v>
      </c>
    </row>
    <row r="5277" spans="1:3" ht="13" x14ac:dyDescent="0.15">
      <c r="A5277" s="1" t="str">
        <f ca="1">IFERROR(__xludf.DUMMYFUNCTION("GOOGLETRANSLATE(A5277, ""zh"", ""en"")"),"The company provided leadership team members and grassroots Party branches with case studies on the centennial of the Communist Party of China's Party conduct and clean governance. It also launched a series of publicity activities for Constitution Week, i"&amp;"ncluding a ""Centennial Integrity Theory to Reshape the New Era,"" a collection of books on clean governance, and other topics. The company effectively strengthened leadership cadres' ability to equip themselves with theoretical knowledge, learn professio"&amp;"nal books to improve their skills, and read cautionary books to maintain a vigilant mindset and firmly build a firewall against clean governance.")</f>
        <v>The company provided leadership team members and grassroots Party branches with case studies on the centennial of the Communist Party of China's Party conduct and clean governance. It also launched a series of publicity activities for Constitution Week, including a "Centennial Integrity Theory to Reshape the New Era," a collection of books on clean governance, and other topics. The company effectively strengthened leadership cadres' ability to equip themselves with theoretical knowledge, learn professional books to improve their skills, and read cautionary books to maintain a vigilant mindset and firmly build a firewall against clean governance.</v>
      </c>
      <c r="B5277" s="1" t="str">
        <f ca="1">IFERROR(__xludf.DUMMYFUNCTION("GOOGLETRANSLATE(A5277, ""zh"", ""en"")"),"Anti-corruption and anti-money laundering")</f>
        <v>Anti-corruption and anti-money laundering</v>
      </c>
      <c r="C5277" s="1" t="str">
        <f ca="1">IFERROR(__xludf.DUMMYFUNCTION("GOOGLETRANSLATE(E5277, ""zh"", ""en"")"),"Qualitative text")</f>
        <v>Qualitative text</v>
      </c>
    </row>
    <row r="5278" spans="1:3" ht="13" x14ac:dyDescent="0.15">
      <c r="A5278" s="1" t="str">
        <f ca="1">IFERROR(__xludf.DUMMYFUNCTION("GOOGLETRANSLATE(A5278, ""zh"", ""en"")"),"Leveraging the advantages of the company's core business, which boasts a strong sales network, we have developed scrap steel supply chain business with a series of steel mills, including Xicheng Baosteel, Hegang, Shaoguan Iron and Steel, and achieved a sc"&amp;"rap steel business contract volume of 1.83 million tons in 2022. We have further consolidated and extended our cooperation with steel mills, while actively exploring upstream scrap steel bases and actively practicing the creation of a supply chain service"&amp;" that integrates resource recycling and distribution services.")</f>
        <v>Leveraging the advantages of the company's core business, which boasts a strong sales network, we have developed scrap steel supply chain business with a series of steel mills, including Xicheng Baosteel, Hegang, Shaoguan Iron and Steel, and achieved a scrap steel business contract volume of 1.83 million tons in 2022. We have further consolidated and extended our cooperation with steel mills, while actively exploring upstream scrap steel bases and actively practicing the creation of a supply chain service that integrates resource recycling and distribution services.</v>
      </c>
      <c r="B5278" s="1" t="str">
        <f ca="1">IFERROR(__xludf.DUMMYFUNCTION("GOOGLETRANSLATE(A5278, ""zh"", ""en"")"),"Waste Management")</f>
        <v>Waste Management</v>
      </c>
      <c r="C5278" s="1" t="str">
        <f ca="1">IFERROR(__xludf.DUMMYFUNCTION("GOOGLETRANSLATE(E5278, ""zh"", ""en"")"),"Quantitative Text")</f>
        <v>Quantitative Text</v>
      </c>
    </row>
    <row r="5279" spans="1:3" ht="13" x14ac:dyDescent="0.15">
      <c r="A5279" s="1" t="str">
        <f ca="1">IFERROR(__xludf.DUMMYFUNCTION("GOOGLETRANSLATE(A5279, ""zh"", ""en"")"),"Since the strategic cooperation between Star Pharma and Real Bio, Azvudine tablets have played a positive role, especially in the elderly population. In addition, Fosun Pharma, relying on its industry-leading infection licensing capabilities and internati"&amp;"onal capabilities, has helped achieve innovative products. It is easier for patients with two-way chronic underlying diseases and immunocompromised people to progress to severe cases after COVID-19. Early use of Azvudine maximizes the value of the product"&amp;" and benefits more patients worldwide.")</f>
        <v>Since the strategic cooperation between Star Pharma and Real Bio, Azvudine tablets have played a positive role, especially in the elderly population. In addition, Fosun Pharma, relying on its industry-leading infection licensing capabilities and international capabilities, has helped achieve innovative products. It is easier for patients with two-way chronic underlying diseases and immunocompromised people to progress to severe cases after COVID-19. Early use of Azvudine maximizes the value of the product and benefits more patients worldwide.</v>
      </c>
      <c r="B5279" s="1" t="str">
        <f ca="1">IFERROR(__xludf.DUMMYFUNCTION("GOOGLETRANSLATE(A5279, ""zh"", ""en"")"),"Fighting the epidemic")</f>
        <v>Fighting the epidemic</v>
      </c>
      <c r="C5279" s="1" t="str">
        <f ca="1">IFERROR(__xludf.DUMMYFUNCTION("GOOGLETRANSLATE(E5279, ""zh"", ""en"")"),"Qualitative text")</f>
        <v>Qualitative text</v>
      </c>
    </row>
    <row r="5280" spans="1:3" ht="13" x14ac:dyDescent="0.15">
      <c r="A5280" s="1" t="str">
        <f ca="1">IFERROR(__xludf.DUMMYFUNCTION("GOOGLETRANSLATE(A5280, ""zh"", ""en"")"),"The Group actively guides all enterprises to establish intellectual property risk identification, early warning and prevention mechanisms, gradually establishes an intellectual property risk control system, regularly conducts identification and monitoring"&amp;" of high-risk patents in high-risk areas, continuously improves intellectual property risk management and control in routine links such as procurement, sales, R&amp;D and production, and ultimately establishes a full-process intellectual property risk analysi"&amp;"s, risk investigation and risk avoidance mechanism.")</f>
        <v>The Group actively guides all enterprises to establish intellectual property risk identification, early warning and prevention mechanisms, gradually establishes an intellectual property risk control system, regularly conducts identification and monitoring of high-risk patents in high-risk areas, continuously improves intellectual property risk management and control in routine links such as procurement, sales, R&amp;D and production, and ultimately establishes a full-process intellectual property risk analysis, risk investigation and risk avoidance mechanism.</v>
      </c>
      <c r="B5280" s="1" t="str">
        <f ca="1">IFERROR(__xludf.DUMMYFUNCTION("GOOGLETRANSLATE(A5280, ""zh"", ""en"")"),"Intellectual Property Protection")</f>
        <v>Intellectual Property Protection</v>
      </c>
      <c r="C5280" s="1" t="str">
        <f ca="1">IFERROR(__xludf.DUMMYFUNCTION("GOOGLETRANSLATE(E5280, ""zh"", ""en"")"),"Qualitative text")</f>
        <v>Qualitative text</v>
      </c>
    </row>
    <row r="5281" spans="1:3" ht="13" x14ac:dyDescent="0.15">
      <c r="A5281" s="1" t="str">
        <f ca="1">IFERROR(__xludf.DUMMYFUNCTION("GOOGLETRANSLATE(A5281, ""zh"", ""en"")"),"Building a network for the cultivation and flow of scientific and technological talent 542022 Social Responsibility Report Major national strategic tasks: Asia's first and the world's third transonic cryogenic wind tunnel officially opened, with Shanghai "&amp;"Electric undertaking the development of two highly challenging key components; and deeply participating in the construction of major national science and technology projects such as the Guohe-1 fast reactor, the third-generation large advanced pressurized"&amp;" water reactor, and the fourth-generation Shidao Bay high-temperature gas-cooled reactor.")</f>
        <v>Building a network for the cultivation and flow of scientific and technological talent 542022 Social Responsibility Report Major national strategic tasks: Asia's first and the world's third transonic cryogenic wind tunnel officially opened, with Shanghai Electric undertaking the development of two highly challenging key components; and deeply participating in the construction of major national science and technology projects such as the Guohe-1 fast reactor, the third-generation large advanced pressurized water reactor, and the fourth-generation Shidao Bay high-temperature gas-cooled reactor.</v>
      </c>
      <c r="B5281" s="1" t="str">
        <f ca="1">IFERROR(__xludf.DUMMYFUNCTION("GOOGLETRANSLATE(A5281, ""zh"", ""en"")"),"Technological innovation")</f>
        <v>Technological innovation</v>
      </c>
      <c r="C5281" s="1" t="str">
        <f ca="1">IFERROR(__xludf.DUMMYFUNCTION("GOOGLETRANSLATE(E5281, ""zh"", ""en"")"),"Qualitative text")</f>
        <v>Qualitative text</v>
      </c>
    </row>
    <row r="5282" spans="1:3" ht="13" x14ac:dyDescent="0.15">
      <c r="A5282" s="1" t="str">
        <f ca="1">IFERROR(__xludf.DUMMYFUNCTION("GOOGLETRANSLATE(A5282, ""zh"", ""en"")"),"To protect the interests of small and medium-sized investors, the company has formulated an investor relations management system to strengthen communication between the company and investors and potential investors through information disclosure and excha"&amp;"nge, enhance investors' understanding and recognition of the company, and effectively protect the legitimate rights and interests of investors. The system clearly stipulates the purpose, basic principles, content, methods, organization and implementation "&amp;"of investor relations work.")</f>
        <v>To protect the interests of small and medium-sized investors, the company has formulated an investor relations management system to strengthen communication between the company and investors and potential investors through information disclosure and exchange, enhance investors' understanding and recognition of the company, and effectively protect the legitimate rights and interests of investors. The system clearly stipulates the purpose, basic principles, content, methods, organization and implementation of investor relations work.</v>
      </c>
      <c r="B5282" s="1" t="str">
        <f ca="1">IFERROR(__xludf.DUMMYFUNCTION("GOOGLETRANSLATE(A5282, ""zh"", ""en"")"),"Information Disclosure and Investor Communication")</f>
        <v>Information Disclosure and Investor Communication</v>
      </c>
      <c r="C5282" s="1" t="str">
        <f ca="1">IFERROR(__xludf.DUMMYFUNCTION("GOOGLETRANSLATE(E5282, ""zh"", ""en"")"),"Qualitative text")</f>
        <v>Qualitative text</v>
      </c>
    </row>
    <row r="5283" spans="1:3" ht="13" x14ac:dyDescent="0.15">
      <c r="A5283" s="1" t="str">
        <f ca="1">IFERROR(__xludf.DUMMYFUNCTION("GOOGLETRANSLATE(A5283, ""zh"", ""en"")"),"Each subsidiary of the Group has formulated and implemented a target responsibility system and evaluation and assessment system for environmental protection and energy conservation and emission reduction based on its own actual conditions. Key energy-cons"&amp;"uming enterprises such as Jiaxing Xinjiaaisi Thermal Power Co., Ltd., Tongxiang Taiaisi Environmental Protection Energy Co., Ltd., and Zhejiang Wuchan Huanneng Pujiang Thermal Power Co., Ltd. have also signed energy-saving target responsibility letters wi"&amp;"th their local governments and regularly accept inspections and assessments from local government departments.")</f>
        <v>Each subsidiary of the Group has formulated and implemented a target responsibility system and evaluation and assessment system for environmental protection and energy conservation and emission reduction based on its own actual conditions. Key energy-consuming enterprises such as Jiaxing Xinjiaaisi Thermal Power Co., Ltd., Tongxiang Taiaisi Environmental Protection Energy Co., Ltd., and Zhejiang Wuchan Huanneng Pujiang Thermal Power Co., Ltd. have also signed energy-saving target responsibility letters with their local governments and regularly accept inspections and assessments from local government departments.</v>
      </c>
      <c r="B5283" s="1" t="str">
        <f ca="1">IFERROR(__xludf.DUMMYFUNCTION("GOOGLETRANSLATE(A5283, ""zh"", ""en"")"),"Energy and resource consumption")</f>
        <v>Energy and resource consumption</v>
      </c>
      <c r="C5283" s="1" t="str">
        <f ca="1">IFERROR(__xludf.DUMMYFUNCTION("GOOGLETRANSLATE(E5283, ""zh"", ""en"")"),"Qualitative text")</f>
        <v>Qualitative text</v>
      </c>
    </row>
    <row r="5284" spans="1:3" ht="13" x14ac:dyDescent="0.15">
      <c r="A5284" s="1" t="str">
        <f ca="1">IFERROR(__xludf.DUMMYFUNCTION("GOOGLETRANSLATE(A5284, ""zh"", ""en"")"),"The percentage of female employees recruited through campus recruitment disclosed in China Construction Bank's Social Responsibility Report refers to the percentage of female regular employees who were recruited through campus recruitment in spring and au"&amp;"tumn recruitment in 2022 and signed labor contracts with China Construction Bank in the entire bank, excluding overseas institutions, domestic and overseas subsidiaries, as of the end of the reporting period.")</f>
        <v>The percentage of female employees recruited through campus recruitment disclosed in China Construction Bank's Social Responsibility Report refers to the percentage of female regular employees who were recruited through campus recruitment in spring and autumn recruitment in 2022 and signed labor contracts with China Construction Bank in the entire bank, excluding overseas institutions, domestic and overseas subsidiaries, as of the end of the reporting period.</v>
      </c>
      <c r="B5284" s="1" t="str">
        <f ca="1">IFERROR(__xludf.DUMMYFUNCTION("GOOGLETRANSLATE(A5284, ""zh"", ""en"")"),"staff")</f>
        <v>staff</v>
      </c>
      <c r="C5284" s="1" t="str">
        <f ca="1">IFERROR(__xludf.DUMMYFUNCTION("GOOGLETRANSLATE(E5284, ""zh"", ""en"")"),"Quantitative Text")</f>
        <v>Quantitative Text</v>
      </c>
    </row>
    <row r="5285" spans="1:3" ht="13" x14ac:dyDescent="0.15">
      <c r="A5285" s="1" t="str">
        <f ca="1">IFERROR(__xludf.DUMMYFUNCTION("GOOGLETRANSLATE(A5285, ""zh"", ""en"")"),"The percentage of male employees recruited through campus recruitment disclosed in China Construction Bank's Social Responsibility Report refers to the percentage of male regular employees who were recruited through campus recruitment in spring and autumn"&amp;" recruitment in 2022 and signed labor contracts with China Construction Bank in the entire bank, excluding overseas institutions, domestic and overseas subsidiaries, as of the end of the reporting period.")</f>
        <v>The percentage of male employees recruited through campus recruitment disclosed in China Construction Bank's Social Responsibility Report refers to the percentage of male regular employees who were recruited through campus recruitment in spring and autumn recruitment in 2022 and signed labor contracts with China Construction Bank in the entire bank, excluding overseas institutions, domestic and overseas subsidiaries, as of the end of the reporting period.</v>
      </c>
      <c r="B5285" s="1" t="str">
        <f ca="1">IFERROR(__xludf.DUMMYFUNCTION("GOOGLETRANSLATE(A5285, ""zh"", ""en"")"),"staff")</f>
        <v>staff</v>
      </c>
      <c r="C5285" s="1" t="str">
        <f ca="1">IFERROR(__xludf.DUMMYFUNCTION("GOOGLETRANSLATE(E5285, ""zh"", ""en"")"),"Quantitative Text")</f>
        <v>Quantitative Text</v>
      </c>
    </row>
    <row r="5286" spans="1:3" ht="13" x14ac:dyDescent="0.15">
      <c r="A5286" s="1" t="str">
        <f ca="1">IFERROR(__xludf.DUMMYFUNCTION("GOOGLETRANSLATE(A5286, ""zh"", ""en"")"),"Strictly implement laws, regulations, and government regulatory requirements, incorporate compliance requirements into systems and processes, establish a comprehensive and effective hierarchical and classified compliance management system, strive to impro"&amp;"ve the compliance risk prevention and control mechanism across the entire supply chain and process, and strive to cultivate a compliance culture unique to PetroChina. Actively promote the implementation of compliance management requirements and responsibi"&amp;"lities and continuously improve the company's compliance with laws and regulations.")</f>
        <v>Strictly implement laws, regulations, and government regulatory requirements, incorporate compliance requirements into systems and processes, establish a comprehensive and effective hierarchical and classified compliance management system, strive to improve the compliance risk prevention and control mechanism across the entire supply chain and process, and strive to cultivate a compliance culture unique to PetroChina. Actively promote the implementation of compliance management requirements and responsibilities and continuously improve the company's compliance with laws and regulations.</v>
      </c>
      <c r="B5286" s="1" t="str">
        <f ca="1">IFERROR(__xludf.DUMMYFUNCTION("GOOGLETRANSLATE(A5286, ""zh"", ""en"")"),"Legal proceedings and external sanctions")</f>
        <v>Legal proceedings and external sanctions</v>
      </c>
      <c r="C5286" s="1" t="str">
        <f ca="1">IFERROR(__xludf.DUMMYFUNCTION("GOOGLETRANSLATE(E5286, ""zh"", ""en"")"),"Qualitative text")</f>
        <v>Qualitative text</v>
      </c>
    </row>
    <row r="5287" spans="1:3" ht="13" x14ac:dyDescent="0.15">
      <c r="A5287" s="1" t="str">
        <f ca="1">IFERROR(__xludf.DUMMYFUNCTION("GOOGLETRANSLATE(A5287, ""zh"", ""en"")"),"Shanghai Electric insists on taking quality as the foundation of its development and strictly abides by the Product Quality Law of the People's Republic of China, the Regulations of the People's Republic of China on the Administration of Industrial Produc"&amp;"t Production Licenses, and other laws and regulations.")</f>
        <v>Shanghai Electric insists on taking quality as the foundation of its development and strictly abides by the Product Quality Law of the People's Republic of China, the Regulations of the People's Republic of China on the Administration of Industrial Product Production Licenses, and other laws and regulations.</v>
      </c>
      <c r="B5287" s="1" t="str">
        <f ca="1">IFERROR(__xludf.DUMMYFUNCTION("GOOGLETRANSLATE(A5287, ""zh"", ""en"")"),"Product quality")</f>
        <v>Product quality</v>
      </c>
      <c r="C5287" s="1" t="str">
        <f ca="1">IFERROR(__xludf.DUMMYFUNCTION("GOOGLETRANSLATE(E5287, ""zh"", ""en"")"),"Qualitative text")</f>
        <v>Qualitative text</v>
      </c>
    </row>
    <row r="5288" spans="1:3" ht="13" x14ac:dyDescent="0.15">
      <c r="A5288" s="1" t="str">
        <f ca="1">IFERROR(__xludf.DUMMYFUNCTION("GOOGLETRANSLATE(A5288, ""zh"", ""en"")"),"In 2022, COSL organized special training on occupational diseases and mental health for overseas employees in conjunction with the 525 Mental Health Festival and World Mental Health Day. Through face-to-face teaching, online video, online supervision, sal"&amp;"on learning and other forms, employees of various business units, companies and overseas institutions were actively involved in mental health promotion activities and education and training to comprehensively popularize mental health knowledge and psychol"&amp;"ogical crisis intervention common sense.")</f>
        <v>In 2022, COSL organized special training on occupational diseases and mental health for overseas employees in conjunction with the 525 Mental Health Festival and World Mental Health Day. Through face-to-face teaching, online video, online supervision, salon learning and other forms, employees of various business units, companies and overseas institutions were actively involved in mental health promotion activities and education and training to comprehensively popularize mental health knowledge and psychological crisis intervention common sense.</v>
      </c>
      <c r="B5288" s="1" t="str">
        <f ca="1">IFERROR(__xludf.DUMMYFUNCTION("GOOGLETRANSLATE(A5288, ""zh"", ""en"")"),"staff")</f>
        <v>staff</v>
      </c>
      <c r="C5288" s="1" t="str">
        <f ca="1">IFERROR(__xludf.DUMMYFUNCTION("GOOGLETRANSLATE(E5288, ""zh"", ""en"")"),"Qualitative text")</f>
        <v>Qualitative text</v>
      </c>
    </row>
    <row r="5289" spans="1:3" ht="13" x14ac:dyDescent="0.15">
      <c r="A5289" s="1" t="str">
        <f ca="1">IFERROR(__xludf.DUMMYFUNCTION("GOOGLETRANSLATE(A5289, ""zh"", ""en"")"),"2022 Social Responsibility Report: Striving Forward. Shanghai Electric Group Co., Ltd. 1111 New Energy Development Department Established. Guided by China's 3060 Dual Carbon Goals, Shanghai Electric is focusing on emerging energy sources such as wind, sol"&amp;"ar, and hydrogen storage. The New Energy Development Department has been established to oversee the Group's new energy strategy, including special planning, investment management, and industry collaborative development.")</f>
        <v>2022 Social Responsibility Report: Striving Forward. Shanghai Electric Group Co., Ltd. 1111 New Energy Development Department Established. Guided by China's 3060 Dual Carbon Goals, Shanghai Electric is focusing on emerging energy sources such as wind, solar, and hydrogen storage. The New Energy Development Department has been established to oversee the Group's new energy strategy, including special planning, investment management, and industry collaborative development.</v>
      </c>
      <c r="B5289" s="1" t="str">
        <f ca="1">IFERROR(__xludf.DUMMYFUNCTION("GOOGLETRANSLATE(A5289, ""zh"", ""en"")"),"Energy and resource consumption")</f>
        <v>Energy and resource consumption</v>
      </c>
      <c r="C5289" s="1" t="str">
        <f ca="1">IFERROR(__xludf.DUMMYFUNCTION("GOOGLETRANSLATE(E5289, ""zh"", ""en"")"),"Qualitative text")</f>
        <v>Qualitative text</v>
      </c>
    </row>
    <row r="5290" spans="1:3" ht="13" x14ac:dyDescent="0.15">
      <c r="A5290" s="1" t="str">
        <f ca="1">IFERROR(__xludf.DUMMYFUNCTION("GOOGLETRANSLATE(A5290, ""zh"", ""en"")"),"Employees at the Hekou Oil Production Plant of Shengli Oilfield are conducting more frequent inspections of the oil pipeline. The overall process of environmental risk management and water resource management are also underway. Sinopec adheres to the prin"&amp;"ciple of prioritizing conservation and balancing procurement and supply in water resource management. It has formulated and implemented water resource conservation management measures, aiming to reduce industrial water consumption by 1% annually. The syst"&amp;"em optimizes water use structures, implements sewage replacement and clean water projects, and increases sewage and wastewater reuse efforts.")</f>
        <v>Employees at the Hekou Oil Production Plant of Shengli Oilfield are conducting more frequent inspections of the oil pipeline. The overall process of environmental risk management and water resource management are also underway. Sinopec adheres to the principle of prioritizing conservation and balancing procurement and supply in water resource management. It has formulated and implemented water resource conservation management measures, aiming to reduce industrial water consumption by 1% annually. The system optimizes water use structures, implements sewage replacement and clean water projects, and increases sewage and wastewater reuse efforts.</v>
      </c>
      <c r="B5290" s="1" t="str">
        <f ca="1">IFERROR(__xludf.DUMMYFUNCTION("GOOGLETRANSLATE(A5290, ""zh"", ""en"")"),"Water resources")</f>
        <v>Water resources</v>
      </c>
      <c r="C5290" s="1" t="str">
        <f ca="1">IFERROR(__xludf.DUMMYFUNCTION("GOOGLETRANSLATE(E5290, ""zh"", ""en"")"),"Quantitative Text")</f>
        <v>Quantitative Text</v>
      </c>
    </row>
    <row r="5291" spans="1:3" ht="13" x14ac:dyDescent="0.15">
      <c r="A5291" s="1" t="str">
        <f ca="1">IFERROR(__xludf.DUMMYFUNCTION("GOOGLETRANSLATE(A5291, ""zh"", ""en"")"),"The company has independently developed a risk control system that regularly conducts online and efficient assessments of the company's internal control and compliance implementation with minimal manpower and material resources. It can monitor the executi"&amp;"on of front-line business in real time within a short period of time, conduct post-inspection and error correction, and provide real-time feedback on the operating results. At the same time, it provides feedback on the existing system design and timely op"&amp;"timizes and adjusts it, ultimately ensuring the compliance and legality of the company's daily business cycle.")</f>
        <v>The company has independently developed a risk control system that regularly conducts online and efficient assessments of the company's internal control and compliance implementation with minimal manpower and material resources. It can monitor the execution of front-line business in real time within a short period of time, conduct post-inspection and error correction, and provide real-time feedback on the operating results. At the same time, it provides feedback on the existing system design and timely optimizes and adjusts it, ultimately ensuring the compliance and legality of the company's daily business cycle.</v>
      </c>
      <c r="B5291" s="1" t="str">
        <f ca="1">IFERROR(__xludf.DUMMYFUNCTION("GOOGLETRANSLATE(A5291, ""zh"", ""en"")"),"Legal proceedings and external sanctions")</f>
        <v>Legal proceedings and external sanctions</v>
      </c>
      <c r="C5291" s="1" t="str">
        <f ca="1">IFERROR(__xludf.DUMMYFUNCTION("GOOGLETRANSLATE(E5291, ""zh"", ""en"")"),"Qualitative text")</f>
        <v>Qualitative text</v>
      </c>
    </row>
    <row r="5292" spans="1:3" ht="13" x14ac:dyDescent="0.15">
      <c r="A5292" s="1" t="str">
        <f ca="1">IFERROR(__xludf.DUMMYFUNCTION("GOOGLETRANSLATE(A5292, ""zh"", ""en"")"),"Project Exit, Sinopec, Sinopec 5354, Corporate Governance, Strengthening Safety Lines, Addressing Climate Change, Respecting Human Rights, Cultivating Talents, Protecting the Environment, Fulfilling Social Responsibilities, Environmental Risk Management, "&amp;"Environmental Complaints and Handling Mechanisms, Sinopec organizes annual environmental risk identification and assessment to comprehensively prevent and control the risks of various environmental emergencies.")</f>
        <v>Project Exit, Sinopec, Sinopec 5354, Corporate Governance, Strengthening Safety Lines, Addressing Climate Change, Respecting Human Rights, Cultivating Talents, Protecting the Environment, Fulfilling Social Responsibilities, Environmental Risk Management, Environmental Complaints and Handling Mechanisms, Sinopec organizes annual environmental risk identification and assessment to comprehensively prevent and control the risks of various environmental emergencies.</v>
      </c>
      <c r="B5292" s="1" t="str">
        <f ca="1">IFERROR(__xludf.DUMMYFUNCTION("GOOGLETRANSLATE(A5292, ""zh"", ""en"")"),"Addressing climate change")</f>
        <v>Addressing climate change</v>
      </c>
      <c r="C5292" s="1" t="str">
        <f ca="1">IFERROR(__xludf.DUMMYFUNCTION("GOOGLETRANSLATE(E5292, ""zh"", ""en"")"),"Qualitative text")</f>
        <v>Qualitative text</v>
      </c>
    </row>
    <row r="5293" spans="1:3" ht="13" x14ac:dyDescent="0.15">
      <c r="A5293" s="1" t="str">
        <f ca="1">IFERROR(__xludf.DUMMYFUNCTION("GOOGLETRANSLATE(A5293, ""zh"", ""en"")"),"To fully implement the ecological protection work in the Yangtze River and Yellow River Basin, the company has studied and formulated the Action Plan for Implementing the In-depth Battle of Yangtze River Protection and Restoration, the Guiding Opinions on"&amp;" Ecological Environmental Protection for Enterprises in the Yellow River Basin, clarified the ecological protection responsibilities of the Yangtze River and Yellow River Basin, formulated the water conservation and emission reduction plan for enterprises"&amp;" in the Yangtze River and Yellow River Basin, formed a problem list of water conservation and emission reduction projects, and promoted relevant enterprises to increase their efforts in water conservation and emission reduction.")</f>
        <v>To fully implement the ecological protection work in the Yangtze River and Yellow River Basin, the company has studied and formulated the Action Plan for Implementing the In-depth Battle of Yangtze River Protection and Restoration, the Guiding Opinions on Ecological Environmental Protection for Enterprises in the Yellow River Basin, clarified the ecological protection responsibilities of the Yangtze River and Yellow River Basin, formulated the water conservation and emission reduction plan for enterprises in the Yangtze River and Yellow River Basin, formed a problem list of water conservation and emission reduction projects, and promoted relevant enterprises to increase their efforts in water conservation and emission reduction.</v>
      </c>
      <c r="B5293" s="1" t="str">
        <f ca="1">IFERROR(__xludf.DUMMYFUNCTION("GOOGLETRANSLATE(A5293, ""zh"", ""en"")"),"Water resources")</f>
        <v>Water resources</v>
      </c>
      <c r="C5293" s="1" t="str">
        <f ca="1">IFERROR(__xludf.DUMMYFUNCTION("GOOGLETRANSLATE(E5293, ""zh"", ""en"")"),"Qualitative text")</f>
        <v>Qualitative text</v>
      </c>
    </row>
    <row r="5294" spans="1:3" ht="13" x14ac:dyDescent="0.15">
      <c r="A5294" s="1" t="str">
        <f ca="1">IFERROR(__xludf.DUMMYFUNCTION("GOOGLETRANSLATE(A5294, ""zh"", ""en"")"),"The company uses third-party certification to objectively evaluate the safety and other key performance indicators of its products. Currently, the company cooperates with world-renowned certification bodies such as CQC, TUV, ULITSS, GS, JQA, etc. In terms"&amp;" of R&amp;D quality control, the company converts the requirements of customers and other stakeholders into detailed requirements for production and services, strengthens the basic management of R&amp;D, and strengthens the management of R&amp;D.")</f>
        <v>The company uses third-party certification to objectively evaluate the safety and other key performance indicators of its products. Currently, the company cooperates with world-renowned certification bodies such as CQC, TUV, ULITSS, GS, JQA, etc. In terms of R&amp;D quality control, the company converts the requirements of customers and other stakeholders into detailed requirements for production and services, strengthens the basic management of R&amp;D, and strengthens the management of R&amp;D.</v>
      </c>
      <c r="B5294" s="1" t="str">
        <f ca="1">IFERROR(__xludf.DUMMYFUNCTION("GOOGLETRANSLATE(A5294, ""zh"", ""en"")"),"Product quality")</f>
        <v>Product quality</v>
      </c>
      <c r="C5294" s="1" t="str">
        <f ca="1">IFERROR(__xludf.DUMMYFUNCTION("GOOGLETRANSLATE(E5294, ""zh"", ""en"")"),"Qualitative text")</f>
        <v>Qualitative text</v>
      </c>
    </row>
    <row r="5295" spans="1:3" ht="13" x14ac:dyDescent="0.15">
      <c r="A5295" s="1" t="str">
        <f ca="1">IFERROR(__xludf.DUMMYFUNCTION("GOOGLETRANSLATE(A5295, ""zh"", ""en"")"),"Dizibu Development Company held a new promotion meeting for new era technology and held a meeting on strengthening intellectual property protection and management, improving the intellectual property management standardization system, and establishing ful"&amp;"l intellectual property protection coverage within the company. It became the first company in the group to focus on independent research and development. At the same time, it established a research and development model with the enterprise as the main bo"&amp;"dy, the market as the guide, and industry-university-research cooperation as the supplement. It has cooperated with many well-known universities and pilot units.")</f>
        <v>Dizibu Development Company held a new promotion meeting for new era technology and held a meeting on strengthening intellectual property protection and management, improving the intellectual property management standardization system, and establishing full intellectual property protection coverage within the company. It became the first company in the group to focus on independent research and development. At the same time, it established a research and development model with the enterprise as the main body, the market as the guide, and industry-university-research cooperation as the supplement. It has cooperated with many well-known universities and pilot units.</v>
      </c>
      <c r="B5295" s="1" t="str">
        <f ca="1">IFERROR(__xludf.DUMMYFUNCTION("GOOGLETRANSLATE(A5295, ""zh"", ""en"")"),"Intellectual Property Protection")</f>
        <v>Intellectual Property Protection</v>
      </c>
      <c r="C5295" s="1" t="str">
        <f ca="1">IFERROR(__xludf.DUMMYFUNCTION("GOOGLETRANSLATE(E5295, ""zh"", ""en"")"),"Qualitative text")</f>
        <v>Qualitative text</v>
      </c>
    </row>
    <row r="5296" spans="1:3" ht="13" x14ac:dyDescent="0.15">
      <c r="A5296" s="1" t="str">
        <f ca="1">IFERROR(__xludf.DUMMYFUNCTION("GOOGLETRANSLATE(A5296, ""zh"", ""en"")"),"Hisense Visual strictly abides by the requirements of national quality laws and regulations and relevant international standards and strictly controls the quality of the products. It carries out a series of quality improvement activities such as quality i"&amp;"mprovement projects and QC teams worldwide. The market return rate in 2022 has decreased by 4% year-on-year. The market return rate of high-end products is the same as that of product quality. It has established and implemented the ISO9001 quality managem"&amp;"ent system and passed the re-certification audit during the reporting period.")</f>
        <v>Hisense Visual strictly abides by the requirements of national quality laws and regulations and relevant international standards and strictly controls the quality of the products. It carries out a series of quality improvement activities such as quality improvement projects and QC teams worldwide. The market return rate in 2022 has decreased by 4% year-on-year. The market return rate of high-end products is the same as that of product quality. It has established and implemented the ISO9001 quality management system and passed the re-certification audit during the reporting period.</v>
      </c>
      <c r="B5296" s="1" t="str">
        <f ca="1">IFERROR(__xludf.DUMMYFUNCTION("GOOGLETRANSLATE(A5296, ""zh"", ""en"")"),"Product quality")</f>
        <v>Product quality</v>
      </c>
      <c r="C5296" s="1" t="str">
        <f ca="1">IFERROR(__xludf.DUMMYFUNCTION("GOOGLETRANSLATE(E5296, ""zh"", ""en"")"),"Quantitative Text")</f>
        <v>Quantitative Text</v>
      </c>
    </row>
    <row r="5297" spans="1:3" ht="13" x14ac:dyDescent="0.15">
      <c r="A5297" s="1" t="str">
        <f ca="1">IFERROR(__xludf.DUMMYFUNCTION("GOOGLETRANSLATE(A5297, ""zh"", ""en"")"),"Guangdong Petroleum established its first Integrity Culture Demonstration Station and organized employees to learn and visit the Integrity Culture Wall. Anti-corruption risk assessment: The company regards integrity risk prevention and control as a key pa"&amp;"rt of risk management. Regularly conducts comprehensive risk identification, including anti-corruption and compliance risks. The company's Supervision Department regularly reports the overall status of anti-corruption work to the Sustainability Committee "&amp;"and the Board of Directors, and promptly reports important matters.")</f>
        <v>Guangdong Petroleum established its first Integrity Culture Demonstration Station and organized employees to learn and visit the Integrity Culture Wall. Anti-corruption risk assessment: The company regards integrity risk prevention and control as a key part of risk management. Regularly conducts comprehensive risk identification, including anti-corruption and compliance risks. The company's Supervision Department regularly reports the overall status of anti-corruption work to the Sustainability Committee and the Board of Directors, and promptly reports important matters.</v>
      </c>
      <c r="B5297" s="1" t="str">
        <f ca="1">IFERROR(__xludf.DUMMYFUNCTION("GOOGLETRANSLATE(A5297, ""zh"", ""en"")"),"Anti-corruption and anti-money laundering")</f>
        <v>Anti-corruption and anti-money laundering</v>
      </c>
      <c r="C5297" s="1" t="str">
        <f ca="1">IFERROR(__xludf.DUMMYFUNCTION("GOOGLETRANSLATE(E5297, ""zh"", ""en"")"),"Qualitative text")</f>
        <v>Qualitative text</v>
      </c>
    </row>
    <row r="5298" spans="1:3" ht="13" x14ac:dyDescent="0.15">
      <c r="A5298" s="1" t="str">
        <f ca="1">IFERROR(__xludf.DUMMYFUNCTION("GOOGLETRANSLATE(A5298, ""zh"", ""en"")"),"The company's holding subsidiary, Zhongchu Zhiyun, has fully integrated the complete logistics data chain platform of upstream and downstream enterprises in the supply chain. It collects massive logistics big data on freight rates, freight distances, vehi"&amp;"cle attributes, cargo types, loading and unloading confirmations, settlements, and payments. It provides credit data for upstream and downstream enterprises in the supply chain, banks, financial institutions, insurance companies, etc., providing strong da"&amp;"ta support for the stability of the industrial chain and supply chain.")</f>
        <v>The company's holding subsidiary, Zhongchu Zhiyun, has fully integrated the complete logistics data chain platform of upstream and downstream enterprises in the supply chain. It collects massive logistics big data on freight rates, freight distances, vehicle attributes, cargo types, loading and unloading confirmations, settlements, and payments. It provides credit data for upstream and downstream enterprises in the supply chain, banks, financial institutions, insurance companies, etc., providing strong data support for the stability of the industrial chain and supply chain.</v>
      </c>
      <c r="B5298" s="1" t="str">
        <f ca="1">IFERROR(__xludf.DUMMYFUNCTION("GOOGLETRANSLATE(A5298, ""zh"", ""en"")"),"supply chain management")</f>
        <v>supply chain management</v>
      </c>
      <c r="C5298" s="1" t="str">
        <f ca="1">IFERROR(__xludf.DUMMYFUNCTION("GOOGLETRANSLATE(E5298, ""zh"", ""en"")"),"Qualitative text")</f>
        <v>Qualitative text</v>
      </c>
    </row>
    <row r="5299" spans="1:3" ht="13" x14ac:dyDescent="0.15">
      <c r="A5299" s="1" t="str">
        <f ca="1">IFERROR(__xludf.DUMMYFUNCTION("GOOGLETRANSLATE(A5299, ""zh"", ""en"")"),"The supervisor attended the shareholders' meeting and the board of directors listened carefully to the company's production, operation, investment activities and financial operations. He reviewed the company's 2022 annual social responsibility report and "&amp;"8 regular reports. He supervised the performance of the company's directors and senior management in operating the company. He independently performed supervisory, inspection and review duties in accordance with the law, and promoted the improvement of th"&amp;"e company's standardized operation level.")</f>
        <v>The supervisor attended the shareholders' meeting and the board of directors listened carefully to the company's production, operation, investment activities and financial operations. He reviewed the company's 2022 annual social responsibility report and 8 regular reports. He supervised the performance of the company's directors and senior management in operating the company. He independently performed supervisory, inspection and review duties in accordance with the law, and promoted the improvement of the company's standardized operation level.</v>
      </c>
      <c r="B5299" s="1" t="str">
        <f ca="1">IFERROR(__xludf.DUMMYFUNCTION("GOOGLETRANSLATE(A5299, ""zh"", ""en"")"),"Organizational structure and operations")</f>
        <v>Organizational structure and operations</v>
      </c>
      <c r="C5299" s="1" t="str">
        <f ca="1">IFERROR(__xludf.DUMMYFUNCTION("GOOGLETRANSLATE(E5299, ""zh"", ""en"")"),"Qualitative text")</f>
        <v>Qualitative text</v>
      </c>
    </row>
    <row r="5300" spans="1:3" ht="13" x14ac:dyDescent="0.15">
      <c r="A5300" s="1" t="str">
        <f ca="1">IFERROR(__xludf.DUMMYFUNCTION("GOOGLETRANSLATE(A5300, ""zh"", ""en"")"),"On the one hand, China Storage and Intelligent Transportation integrates the upstream industrial chain and supply chain ecosystem through the supply chain service platform it has focused on building. On the other hand, it relies on its holding parent comp"&amp;"any's decades of experience in the downstream transportation field to effectively connect the freight capacity of the road and rail network with the freight capacity of the aviation network, continuously innovate business models, and build an efficient ci"&amp;"rculation system, becoming a powerful measure to promote domestic and international dual circulation.")</f>
        <v>On the one hand, China Storage and Intelligent Transportation integrates the upstream industrial chain and supply chain ecosystem through the supply chain service platform it has focused on building. On the other hand, it relies on its holding parent company's decades of experience in the downstream transportation field to effectively connect the freight capacity of the road and rail network with the freight capacity of the aviation network, continuously innovate business models, and build an efficient circulation system, becoming a powerful measure to promote domestic and international dual circulation.</v>
      </c>
      <c r="B5300" s="1" t="str">
        <f ca="1">IFERROR(__xludf.DUMMYFUNCTION("GOOGLETRANSLATE(A5300, ""zh"", ""en"")"),"supply chain management")</f>
        <v>supply chain management</v>
      </c>
      <c r="C5300" s="1" t="str">
        <f ca="1">IFERROR(__xludf.DUMMYFUNCTION("GOOGLETRANSLATE(E5300, ""zh"", ""en"")"),"Qualitative text")</f>
        <v>Qualitative text</v>
      </c>
    </row>
    <row r="5301" spans="1:3" ht="13" x14ac:dyDescent="0.15">
      <c r="A5301" s="1" t="str">
        <f ca="1">IFERROR(__xludf.DUMMYFUNCTION("GOOGLETRANSLATE(A5301, ""zh"", ""en"")"),"The Group actively promotes green operations, advocates energy conservation and emission reduction measures such as paperless office and resource sharing, and encourages employees to practice green office concepts to reduce environmental impact. The Group"&amp;" has established alternative suppliers for packaging materials, key consumables, and other materials to systematically address supply chain stability risks. The Group has set carbon emission targets and disclosed information on climate change in its socia"&amp;"l responsibility report.")</f>
        <v>The Group actively promotes green operations, advocates energy conservation and emission reduction measures such as paperless office and resource sharing, and encourages employees to practice green office concepts to reduce environmental impact. The Group has established alternative suppliers for packaging materials, key consumables, and other materials to systematically address supply chain stability risks. The Group has set carbon emission targets and disclosed information on climate change in its social responsibility report.</v>
      </c>
      <c r="B5301" s="1" t="str">
        <f ca="1">IFERROR(__xludf.DUMMYFUNCTION("GOOGLETRANSLATE(A5301, ""zh"", ""en"")"),"carbon emissions")</f>
        <v>carbon emissions</v>
      </c>
      <c r="C5301" s="1" t="str">
        <f ca="1">IFERROR(__xludf.DUMMYFUNCTION("GOOGLETRANSLATE(E5301, ""zh"", ""en"")"),"Qualitative text")</f>
        <v>Qualitative text</v>
      </c>
    </row>
    <row r="5302" spans="1:3" ht="13" x14ac:dyDescent="0.15">
      <c r="A5302" s="1" t="str">
        <f ca="1">IFERROR(__xludf.DUMMYFUNCTION("GOOGLETRANSLATE(A5302, ""zh"", ""en"")"),"Based on the original list of important environmental factors and risks for Shanghai Electric's production enterprises, we established a standard example of control measures for key environmental risks of the enterprise. By implementing the risk control l"&amp;"ist, the four-color diagram of safety risk distribution, risk notification cards, warning signs, risk education and skills training, we identified the correlation between accident hazards and risk units, and improved the visual management level of safety "&amp;"and environmental protection at the production site.")</f>
        <v>Based on the original list of important environmental factors and risks for Shanghai Electric's production enterprises, we established a standard example of control measures for key environmental risks of the enterprise. By implementing the risk control list, the four-color diagram of safety risk distribution, risk notification cards, warning signs, risk education and skills training, we identified the correlation between accident hazards and risk units, and improved the visual management level of safety and environmental protection at the production site.</v>
      </c>
      <c r="B5302" s="1" t="str">
        <f ca="1">IFERROR(__xludf.DUMMYFUNCTION("GOOGLETRANSLATE(A5302, ""zh"", ""en"")"),"Environmental Policy")</f>
        <v>Environmental Policy</v>
      </c>
      <c r="C5302" s="1" t="str">
        <f ca="1">IFERROR(__xludf.DUMMYFUNCTION("GOOGLETRANSLATE(E5302, ""zh"", ""en"")"),"Qualitative text")</f>
        <v>Qualitative text</v>
      </c>
    </row>
    <row r="5303" spans="1:3" ht="13" x14ac:dyDescent="0.15">
      <c r="A5303" s="1" t="str">
        <f ca="1">IFERROR(__xludf.DUMMYFUNCTION("GOOGLETRANSLATE(A5303, ""zh"", ""en"")"),"In Central Asia and the Middle East, the West Qurna Project in Iraq has formulated a security policy and committed oilfield armed forces and private security contractors to operate in accordance with Iraqi law and internationally recognized voluntary prin"&amp;"ciples on security and human rights, ensuring that the production, life, and dignity of stakeholders are not harmed while providing security for the company's operations within the framework of respecting human rights and fundamental freedoms.")</f>
        <v>In Central Asia and the Middle East, the West Qurna Project in Iraq has formulated a security policy and committed oilfield armed forces and private security contractors to operate in accordance with Iraqi law and internationally recognized voluntary principles on security and human rights, ensuring that the production, life, and dignity of stakeholders are not harmed while providing security for the company's operations within the framework of respecting human rights and fundamental freedoms.</v>
      </c>
      <c r="B5303" s="1" t="str">
        <f ca="1">IFERROR(__xludf.DUMMYFUNCTION("GOOGLETRANSLATE(A5303, ""zh"", ""en"")"),"staff")</f>
        <v>staff</v>
      </c>
      <c r="C5303" s="1" t="str">
        <f ca="1">IFERROR(__xludf.DUMMYFUNCTION("GOOGLETRANSLATE(E5303, ""zh"", ""en"")"),"Qualitative text")</f>
        <v>Qualitative text</v>
      </c>
    </row>
    <row r="5304" spans="1:3" ht="13" x14ac:dyDescent="0.15">
      <c r="A5304" s="1" t="str">
        <f ca="1">IFERROR(__xludf.DUMMYFUNCTION("GOOGLETRANSLATE(A5304, ""zh"", ""en"")"),"Number of employees enjoying parental leave1 Breakdown by gender Total Female Male Total number of employees taking parental leave 331923181001 Return to work rate 2100100100 The company has established several cultural and sports associations such as bal"&amp;"l games, chess, dance, Tai Chi, yoga, etc. It occasionally holds various competitions and activities such as photography, calligraphy, and painting to meet the spiritual and cultural needs of employees and enhance their vitality and happiness.")</f>
        <v>Number of employees enjoying parental leave1 Breakdown by gender Total Female Male Total number of employees taking parental leave 331923181001 Return to work rate 2100100100 The company has established several cultural and sports associations such as ball games, chess, dance, Tai Chi, yoga, etc. It occasionally holds various competitions and activities such as photography, calligraphy, and painting to meet the spiritual and cultural needs of employees and enhance their vitality and happiness.</v>
      </c>
      <c r="B5304" s="1" t="str">
        <f ca="1">IFERROR(__xludf.DUMMYFUNCTION("GOOGLETRANSLATE(A5304, ""zh"", ""en"")"),"staff")</f>
        <v>staff</v>
      </c>
      <c r="C5304" s="1" t="str">
        <f ca="1">IFERROR(__xludf.DUMMYFUNCTION("GOOGLETRANSLATE(E5304, ""zh"", ""en"")"),"Quantitative Text")</f>
        <v>Quantitative Text</v>
      </c>
    </row>
    <row r="5305" spans="1:3" ht="13" x14ac:dyDescent="0.15">
      <c r="A5305" s="1" t="str">
        <f ca="1">IFERROR(__xludf.DUMMYFUNCTION("GOOGLETRANSLATE(A5305, ""zh"", ""en"")"),"The Shanghai Electric Nuclear Power Labor Union, the Shanghai Electric Group Real Estate Co., Ltd. Labor Union, the Shanghai Zhenhua Bearing General Factory Co., Ltd. Labor Union, and the Shanghai United Rolling Bearing Co., Ltd. Labor Union exchanged vie"&amp;"ws on how enterprise labor unions can listen to public opinion, care for employees, balance labor-capital relations, and implement the democratic procedures of the staff representative conference, conduct collective consultation, and standardize enterpris"&amp;"e labor employment.")</f>
        <v>The Shanghai Electric Nuclear Power Labor Union, the Shanghai Electric Group Real Estate Co., Ltd. Labor Union, the Shanghai Zhenhua Bearing General Factory Co., Ltd. Labor Union, and the Shanghai United Rolling Bearing Co., Ltd. Labor Union exchanged views on how enterprise labor unions can listen to public opinion, care for employees, balance labor-capital relations, and implement the democratic procedures of the staff representative conference, conduct collective consultation, and standardize enterprise labor employment.</v>
      </c>
      <c r="B5305" s="1" t="str">
        <f ca="1">IFERROR(__xludf.DUMMYFUNCTION("GOOGLETRANSLATE(A5305, ""zh"", ""en"")"),"staff")</f>
        <v>staff</v>
      </c>
      <c r="C5305" s="1" t="str">
        <f ca="1">IFERROR(__xludf.DUMMYFUNCTION("GOOGLETRANSLATE(E5305, ""zh"", ""en"")"),"Qualitative text")</f>
        <v>Qualitative text</v>
      </c>
    </row>
    <row r="5306" spans="1:3" ht="13" x14ac:dyDescent="0.15">
      <c r="A5306" s="1" t="str">
        <f ca="1">IFERROR(__xludf.DUMMYFUNCTION("GOOGLETRANSLATE(A5306, ""zh"", ""en"")"),"By the end of 2022, the volunteer service organization has attracted more than 3,600 volunteers to participate, carried out more than 400 large-scale charity activities, covered more than 70,000 students, helped more than 8,600 children realize their stag"&amp;"e dreams, benefited more than 1,800 families, and was awarded the title of Qingdao's Best Volunteer Service Organization in 2022.")</f>
        <v>By the end of 2022, the volunteer service organization has attracted more than 3,600 volunteers to participate, carried out more than 400 large-scale charity activities, covered more than 70,000 students, helped more than 8,600 children realize their stage dreams, benefited more than 1,800 families, and was awarded the title of Qingdao's Best Volunteer Service Organization in 2022.</v>
      </c>
      <c r="B5306" s="1" t="str">
        <f ca="1">IFERROR(__xludf.DUMMYFUNCTION("GOOGLETRANSLATE(A5306, ""zh"", ""en"")"),"Public welfare and volunteer service")</f>
        <v>Public welfare and volunteer service</v>
      </c>
      <c r="C5306" s="1" t="str">
        <f ca="1">IFERROR(__xludf.DUMMYFUNCTION("GOOGLETRANSLATE(E5306, ""zh"", ""en"")"),"Quantitative Text")</f>
        <v>Quantitative Text</v>
      </c>
    </row>
    <row r="5307" spans="1:3" ht="13" x14ac:dyDescent="0.15">
      <c r="A5307" s="1" t="str">
        <f ca="1">IFERROR(__xludf.DUMMYFUNCTION("GOOGLETRANSLATE(A5307, ""zh"", ""en"")"),"The research and development teams of Shanghai Electric Nuclear Power and its subsidiary Shanghai Nuclear Power Company have overcome the challenges of controlling the welding deformation of large flat and curved devices, machining large rotating parts, a"&amp;"nd controlling the assembly and measurement accuracy of large workpieces. In just eight months, they successfully manufactured and produced a total of 2,600 tons of equipment, successfully applying nuclear power large curved beam technology to the fields "&amp;"of archaeology and cultural relics protection.")</f>
        <v>The research and development teams of Shanghai Electric Nuclear Power and its subsidiary Shanghai Nuclear Power Company have overcome the challenges of controlling the welding deformation of large flat and curved devices, machining large rotating parts, and controlling the assembly and measurement accuracy of large workpieces. In just eight months, they successfully manufactured and produced a total of 2,600 tons of equipment, successfully applying nuclear power large curved beam technology to the fields of archaeology and cultural relics protection.</v>
      </c>
      <c r="B5307" s="1" t="str">
        <f ca="1">IFERROR(__xludf.DUMMYFUNCTION("GOOGLETRANSLATE(A5307, ""zh"", ""en"")"),"Technological innovation")</f>
        <v>Technological innovation</v>
      </c>
      <c r="C5307" s="1" t="str">
        <f ca="1">IFERROR(__xludf.DUMMYFUNCTION("GOOGLETRANSLATE(E5307, ""zh"", ""en"")"),"Quantitative Text")</f>
        <v>Quantitative Text</v>
      </c>
    </row>
    <row r="5308" spans="1:3" ht="13" x14ac:dyDescent="0.15">
      <c r="A5308" s="1" t="str">
        <f ca="1">IFERROR(__xludf.DUMMYFUNCTION("GOOGLETRANSLATE(A5308, ""zh"", ""en"")"),"We will give full play to the role of industrial organizations and work with Shangcheng District to build the Wuchan Tiandi New Consumption Industrial Park with high standards, strive to create an ecological atmosphere for high-quality development of the "&amp;"new consumption industry, and sign key enterprise cooperation agreements with companies such as Zheshang Bank, China Shaoxing Yellow Wine Group, Changchun Zhuoyi Biological, Beijing Hejun Consulting, Moutai Maotai Liquor Company, and Sichuan Quanxing Wine"&amp;" Industry. We expect to absorb more than 3,000 talents of various types in the future.")</f>
        <v>We will give full play to the role of industrial organizations and work with Shangcheng District to build the Wuchan Tiandi New Consumption Industrial Park with high standards, strive to create an ecological atmosphere for high-quality development of the new consumption industry, and sign key enterprise cooperation agreements with companies such as Zheshang Bank, China Shaoxing Yellow Wine Group, Changchun Zhuoyi Biological, Beijing Hejun Consulting, Moutai Maotai Liquor Company, and Sichuan Quanxing Wine Industry. We expect to absorb more than 3,000 talents of various types in the future.</v>
      </c>
      <c r="B5308" s="1" t="str">
        <f ca="1">IFERROR(__xludf.DUMMYFUNCTION("GOOGLETRANSLATE(A5308, ""zh"", ""en"")"),"Promoting employment")</f>
        <v>Promoting employment</v>
      </c>
      <c r="C5308" s="1" t="str">
        <f ca="1">IFERROR(__xludf.DUMMYFUNCTION("GOOGLETRANSLATE(E5308, ""zh"", ""en"")"),"Quantitative Text")</f>
        <v>Quantitative Text</v>
      </c>
    </row>
    <row r="5309" spans="1:3" ht="13" x14ac:dyDescent="0.15">
      <c r="A5309" s="1" t="str">
        <f ca="1">IFERROR(__xludf.DUMMYFUNCTION("GOOGLETRANSLATE(A5309, ""zh"", ""en"")"),"Super Factory 2.0 is a customer-oriented system that integrates customer-sensitive points, such as quality management and real-time experience, with the business process management standards and technical accumulation of the Group's engineering management"&amp;" system. It is a new generation of engineering management software system created by digital means. The first batch of the system was officially launched in the Nanjing Zunyi project in 2022.")</f>
        <v>Super Factory 2.0 is a customer-oriented system that integrates customer-sensitive points, such as quality management and real-time experience, with the business process management standards and technical accumulation of the Group's engineering management system. It is a new generation of engineering management software system created by digital means. The first batch of the system was officially launched in the Nanjing Zunyi project in 2022.</v>
      </c>
      <c r="B5309" s="1" t="str">
        <f ca="1">IFERROR(__xludf.DUMMYFUNCTION("GOOGLETRANSLATE(A5309, ""zh"", ""en"")"),"Customers and Consumers")</f>
        <v>Customers and Consumers</v>
      </c>
      <c r="C5309" s="1" t="str">
        <f ca="1">IFERROR(__xludf.DUMMYFUNCTION("GOOGLETRANSLATE(E5309, ""zh"", ""en"")"),"Qualitative text")</f>
        <v>Qualitative text</v>
      </c>
    </row>
    <row r="5310" spans="1:3" ht="13" x14ac:dyDescent="0.15">
      <c r="A5310" s="1" t="str">
        <f ca="1">IFERROR(__xludf.DUMMYFUNCTION("GOOGLETRANSLATE(A5310, ""zh"", ""en"")"),"In July 2022, COSL's independently invested and built LNG-powered escort vessel, Haiyang Shiyou 543 and Haiyang Shiyou 548, were successfully delivered to Nantong, Jiangsu. All 12 LNG vessels planned and built by COSL have been delivered and put into oper"&amp;"ation, initially establishing the world's largest LNG-powered escort vessel fleet. This marks a solid step forward in my country's offshore oil equipment transformation towards a cleaner, greener, and low-carbon future.")</f>
        <v>In July 2022, COSL's independently invested and built LNG-powered escort vessel, Haiyang Shiyou 543 and Haiyang Shiyou 548, were successfully delivered to Nantong, Jiangsu. All 12 LNG vessels planned and built by COSL have been delivered and put into operation, initially establishing the world's largest LNG-powered escort vessel fleet. This marks a solid step forward in my country's offshore oil equipment transformation towards a cleaner, greener, and low-carbon future.</v>
      </c>
      <c r="B5310" s="1" t="str">
        <f ca="1">IFERROR(__xludf.DUMMYFUNCTION("GOOGLETRANSLATE(A5310, ""zh"", ""en"")"),"Clean Technology")</f>
        <v>Clean Technology</v>
      </c>
      <c r="C5310" s="1" t="str">
        <f ca="1">IFERROR(__xludf.DUMMYFUNCTION("GOOGLETRANSLATE(E5310, ""zh"", ""en"")"),"Qualitative text")</f>
        <v>Qualitative text</v>
      </c>
    </row>
    <row r="5311" spans="1:3" ht="13" x14ac:dyDescent="0.15">
      <c r="A5311" s="1" t="str">
        <f ca="1">IFERROR(__xludf.DUMMYFUNCTION("GOOGLETRANSLATE(A5311, ""zh"", ""en"")"),"The practice effectively supported both investment and operation at the strategic level. Based on the characteristics of the business development of this group, the initial strategic initiatives were fully covered by the company and each member. The syste"&amp;"m built the foundation of Fosun Pharma Group's long-term incentive system, promoted the achievement of the long-term performance goals of each member company, including the long-term incentives for the management teams of member companies' hospitals, and "&amp;"played a role in motivating and retaining talent.")</f>
        <v>The practice effectively supported both investment and operation at the strategic level. Based on the characteristics of the business development of this group, the initial strategic initiatives were fully covered by the company and each member. The system built the foundation of Fosun Pharma Group's long-term incentive system, promoted the achievement of the long-term performance goals of each member company, including the long-term incentives for the management teams of member companies' hospitals, and played a role in motivating and retaining talent.</v>
      </c>
      <c r="B5311" s="1" t="str">
        <f ca="1">IFERROR(__xludf.DUMMYFUNCTION("GOOGLETRANSLATE(A5311, ""zh"", ""en"")"),"Organizational structure and operations")</f>
        <v>Organizational structure and operations</v>
      </c>
      <c r="C5311" s="1" t="str">
        <f ca="1">IFERROR(__xludf.DUMMYFUNCTION("GOOGLETRANSLATE(E5311, ""zh"", ""en"")"),"Qualitative text")</f>
        <v>Qualitative text</v>
      </c>
    </row>
    <row r="5312" spans="1:3" ht="13" x14ac:dyDescent="0.15">
      <c r="A5312" s="1" t="str">
        <f ca="1">IFERROR(__xludf.DUMMYFUNCTION("GOOGLETRANSLATE(A5312, ""zh"", ""en"")"),"In 2022, the Southwest Region of Dongyuan Renzhi Group, headquartered at Dima Industrial Co., Ltd., addressed the issue of old elevators experiencing heat dissipation from heating resistors during braking, which caused the temperature in the machine room "&amp;"to rise and increased the energy consumption of cooling air conditioners. From the perspective of energy conservation, consumption reduction, and low-carbon operation, a professional line rationally added elevator-specific energy-saving feedback devices t"&amp;"o convert braking magnetic energy into electrical energy while reducing heat dissipation from heating resistors and lowering machine room temperature.")</f>
        <v>In 2022, the Southwest Region of Dongyuan Renzhi Group, headquartered at Dima Industrial Co., Ltd., addressed the issue of old elevators experiencing heat dissipation from heating resistors during braking, which caused the temperature in the machine room to rise and increased the energy consumption of cooling air conditioners. From the perspective of energy conservation, consumption reduction, and low-carbon operation, a professional line rationally added elevator-specific energy-saving feedback devices to convert braking magnetic energy into electrical energy while reducing heat dissipation from heating resistors and lowering machine room temperature.</v>
      </c>
      <c r="B5312" s="1" t="str">
        <f ca="1">IFERROR(__xludf.DUMMYFUNCTION("GOOGLETRANSLATE(A5312, ""zh"", ""en"")"),"Energy and resource consumption")</f>
        <v>Energy and resource consumption</v>
      </c>
      <c r="C5312" s="1" t="str">
        <f ca="1">IFERROR(__xludf.DUMMYFUNCTION("GOOGLETRANSLATE(E5312, ""zh"", ""en"")"),"Qualitative text")</f>
        <v>Qualitative text</v>
      </c>
    </row>
    <row r="5313" spans="1:3" ht="13" x14ac:dyDescent="0.15">
      <c r="A5313" s="1" t="str">
        <f ca="1">IFERROR(__xludf.DUMMYFUNCTION("GOOGLETRANSLATE(A5313, ""zh"", ""en"")"),"Full coverage of community and park properties, smart party building cases, Chongqing Chengkou Smart Party Building Digital Exhibition Hall project, technology empowerment makes smart cities and livelihoods possible, project size 67,000, project highlight"&amp;"s, AI visual effects, high-altitude parachuting, lane occupancy, smart elevator call, smart delivery robot, BA management, facial recognition access, property information release, large screen, environmental monitoring equipment linkage, Angel Eye home se"&amp;"curity")</f>
        <v>Full coverage of community and park properties, smart party building cases, Chongqing Chengkou Smart Party Building Digital Exhibition Hall project, technology empowerment makes smart cities and livelihoods possible, project size 67,000, project highlights, AI visual effects, high-altitude parachuting, lane occupancy, smart elevator call, smart delivery robot, BA management, facial recognition access, property information release, large screen, environmental monitoring equipment linkage, Angel Eye home security</v>
      </c>
      <c r="B5313" s="1" t="str">
        <f ca="1">IFERROR(__xludf.DUMMYFUNCTION("GOOGLETRANSLATE(A5313, ""zh"", ""en"")"),"Organizational structure and operations")</f>
        <v>Organizational structure and operations</v>
      </c>
      <c r="C5313" s="1" t="str">
        <f ca="1">IFERROR(__xludf.DUMMYFUNCTION("GOOGLETRANSLATE(E5313, ""zh"", ""en"")"),"Qualitative text")</f>
        <v>Qualitative text</v>
      </c>
    </row>
    <row r="5314" spans="1:3" ht="13" x14ac:dyDescent="0.15">
      <c r="A5314" s="1" t="str">
        <f ca="1">IFERROR(__xludf.DUMMYFUNCTION("GOOGLETRANSLATE(A5314, ""zh"", ""en"")"),"20220607 Dima Industry was founded in 1997 and is dedicated to providing customers with intelligent and safe special vehicles and emergency management platforms. It has a product line including emergency rescue and support, bulletproof cash transport vehi"&amp;"cles, airport ground equipment, mobile service equipment, medical equipment, digital city equipment, etc. Its products are aimed at financial escort, public security, fire protection, electricity, civil aviation, armed police, civil air defense, petrochem"&amp;"ical, food and drug supervision, operators, medical and health care, etc.")</f>
        <v>20220607 Dima Industry was founded in 1997 and is dedicated to providing customers with intelligent and safe special vehicles and emergency management platforms. It has a product line including emergency rescue and support, bulletproof cash transport vehicles, airport ground equipment, mobile service equipment, medical equipment, digital city equipment, etc. Its products are aimed at financial escort, public security, fire protection, electricity, civil aviation, armed police, civil air defense, petrochemical, food and drug supervision, operators, medical and health care, etc.</v>
      </c>
      <c r="B5314" s="1" t="str">
        <f ca="1">IFERROR(__xludf.DUMMYFUNCTION("GOOGLETRANSLATE(A5314, ""zh"", ""en"")"),"Product quality")</f>
        <v>Product quality</v>
      </c>
      <c r="C5314" s="1" t="str">
        <f ca="1">IFERROR(__xludf.DUMMYFUNCTION("GOOGLETRANSLATE(E5314, ""zh"", ""en"")"),"Qualitative text")</f>
        <v>Qualitative text</v>
      </c>
    </row>
    <row r="5315" spans="1:3" ht="13" x14ac:dyDescent="0.15">
      <c r="A5315" s="1" t="str">
        <f ca="1">IFERROR(__xludf.DUMMYFUNCTION("GOOGLETRANSLATE(A5315, ""zh"", ""en"")"),"The company has incorporated green and low-carbon development into its overall development strategy, established a carbon peak and carbon neutrality leadership group, and through a monthly meeting mechanism, researched, deployed, and promoted work. It has"&amp;" continuously strengthened climate-related risk management, improved its carbon emission control system, developed low-carbon industries, increased clean energy supply, strengthened management capacity building and skills training for all employees, and a"&amp;"ctively participated in global oil and gas industry cooperation on addressing climate change.")</f>
        <v>The company has incorporated green and low-carbon development into its overall development strategy, established a carbon peak and carbon neutrality leadership group, and through a monthly meeting mechanism, researched, deployed, and promoted work. It has continuously strengthened climate-related risk management, improved its carbon emission control system, developed low-carbon industries, increased clean energy supply, strengthened management capacity building and skills training for all employees, and actively participated in global oil and gas industry cooperation on addressing climate change.</v>
      </c>
      <c r="B5315" s="1" t="str">
        <f ca="1">IFERROR(__xludf.DUMMYFUNCTION("GOOGLETRANSLATE(A5315, ""zh"", ""en"")"),"Addressing climate change")</f>
        <v>Addressing climate change</v>
      </c>
      <c r="C5315" s="1" t="str">
        <f ca="1">IFERROR(__xludf.DUMMYFUNCTION("GOOGLETRANSLATE(E5315, ""zh"", ""en"")"),"Qualitative text")</f>
        <v>Qualitative text</v>
      </c>
    </row>
    <row r="5316" spans="1:3" ht="13" x14ac:dyDescent="0.15">
      <c r="A5316" s="1" t="str">
        <f ca="1">IFERROR(__xludf.DUMMYFUNCTION("GOOGLETRANSLATE(A5316, ""zh"", ""en"")"),"Hosted the ESG Evaluation and Enterprise Optimization sub-forum at the 2022 China ESG Finance Summit. The Asset Management Department of the CITIC Securities Investment Banking Management Committee participated in the Shenzhen Stock Exchange-hosted sympos"&amp;"ium on capital markets supporting green and low-carbon development. The symposium focused on the development and investment of green bonds and public REITs, and provided suggestions on the development of green financial instruments from multiple perspecti"&amp;"ves.")</f>
        <v>Hosted the ESG Evaluation and Enterprise Optimization sub-forum at the 2022 China ESG Finance Summit. The Asset Management Department of the CITIC Securities Investment Banking Management Committee participated in the Shenzhen Stock Exchange-hosted symposium on capital markets supporting green and low-carbon development. The symposium focused on the development and investment of green bonds and public REITs, and provided suggestions on the development of green financial instruments from multiple perspectives.</v>
      </c>
      <c r="B5316" s="1" t="str">
        <f ca="1">IFERROR(__xludf.DUMMYFUNCTION("GOOGLETRANSLATE(A5316, ""zh"", ""en"")"),"Green Finance")</f>
        <v>Green Finance</v>
      </c>
      <c r="C5316" s="1" t="str">
        <f ca="1">IFERROR(__xludf.DUMMYFUNCTION("GOOGLETRANSLATE(E5316, ""zh"", ""en"")"),"Qualitative text")</f>
        <v>Qualitative text</v>
      </c>
    </row>
    <row r="5317" spans="1:3" ht="13" x14ac:dyDescent="0.15">
      <c r="A5317" s="1" t="str">
        <f ca="1">IFERROR(__xludf.DUMMYFUNCTION("GOOGLETRANSLATE(A5317, ""zh"", ""en"")"),"At the end of each year, we formulate a talent recruitment plan for the following year. By implementing practical recruitment strategies, we timely meet the talent needs of hiring departments. At the same time, we continuously innovate talent introduction"&amp;" models, select talent allocation and assessment strategies based on job characteristics, ensure that the capabilities and qualities of the candidates to be recruited match the job requirements, meet the needs of the group's talent development strategy, a"&amp;"nd effectively promote the construction of a talent echelon.")</f>
        <v>At the end of each year, we formulate a talent recruitment plan for the following year. By implementing practical recruitment strategies, we timely meet the talent needs of hiring departments. At the same time, we continuously innovate talent introduction models, select talent allocation and assessment strategies based on job characteristics, ensure that the capabilities and qualities of the candidates to be recruited match the job requirements, meet the needs of the group's talent development strategy, and effectively promote the construction of a talent echelon.</v>
      </c>
      <c r="B5317" s="1" t="str">
        <f ca="1">IFERROR(__xludf.DUMMYFUNCTION("GOOGLETRANSLATE(A5317, ""zh"", ""en"")"),"Promoting employment")</f>
        <v>Promoting employment</v>
      </c>
      <c r="C5317" s="1" t="str">
        <f ca="1">IFERROR(__xludf.DUMMYFUNCTION("GOOGLETRANSLATE(E5317, ""zh"", ""en"")"),"Qualitative text")</f>
        <v>Qualitative text</v>
      </c>
    </row>
    <row r="5318" spans="1:3" ht="13" x14ac:dyDescent="0.15">
      <c r="A5318" s="1" t="str">
        <f ca="1">IFERROR(__xludf.DUMMYFUNCTION("GOOGLETRANSLATE(A5318, ""zh"", ""en"")"),"To strengthen system management and promote the comprehensive, orderly and efficient implementation of quality management, we have issued supervision and assessment management regulations and actively established a four-level linkage work management syste"&amp;"m covering annual goals, monthly plans, weekly arrangements and daily implementation. The general manager will take the lead in supervising the work status of production tasks, labor discipline and environmental hygiene, effectively improving the work eff"&amp;"iciency of all employees and product quality.")</f>
        <v>To strengthen system management and promote the comprehensive, orderly and efficient implementation of quality management, we have issued supervision and assessment management regulations and actively established a four-level linkage work management system covering annual goals, monthly plans, weekly arrangements and daily implementation. The general manager will take the lead in supervising the work status of production tasks, labor discipline and environmental hygiene, effectively improving the work efficiency of all employees and product quality.</v>
      </c>
      <c r="B5318" s="1" t="str">
        <f ca="1">IFERROR(__xludf.DUMMYFUNCTION("GOOGLETRANSLATE(A5318, ""zh"", ""en"")"),"Product quality")</f>
        <v>Product quality</v>
      </c>
      <c r="C5318" s="1" t="str">
        <f ca="1">IFERROR(__xludf.DUMMYFUNCTION("GOOGLETRANSLATE(E5318, ""zh"", ""en"")"),"Qualitative text")</f>
        <v>Qualitative text</v>
      </c>
    </row>
    <row r="5319" spans="1:3" ht="13" x14ac:dyDescent="0.15">
      <c r="A5319" s="1" t="str">
        <f ca="1">IFERROR(__xludf.DUMMYFUNCTION("GOOGLETRANSLATE(A5319, ""zh"", ""en"")"),"The company has formulated and continuously optimized the Integrity and Compliance Management Manual, focusing on ten key areas, including corporate governance and operations, health, safety and environmental protection, social responsibility and employee"&amp;" rights, anti-monopoly and unfair competition, anti-commercial bribery and anti-corruption, consumer rights protection, intellectual property and data information, finance, taxation and assets. It defines 54 behavioral norms that the company should abide "&amp;"by and 50 behavioral norms that employees should abide by.")</f>
        <v>The company has formulated and continuously optimized the Integrity and Compliance Management Manual, focusing on ten key areas, including corporate governance and operations, health, safety and environmental protection, social responsibility and employee rights, anti-monopoly and unfair competition, anti-commercial bribery and anti-corruption, consumer rights protection, intellectual property and data information, finance, taxation and assets. It defines 54 behavioral norms that the company should abide by and 50 behavioral norms that employees should abide by.</v>
      </c>
      <c r="B5319" s="1" t="str">
        <f ca="1">IFERROR(__xludf.DUMMYFUNCTION("GOOGLETRANSLATE(A5319, ""zh"", ""en"")"),"Legal proceedings and external sanctions")</f>
        <v>Legal proceedings and external sanctions</v>
      </c>
      <c r="C5319" s="1" t="str">
        <f ca="1">IFERROR(__xludf.DUMMYFUNCTION("GOOGLETRANSLATE(E5319, ""zh"", ""en"")"),"Quantitative Text")</f>
        <v>Quantitative Text</v>
      </c>
    </row>
    <row r="5320" spans="1:3" ht="13" x14ac:dyDescent="0.15">
      <c r="A5320" s="1" t="str">
        <f ca="1">IFERROR(__xludf.DUMMYFUNCTION("GOOGLETRANSLATE(A5320, ""zh"", ""en"")"),"The world's first 4K three-color laser smart projector, the C1 fitness screen, features laser TV's reflective imaging principle, which inherently protects the eyes and is well-received by parents concerned about their children's eye health. The world's fi"&amp;"rst 4K three-color laser smart projector, the C1, sets a new benchmark for image quality in the smart projection industry, featuring autofocus and the industry's first intelligent lifting camera with AI visual perception algorithms. It's a mobile smart ho"&amp;"me for all scenarios.")</f>
        <v>The world's first 4K three-color laser smart projector, the C1 fitness screen, features laser TV's reflective imaging principle, which inherently protects the eyes and is well-received by parents concerned about their children's eye health. The world's first 4K three-color laser smart projector, the C1, sets a new benchmark for image quality in the smart projection industry, featuring autofocus and the industry's first intelligent lifting camera with AI visual perception algorithms. It's a mobile smart home for all scenarios.</v>
      </c>
      <c r="B5320" s="1" t="str">
        <f ca="1">IFERROR(__xludf.DUMMYFUNCTION("GOOGLETRANSLATE(A5320, ""zh"", ""en"")"),"Product quality")</f>
        <v>Product quality</v>
      </c>
      <c r="C5320" s="1" t="str">
        <f ca="1">IFERROR(__xludf.DUMMYFUNCTION("GOOGLETRANSLATE(E5320, ""zh"", ""en"")"),"Qualitative text")</f>
        <v>Qualitative text</v>
      </c>
    </row>
    <row r="5321" spans="1:3" ht="13" x14ac:dyDescent="0.15">
      <c r="A5321" s="1" t="str">
        <f ca="1">IFERROR(__xludf.DUMMYFUNCTION("GOOGLETRANSLATE(A5321, ""zh"", ""en"")"),"COSL launched the 312 Arbor Day themed joint construction activity to advance into deep blue and green development. COSL 2022 ESG Report 57 COSL actively develops with local communities in its overseas development, actively fulfills its overseas social re"&amp;"sponsibilities, focuses on good interaction with local society, continuously participates in local public welfare undertakings, enhances mutual understanding and trust, and builds a better home together. The company's social image overseas has been contin"&amp;"uously improved.")</f>
        <v>COSL launched the 312 Arbor Day themed joint construction activity to advance into deep blue and green development. COSL 2022 ESG Report 57 COSL actively develops with local communities in its overseas development, actively fulfills its overseas social responsibilities, focuses on good interaction with local society, continuously participates in local public welfare undertakings, enhances mutual understanding and trust, and builds a better home together. The company's social image overseas has been continuously improved.</v>
      </c>
      <c r="B5321" s="1" t="str">
        <f ca="1">IFERROR(__xludf.DUMMYFUNCTION("GOOGLETRANSLATE(A5321, ""zh"", ""en"")"),"Public welfare and volunteer service")</f>
        <v>Public welfare and volunteer service</v>
      </c>
      <c r="C5321" s="1" t="str">
        <f ca="1">IFERROR(__xludf.DUMMYFUNCTION("GOOGLETRANSLATE(E5321, ""zh"", ""en"")"),"Qualitative text")</f>
        <v>Qualitative text</v>
      </c>
    </row>
    <row r="5322" spans="1:3" ht="13" x14ac:dyDescent="0.15">
      <c r="A5322" s="1" t="str">
        <f ca="1">IFERROR(__xludf.DUMMYFUNCTION("GOOGLETRANSLATE(A5322, ""zh"", ""en"")"),"Case Study: Essence Securities Conducts Health and Safety Training. Essence Securities conducts training courses on topics such as emotional management, including courses on safe production month, emotional management courses, and courses on self-emotions"&amp;" and not being slaves to emotions, positive attitude, and stress management. These courses provide employees with comprehensive health and safety knowledge to enhance their health and safety awareness.")</f>
        <v>Case Study: Essence Securities Conducts Health and Safety Training. Essence Securities conducts training courses on topics such as emotional management, including courses on safe production month, emotional management courses, and courses on self-emotions and not being slaves to emotions, positive attitude, and stress management. These courses provide employees with comprehensive health and safety knowledge to enhance their health and safety awareness.</v>
      </c>
      <c r="B5322" s="1" t="str">
        <f ca="1">IFERROR(__xludf.DUMMYFUNCTION("GOOGLETRANSLATE(A5322, ""zh"", ""en"")"),"staff")</f>
        <v>staff</v>
      </c>
      <c r="C5322" s="1" t="str">
        <f ca="1">IFERROR(__xludf.DUMMYFUNCTION("GOOGLETRANSLATE(E5322, ""zh"", ""en"")"),"Qualitative text")</f>
        <v>Qualitative text</v>
      </c>
    </row>
    <row r="5323" spans="1:3" ht="13" x14ac:dyDescent="0.15">
      <c r="A5323" s="1" t="str">
        <f ca="1">IFERROR(__xludf.DUMMYFUNCTION("GOOGLETRANSLATE(A5323, ""zh"", ""en"")"),"The Group holds a Quality Month event for all employees every year. It provides multiple specialized and customized training sessions every month for all personnel under the quality system. The training content covers quality management, R&amp;D management, p"&amp;"roduction management, sales management, pharmacovigilance management, etc., to ensure that relevant employees are kept abreast of changes in external regulations and quality standards and have the necessary professional skills and qualities to ensure the "&amp;"effective operation of the quality system.")</f>
        <v>The Group holds a Quality Month event for all employees every year. It provides multiple specialized and customized training sessions every month for all personnel under the quality system. The training content covers quality management, R&amp;D management, production management, sales management, pharmacovigilance management, etc., to ensure that relevant employees are kept abreast of changes in external regulations and quality standards and have the necessary professional skills and qualities to ensure the effective operation of the quality system.</v>
      </c>
      <c r="B5323" s="1" t="str">
        <f ca="1">IFERROR(__xludf.DUMMYFUNCTION("GOOGLETRANSLATE(A5323, ""zh"", ""en"")"),"Product quality")</f>
        <v>Product quality</v>
      </c>
      <c r="C5323" s="1" t="str">
        <f ca="1">IFERROR(__xludf.DUMMYFUNCTION("GOOGLETRANSLATE(E5323, ""zh"", ""en"")"),"Qualitative text")</f>
        <v>Qualitative text</v>
      </c>
    </row>
    <row r="5324" spans="1:3" ht="13" x14ac:dyDescent="0.15">
      <c r="A5324" s="1" t="str">
        <f ca="1">IFERROR(__xludf.DUMMYFUNCTION("GOOGLETRANSLATE(A5324, ""zh"", ""en"")"),"The risk list promotes compliance management and long-term mechanism construction of customer management system. With the upgrading of industrial structure, Fosun Pharma integrates various links such as mapping and operation to customize treatment strateg"&amp;"ies with patients as the center. Each member enterprise continuously improves CRM customer strategy implementation standards and refined management and control according to actual conditions. It also upgrades the customer relationship management system th"&amp;"rough medical big data computing transformation to help customers benefit patients.")</f>
        <v>The risk list promotes compliance management and long-term mechanism construction of customer management system. With the upgrading of industrial structure, Fosun Pharma integrates various links such as mapping and operation to customize treatment strategies with patients as the center. Each member enterprise continuously improves CRM customer strategy implementation standards and refined management and control according to actual conditions. It also upgrades the customer relationship management system through medical big data computing transformation to help customers benefit patients.</v>
      </c>
      <c r="B5324" s="1" t="str">
        <f ca="1">IFERROR(__xludf.DUMMYFUNCTION("GOOGLETRANSLATE(A5324, ""zh"", ""en"")"),"Customers and Consumers")</f>
        <v>Customers and Consumers</v>
      </c>
      <c r="C5324" s="1" t="str">
        <f ca="1">IFERROR(__xludf.DUMMYFUNCTION("GOOGLETRANSLATE(E5324, ""zh"", ""en"")"),"Qualitative text")</f>
        <v>Qualitative text</v>
      </c>
    </row>
    <row r="5325" spans="1:3" ht="13" x14ac:dyDescent="0.15">
      <c r="A5325" s="1" t="str">
        <f ca="1">IFERROR(__xludf.DUMMYFUNCTION("GOOGLETRANSLATE(A5325, ""zh"", ""en"")"),"Ensure communication security through access control technology, encryption technology, network management technology, security equipment security protocols, etc. Record activity logs of administrators and operators of communication and operation informat"&amp;"ion systems and network systems; Conduct regular security analysis and assessment management; Establish information security incident response mechanism processes and corresponding communication systems; Be able to provide timely assessment reports when i"&amp;"nformation security incidents occur.")</f>
        <v>Ensure communication security through access control technology, encryption technology, network management technology, security equipment security protocols, etc. Record activity logs of administrators and operators of communication and operation information systems and network systems; Conduct regular security analysis and assessment management; Establish information security incident response mechanism processes and corresponding communication systems; Be able to provide timely assessment reports when information security incidents occur.</v>
      </c>
      <c r="B5325" s="1" t="str">
        <f ca="1">IFERROR(__xludf.DUMMYFUNCTION("GOOGLETRANSLATE(A5325, ""zh"", ""en"")"),"Data security")</f>
        <v>Data security</v>
      </c>
      <c r="C5325" s="1" t="str">
        <f ca="1">IFERROR(__xludf.DUMMYFUNCTION("GOOGLETRANSLATE(E5325, ""zh"", ""en"")"),"Qualitative text")</f>
        <v>Qualitative text</v>
      </c>
    </row>
    <row r="5326" spans="1:3" ht="13" x14ac:dyDescent="0.15">
      <c r="A5326" s="1" t="str">
        <f ca="1">IFERROR(__xludf.DUMMYFUNCTION("GOOGLETRANSLATE(A5326, ""zh"", ""en"")"),"In addition, Fosun Jilian has always focused on strengthening its pharmaceutical human resources team while attracting outstanding external talents. It has established three world-leading internal teams for training and improvement, creating a talent eche"&amp;"lon with entrepreneurial spirit that identifies with the corporate culture and human resources management model, and forms a human resources business partner. This has built a talent pool for the Group that cooperates with various sectors and enterprises "&amp;"to manage the companies they control.")</f>
        <v>In addition, Fosun Jilian has always focused on strengthening its pharmaceutical human resources team while attracting outstanding external talents. It has established three world-leading internal teams for training and improvement, creating a talent echelon with entrepreneurial spirit that identifies with the corporate culture and human resources management model, and forms a human resources business partner. This has built a talent pool for the Group that cooperates with various sectors and enterprises to manage the companies they control.</v>
      </c>
      <c r="B5326" s="1" t="str">
        <f ca="1">IFERROR(__xludf.DUMMYFUNCTION("GOOGLETRANSLATE(A5326, ""zh"", ""en"")"),"staff")</f>
        <v>staff</v>
      </c>
      <c r="C5326" s="1" t="str">
        <f ca="1">IFERROR(__xludf.DUMMYFUNCTION("GOOGLETRANSLATE(E5326, ""zh"", ""en"")"),"Qualitative text")</f>
        <v>Qualitative text</v>
      </c>
    </row>
    <row r="5327" spans="1:3" ht="13" x14ac:dyDescent="0.15">
      <c r="A5327" s="1" t="str">
        <f ca="1">IFERROR(__xludf.DUMMYFUNCTION("GOOGLETRANSLATE(A5327, ""zh"", ""en"")"),"A catalyst material for wet oxidation treatment of sludge has been independently developed and applied in the sludge dewatering system of Tonglu Company, greatly improving the sludge dewatering efficiency. A method for improving sludge dewatering performa"&amp;"nce by electrochemical and ultrasonic synergistic treatment has been invented. The alternating treatment process of ultrasound, electrochemical and ultrasonic treatment has been used to improve the dewatering performance of sludge. A new type of suspended"&amp;" filler interception device has been invented, involving the technical field of sewage treatment equipment.")</f>
        <v>A catalyst material for wet oxidation treatment of sludge has been independently developed and applied in the sludge dewatering system of Tonglu Company, greatly improving the sludge dewatering efficiency. A method for improving sludge dewatering performance by electrochemical and ultrasonic synergistic treatment has been invented. The alternating treatment process of ultrasound, electrochemical and ultrasonic treatment has been used to improve the dewatering performance of sludge. A new type of suspended filler interception device has been invented, involving the technical field of sewage treatment equipment.</v>
      </c>
      <c r="B5327" s="1" t="str">
        <f ca="1">IFERROR(__xludf.DUMMYFUNCTION("GOOGLETRANSLATE(A5327, ""zh"", ""en"")"),"Waste Management")</f>
        <v>Waste Management</v>
      </c>
      <c r="C5327" s="1" t="str">
        <f ca="1">IFERROR(__xludf.DUMMYFUNCTION("GOOGLETRANSLATE(E5327, ""zh"", ""en"")"),"Qualitative text")</f>
        <v>Qualitative text</v>
      </c>
    </row>
    <row r="5328" spans="1:3" ht="13" x14ac:dyDescent="0.15">
      <c r="A5328" s="1" t="str">
        <f ca="1">IFERROR(__xludf.DUMMYFUNCTION("GOOGLETRANSLATE(A5328, ""zh"", ""en"")"),"83 By region: Yangtze River Delta Employees Pearl River Delta Employees Bohai Rim Employees Central China Employees Western China Employees Northeast China Employees Head Office Employees Overseas Employees The number of employees in the Yangtze River Del"&amp;"ta disclosed in China Construction Bank's Social Responsibility Report refers to the number of employees in the Yangtze River Delta region of my country as of the end of the reporting period, excluding employees of branches of China Construction Bank's su"&amp;"bsidiaries and subsidiaries within the entire bank.")</f>
        <v>83 By region: Yangtze River Delta Employees Pearl River Delta Employees Bohai Rim Employees Central China Employees Western China Employees Northeast China Employees Head Office Employees Overseas Employees The number of employees in the Yangtze River Delta disclosed in China Construction Bank's Social Responsibility Report refers to the number of employees in the Yangtze River Delta region of my country as of the end of the reporting period, excluding employees of branches of China Construction Bank's subsidiaries and subsidiaries within the entire bank.</v>
      </c>
      <c r="B5328" s="1" t="str">
        <f ca="1">IFERROR(__xludf.DUMMYFUNCTION("GOOGLETRANSLATE(A5328, ""zh"", ""en"")"),"staff")</f>
        <v>staff</v>
      </c>
      <c r="C5328" s="1" t="str">
        <f ca="1">IFERROR(__xludf.DUMMYFUNCTION("GOOGLETRANSLATE(E5328, ""zh"", ""en"")"),"Quantitative Text")</f>
        <v>Quantitative Text</v>
      </c>
    </row>
    <row r="5329" spans="1:3" ht="13" x14ac:dyDescent="0.15">
      <c r="A5329" s="1" t="str">
        <f ca="1">IFERROR(__xludf.DUMMYFUNCTION("GOOGLETRANSLATE(A5329, ""zh"", ""en"")"),"After more than 20 years of development, the company has grown from a regional logistics enterprise with an area of ​​930,000 square meters and a throughput of more than 4 million tons to a national comprehensive logistics enterprise with its headquarters"&amp;" in Beijing and a physical network covering Beijing, Shanghai, Tianjin, Jiangsu, Shandong, Hubei, Hunan, Guangdong, Sichuan, Hebei, Henan, Shaanxi, Liaoning and other places. It has a land area of ​​nearly 6 million square meters and an annual throughput "&amp;"of more than 60 million tons.")</f>
        <v>After more than 20 years of development, the company has grown from a regional logistics enterprise with an area of ​​930,000 square meters and a throughput of more than 4 million tons to a national comprehensive logistics enterprise with its headquarters in Beijing and a physical network covering Beijing, Shanghai, Tianjin, Jiangsu, Shandong, Hubei, Hunan, Guangdong, Sichuan, Hebei, Henan, Shaanxi, Liaoning and other places. It has a land area of ​​nearly 6 million square meters and an annual throughput of more than 60 million tons.</v>
      </c>
      <c r="B5329" s="1" t="str">
        <f ca="1">IFERROR(__xludf.DUMMYFUNCTION("GOOGLETRANSLATE(A5329, ""zh"", ""en"")"),"Land use")</f>
        <v>Land use</v>
      </c>
      <c r="C5329" s="1" t="str">
        <f ca="1">IFERROR(__xludf.DUMMYFUNCTION("GOOGLETRANSLATE(E5329, ""zh"", ""en"")"),"Quantitative Text")</f>
        <v>Quantitative Text</v>
      </c>
    </row>
    <row r="5330" spans="1:3" ht="13" x14ac:dyDescent="0.15">
      <c r="A5330" s="1" t="str">
        <f ca="1">IFERROR(__xludf.DUMMYFUNCTION("GOOGLETRANSLATE(A5330, ""zh"", ""en"")"),"The Board of Directors bears ultimate responsibility for the formulation and implementation of the Group's ESG strategy. It is responsible for defining ESG strategic objectives, key tasks, and management priorities, overseeing and evaluating the effective"&amp;"ness of ESG strategy implementation, strengthening ESG risk identification and assessment, regularly reviewing relevant goals and progress, receiving reports from the management of its specialized committees on the progress of ESG-related management, and "&amp;"guiding relevant information disclosure.")</f>
        <v>The Board of Directors bears ultimate responsibility for the formulation and implementation of the Group's ESG strategy. It is responsible for defining ESG strategic objectives, key tasks, and management priorities, overseeing and evaluating the effectiveness of ESG strategy implementation, strengthening ESG risk identification and assessment, regularly reviewing relevant goals and progress, receiving reports from the management of its specialized committees on the progress of ESG-related management, and guiding relevant information disclosure.</v>
      </c>
      <c r="B5330" s="1" t="str">
        <f ca="1">IFERROR(__xludf.DUMMYFUNCTION("GOOGLETRANSLATE(A5330, ""zh"", ""en"")"),"Organizational structure and operations")</f>
        <v>Organizational structure and operations</v>
      </c>
      <c r="C5330" s="1" t="str">
        <f ca="1">IFERROR(__xludf.DUMMYFUNCTION("GOOGLETRANSLATE(E5330, ""zh"", ""en"")"),"Qualitative text")</f>
        <v>Qualitative text</v>
      </c>
    </row>
    <row r="5331" spans="1:3" ht="13" x14ac:dyDescent="0.15">
      <c r="A5331" s="1" t="str">
        <f ca="1">IFERROR(__xludf.DUMMYFUNCTION("GOOGLETRANSLATE(A5331, ""zh"", ""en"")"),"At the same time, the Argentinian lithium salt lake project has completed the pilot test of the complete process line for lithium carbonate production. By introducing adsorption separation technology and the mature adsorption membrane lithium extraction p"&amp;"rocess, the clean and low-energy industrial development of the salt lake in Argentina provides us with the initial technical support for the large-scale production of lithium extraction from salt lakes to meet the continuously expanding demand for battery"&amp;"-grade lithium salt products in the downstream new energy vehicle industry.")</f>
        <v>At the same time, the Argentinian lithium salt lake project has completed the pilot test of the complete process line for lithium carbonate production. By introducing adsorption separation technology and the mature adsorption membrane lithium extraction process, the clean and low-energy industrial development of the salt lake in Argentina provides us with the initial technical support for the large-scale production of lithium extraction from salt lakes to meet the continuously expanding demand for battery-grade lithium salt products in the downstream new energy vehicle industry.</v>
      </c>
      <c r="B5331" s="1" t="str">
        <f ca="1">IFERROR(__xludf.DUMMYFUNCTION("GOOGLETRANSLATE(A5331, ""zh"", ""en"")"),"carbon emissions")</f>
        <v>carbon emissions</v>
      </c>
      <c r="C5331" s="1" t="str">
        <f ca="1">IFERROR(__xludf.DUMMYFUNCTION("GOOGLETRANSLATE(E5331, ""zh"", ""en"")"),"Qualitative text")</f>
        <v>Qualitative text</v>
      </c>
    </row>
    <row r="5332" spans="1:3" ht="13" x14ac:dyDescent="0.15">
      <c r="A5332" s="1" t="str">
        <f ca="1">IFERROR(__xludf.DUMMYFUNCTION("GOOGLETRANSLATE(A5332, ""zh"", ""en"")"),"In Tajikistan, Tajikistan Mining has become a well-known business card. It has directly solved the employment problems of 5,000 people and indirectly promoted the employment of nearly 10,000 people. As the largest industrial enterprise in Tajikistan, its "&amp;"GDP accounts for 55% of the total mining industry in Tajikistan, and its tax revenue accounts for one-sixth of the country's total tax revenue. It has ranked first in Tajikistan's tax revenue for many years and accounts for 5% of Tajikistan's fiscal reven"&amp;"ue.")</f>
        <v>In Tajikistan, Tajikistan Mining has become a well-known business card. It has directly solved the employment problems of 5,000 people and indirectly promoted the employment of nearly 10,000 people. As the largest industrial enterprise in Tajikistan, its GDP accounts for 55% of the total mining industry in Tajikistan, and its tax revenue accounts for one-sixth of the country's total tax revenue. It has ranked first in Tajikistan's tax revenue for many years and accounts for 5% of Tajikistan's fiscal revenue.</v>
      </c>
      <c r="B5332" s="1" t="str">
        <f ca="1">IFERROR(__xludf.DUMMYFUNCTION("GOOGLETRANSLATE(A5332, ""zh"", ""en"")"),"Promoting employment")</f>
        <v>Promoting employment</v>
      </c>
      <c r="C5332" s="1" t="str">
        <f ca="1">IFERROR(__xludf.DUMMYFUNCTION("GOOGLETRANSLATE(E5332, ""zh"", ""en"")"),"Quantitative Text")</f>
        <v>Quantitative Text</v>
      </c>
    </row>
    <row r="5333" spans="1:3" ht="13" x14ac:dyDescent="0.15">
      <c r="A5333" s="1" t="str">
        <f ca="1">IFERROR(__xludf.DUMMYFUNCTION("GOOGLETRANSLATE(A5333, ""zh"", ""en"")"),"Jieneng Intelligent Electric fully integrates the advantages of various companies in clean energy supply, new energy vehicles and battery research and development, intelligent networking and smart transportation, actively builds a new power battery leasin"&amp;"g platform, carries out research and development and promotion of battery swapping technology, and provides battery operation management and big data services, etc., to build a complete vehicle-battery separation ecosystem and create a standardized platfo"&amp;"rm to bring new energy vehicle owners a safer, more reliable, convenient and fast high-quality travel experience.")</f>
        <v>Jieneng Intelligent Electric fully integrates the advantages of various companies in clean energy supply, new energy vehicles and battery research and development, intelligent networking and smart transportation, actively builds a new power battery leasing platform, carries out research and development and promotion of battery swapping technology, and provides battery operation management and big data services, etc., to build a complete vehicle-battery separation ecosystem and create a standardized platform to bring new energy vehicle owners a safer, more reliable, convenient and fast high-quality travel experience.</v>
      </c>
      <c r="B5333" s="1" t="str">
        <f ca="1">IFERROR(__xludf.DUMMYFUNCTION("GOOGLETRANSLATE(A5333, ""zh"", ""en"")"),"Clean Technology")</f>
        <v>Clean Technology</v>
      </c>
      <c r="C5333" s="1" t="str">
        <f ca="1">IFERROR(__xludf.DUMMYFUNCTION("GOOGLETRANSLATE(E5333, ""zh"", ""en"")"),"Qualitative text")</f>
        <v>Qualitative text</v>
      </c>
    </row>
    <row r="5334" spans="1:3" ht="13" x14ac:dyDescent="0.15">
      <c r="A5334" s="1" t="str">
        <f ca="1">IFERROR(__xludf.DUMMYFUNCTION("GOOGLETRANSLATE(A5334, ""zh"", ""en"")"),"In 2022, the company participated in the ""Come on Baby"" project jointly implemented by the China National Petroleum Corporation China Rural Development Foundation and the Zhejiang Ant Public Welfare Foundation. It combined health management, rural revit"&amp;"alization and Internet public welfare, invested 15 million yuan in aid funds, attracted 15 million yuan in donations from the public, and provided major disease public welfare insurance for 130,000 children in poverty-stricken areas to reduce the incidenc"&amp;"e of falling back into poverty due to illness.")</f>
        <v>In 2022, the company participated in the "Come on Baby" project jointly implemented by the China National Petroleum Corporation China Rural Development Foundation and the Zhejiang Ant Public Welfare Foundation. It combined health management, rural revitalization and Internet public welfare, invested 15 million yuan in aid funds, attracted 15 million yuan in donations from the public, and provided major disease public welfare insurance for 130,000 children in poverty-stricken areas to reduce the incidence of falling back into poverty due to illness.</v>
      </c>
      <c r="B5334" s="1" t="str">
        <f ca="1">IFERROR(__xludf.DUMMYFUNCTION("GOOGLETRANSLATE(A5334, ""zh"", ""en"")"),"Rural assistance")</f>
        <v>Rural assistance</v>
      </c>
      <c r="C5334" s="1" t="str">
        <f ca="1">IFERROR(__xludf.DUMMYFUNCTION("GOOGLETRANSLATE(E5334, ""zh"", ""en"")"),"Quantitative Text")</f>
        <v>Quantitative Text</v>
      </c>
    </row>
    <row r="5335" spans="1:3" ht="13" x14ac:dyDescent="0.15">
      <c r="A5335" s="1" t="str">
        <f ca="1">IFERROR(__xludf.DUMMYFUNCTION("GOOGLETRANSLATE(A5335, ""zh"", ""en"")"),"Shanghai Electric will align with Huaneng Group's strategy to ensure the quality and quantity of its ongoing projects, coordinate efforts in domestic and international energy markets, and effectively implement traditional energy transformation and new ene"&amp;"rgy layout. Following Huaneng Group's strategic development path, Shanghai Electric will continuously form an integrated service model from resources to equipment to market expansion under the new power system, thereby contributing to the healthy developm"&amp;"ent of Huaneng Group while achieving its own high-quality development.")</f>
        <v>Shanghai Electric will align with Huaneng Group's strategy to ensure the quality and quantity of its ongoing projects, coordinate efforts in domestic and international energy markets, and effectively implement traditional energy transformation and new energy layout. Following Huaneng Group's strategic development path, Shanghai Electric will continuously form an integrated service model from resources to equipment to market expansion under the new power system, thereby contributing to the healthy development of Huaneng Group while achieving its own high-quality development.</v>
      </c>
      <c r="B5335" s="1" t="str">
        <f ca="1">IFERROR(__xludf.DUMMYFUNCTION("GOOGLETRANSLATE(A5335, ""zh"", ""en"")"),"Technological innovation")</f>
        <v>Technological innovation</v>
      </c>
      <c r="C5335" s="1" t="str">
        <f ca="1">IFERROR(__xludf.DUMMYFUNCTION("GOOGLETRANSLATE(E5335, ""zh"", ""en"")"),"Qualitative text")</f>
        <v>Qualitative text</v>
      </c>
    </row>
    <row r="5336" spans="1:3" ht="13" x14ac:dyDescent="0.15">
      <c r="A5336" s="1" t="str">
        <f ca="1">IFERROR(__xludf.DUMMYFUNCTION("GOOGLETRANSLATE(A5336, ""zh"", ""en"")"),"Labor management, business ethics management, supplier anti-corruption training, a total of 1,086 suppliers obtained ISO9000 certification, 629 obtained ISO14000 certification, self-commitment on-site audits, credit rating evaluation. We evaluate the qual"&amp;"ifications and capabilities of suppliers through self-commitment, with compliance with labor regulations, business ethics, environmental protection, and conflict minerals being key assessment items.")</f>
        <v>Labor management, business ethics management, supplier anti-corruption training, a total of 1,086 suppliers obtained ISO9000 certification, 629 obtained ISO14000 certification, self-commitment on-site audits, credit rating evaluation. We evaluate the qualifications and capabilities of suppliers through self-commitment, with compliance with labor regulations, business ethics, environmental protection, and conflict minerals being key assessment items.</v>
      </c>
      <c r="B5336" s="1" t="str">
        <f ca="1">IFERROR(__xludf.DUMMYFUNCTION("GOOGLETRANSLATE(A5336, ""zh"", ""en"")"),"supply chain management")</f>
        <v>supply chain management</v>
      </c>
      <c r="C5336" s="1" t="str">
        <f ca="1">IFERROR(__xludf.DUMMYFUNCTION("GOOGLETRANSLATE(E5336, ""zh"", ""en"")"),"Quantitative Text")</f>
        <v>Quantitative Text</v>
      </c>
    </row>
    <row r="5337" spans="1:3" ht="13" x14ac:dyDescent="0.15">
      <c r="A5337" s="1" t="str">
        <f ca="1">IFERROR(__xludf.DUMMYFUNCTION("GOOGLETRANSLATE(A5337, ""zh"", ""en"")"),"Haier Smart Home held a technology exchange event on Science and Technology Day. Development level 65257 Speed-up level 27824 Warning level 585 In the future, we will continue to deepen our responsible procurement strategy, leverage the driving role of co"&amp;"re enterprises in the supply chain, continuously strengthen supplier management, and adopt higher standards of environmental and social risk management requirements for suppliers. We will practice green procurement and collaborate with the industry for co"&amp;"mmon development while developing ourselves.")</f>
        <v>Haier Smart Home held a technology exchange event on Science and Technology Day. Development level 65257 Speed-up level 27824 Warning level 585 In the future, we will continue to deepen our responsible procurement strategy, leverage the driving role of core enterprises in the supply chain, continuously strengthen supplier management, and adopt higher standards of environmental and social risk management requirements for suppliers. We will practice green procurement and collaborate with the industry for common development while developing ourselves.</v>
      </c>
      <c r="B5337" s="1" t="str">
        <f ca="1">IFERROR(__xludf.DUMMYFUNCTION("GOOGLETRANSLATE(A5337, ""zh"", ""en"")"),"supply chain management")</f>
        <v>supply chain management</v>
      </c>
      <c r="C5337" s="1" t="str">
        <f ca="1">IFERROR(__xludf.DUMMYFUNCTION("GOOGLETRANSLATE(E5337, ""zh"", ""en"")"),"Qualitative text")</f>
        <v>Qualitative text</v>
      </c>
    </row>
    <row r="5338" spans="1:3" ht="13" x14ac:dyDescent="0.15">
      <c r="A5338" s="1" t="str">
        <f ca="1">IFERROR(__xludf.DUMMYFUNCTION("GOOGLETRANSLATE(A5338, ""zh"", ""en"")"),"Procurement informatization: Hubei Renfu Pharmaceuticals, Huawei Cloud Computing Technology Co., Ltd., and Wuhan Defa Electronics jointly established the Honghu Joint R&amp;D Center to build a data service platform with proprietary intellectual property right"&amp;"s. Through a unified data platform and intelligent analysis technology, data-driven business intelligence is used to better enhance business innovation and rapid market response capabilities, further supporting the construction of new business models.")</f>
        <v>Procurement informatization: Hubei Renfu Pharmaceuticals, Huawei Cloud Computing Technology Co., Ltd., and Wuhan Defa Electronics jointly established the Honghu Joint R&amp;D Center to build a data service platform with proprietary intellectual property rights. Through a unified data platform and intelligent analysis technology, data-driven business intelligence is used to better enhance business innovation and rapid market response capabilities, further supporting the construction of new business models.</v>
      </c>
      <c r="B5338" s="1" t="str">
        <f ca="1">IFERROR(__xludf.DUMMYFUNCTION("GOOGLETRANSLATE(A5338, ""zh"", ""en"")"),"Technological innovation")</f>
        <v>Technological innovation</v>
      </c>
      <c r="C5338" s="1" t="str">
        <f ca="1">IFERROR(__xludf.DUMMYFUNCTION("GOOGLETRANSLATE(E5338, ""zh"", ""en"")"),"Qualitative text")</f>
        <v>Qualitative text</v>
      </c>
    </row>
    <row r="5339" spans="1:3" ht="13" x14ac:dyDescent="0.15">
      <c r="A5339" s="1" t="str">
        <f ca="1">IFERROR(__xludf.DUMMYFUNCTION("GOOGLETRANSLATE(A5339, ""zh"", ""en"")"),"Shanghai Electric has equipped traditional thermal power plants with the most powerful brain, the Xunming Wind Farm Digital Design Platform. As one of China's largest energy equipment manufacturers, Shanghai Electric prioritizes the country's dual-carbon "&amp;"strategy and comprehensive green and low-carbon transformation. It has established three major paths: energy substitution, energy efficiency improvement, and resource utilization. It is using intelligent digitalization as a means to create an intelligent "&amp;"and collaborative smart energy system, helping to accelerate the energy revolution.")</f>
        <v>Shanghai Electric has equipped traditional thermal power plants with the most powerful brain, the Xunming Wind Farm Digital Design Platform. As one of China's largest energy equipment manufacturers, Shanghai Electric prioritizes the country's dual-carbon strategy and comprehensive green and low-carbon transformation. It has established three major paths: energy substitution, energy efficiency improvement, and resource utilization. It is using intelligent digitalization as a means to create an intelligent and collaborative smart energy system, helping to accelerate the energy revolution.</v>
      </c>
      <c r="B5339" s="1" t="str">
        <f ca="1">IFERROR(__xludf.DUMMYFUNCTION("GOOGLETRANSLATE(A5339, ""zh"", ""en"")"),"Energy and resource consumption")</f>
        <v>Energy and resource consumption</v>
      </c>
      <c r="C5339" s="1" t="str">
        <f ca="1">IFERROR(__xludf.DUMMYFUNCTION("GOOGLETRANSLATE(E5339, ""zh"", ""en"")"),"Qualitative text")</f>
        <v>Qualitative text</v>
      </c>
    </row>
    <row r="5340" spans="1:3" ht="13" x14ac:dyDescent="0.15">
      <c r="A5340" s="1" t="str">
        <f ca="1">IFERROR(__xludf.DUMMYFUNCTION("GOOGLETRANSLATE(A5340, ""zh"", ""en"")"),"Real-time monitoring of VOCs components in the device area Biodiversity protection Sinopec strictly abides by the Environmental Protection Law and the United Nations Convention on Biological Diversity and attaches great importance to ecological environmen"&amp;"tal protection. It has established and improved the ecological protection management system and formulated Sinopec Environmental Protection Management Regulations. Sinopec Ecological Protection Management Measures and other documents stipulate ecological "&amp;"protection requirements for each stage of the project construction and operation period.")</f>
        <v>Real-time monitoring of VOCs components in the device area Biodiversity protection Sinopec strictly abides by the Environmental Protection Law and the United Nations Convention on Biological Diversity and attaches great importance to ecological environmental protection. It has established and improved the ecological protection management system and formulated Sinopec Environmental Protection Management Regulations. Sinopec Ecological Protection Management Measures and other documents stipulate ecological protection requirements for each stage of the project construction and operation period.</v>
      </c>
      <c r="B5340" s="1" t="str">
        <f ca="1">IFERROR(__xludf.DUMMYFUNCTION("GOOGLETRANSLATE(A5340, ""zh"", ""en"")"),"biodiversity")</f>
        <v>biodiversity</v>
      </c>
      <c r="C5340" s="1" t="str">
        <f ca="1">IFERROR(__xludf.DUMMYFUNCTION("GOOGLETRANSLATE(E5340, ""zh"", ""en"")"),"Qualitative text")</f>
        <v>Qualitative text</v>
      </c>
    </row>
    <row r="5341" spans="1:3" ht="13" x14ac:dyDescent="0.15">
      <c r="A5341" s="1" t="str">
        <f ca="1">IFERROR(__xludf.DUMMYFUNCTION("GOOGLETRANSLATE(A5341, ""zh"", ""en"")"),"5.3 Quality Culture Construction Kangyuan attaches great importance to product quality training and promotion. Based on GMP, GSP, VPC, NAS and other standards, it establishes employee quality training management procedures. Every year, it organizes qualit"&amp;"y month activities, course training, cultural promotion and other means to strengthen employees' product quality awareness, improve the product quality management capabilities of relevant practitioners, and create a company culture centered on product qua"&amp;"lity and safety.")</f>
        <v>5.3 Quality Culture Construction Kangyuan attaches great importance to product quality training and promotion. Based on GMP, GSP, VPC, NAS and other standards, it establishes employee quality training management procedures. Every year, it organizes quality month activities, course training, cultural promotion and other means to strengthen employees' product quality awareness, improve the product quality management capabilities of relevant practitioners, and create a company culture centered on product quality and safety.</v>
      </c>
      <c r="B5341" s="1" t="str">
        <f ca="1">IFERROR(__xludf.DUMMYFUNCTION("GOOGLETRANSLATE(A5341, ""zh"", ""en"")"),"Product quality")</f>
        <v>Product quality</v>
      </c>
      <c r="C5341" s="1" t="str">
        <f ca="1">IFERROR(__xludf.DUMMYFUNCTION("GOOGLETRANSLATE(E5341, ""zh"", ""en"")"),"Qualitative text")</f>
        <v>Qualitative text</v>
      </c>
    </row>
    <row r="5342" spans="1:3" ht="13" x14ac:dyDescent="0.15">
      <c r="A5342" s="1" t="str">
        <f ca="1">IFERROR(__xludf.DUMMYFUNCTION("GOOGLETRANSLATE(A5342, ""zh"", ""en"")"),"In simulated transportation tests, we examined the stability of Shutanlin after being placed at a temperature of 20°C for 10 days and at 40°C for one month. We used the changing trends of the test data to predict possible product quality risks and provide"&amp;" standardized guidance to transportation units to ensure that product quality is not compromised during transportation, thus controlling product quality and safety risks from the source.")</f>
        <v>In simulated transportation tests, we examined the stability of Shutanlin after being placed at a temperature of 20°C for 10 days and at 40°C for one month. We used the changing trends of the test data to predict possible product quality risks and provide standardized guidance to transportation units to ensure that product quality is not compromised during transportation, thus controlling product quality and safety risks from the source.</v>
      </c>
      <c r="B5342" s="1" t="str">
        <f ca="1">IFERROR(__xludf.DUMMYFUNCTION("GOOGLETRANSLATE(A5342, ""zh"", ""en"")"),"Product quality")</f>
        <v>Product quality</v>
      </c>
      <c r="C5342" s="1" t="str">
        <f ca="1">IFERROR(__xludf.DUMMYFUNCTION("GOOGLETRANSLATE(E5342, ""zh"", ""en"")"),"Qualitative text")</f>
        <v>Qualitative text</v>
      </c>
    </row>
    <row r="5343" spans="1:3" ht="13" x14ac:dyDescent="0.15">
      <c r="A5343" s="1" t="str">
        <f ca="1">IFERROR(__xludf.DUMMYFUNCTION("GOOGLETRANSLATE(A5343, ""zh"", ""en"")"),"Villagers making bamboo products, SDIC Capital's 2022 ESG report, Financial Services for Green Development, 4041 Green Guarantees, SDIC Capital promotes China Investment and Insurance Corporation's focus on its core guarantee business, centered around reg"&amp;"ional collaborative green development, inclusive finance, and other national strategies. We are vigorously developing green guarantee businesses, with a focus on developing green bonds, rural industrial integration, electronic bills, and other new guarant"&amp;"ee business models, contributing to the construction of a beautiful China.")</f>
        <v>Villagers making bamboo products, SDIC Capital's 2022 ESG report, Financial Services for Green Development, 4041 Green Guarantees, SDIC Capital promotes China Investment and Insurance Corporation's focus on its core guarantee business, centered around regional collaborative green development, inclusive finance, and other national strategies. We are vigorously developing green guarantee businesses, with a focus on developing green bonds, rural industrial integration, electronic bills, and other new guarantee business models, contributing to the construction of a beautiful China.</v>
      </c>
      <c r="B5343" s="1" t="str">
        <f ca="1">IFERROR(__xludf.DUMMYFUNCTION("GOOGLETRANSLATE(A5343, ""zh"", ""en"")"),"Green Finance")</f>
        <v>Green Finance</v>
      </c>
      <c r="C5343" s="1" t="str">
        <f ca="1">IFERROR(__xludf.DUMMYFUNCTION("GOOGLETRANSLATE(E5343, ""zh"", ""en"")"),"Qualitative text")</f>
        <v>Qualitative text</v>
      </c>
    </row>
    <row r="5344" spans="1:3" ht="13" x14ac:dyDescent="0.15">
      <c r="A5344" s="1" t="str">
        <f ca="1">IFERROR(__xludf.DUMMYFUNCTION("GOOGLETRANSLATE(A5344, ""zh"", ""en"")"),"COSL's 2022 New Employee Orientation Training; COSL's 2022 Vocational Skills Competition Case Study; COSL Uganda holds its first batch of local new employee orientation training; COSL 2022 ESG Report 51; COSL consistently adheres to its internationalizati"&amp;"on strategy; its overseas market size continues to grow year by year; its business has expanded to more than 40 countries and regions in Asia Pacific, the Middle East, Americas, Europe, Africa, and other regions.")</f>
        <v>COSL's 2022 New Employee Orientation Training; COSL's 2022 Vocational Skills Competition Case Study; COSL Uganda holds its first batch of local new employee orientation training; COSL 2022 ESG Report 51; COSL consistently adheres to its internationalization strategy; its overseas market size continues to grow year by year; its business has expanded to more than 40 countries and regions in Asia Pacific, the Middle East, Americas, Europe, Africa, and other regions.</v>
      </c>
      <c r="B5344" s="1" t="str">
        <f ca="1">IFERROR(__xludf.DUMMYFUNCTION("GOOGLETRANSLATE(A5344, ""zh"", ""en"")"),"Organizational structure and operations")</f>
        <v>Organizational structure and operations</v>
      </c>
      <c r="C5344" s="1" t="str">
        <f ca="1">IFERROR(__xludf.DUMMYFUNCTION("GOOGLETRANSLATE(E5344, ""zh"", ""en"")"),"Quantitative Text")</f>
        <v>Quantitative Text</v>
      </c>
    </row>
    <row r="5345" spans="1:3" ht="13" x14ac:dyDescent="0.15">
      <c r="A5345" s="1" t="str">
        <f ca="1">IFERROR(__xludf.DUMMYFUNCTION("GOOGLETRANSLATE(A5345, ""zh"", ""en"")"),"The company actively conducts environmental impact assessments in its production and operation activities in accordance with the Environmental Impact Assessment Law of the People's Republic of China and the Regulations on Environmental Protection Manageme"&amp;"nt of Construction Projects. It strengthens the identification and assessment of environmentally sensitive areas and environmental risks, formulates countermeasures and measures to prevent or mitigate adverse environmental impacts, and tracks the effectiv"&amp;"eness of these measures in real time to avoid or mitigate environmental impacts and reduce business risks.")</f>
        <v>The company actively conducts environmental impact assessments in its production and operation activities in accordance with the Environmental Impact Assessment Law of the People's Republic of China and the Regulations on Environmental Protection Management of Construction Projects. It strengthens the identification and assessment of environmentally sensitive areas and environmental risks, formulates countermeasures and measures to prevent or mitigate adverse environmental impacts, and tracks the effectiveness of these measures in real time to avoid or mitigate environmental impacts and reduce business risks.</v>
      </c>
      <c r="B5345" s="1" t="str">
        <f ca="1">IFERROR(__xludf.DUMMYFUNCTION("GOOGLETRANSLATE(A5345, ""zh"", ""en"")"),"Environmental Policy")</f>
        <v>Environmental Policy</v>
      </c>
      <c r="C5345" s="1" t="str">
        <f ca="1">IFERROR(__xludf.DUMMYFUNCTION("GOOGLETRANSLATE(E5345, ""zh"", ""en"")"),"Qualitative text")</f>
        <v>Qualitative text</v>
      </c>
    </row>
    <row r="5346" spans="1:3" ht="13" x14ac:dyDescent="0.15">
      <c r="A5346" s="1" t="str">
        <f ca="1">IFERROR(__xludf.DUMMYFUNCTION("GOOGLETRANSLATE(A5346, ""zh"", ""en"")"),"Rural revitalization helps achieve common prosperity. 11 Adhering to its vision of becoming a leading global sustainable development bank, China Construction Bank established a leadership group for carbon peaking and carbon neutrality, released a strategi"&amp;"c plan for green finance development, and launched a 2022-2025 action plan for carbon peaking and carbon neutrality. Green concepts will be integrated into operations and management to create a green product system encompassing green credit, green bonds, "&amp;"green funds, and green leasing.")</f>
        <v>Rural revitalization helps achieve common prosperity. 11 Adhering to its vision of becoming a leading global sustainable development bank, China Construction Bank established a leadership group for carbon peaking and carbon neutrality, released a strategic plan for green finance development, and launched a 2022-2025 action plan for carbon peaking and carbon neutrality. Green concepts will be integrated into operations and management to create a green product system encompassing green credit, green bonds, green funds, and green leasing.</v>
      </c>
      <c r="B5346" s="1" t="str">
        <f ca="1">IFERROR(__xludf.DUMMYFUNCTION("GOOGLETRANSLATE(A5346, ""zh"", ""en"")"),"carbon emissions")</f>
        <v>carbon emissions</v>
      </c>
      <c r="C5346" s="1" t="str">
        <f ca="1">IFERROR(__xludf.DUMMYFUNCTION("GOOGLETRANSLATE(E5346, ""zh"", ""en"")"),"Qualitative text")</f>
        <v>Qualitative text</v>
      </c>
    </row>
    <row r="5347" spans="1:3" ht="13" x14ac:dyDescent="0.15">
      <c r="A5347" s="1" t="str">
        <f ca="1">IFERROR(__xludf.DUMMYFUNCTION("GOOGLETRANSLATE(A5347, ""zh"", ""en"")"),"Shanghai Electric strictly abides by the Company Law, the Securities Law, the Code of Corporate Governance for Listed Companies, and other laws and regulations on listed company governance. It has established a comprehensive and efficient corporate govern"&amp;"ance structure consisting of the General Meeting of Shareholders, the Board of Supervisors, the Board of Directors, and the management. Under the Board of Directors, it has established governance bodies such as the Strategy Committee, the Compensation Com"&amp;"mittee, the Nomination Committee, and the Audit Committee to ensure the compliance and transparency of the company's operations.")</f>
        <v>Shanghai Electric strictly abides by the Company Law, the Securities Law, the Code of Corporate Governance for Listed Companies, and other laws and regulations on listed company governance. It has established a comprehensive and efficient corporate governance structure consisting of the General Meeting of Shareholders, the Board of Supervisors, the Board of Directors, and the management. Under the Board of Directors, it has established governance bodies such as the Strategy Committee, the Compensation Committee, the Nomination Committee, and the Audit Committee to ensure the compliance and transparency of the company's operations.</v>
      </c>
      <c r="B5347" s="1" t="str">
        <f ca="1">IFERROR(__xludf.DUMMYFUNCTION("GOOGLETRANSLATE(A5347, ""zh"", ""en"")"),"Organizational structure and operations")</f>
        <v>Organizational structure and operations</v>
      </c>
      <c r="C5347" s="1" t="str">
        <f ca="1">IFERROR(__xludf.DUMMYFUNCTION("GOOGLETRANSLATE(E5347, ""zh"", ""en"")"),"Qualitative text")</f>
        <v>Qualitative text</v>
      </c>
    </row>
    <row r="5348" spans="1:3" ht="13" x14ac:dyDescent="0.15">
      <c r="A5348" s="1" t="str">
        <f ca="1">IFERROR(__xludf.DUMMYFUNCTION("GOOGLETRANSLATE(A5348, ""zh"", ""en"")"),"The company organizes third-party service agencies to conduct annual occupational disease hazard site inspections in production areas. It also completes the pre-assessment of occupational disease hazards in the second phase of the expansion project. Emplo"&amp;"yees in occupational disease hazard positions complete pre-employment, post-departure, and annual occupational health examinations. A personal occupational health file is established for each employee in a position with potential occupational disease haza"&amp;"rds, and occupational health-related knowledge is included in the department's daily training management.")</f>
        <v>The company organizes third-party service agencies to conduct annual occupational disease hazard site inspections in production areas. It also completes the pre-assessment of occupational disease hazards in the second phase of the expansion project. Employees in occupational disease hazard positions complete pre-employment, post-departure, and annual occupational health examinations. A personal occupational health file is established for each employee in a position with potential occupational disease hazards, and occupational health-related knowledge is included in the department's daily training management.</v>
      </c>
      <c r="B5348" s="1" t="str">
        <f ca="1">IFERROR(__xludf.DUMMYFUNCTION("GOOGLETRANSLATE(A5348, ""zh"", ""en"")"),"staff")</f>
        <v>staff</v>
      </c>
      <c r="C5348" s="1" t="str">
        <f ca="1">IFERROR(__xludf.DUMMYFUNCTION("GOOGLETRANSLATE(E5348, ""zh"", ""en"")"),"Qualitative text")</f>
        <v>Qualitative text</v>
      </c>
    </row>
    <row r="5349" spans="1:3" ht="13" x14ac:dyDescent="0.15">
      <c r="A5349" s="1" t="str">
        <f ca="1">IFERROR(__xludf.DUMMYFUNCTION("GOOGLETRANSLATE(A5349, ""zh"", ""en"")"),"To strengthen the Party's work style and clean governance in the procurement field and prevent various disciplinary and illegal behaviors that seek improper benefits in procurement activities, Shanghai Electric has implemented a dual-contract signing mech"&amp;"anism for procurement contracts and clean governance agreements for all suppliers, requiring them to sign clean governance agreements when entering into contracts. The agreements also specify various responsibilities and strong disciplinary measures in th"&amp;"e clauses to regulate supplier behavior and reduce procurement compliance risks.")</f>
        <v>To strengthen the Party's work style and clean governance in the procurement field and prevent various disciplinary and illegal behaviors that seek improper benefits in procurement activities, Shanghai Electric has implemented a dual-contract signing mechanism for procurement contracts and clean governance agreements for all suppliers, requiring them to sign clean governance agreements when entering into contracts. The agreements also specify various responsibilities and strong disciplinary measures in the clauses to regulate supplier behavior and reduce procurement compliance risks.</v>
      </c>
      <c r="B5349" s="1" t="str">
        <f ca="1">IFERROR(__xludf.DUMMYFUNCTION("GOOGLETRANSLATE(A5349, ""zh"", ""en"")"),"Anti-corruption and anti-money laundering")</f>
        <v>Anti-corruption and anti-money laundering</v>
      </c>
      <c r="C5349" s="1" t="str">
        <f ca="1">IFERROR(__xludf.DUMMYFUNCTION("GOOGLETRANSLATE(E5349, ""zh"", ""en"")"),"Qualitative text")</f>
        <v>Qualitative text</v>
      </c>
    </row>
    <row r="5350" spans="1:3" ht="13" x14ac:dyDescent="0.15">
      <c r="A5350" s="1" t="str">
        <f ca="1">IFERROR(__xludf.DUMMYFUNCTION("GOOGLETRANSLATE(A5350, ""zh"", ""en"")"),"To further boost morale and gather strength for progress, and to lead high-quality development with high-quality party building, the Group Party Committee launched and implemented tens of millions of party building projects, created dozens of party buildi"&amp;"ng brands, established hundreds of party member assault teams, set up thousands of party member demonstration posts, and fulfilled the job commitments of tens of thousands of party members, and promoted party organizations at all levels and all party memb"&amp;"ers to take the initiative and strive for excellence in the implementation of the group's new round of strategies.")</f>
        <v>To further boost morale and gather strength for progress, and to lead high-quality development with high-quality party building, the Group Party Committee launched and implemented tens of millions of party building projects, created dozens of party building brands, established hundreds of party member assault teams, set up thousands of party member demonstration posts, and fulfilled the job commitments of tens of thousands of party members, and promoted party organizations at all levels and all party members to take the initiative and strive for excellence in the implementation of the group's new round of strategies.</v>
      </c>
      <c r="B5350" s="1" t="str">
        <f ca="1">IFERROR(__xludf.DUMMYFUNCTION("GOOGLETRANSLATE(A5350, ""zh"", ""en"")"),"Organizational structure and operations")</f>
        <v>Organizational structure and operations</v>
      </c>
      <c r="C5350" s="1" t="str">
        <f ca="1">IFERROR(__xludf.DUMMYFUNCTION("GOOGLETRANSLATE(E5350, ""zh"", ""en"")"),"Qualitative text")</f>
        <v>Qualitative text</v>
      </c>
    </row>
    <row r="5351" spans="1:3" ht="13" x14ac:dyDescent="0.15">
      <c r="A5351" s="1" t="str">
        <f ca="1">IFERROR(__xludf.DUMMYFUNCTION("GOOGLETRANSLATE(A5351, ""zh"", ""en"")"),"Through the EcoMatcher platform, volunteers from CLSA purchased and planted over 4,400 trees in Ecuador, Kenya, Uganda, Indonesia, Malaysia, the Philippines, Thailand, and Peru. They established the CLSA Forest and hired local gardeners to care for the tr"&amp;"ees, playing an active role in local environmental sustainability and community support.")</f>
        <v>Through the EcoMatcher platform, volunteers from CLSA purchased and planted over 4,400 trees in Ecuador, Kenya, Uganda, Indonesia, Malaysia, the Philippines, Thailand, and Peru. They established the CLSA Forest and hired local gardeners to care for the trees, playing an active role in local environmental sustainability and community support.</v>
      </c>
      <c r="B5351" s="1" t="str">
        <f ca="1">IFERROR(__xludf.DUMMYFUNCTION("GOOGLETRANSLATE(A5351, ""zh"", ""en"")"),"Public welfare and volunteer service")</f>
        <v>Public welfare and volunteer service</v>
      </c>
      <c r="C5351" s="1" t="str">
        <f ca="1">IFERROR(__xludf.DUMMYFUNCTION("GOOGLETRANSLATE(E5351, ""zh"", ""en"")"),"Quantitative Text")</f>
        <v>Quantitative Text</v>
      </c>
    </row>
    <row r="5352" spans="1:3" ht="13" x14ac:dyDescent="0.15">
      <c r="A5352" s="1" t="str">
        <f ca="1">IFERROR(__xludf.DUMMYFUNCTION("GOOGLETRANSLATE(A5352, ""zh"", ""en"")"),"To promote mutual understanding between the company and employees and enhance employees' sense of belonging to the company, the group labor union regularly holds employee representative conferences to maintain close communication with employees. It also o"&amp;"rganizes monthly canteen and dormitory discussions to gain a comprehensive understanding of the actual conditions of grassroots employees in terms of food and accommodation. By soliciting reasonable opinions from employees, we further improve various rule"&amp;"s and regulations to better protect the rights and interests of employees.")</f>
        <v>To promote mutual understanding between the company and employees and enhance employees' sense of belonging to the company, the group labor union regularly holds employee representative conferences to maintain close communication with employees. It also organizes monthly canteen and dormitory discussions to gain a comprehensive understanding of the actual conditions of grassroots employees in terms of food and accommodation. By soliciting reasonable opinions from employees, we further improve various rules and regulations to better protect the rights and interests of employees.</v>
      </c>
      <c r="B5352" s="1" t="str">
        <f ca="1">IFERROR(__xludf.DUMMYFUNCTION("GOOGLETRANSLATE(A5352, ""zh"", ""en"")"),"staff")</f>
        <v>staff</v>
      </c>
      <c r="C5352" s="1" t="str">
        <f ca="1">IFERROR(__xludf.DUMMYFUNCTION("GOOGLETRANSLATE(E5352, ""zh"", ""en"")"),"Qualitative text")</f>
        <v>Qualitative text</v>
      </c>
    </row>
    <row r="5353" spans="1:3" ht="13" x14ac:dyDescent="0.15">
      <c r="A5353" s="1" t="str">
        <f ca="1">IFERROR(__xludf.DUMMYFUNCTION("GOOGLETRANSLATE(A5353, ""zh"", ""en"")"),"Livzon Group's Case Study on Addressing Antimicrobial Resistance 50: Joincare Pharmaceutical Group Co., Ltd. Assists Local Manufacturers in Capacity Building. As a supplier of APIs, Joincare's subsidiary, Livzon Group, actively shares research findings an"&amp;"d conducts technology transfer in less-developed countries and regions overseas, enhancing the manufacturing capabilities of local pharmaceutical manufacturers to meet applicable international pharmaceutical manufacturing standards.")</f>
        <v>Livzon Group's Case Study on Addressing Antimicrobial Resistance 50: Joincare Pharmaceutical Group Co., Ltd. Assists Local Manufacturers in Capacity Building. As a supplier of APIs, Joincare's subsidiary, Livzon Group, actively shares research findings and conducts technology transfer in less-developed countries and regions overseas, enhancing the manufacturing capabilities of local pharmaceutical manufacturers to meet applicable international pharmaceutical manufacturing standards.</v>
      </c>
      <c r="B5353" s="1" t="str">
        <f ca="1">IFERROR(__xludf.DUMMYFUNCTION("GOOGLETRANSLATE(A5353, ""zh"", ""en"")"),"Technological innovation")</f>
        <v>Technological innovation</v>
      </c>
      <c r="C5353" s="1" t="str">
        <f ca="1">IFERROR(__xludf.DUMMYFUNCTION("GOOGLETRANSLATE(E5353, ""zh"", ""en"")"),"Qualitative text")</f>
        <v>Qualitative text</v>
      </c>
    </row>
    <row r="5354" spans="1:3" ht="13" x14ac:dyDescent="0.15">
      <c r="A5354" s="1" t="str">
        <f ca="1">IFERROR(__xludf.DUMMYFUNCTION("GOOGLETRANSLATE(A5354, ""zh"", ""en"")"),"45 CITIC Securities 2022 Annual Social Responsibility Report 3. Compliance Management The Company strictly abides by the Securities Law, the Compliance Management Measures for Securities Companies and Securities Investment Fund Management Companies, and o"&amp;"ther laws and regulations. In accordance with these regulations, it formulates compliance management systems such as the ""Integrity Practice Rules"" and the ""Integrity Wall System"" to prevent compliance risks in areas such as anti-money laundering, int"&amp;"egrity in practice, and compliance performance, providing a solid foundation for the Company's stable operations.")</f>
        <v>45 CITIC Securities 2022 Annual Social Responsibility Report 3. Compliance Management The Company strictly abides by the Securities Law, the Compliance Management Measures for Securities Companies and Securities Investment Fund Management Companies, and other laws and regulations. In accordance with these regulations, it formulates compliance management systems such as the "Integrity Practice Rules" and the "Integrity Wall System" to prevent compliance risks in areas such as anti-money laundering, integrity in practice, and compliance performance, providing a solid foundation for the Company's stable operations.</v>
      </c>
      <c r="B5354" s="1" t="str">
        <f ca="1">IFERROR(__xludf.DUMMYFUNCTION("GOOGLETRANSLATE(A5354, ""zh"", ""en"")"),"Anti-corruption and anti-money laundering")</f>
        <v>Anti-corruption and anti-money laundering</v>
      </c>
      <c r="C5354" s="1" t="str">
        <f ca="1">IFERROR(__xludf.DUMMYFUNCTION("GOOGLETRANSLATE(E5354, ""zh"", ""en"")"),"Qualitative text")</f>
        <v>Qualitative text</v>
      </c>
    </row>
    <row r="5355" spans="1:3" ht="13" x14ac:dyDescent="0.15">
      <c r="A5355" s="1" t="str">
        <f ca="1">IFERROR(__xludf.DUMMYFUNCTION("GOOGLETRANSLATE(A5355, ""zh"", ""en"")"),"Case CASE In 2022, we hosted and participated in the first China National Petroleum Corporation pre-employment training camp, the first China National Petroleum Corporation technical skills competition, the first China National Petroleum Corporation firef"&amp;"ighter technical skills competition, the reservoir dynamic analysis professional skills competition, and the 2022 online skills training event for the petroleum and petrochemical industry. On May 9, 2022, the company launched its first 6-week pre-employme"&amp;"nt training camp.")</f>
        <v>Case CASE In 2022, we hosted and participated in the first China National Petroleum Corporation pre-employment training camp, the first China National Petroleum Corporation technical skills competition, the first China National Petroleum Corporation firefighter technical skills competition, the reservoir dynamic analysis professional skills competition, and the 2022 online skills training event for the petroleum and petrochemical industry. On May 9, 2022, the company launched its first 6-week pre-employment training camp.</v>
      </c>
      <c r="B5355" s="1" t="str">
        <f ca="1">IFERROR(__xludf.DUMMYFUNCTION("GOOGLETRANSLATE(A5355, ""zh"", ""en"")"),"staff")</f>
        <v>staff</v>
      </c>
      <c r="C5355" s="1" t="str">
        <f ca="1">IFERROR(__xludf.DUMMYFUNCTION("GOOGLETRANSLATE(E5355, ""zh"", ""en"")"),"Qualitative text")</f>
        <v>Qualitative text</v>
      </c>
    </row>
    <row r="5356" spans="1:3" ht="13" x14ac:dyDescent="0.15">
      <c r="A5356" s="1" t="str">
        <f ca="1">IFERROR(__xludf.DUMMYFUNCTION("GOOGLETRANSLATE(A5356, ""zh"", ""en"")"),"The company actively responds to the United Nations 2030 Agenda for Sustainable Development and international environmental protection conventions with extensive influence, strictly abides by the Environmental Protection Law of the People's Republic of Ch"&amp;"ina (hereinafter referred to as the Environmental Protection Law) and other relevant laws and regulations, implements national and industry environmental protection standards, and draws on industry-leading environmental protection practices to formulate a"&amp;"nd implement the company's environmental protection management regulations and improve the environmental risk management mechanism.")</f>
        <v>The company actively responds to the United Nations 2030 Agenda for Sustainable Development and international environmental protection conventions with extensive influence, strictly abides by the Environmental Protection Law of the People's Republic of China (hereinafter referred to as the Environmental Protection Law) and other relevant laws and regulations, implements national and industry environmental protection standards, and draws on industry-leading environmental protection practices to formulate and implement the company's environmental protection management regulations and improve the environmental risk management mechanism.</v>
      </c>
      <c r="B5356" s="1" t="str">
        <f ca="1">IFERROR(__xludf.DUMMYFUNCTION("GOOGLETRANSLATE(A5356, ""zh"", ""en"")"),"Environmental Policy")</f>
        <v>Environmental Policy</v>
      </c>
      <c r="C5356" s="1" t="str">
        <f ca="1">IFERROR(__xludf.DUMMYFUNCTION("GOOGLETRANSLATE(E5356, ""zh"", ""en"")"),"Qualitative text")</f>
        <v>Qualitative text</v>
      </c>
    </row>
    <row r="5357" spans="1:3" ht="13" x14ac:dyDescent="0.15">
      <c r="A5357" s="1" t="str">
        <f ca="1">IFERROR(__xludf.DUMMYFUNCTION("GOOGLETRANSLATE(A5357, ""zh"", ""en"")"),"Pharmacovigilance work for vaccine clinical trials and post-marketing continues to detect vaccine safety signals and risks. In 2022, the Group continued to improve pharmacovigilance and assessment, and strengthened the construction of data management syst"&amp;"ems with regulatory agencies in mainland China, Hong Kong, Macau and Taiwan. It also maintained in-depth exchanges with advanced global pharmacists and provided detailed setup and training for the biovigilance system ArisG, which facilitated the smooth im"&amp;"plementation of the project.")</f>
        <v>Pharmacovigilance work for vaccine clinical trials and post-marketing continues to detect vaccine safety signals and risks. In 2022, the Group continued to improve pharmacovigilance and assessment, and strengthened the construction of data management systems with regulatory agencies in mainland China, Hong Kong, Macau and Taiwan. It also maintained in-depth exchanges with advanced global pharmacists and provided detailed setup and training for the biovigilance system ArisG, which facilitated the smooth implementation of the project.</v>
      </c>
      <c r="B5357" s="1" t="str">
        <f ca="1">IFERROR(__xludf.DUMMYFUNCTION("GOOGLETRANSLATE(A5357, ""zh"", ""en"")"),"Fighting the epidemic")</f>
        <v>Fighting the epidemic</v>
      </c>
      <c r="C5357" s="1" t="str">
        <f ca="1">IFERROR(__xludf.DUMMYFUNCTION("GOOGLETRANSLATE(E5357, ""zh"", ""en"")"),"Qualitative text")</f>
        <v>Qualitative text</v>
      </c>
    </row>
    <row r="5358" spans="1:3" ht="13" x14ac:dyDescent="0.15">
      <c r="A5358" s="1" t="str">
        <f ca="1">IFERROR(__xludf.DUMMYFUNCTION("GOOGLETRANSLATE(A5358, ""zh"", ""en"")"),"Haier Smart Home believes that protecting intellectual property is protecting innovation and has always adhered to a patent strategy for high-quality development. It adheres to the patent principles of non-infringement and non-infringement, as well as ori"&amp;"ginality, uniqueness, co-creation and co-ownership. It has established a patent management system and operating mechanism centered on high-value patents, explored a protection model that integrates technology patents and standards, and actively promoted t"&amp;"he creation, protection, application and management of patents, achieving positive results.")</f>
        <v>Haier Smart Home believes that protecting intellectual property is protecting innovation and has always adhered to a patent strategy for high-quality development. It adheres to the patent principles of non-infringement and non-infringement, as well as originality, uniqueness, co-creation and co-ownership. It has established a patent management system and operating mechanism centered on high-value patents, explored a protection model that integrates technology patents and standards, and actively promoted the creation, protection, application and management of patents, achieving positive results.</v>
      </c>
      <c r="B5358" s="1" t="str">
        <f ca="1">IFERROR(__xludf.DUMMYFUNCTION("GOOGLETRANSLATE(A5358, ""zh"", ""en"")"),"Intellectual Property Protection")</f>
        <v>Intellectual Property Protection</v>
      </c>
      <c r="C5358" s="1" t="str">
        <f ca="1">IFERROR(__xludf.DUMMYFUNCTION("GOOGLETRANSLATE(E5358, ""zh"", ""en"")"),"Qualitative text")</f>
        <v>Qualitative text</v>
      </c>
    </row>
    <row r="5359" spans="1:3" ht="13" x14ac:dyDescent="0.15">
      <c r="A5359" s="1" t="str">
        <f ca="1">IFERROR(__xludf.DUMMYFUNCTION("GOOGLETRANSLATE(A5359, ""zh"", ""en"")"),"Seven member companies have been awarded the honorary title of ""Green Factory"" at the national, provincial and municipal levels. After the audit, an audit report was generated for the problems found. The audited companies formulated corrective and preve"&amp;"ntive measures plans. The Group will collect evidence in 2022. The headquarters EHS department will be responsible for following up on the rectification of the audit findings. ISO14001IS045001 dual system certification has been carried out.")</f>
        <v>Seven member companies have been awarded the honorary title of "Green Factory" at the national, provincial and municipal levels. After the audit, an audit report was generated for the problems found. The audited companies formulated corrective and preventive measures plans. The Group will collect evidence in 2022. The headquarters EHS department will be responsible for following up on the rectification of the audit findings. ISO14001IS045001 dual system certification has been carried out.</v>
      </c>
      <c r="B5359" s="1" t="str">
        <f ca="1">IFERROR(__xludf.DUMMYFUNCTION("GOOGLETRANSLATE(A5359, ""zh"", ""en"")"),"Sustainable certification")</f>
        <v>Sustainable certification</v>
      </c>
      <c r="C5359" s="1" t="str">
        <f ca="1">IFERROR(__xludf.DUMMYFUNCTION("GOOGLETRANSLATE(E5359, ""zh"", ""en"")"),"Qualitative text")</f>
        <v>Qualitative text</v>
      </c>
    </row>
    <row r="5360" spans="1:3" ht="13" x14ac:dyDescent="0.15">
      <c r="A5360" s="1" t="str">
        <f ca="1">IFERROR(__xludf.DUMMYFUNCTION("GOOGLETRANSLATE(A5360, ""zh"", ""en"")"),"Yatong Design discusses the police curtain fabric company's employee vocational skills competition and theoretical examination, achieving a brilliant life. The company attaches great importance to humanistic care and continuously improves the support syst"&amp;"em for employees in need. With the goal of protecting the physical and mental health of employees and improving their quality of life, it provides precise support and protection for employees in need, provides assistance and warmth subsidies, major diseas"&amp;"e medical treatment, teaching assistance, charity education funding, and other support activities.")</f>
        <v>Yatong Design discusses the police curtain fabric company's employee vocational skills competition and theoretical examination, achieving a brilliant life. The company attaches great importance to humanistic care and continuously improves the support system for employees in need. With the goal of protecting the physical and mental health of employees and improving their quality of life, it provides precise support and protection for employees in need, provides assistance and warmth subsidies, major disease medical treatment, teaching assistance, charity education funding, and other support activities.</v>
      </c>
      <c r="B5360" s="1" t="str">
        <f ca="1">IFERROR(__xludf.DUMMYFUNCTION("GOOGLETRANSLATE(A5360, ""zh"", ""en"")"),"staff")</f>
        <v>staff</v>
      </c>
      <c r="C5360" s="1" t="str">
        <f ca="1">IFERROR(__xludf.DUMMYFUNCTION("GOOGLETRANSLATE(E5360, ""zh"", ""en"")"),"Qualitative text")</f>
        <v>Qualitative text</v>
      </c>
    </row>
    <row r="5361" spans="1:3" ht="13" x14ac:dyDescent="0.15">
      <c r="A5361" s="1" t="str">
        <f ca="1">IFERROR(__xludf.DUMMYFUNCTION("GOOGLETRANSLATE(A5361, ""zh"", ""en"")"),"The method is to bring the selection, appointment, training and assessment of section chiefs into the company's unified management, explore the establishment of a ""three recommendations and one assessment"" section chief selection mechanism, select and r"&amp;"ecruit outstanding employees to work, focus on safety and quality, highlight efficiency as the center, improve the education and training responsibility system and management system, and focus on improving employees' awareness of production safety. Establ"&amp;"ish honorary section chief positions, give full play to their advantages in technical experience and other aspects, and do a good job in mentoring.")</f>
        <v>The method is to bring the selection, appointment, training and assessment of section chiefs into the company's unified management, explore the establishment of a "three recommendations and one assessment" section chief selection mechanism, select and recruit outstanding employees to work, focus on safety and quality, highlight efficiency as the center, improve the education and training responsibility system and management system, and focus on improving employees' awareness of production safety. Establish honorary section chief positions, give full play to their advantages in technical experience and other aspects, and do a good job in mentoring.</v>
      </c>
      <c r="B5361" s="1" t="str">
        <f ca="1">IFERROR(__xludf.DUMMYFUNCTION("GOOGLETRANSLATE(A5361, ""zh"", ""en"")"),"staff")</f>
        <v>staff</v>
      </c>
      <c r="C5361" s="1" t="str">
        <f ca="1">IFERROR(__xludf.DUMMYFUNCTION("GOOGLETRANSLATE(E5361, ""zh"", ""en"")"),"Qualitative text")</f>
        <v>Qualitative text</v>
      </c>
    </row>
    <row r="5362" spans="1:3" ht="13" x14ac:dyDescent="0.15">
      <c r="A5362" s="1" t="str">
        <f ca="1">IFERROR(__xludf.DUMMYFUNCTION("GOOGLETRANSLATE(A5362, ""zh"", ""en"")"),"Implement the principal responsibilities of shareholders, strengthen quality management throughout the life cycle, promote continuous quality improvement, enhance the professional skills and audit literacy of the Group's internal audit team, continuously "&amp;"expand the internal audit team, optimize quality and safety management, fill in key quality indicators, develop the reporting system and relevant reporting modules, conduct quality management review meetings, strengthen internal learning and promote high-"&amp;"quality development of the enterprise.")</f>
        <v>Implement the principal responsibilities of shareholders, strengthen quality management throughout the life cycle, promote continuous quality improvement, enhance the professional skills and audit literacy of the Group's internal audit team, continuously expand the internal audit team, optimize quality and safety management, fill in key quality indicators, develop the reporting system and relevant reporting modules, conduct quality management review meetings, strengthen internal learning and promote high-quality development of the enterprise.</v>
      </c>
      <c r="B5362" s="1" t="str">
        <f ca="1">IFERROR(__xludf.DUMMYFUNCTION("GOOGLETRANSLATE(A5362, ""zh"", ""en"")"),"Product quality")</f>
        <v>Product quality</v>
      </c>
      <c r="C5362" s="1" t="str">
        <f ca="1">IFERROR(__xludf.DUMMYFUNCTION("GOOGLETRANSLATE(E5362, ""zh"", ""en"")"),"Qualitative text")</f>
        <v>Qualitative text</v>
      </c>
    </row>
    <row r="5363" spans="1:3" ht="13" x14ac:dyDescent="0.15">
      <c r="A5363" s="1" t="str">
        <f ca="1">IFERROR(__xludf.DUMMYFUNCTION("GOOGLETRANSLATE(A5363, ""zh"", ""en"")"),"In 2021, the company purchased more than 400 tons of red potato, processed more than 50 tons of starch, and processed more than 50,000 kilograms of vermicelli, achieving sales revenue of more than 600,000 yuan. This not only allowed villagers to sell thei"&amp;"r own agricultural products without leaving their homes, but also created a radiating effect, driving the surrounding villages and towns to expand the sweet potato planting area and form a local characteristic industry. At the same time, it provided labor"&amp;" jobs for 33 villagers, increased the family income of people who had escaped poverty, and ensured the villagers' stable escape from poverty and prosperity.")</f>
        <v>In 2021, the company purchased more than 400 tons of red potato, processed more than 50 tons of starch, and processed more than 50,000 kilograms of vermicelli, achieving sales revenue of more than 600,000 yuan. This not only allowed villagers to sell their own agricultural products without leaving their homes, but also created a radiating effect, driving the surrounding villages and towns to expand the sweet potato planting area and form a local characteristic industry. At the same time, it provided labor jobs for 33 villagers, increased the family income of people who had escaped poverty, and ensured the villagers' stable escape from poverty and prosperity.</v>
      </c>
      <c r="B5363" s="1" t="str">
        <f ca="1">IFERROR(__xludf.DUMMYFUNCTION("GOOGLETRANSLATE(A5363, ""zh"", ""en"")"),"Rural assistance")</f>
        <v>Rural assistance</v>
      </c>
      <c r="C5363" s="1" t="str">
        <f ca="1">IFERROR(__xludf.DUMMYFUNCTION("GOOGLETRANSLATE(E5363, ""zh"", ""en"")"),"Quantitative Text")</f>
        <v>Quantitative Text</v>
      </c>
    </row>
    <row r="5364" spans="1:3" ht="13" x14ac:dyDescent="0.15">
      <c r="A5364" s="1" t="str">
        <f ca="1">IFERROR(__xludf.DUMMYFUNCTION("GOOGLETRANSLATE(A5364, ""zh"", ""en"")"),"In 2022, we will continue to accelerate the pace of digital system integration, focusing on scenarios in smart factories, industrial software, and industrial services, exploring industrial scenario solutions that combine manufacturing with digital technol"&amp;"ogies, and promoting the Industrial Internet platform to become a hub for data asset hosting and configuration. We will leverage the advantages of application scenarios and industrial data to optimize the efficiency of manufacturing resource allocation an"&amp;"d promote the coordinated development of the industrial chain, value chain, and innovation chain.")</f>
        <v>In 2022, we will continue to accelerate the pace of digital system integration, focusing on scenarios in smart factories, industrial software, and industrial services, exploring industrial scenario solutions that combine manufacturing with digital technologies, and promoting the Industrial Internet platform to become a hub for data asset hosting and configuration. We will leverage the advantages of application scenarios and industrial data to optimize the efficiency of manufacturing resource allocation and promote the coordinated development of the industrial chain, value chain, and innovation chain.</v>
      </c>
      <c r="B5364" s="1" t="str">
        <f ca="1">IFERROR(__xludf.DUMMYFUNCTION("GOOGLETRANSLATE(A5364, ""zh"", ""en"")"),"Technological innovation")</f>
        <v>Technological innovation</v>
      </c>
      <c r="C5364" s="1" t="str">
        <f ca="1">IFERROR(__xludf.DUMMYFUNCTION("GOOGLETRANSLATE(E5364, ""zh"", ""en"")"),"Qualitative text")</f>
        <v>Qualitative text</v>
      </c>
    </row>
    <row r="5365" spans="1:3" ht="13" x14ac:dyDescent="0.15">
      <c r="A5365" s="1" t="str">
        <f ca="1">IFERROR(__xludf.DUMMYFUNCTION("GOOGLETRANSLATE(A5365, ""zh"", ""en"")"),"Shanghai Electric Group Co., Ltd. 89 In accordance with the Contract Law of the People's Republic of China, the Tendering and Bidding Law of the People's Republic of China, the Product Quality Law of the People's Republic of China, the Price Law of the Pe"&amp;"ople's Republic of China and other national laws and regulations, Shanghai Electric continues to optimize its Shanghai Electric procurement management, Shanghai Electric centralized procurement management, international procurement and supplier management"&amp;" solutions, procurement pricing method management and other management systems and regulations.")</f>
        <v>Shanghai Electric Group Co., Ltd. 89 In accordance with the Contract Law of the People's Republic of China, the Tendering and Bidding Law of the People's Republic of China, the Product Quality Law of the People's Republic of China, the Price Law of the People's Republic of China and other national laws and regulations, Shanghai Electric continues to optimize its Shanghai Electric procurement management, Shanghai Electric centralized procurement management, international procurement and supplier management solutions, procurement pricing method management and other management systems and regulations.</v>
      </c>
      <c r="B5365" s="1" t="str">
        <f ca="1">IFERROR(__xludf.DUMMYFUNCTION("GOOGLETRANSLATE(A5365, ""zh"", ""en"")"),"Product quality")</f>
        <v>Product quality</v>
      </c>
      <c r="C5365" s="1" t="str">
        <f ca="1">IFERROR(__xludf.DUMMYFUNCTION("GOOGLETRANSLATE(E5365, ""zh"", ""en"")"),"Qualitative text")</f>
        <v>Qualitative text</v>
      </c>
    </row>
    <row r="5366" spans="1:3" ht="13" x14ac:dyDescent="0.15">
      <c r="A5366" s="1" t="str">
        <f ca="1">IFERROR(__xludf.DUMMYFUNCTION("GOOGLETRANSLATE(A5366, ""zh"", ""en"")"),"Improve the delivery system. In 2022, Dima Industry completed the delivery of 3,165 new vehicles, conducted 1,657 customer visits, carried out 7 door-to-door customer service visits, handled 1,162 customer repair requests involving 4,015 vehicles, and pro"&amp;"vided 27 after-sales service technical support and guarantees for large-scale disaster rescue activities for emergency fire operators, power and health services in 18 provinces and cities.")</f>
        <v>Improve the delivery system. In 2022, Dima Industry completed the delivery of 3,165 new vehicles, conducted 1,657 customer visits, carried out 7 door-to-door customer service visits, handled 1,162 customer repair requests involving 4,015 vehicles, and provided 27 after-sales service technical support and guarantees for large-scale disaster rescue activities for emergency fire operators, power and health services in 18 provinces and cities.</v>
      </c>
      <c r="B5366" s="1" t="str">
        <f ca="1">IFERROR(__xludf.DUMMYFUNCTION("GOOGLETRANSLATE(A5366, ""zh"", ""en"")"),"Customers and Consumers")</f>
        <v>Customers and Consumers</v>
      </c>
      <c r="C5366" s="1" t="str">
        <f ca="1">IFERROR(__xludf.DUMMYFUNCTION("GOOGLETRANSLATE(E5366, ""zh"", ""en"")"),"Quantitative Text")</f>
        <v>Quantitative Text</v>
      </c>
    </row>
    <row r="5367" spans="1:3" ht="13" x14ac:dyDescent="0.15">
      <c r="A5367" s="1" t="str">
        <f ca="1">IFERROR(__xludf.DUMMYFUNCTION("GOOGLETRANSLATE(A5367, ""zh"", ""en"")"),"Starting with this Diversified Energy Storage Industry Development Forum, Shanghai Electric will continue its series of dual-carbon themed salons, deeply tapping into the dual-carbon talents and innovative technologies within and outside the Group, fully "&amp;"connecting with market customers and partners, further stimulating the vitality of open and innovative talents, building a collaborative and symbiotic industrial ecosystem, and consolidating a consensus on co-creation and sharing, thus contributing to the"&amp;" Group's innovation-driven high-quality development.")</f>
        <v>Starting with this Diversified Energy Storage Industry Development Forum, Shanghai Electric will continue its series of dual-carbon themed salons, deeply tapping into the dual-carbon talents and innovative technologies within and outside the Group, fully connecting with market customers and partners, further stimulating the vitality of open and innovative talents, building a collaborative and symbiotic industrial ecosystem, and consolidating a consensus on co-creation and sharing, thus contributing to the Group's innovation-driven high-quality development.</v>
      </c>
      <c r="B5367" s="1" t="str">
        <f ca="1">IFERROR(__xludf.DUMMYFUNCTION("GOOGLETRANSLATE(A5367, ""zh"", ""en"")"),"Technological innovation")</f>
        <v>Technological innovation</v>
      </c>
      <c r="C5367" s="1" t="str">
        <f ca="1">IFERROR(__xludf.DUMMYFUNCTION("GOOGLETRANSLATE(E5367, ""zh"", ""en"")"),"Qualitative text")</f>
        <v>Qualitative text</v>
      </c>
    </row>
    <row r="5368" spans="1:3" ht="13" x14ac:dyDescent="0.15">
      <c r="A5368" s="1" t="str">
        <f ca="1">IFERROR(__xludf.DUMMYFUNCTION("GOOGLETRANSLATE(A5368, ""zh"", ""en"")"),"Actively participated in the national poverty alleviation strategy and assumed the social responsibility of state-owned enterprises. Donated RMB 100,000 in aid to the Jinping County Red Cross Society of Qiandongnan Prefecture, Guizhou Province. Donated RM"&amp;"B 9,600 in aid to the Longquan West Street Subdistrict in Lishui. Donated RMB 300,000 in aid to the Guangrao County Charity Federation. Donated RMB 60,000 to the Shangcheng District Charity Federation in Hangzhou. Donated RMB 60,000 to Lingdong Township i"&amp;"n Lanxi City for public welfare.")</f>
        <v>Actively participated in the national poverty alleviation strategy and assumed the social responsibility of state-owned enterprises. Donated RMB 100,000 in aid to the Jinping County Red Cross Society of Qiandongnan Prefecture, Guizhou Province. Donated RMB 9,600 in aid to the Longquan West Street Subdistrict in Lishui. Donated RMB 300,000 in aid to the Guangrao County Charity Federation. Donated RMB 60,000 to the Shangcheng District Charity Federation in Hangzhou. Donated RMB 60,000 to Lingdong Township in Lanxi City for public welfare.</v>
      </c>
      <c r="B5368" s="1" t="str">
        <f ca="1">IFERROR(__xludf.DUMMYFUNCTION("GOOGLETRANSLATE(A5368, ""zh"", ""en"")"),"Rural assistance")</f>
        <v>Rural assistance</v>
      </c>
      <c r="C5368" s="1" t="str">
        <f ca="1">IFERROR(__xludf.DUMMYFUNCTION("GOOGLETRANSLATE(E5368, ""zh"", ""en"")"),"Quantitative Text")</f>
        <v>Quantitative Text</v>
      </c>
    </row>
    <row r="5369" spans="1:3" ht="13" x14ac:dyDescent="0.15">
      <c r="A5369" s="1" t="str">
        <f ca="1">IFERROR(__xludf.DUMMYFUNCTION("GOOGLETRANSLATE(A5369, ""zh"", ""en"")"),"In addition to further strengthening EHS management in 2022, in addition to the 2020 baseline year, the Group will continue to increase its EHS facility and operation investment for the second five-year period (2021-2025). It will actively seek strategic "&amp;"goals and further refine the quantitative indicators for each year to correspond to new equipment, technology, and improvement opportunities to strengthen safety risks.")</f>
        <v>In addition to further strengthening EHS management in 2022, in addition to the 2020 baseline year, the Group will continue to increase its EHS facility and operation investment for the second five-year period (2021-2025). It will actively seek strategic goals and further refine the quantitative indicators for each year to correspond to new equipment, technology, and improvement opportunities to strengthen safety risks.</v>
      </c>
      <c r="B5369" s="1" t="str">
        <f ca="1">IFERROR(__xludf.DUMMYFUNCTION("GOOGLETRANSLATE(A5369, ""zh"", ""en"")"),"staff")</f>
        <v>staff</v>
      </c>
      <c r="C5369" s="1" t="str">
        <f ca="1">IFERROR(__xludf.DUMMYFUNCTION("GOOGLETRANSLATE(E5369, ""zh"", ""en"")"),"Qualitative text")</f>
        <v>Qualitative text</v>
      </c>
    </row>
    <row r="5370" spans="1:3" ht="13" x14ac:dyDescent="0.15">
      <c r="A5370" s="1" t="str">
        <f ca="1">IFERROR(__xludf.DUMMYFUNCTION("GOOGLETRANSLATE(A5370, ""zh"", ""en"")"),"We strictly abide by the Company Law, the Securities Law, the Code of Corporate Governance for Listed Companies, the Shanghai Stock Exchange's Stock Listing Rules and other relevant laws, regulations and securities regulatory rules, and continuously impro"&amp;"ve our corporate governance structure. We have established a three-council and one-layer governance structure consisting of the shareholders' meeting, the board of directors, the board of supervisors and the management team, forming a management and opera"&amp;"tion structure with clear responsibilities, scientific decision-making and standardized operations, and effectively safeguarding the legitimate rights and interests of the company and all shareholders.")</f>
        <v>We strictly abide by the Company Law, the Securities Law, the Code of Corporate Governance for Listed Companies, the Shanghai Stock Exchange's Stock Listing Rules and other relevant laws, regulations and securities regulatory rules, and continuously improve our corporate governance structure. We have established a three-council and one-layer governance structure consisting of the shareholders' meeting, the board of directors, the board of supervisors and the management team, forming a management and operation structure with clear responsibilities, scientific decision-making and standardized operations, and effectively safeguarding the legitimate rights and interests of the company and all shareholders.</v>
      </c>
      <c r="B5370" s="1" t="str">
        <f ca="1">IFERROR(__xludf.DUMMYFUNCTION("GOOGLETRANSLATE(A5370, ""zh"", ""en"")"),"Organizational structure and operations")</f>
        <v>Organizational structure and operations</v>
      </c>
      <c r="C5370" s="1" t="str">
        <f ca="1">IFERROR(__xludf.DUMMYFUNCTION("GOOGLETRANSLATE(E5370, ""zh"", ""en"")"),"Qualitative text")</f>
        <v>Qualitative text</v>
      </c>
    </row>
    <row r="5371" spans="1:3" ht="13" x14ac:dyDescent="0.15">
      <c r="A5371" s="1" t="str">
        <f ca="1">IFERROR(__xludf.DUMMYFUNCTION("GOOGLETRANSLATE(A5371, ""zh"", ""en"")"),"Sinopec attaches great importance to investor relations management. In compliance with relevant laws and regulations, as well as securities regulatory rules of domestic and overseas listing venues, it has formulated information disclosure management regul"&amp;"ations, investor relations management regulations and other institutional documents. In compliance with regulatory requirements, Sinopec maintains positive interaction and communication with investors through shareholder meetings, institutional investor m"&amp;"eetings, roadshows, investor hotlines, online platforms and other means.")</f>
        <v>Sinopec attaches great importance to investor relations management. In compliance with relevant laws and regulations, as well as securities regulatory rules of domestic and overseas listing venues, it has formulated information disclosure management regulations, investor relations management regulations and other institutional documents. In compliance with regulatory requirements, Sinopec maintains positive interaction and communication with investors through shareholder meetings, institutional investor meetings, roadshows, investor hotlines, online platforms and other means.</v>
      </c>
      <c r="B5371" s="1" t="str">
        <f ca="1">IFERROR(__xludf.DUMMYFUNCTION("GOOGLETRANSLATE(A5371, ""zh"", ""en"")"),"Information Disclosure and Investor Communication")</f>
        <v>Information Disclosure and Investor Communication</v>
      </c>
      <c r="C5371" s="1" t="str">
        <f ca="1">IFERROR(__xludf.DUMMYFUNCTION("GOOGLETRANSLATE(E5371, ""zh"", ""en"")"),"Qualitative text")</f>
        <v>Qualitative text</v>
      </c>
    </row>
    <row r="5372" spans="1:3" ht="13" x14ac:dyDescent="0.15">
      <c r="A5372" s="1" t="str">
        <f ca="1">IFERROR(__xludf.DUMMYFUNCTION("GOOGLETRANSLATE(A5372, ""zh"", ""en"")"),"In 2022, the company held a total of 4 shareholders' meetings, 6 board meetings, 6 supervisory meetings, 2 strategic committee meetings, 6 audit committee meetings, 2 compensation and assessment committee meetings, and 2 nomination committee meetings. The"&amp;" voting procedures of all meetings were in compliance with the relevant provisions of laws, regulations, and the company's articles of association and rules of procedure. All voting results were legal and valid, laying a solid foundation for the company's"&amp;" standardized operation.")</f>
        <v>In 2022, the company held a total of 4 shareholders' meetings, 6 board meetings, 6 supervisory meetings, 2 strategic committee meetings, 6 audit committee meetings, 2 compensation and assessment committee meetings, and 2 nomination committee meetings. The voting procedures of all meetings were in compliance with the relevant provisions of laws, regulations, and the company's articles of association and rules of procedure. All voting results were legal and valid, laying a solid foundation for the company's standardized operation.</v>
      </c>
      <c r="B5372" s="1" t="str">
        <f ca="1">IFERROR(__xludf.DUMMYFUNCTION("GOOGLETRANSLATE(A5372, ""zh"", ""en"")"),"Organizational structure and operations")</f>
        <v>Organizational structure and operations</v>
      </c>
      <c r="C5372" s="1" t="str">
        <f ca="1">IFERROR(__xludf.DUMMYFUNCTION("GOOGLETRANSLATE(E5372, ""zh"", ""en"")"),"Quantitative Text")</f>
        <v>Quantitative Text</v>
      </c>
    </row>
    <row r="5373" spans="1:3" ht="13" x14ac:dyDescent="0.15">
      <c r="A5373" s="1" t="str">
        <f ca="1">IFERROR(__xludf.DUMMYFUNCTION("GOOGLETRANSLATE(A5373, ""zh"", ""en"")"),"In 2022, the company will focus on international business expansion and promote the expansion of product range, including extending service capabilities to upstream resource concentrates and agricultural products, improving logistics, loading and unloadin"&amp;"g, shipping agency, import customs declaration and other service functions, deepening the strategic layout in the field of supply chain integrated management services, and forming the ability to plan more complete warehousing and logistics network support"&amp;" and supply chain management connection services for domestic and foreign customers.")</f>
        <v>In 2022, the company will focus on international business expansion and promote the expansion of product range, including extending service capabilities to upstream resource concentrates and agricultural products, improving logistics, loading and unloading, shipping agency, import customs declaration and other service functions, deepening the strategic layout in the field of supply chain integrated management services, and forming the ability to plan more complete warehousing and logistics network support and supply chain management connection services for domestic and foreign customers.</v>
      </c>
      <c r="B5373" s="1" t="str">
        <f ca="1">IFERROR(__xludf.DUMMYFUNCTION("GOOGLETRANSLATE(A5373, ""zh"", ""en"")"),"supply chain management")</f>
        <v>supply chain management</v>
      </c>
      <c r="C5373" s="1" t="str">
        <f ca="1">IFERROR(__xludf.DUMMYFUNCTION("GOOGLETRANSLATE(E5373, ""zh"", ""en"")"),"Qualitative text")</f>
        <v>Qualitative text</v>
      </c>
    </row>
    <row r="5374" spans="1:3" ht="13" x14ac:dyDescent="0.15">
      <c r="A5374" s="1" t="str">
        <f ca="1">IFERROR(__xludf.DUMMYFUNCTION("GOOGLETRANSLATE(A5374, ""zh"", ""en"")"),"In recent years, the Company has continuously increased its research and investment in compliance and risk control information technology, stepped up its recruitment of relevant professionals, continued to promote the construction and optimization of a gl"&amp;"obally integrated risk management system, continuously improved measurement methods and measurement tools, enhanced the level of self-developed systems, strengthened the collection and integration of internal and external information, ensured full coverag"&amp;"e of risk management for domestic and international businesses, and met the needs of more refined management.")</f>
        <v>In recent years, the Company has continuously increased its research and investment in compliance and risk control information technology, stepped up its recruitment of relevant professionals, continued to promote the construction and optimization of a globally integrated risk management system, continuously improved measurement methods and measurement tools, enhanced the level of self-developed systems, strengthened the collection and integration of internal and external information, ensured full coverage of risk management for domestic and international businesses, and met the needs of more refined management.</v>
      </c>
      <c r="B5374" s="1" t="str">
        <f ca="1">IFERROR(__xludf.DUMMYFUNCTION("GOOGLETRANSLATE(A5374, ""zh"", ""en"")"),"Data security")</f>
        <v>Data security</v>
      </c>
      <c r="C5374" s="1" t="str">
        <f ca="1">IFERROR(__xludf.DUMMYFUNCTION("GOOGLETRANSLATE(E5374, ""zh"", ""en"")"),"Qualitative text")</f>
        <v>Qualitative text</v>
      </c>
    </row>
    <row r="5375" spans="1:3" ht="13" x14ac:dyDescent="0.15">
      <c r="A5375" s="1" t="str">
        <f ca="1">IFERROR(__xludf.DUMMYFUNCTION("GOOGLETRANSLATE(A5375, ""zh"", ""en"")"),"GEA was awarded the Best Workplaces in America certification by the FPA. The FPA has established a Diversity, Equity and Inclusion Policy that applies to all employees, contractors, board members, volunteers, and other personnel. The policy advocates for "&amp;"customer, supplier, and community relations, and involves the creation of a fair, just, inclusive, and belonging work environment. The policy attracts diverse talent with potential, retains them, and encourages employees to provide regular feedback on the"&amp;" company's leadership culture and experience.")</f>
        <v>GEA was awarded the Best Workplaces in America certification by the FPA. The FPA has established a Diversity, Equity and Inclusion Policy that applies to all employees, contractors, board members, volunteers, and other personnel. The policy advocates for customer, supplier, and community relations, and involves the creation of a fair, just, inclusive, and belonging work environment. The policy attracts diverse talent with potential, retains them, and encourages employees to provide regular feedback on the company's leadership culture and experience.</v>
      </c>
      <c r="B5375" s="1" t="str">
        <f ca="1">IFERROR(__xludf.DUMMYFUNCTION("GOOGLETRANSLATE(A5375, ""zh"", ""en"")"),"staff")</f>
        <v>staff</v>
      </c>
      <c r="C5375" s="1" t="str">
        <f ca="1">IFERROR(__xludf.DUMMYFUNCTION("GOOGLETRANSLATE(E5375, ""zh"", ""en"")"),"Qualitative text")</f>
        <v>Qualitative text</v>
      </c>
    </row>
    <row r="5376" spans="1:3" ht="13" x14ac:dyDescent="0.15">
      <c r="A5376" s="1" t="str">
        <f ca="1">IFERROR(__xludf.DUMMYFUNCTION("GOOGLETRANSLATE(A5376, ""zh"", ""en"")"),"We attract and gather talents with an equal and inclusive attitude, respect and protect the legitimate rights and interests of our employees, build a multi-level training system and a comprehensive salary and benefits system for our employees, and provide"&amp;" them with broad and fair career development channels to continuously stimulate organizational vitality. We attach great importance to the occupational health and well-being of our employees, continuously optimize the working environment and welfare benef"&amp;"its, continuously enhance the happiness and sense of identity of our employees, and grow together with our employees.")</f>
        <v>We attract and gather talents with an equal and inclusive attitude, respect and protect the legitimate rights and interests of our employees, build a multi-level training system and a comprehensive salary and benefits system for our employees, and provide them with broad and fair career development channels to continuously stimulate organizational vitality. We attach great importance to the occupational health and well-being of our employees, continuously optimize the working environment and welfare benefits, continuously enhance the happiness and sense of identity of our employees, and grow together with our employees.</v>
      </c>
      <c r="B5376" s="1" t="str">
        <f ca="1">IFERROR(__xludf.DUMMYFUNCTION("GOOGLETRANSLATE(A5376, ""zh"", ""en"")"),"staff")</f>
        <v>staff</v>
      </c>
      <c r="C5376" s="1" t="str">
        <f ca="1">IFERROR(__xludf.DUMMYFUNCTION("GOOGLETRANSLATE(E5376, ""zh"", ""en"")"),"Qualitative text")</f>
        <v>Qualitative text</v>
      </c>
    </row>
    <row r="5377" spans="1:3" ht="13" x14ac:dyDescent="0.15">
      <c r="A5377" s="1" t="str">
        <f ca="1">IFERROR(__xludf.DUMMYFUNCTION("GOOGLETRANSLATE(A5377, ""zh"", ""en"")"),"The Green Fund aims to guide social capital to invest in green development areas such as pollution control, ecological restoration, land afforestation, energy and resource conservation, and clean energy. It implements pollution control and ecological rest"&amp;"oration in response to market demand and key areas, supports the development of related green industries, and provides systematic industrial support for solving ecological and environmental problems.")</f>
        <v>The Green Fund aims to guide social capital to invest in green development areas such as pollution control, ecological restoration, land afforestation, energy and resource conservation, and clean energy. It implements pollution control and ecological restoration in response to market demand and key areas, supports the development of related green industries, and provides systematic industrial support for solving ecological and environmental problems.</v>
      </c>
      <c r="B5377" s="1" t="str">
        <f ca="1">IFERROR(__xludf.DUMMYFUNCTION("GOOGLETRANSLATE(A5377, ""zh"", ""en"")"),"Green Finance")</f>
        <v>Green Finance</v>
      </c>
      <c r="C5377" s="1" t="str">
        <f ca="1">IFERROR(__xludf.DUMMYFUNCTION("GOOGLETRANSLATE(E5377, ""zh"", ""en"")"),"Qualitative text")</f>
        <v>Qualitative text</v>
      </c>
    </row>
    <row r="5378" spans="1:3" ht="13" x14ac:dyDescent="0.15">
      <c r="A5378" s="1" t="str">
        <f ca="1">IFERROR(__xludf.DUMMYFUNCTION("GOOGLETRANSLATE(A5378, ""zh"", ""en"")"),"Cultural Activities: On September 29, 2022, Wuchan Zhongda held its first corporate culture micro-video competition. From July 22 to 23, 2022, the Zhejiang Gongyuan Youth Journey Meet Wuchan Zhongda Youth Employees Friendship Event was held. 07 Yunshang C"&amp;"ompany 55 held the second Tongxin Cup Table Tennis Tournament in 2022. More than 90 players from 7 teams from Huanneng Company and its affiliated thermal power companies participated.")</f>
        <v>Cultural Activities: On September 29, 2022, Wuchan Zhongda held its first corporate culture micro-video competition. From July 22 to 23, 2022, the Zhejiang Gongyuan Youth Journey Meet Wuchan Zhongda Youth Employees Friendship Event was held. 07 Yunshang Company 55 held the second Tongxin Cup Table Tennis Tournament in 2022. More than 90 players from 7 teams from Huanneng Company and its affiliated thermal power companies participated.</v>
      </c>
      <c r="B5378" s="1" t="str">
        <f ca="1">IFERROR(__xludf.DUMMYFUNCTION("GOOGLETRANSLATE(A5378, ""zh"", ""en"")"),"staff")</f>
        <v>staff</v>
      </c>
      <c r="C5378" s="1" t="str">
        <f ca="1">IFERROR(__xludf.DUMMYFUNCTION("GOOGLETRANSLATE(E5378, ""zh"", ""en"")"),"Quantitative Text")</f>
        <v>Quantitative Text</v>
      </c>
    </row>
    <row r="5379" spans="1:3" ht="13" x14ac:dyDescent="0.15">
      <c r="A5379" s="1" t="str">
        <f ca="1">IFERROR(__xludf.DUMMYFUNCTION("GOOGLETRANSLATE(A5379, ""zh"", ""en"")"),"The Group adheres to the remuneration management philosophy of aligning responsibilities with interests, capabilities with values, and performance with benefits. It has established a remuneration structure consisting of fixed and floating income for all e"&amp;"mployees, including those in non-management and non-sales positions. Floating income is linked to individual performance and the Group's performance, in order to mobilize employee enthusiasm and initiative and give full play to the incentive effect of the"&amp;" remuneration structure on talent.")</f>
        <v>The Group adheres to the remuneration management philosophy of aligning responsibilities with interests, capabilities with values, and performance with benefits. It has established a remuneration structure consisting of fixed and floating income for all employees, including those in non-management and non-sales positions. Floating income is linked to individual performance and the Group's performance, in order to mobilize employee enthusiasm and initiative and give full play to the incentive effect of the remuneration structure on talent.</v>
      </c>
      <c r="B5379" s="1" t="str">
        <f ca="1">IFERROR(__xludf.DUMMYFUNCTION("GOOGLETRANSLATE(A5379, ""zh"", ""en"")"),"staff")</f>
        <v>staff</v>
      </c>
      <c r="C5379" s="1" t="str">
        <f ca="1">IFERROR(__xludf.DUMMYFUNCTION("GOOGLETRANSLATE(E5379, ""zh"", ""en"")"),"Qualitative text")</f>
        <v>Qualitative text</v>
      </c>
    </row>
    <row r="5380" spans="1:3" ht="13" x14ac:dyDescent="0.15">
      <c r="A5380" s="1" t="str">
        <f ca="1">IFERROR(__xludf.DUMMYFUNCTION("GOOGLETRANSLATE(A5380, ""zh"", ""en"")"),"Haier Smart Home complies with the Personal Information Protection Law of the People's Republic of China, has identified compliance risks at the system level, revised internal system documents, and strictly regulated the user privacy policy of the Haier S"&amp;"mart Home App, Sanyi Bird App, and mini-programs, including the collection and use of personal information. It also regularly conducts privacy impact assessments and App privacy compliance testing for relevant business scenarios, and promptly corrects any"&amp;" problems found.")</f>
        <v>Haier Smart Home complies with the Personal Information Protection Law of the People's Republic of China, has identified compliance risks at the system level, revised internal system documents, and strictly regulated the user privacy policy of the Haier Smart Home App, Sanyi Bird App, and mini-programs, including the collection and use of personal information. It also regularly conducts privacy impact assessments and App privacy compliance testing for relevant business scenarios, and promptly corrects any problems found.</v>
      </c>
      <c r="B5380" s="1" t="str">
        <f ca="1">IFERROR(__xludf.DUMMYFUNCTION("GOOGLETRANSLATE(A5380, ""zh"", ""en"")"),"Data security")</f>
        <v>Data security</v>
      </c>
      <c r="C5380" s="1" t="str">
        <f ca="1">IFERROR(__xludf.DUMMYFUNCTION("GOOGLETRANSLATE(E5380, ""zh"", ""en"")"),"Qualitative text")</f>
        <v>Qualitative text</v>
      </c>
    </row>
    <row r="5381" spans="1:3" ht="13" x14ac:dyDescent="0.15">
      <c r="A5381" s="1" t="str">
        <f ca="1">IFERROR(__xludf.DUMMYFUNCTION("GOOGLETRANSLATE(A5381, ""zh"", ""en"")"),"Shanghai Electric Group Co., Ltd. 115: We will develop a health and safety training plan and regularly conduct relevant training as an important daily work of Shanghai Electric. Through employee exchange systems, learning, emergency drills, and theme acti"&amp;"vities, we will combine multiple online and offline channels to carry out comprehensive and targeted safety and environmental education activities in multiple fields to ensure that the concept of health and safety is deeply rooted in the hearts of the peo"&amp;"ple.")</f>
        <v>Shanghai Electric Group Co., Ltd. 115: We will develop a health and safety training plan and regularly conduct relevant training as an important daily work of Shanghai Electric. Through employee exchange systems, learning, emergency drills, and theme activities, we will combine multiple online and offline channels to carry out comprehensive and targeted safety and environmental education activities in multiple fields to ensure that the concept of health and safety is deeply rooted in the hearts of the people.</v>
      </c>
      <c r="B5381" s="1" t="str">
        <f ca="1">IFERROR(__xludf.DUMMYFUNCTION("GOOGLETRANSLATE(A5381, ""zh"", ""en"")"),"staff")</f>
        <v>staff</v>
      </c>
      <c r="C5381" s="1" t="str">
        <f ca="1">IFERROR(__xludf.DUMMYFUNCTION("GOOGLETRANSLATE(E5381, ""zh"", ""en"")"),"Qualitative text")</f>
        <v>Qualitative text</v>
      </c>
    </row>
    <row r="5382" spans="1:3" ht="13" x14ac:dyDescent="0.15">
      <c r="A5382" s="1" t="str">
        <f ca="1">IFERROR(__xludf.DUMMYFUNCTION("GOOGLETRANSLATE(A5382, ""zh"", ""en"")"),"The company continuously optimizes the system and mechanism of scientific and technological innovation, innovates the integrated management model of research, production, application and reform, and creates a virtuous cycle of technological progress and i"&amp;"ndustrial development with a technology development and investment mindset. It vigorously implements scientific and technological innovation and tackles key problems. It selects and leads 19 major scientific and technological projects to meet major techno"&amp;"logical needs, and earnestly implements the responsibility system of scientific and technological project managers to build a scientific and technological innovation management mechanism with an organic unity of responsibilities, rights and interests.")</f>
        <v>The company continuously optimizes the system and mechanism of scientific and technological innovation, innovates the integrated management model of research, production, application and reform, and creates a virtuous cycle of technological progress and industrial development with a technology development and investment mindset. It vigorously implements scientific and technological innovation and tackles key problems. It selects and leads 19 major scientific and technological projects to meet major technological needs, and earnestly implements the responsibility system of scientific and technological project managers to build a scientific and technological innovation management mechanism with an organic unity of responsibilities, rights and interests.</v>
      </c>
      <c r="B5382" s="1" t="str">
        <f ca="1">IFERROR(__xludf.DUMMYFUNCTION("GOOGLETRANSLATE(A5382, ""zh"", ""en"")"),"Technological innovation")</f>
        <v>Technological innovation</v>
      </c>
      <c r="C5382" s="1" t="str">
        <f ca="1">IFERROR(__xludf.DUMMYFUNCTION("GOOGLETRANSLATE(E5382, ""zh"", ""en"")"),"Qualitative text")</f>
        <v>Qualitative text</v>
      </c>
    </row>
    <row r="5383" spans="1:3" ht="13" x14ac:dyDescent="0.15">
      <c r="A5383" s="1" t="str">
        <f ca="1">IFERROR(__xludf.DUMMYFUNCTION("GOOGLETRANSLATE(A5383, ""zh"", ""en"")"),"COSL Uganda Company (hereinafter referred to as Uganda Company) adheres to the concept of talent localization, conducts local recruitment based on demand, implements fair and transparent recruitment in accordance with the relevant recruitment laws and reg"&amp;"ulations of local community governments, provides equal opportunities for all job seekers, and recruits 75% of the people from communities outside the capital Kampala, further improving employment opportunities for local Ugandans and establishing good rel"&amp;"ations with local governments.")</f>
        <v>COSL Uganda Company (hereinafter referred to as Uganda Company) adheres to the concept of talent localization, conducts local recruitment based on demand, implements fair and transparent recruitment in accordance with the relevant recruitment laws and regulations of local community governments, provides equal opportunities for all job seekers, and recruits 75% of the people from communities outside the capital Kampala, further improving employment opportunities for local Ugandans and establishing good relations with local governments.</v>
      </c>
      <c r="B5383" s="1" t="str">
        <f ca="1">IFERROR(__xludf.DUMMYFUNCTION("GOOGLETRANSLATE(A5383, ""zh"", ""en"")"),"Promoting employment")</f>
        <v>Promoting employment</v>
      </c>
      <c r="C5383" s="1" t="str">
        <f ca="1">IFERROR(__xludf.DUMMYFUNCTION("GOOGLETRANSLATE(E5383, ""zh"", ""en"")"),"Quantitative Text")</f>
        <v>Quantitative Text</v>
      </c>
    </row>
    <row r="5384" spans="1:3" ht="13" x14ac:dyDescent="0.15">
      <c r="A5384" s="1" t="str">
        <f ca="1">IFERROR(__xludf.DUMMYFUNCTION("GOOGLETRANSLATE(A5384, ""zh"", ""en"")"),"In order to better play the positive role of grassroots party members and cadres in promoting the implementation of the Group's 14th Five-Year Plan, in accordance with the requirements of the Municipal State-owned Assets Supervision and Administration Com"&amp;"mission Party Committee's notice on carrying out the Municipal State-owned Assets Supervision and Administration Commission system's firm follow the party to welcome the 20th Party Building Theme Activity, the Group Party Committee established a Party Bui"&amp;"lding Research Center and carried out practical work to open a new situation and forge ahead in the 14th Five-Year Plan Party Building Theme Activity within the group to welcome the successful convening of the 20th Party Congress.")</f>
        <v>In order to better play the positive role of grassroots party members and cadres in promoting the implementation of the Group's 14th Five-Year Plan, in accordance with the requirements of the Municipal State-owned Assets Supervision and Administration Commission Party Committee's notice on carrying out the Municipal State-owned Assets Supervision and Administration Commission system's firm follow the party to welcome the 20th Party Building Theme Activity, the Group Party Committee established a Party Building Research Center and carried out practical work to open a new situation and forge ahead in the 14th Five-Year Plan Party Building Theme Activity within the group to welcome the successful convening of the 20th Party Congress.</v>
      </c>
      <c r="B5384" s="1" t="str">
        <f ca="1">IFERROR(__xludf.DUMMYFUNCTION("GOOGLETRANSLATE(A5384, ""zh"", ""en"")"),"Organizational structure and operations")</f>
        <v>Organizational structure and operations</v>
      </c>
      <c r="C5384" s="1" t="str">
        <f ca="1">IFERROR(__xludf.DUMMYFUNCTION("GOOGLETRANSLATE(E5384, ""zh"", ""en"")"),"Qualitative text")</f>
        <v>Qualitative text</v>
      </c>
    </row>
    <row r="5385" spans="1:3" ht="13" x14ac:dyDescent="0.15">
      <c r="A5385" s="1" t="str">
        <f ca="1">IFERROR(__xludf.DUMMYFUNCTION("GOOGLETRANSLATE(A5385, ""zh"", ""en"")"),"Tibet's Mount Everest construction projects in Tajikistan involve a number of important projects, including infrastructure, school construction, and factory construction. In 2022, we invested 75 million somoni to repair 38 kilometers of Toma and invested "&amp;"over 20 million somoni to build the Dabashan Kindergarten. We plan to continue to promote the smelting and processing capacity extension project, the 6 million ton mine capacity expansion, and other factory construction projects.")</f>
        <v>Tibet's Mount Everest construction projects in Tajikistan involve a number of important projects, including infrastructure, school construction, and factory construction. In 2022, we invested 75 million somoni to repair 38 kilometers of Toma and invested over 20 million somoni to build the Dabashan Kindergarten. We plan to continue to promote the smelting and processing capacity extension project, the 6 million ton mine capacity expansion, and other factory construction projects.</v>
      </c>
      <c r="B5385" s="1" t="str">
        <f ca="1">IFERROR(__xludf.DUMMYFUNCTION("GOOGLETRANSLATE(A5385, ""zh"", ""en"")"),"Rural assistance")</f>
        <v>Rural assistance</v>
      </c>
      <c r="C5385" s="1" t="str">
        <f ca="1">IFERROR(__xludf.DUMMYFUNCTION("GOOGLETRANSLATE(E5385, ""zh"", ""en"")"),"Quantitative Text")</f>
        <v>Quantitative Text</v>
      </c>
    </row>
    <row r="5386" spans="1:3" ht="13" x14ac:dyDescent="0.15">
      <c r="A5386" s="1" t="str">
        <f ca="1">IFERROR(__xludf.DUMMYFUNCTION("GOOGLETRANSLATE(A5386, ""zh"", ""en"")"),"Establish and implement appropriate risk response strategies and measures, and establish mechanisms to predict, identify, and respond to various changes to address future risks. Risk response: Clarify the scope of potential risks involved in business acti"&amp;"vities. Analyze key success factors in conjunction with key businesses or events and ensure they are aligned with corporate strategies. Target setting: The company establishes a sound internal and external risk identification mechanism and conducts risk a"&amp;"ssessments.")</f>
        <v>Establish and implement appropriate risk response strategies and measures, and establish mechanisms to predict, identify, and respond to various changes to address future risks. Risk response: Clarify the scope of potential risks involved in business activities. Analyze key success factors in conjunction with key businesses or events and ensure they are aligned with corporate strategies. Target setting: The company establishes a sound internal and external risk identification mechanism and conducts risk assessments.</v>
      </c>
      <c r="B5386" s="1" t="str">
        <f ca="1">IFERROR(__xludf.DUMMYFUNCTION("GOOGLETRANSLATE(A5386, ""zh"", ""en"")"),"Legal proceedings and external sanctions")</f>
        <v>Legal proceedings and external sanctions</v>
      </c>
      <c r="C5386" s="1" t="str">
        <f ca="1">IFERROR(__xludf.DUMMYFUNCTION("GOOGLETRANSLATE(E5386, ""zh"", ""en"")"),"Qualitative text")</f>
        <v>Qualitative text</v>
      </c>
    </row>
    <row r="5387" spans="1:3" ht="13" x14ac:dyDescent="0.15">
      <c r="A5387" s="1" t="str">
        <f ca="1">IFERROR(__xludf.DUMMYFUNCTION("GOOGLETRANSLATE(A5387, ""zh"", ""en"")"),"The progress of climate transition risk stress testing is as follows: First, through industry and enterprise surveys and discussions with professional institutions, we have gained an in-depth understanding of the current status and development trends of i"&amp;"ndustries and enterprises. We have developed climate transition risk calculation plans for industries such as thermal power, aviation, airports, and petrochemicals, and submitted them to the People's Bank of China as an industry calculation template to su"&amp;"pport the promotion of climate risk sensitivity stress testing in the banking industry.")</f>
        <v>The progress of climate transition risk stress testing is as follows: First, through industry and enterprise surveys and discussions with professional institutions, we have gained an in-depth understanding of the current status and development trends of industries and enterprises. We have developed climate transition risk calculation plans for industries such as thermal power, aviation, airports, and petrochemicals, and submitted them to the People's Bank of China as an industry calculation template to support the promotion of climate risk sensitivity stress testing in the banking industry.</v>
      </c>
      <c r="B5387" s="1" t="str">
        <f ca="1">IFERROR(__xludf.DUMMYFUNCTION("GOOGLETRANSLATE(A5387, ""zh"", ""en"")"),"Addressing climate change")</f>
        <v>Addressing climate change</v>
      </c>
      <c r="C5387" s="1" t="str">
        <f ca="1">IFERROR(__xludf.DUMMYFUNCTION("GOOGLETRANSLATE(E5387, ""zh"", ""en"")"),"Qualitative text")</f>
        <v>Qualitative text</v>
      </c>
    </row>
    <row r="5388" spans="1:3" ht="13" x14ac:dyDescent="0.15">
      <c r="A5388" s="1" t="str">
        <f ca="1">IFERROR(__xludf.DUMMYFUNCTION("GOOGLETRANSLATE(A5388, ""zh"", ""en"")"),"Professional Development Series General Vocational Skills Series Professional Development Series General Vocational Skills Series in Fosun Pharma's Talent Development Program. Luncheon Center is open to all employees and is linked to the company for profe"&amp;"ssional field sharing sessions. We invite senior executives, members of the company, corporate professionals, and external experts to share fresh and relevant hot topics, such as quality, lean management, finance, investment and financing, and offer train"&amp;"ing courses suitable for the professional development of key positions.")</f>
        <v>Professional Development Series General Vocational Skills Series Professional Development Series General Vocational Skills Series in Fosun Pharma's Talent Development Program. Luncheon Center is open to all employees and is linked to the company for professional field sharing sessions. We invite senior executives, members of the company, corporate professionals, and external experts to share fresh and relevant hot topics, such as quality, lean management, finance, investment and financing, and offer training courses suitable for the professional development of key positions.</v>
      </c>
      <c r="B5388" s="1" t="str">
        <f ca="1">IFERROR(__xludf.DUMMYFUNCTION("GOOGLETRANSLATE(A5388, ""zh"", ""en"")"),"staff")</f>
        <v>staff</v>
      </c>
      <c r="C5388" s="1" t="str">
        <f ca="1">IFERROR(__xludf.DUMMYFUNCTION("GOOGLETRANSLATE(E5388, ""zh"", ""en"")"),"Qualitative text")</f>
        <v>Qualitative text</v>
      </c>
    </row>
    <row r="5389" spans="1:3" ht="13" x14ac:dyDescent="0.15">
      <c r="A5389" s="1" t="str">
        <f ca="1">IFERROR(__xludf.DUMMYFUNCTION("GOOGLETRANSLATE(A5389, ""zh"", ""en"")"),"The company held 6 shareholders' meetings, deliberated and approved 22 proposals, held 3 performance briefings, and the response rate to investors was 100%. In 2022, the company organized and held 3 performance briefings to communicate with investors on m"&amp;"atters such as the company's operating performance and future development. Within the scope of information disclosure, the company answered questions of general concern to investors, with a response rate of 100%.")</f>
        <v>The company held 6 shareholders' meetings, deliberated and approved 22 proposals, held 3 performance briefings, and the response rate to investors was 100%. In 2022, the company organized and held 3 performance briefings to communicate with investors on matters such as the company's operating performance and future development. Within the scope of information disclosure, the company answered questions of general concern to investors, with a response rate of 100%.</v>
      </c>
      <c r="B5389" s="1" t="str">
        <f ca="1">IFERROR(__xludf.DUMMYFUNCTION("GOOGLETRANSLATE(A5389, ""zh"", ""en"")"),"Information Disclosure and Investor Communication")</f>
        <v>Information Disclosure and Investor Communication</v>
      </c>
      <c r="C5389" s="1" t="str">
        <f ca="1">IFERROR(__xludf.DUMMYFUNCTION("GOOGLETRANSLATE(E5389, ""zh"", ""en"")"),"Quantitative Text")</f>
        <v>Quantitative Text</v>
      </c>
    </row>
    <row r="5390" spans="1:3" ht="13" x14ac:dyDescent="0.15">
      <c r="A5390" s="1" t="str">
        <f ca="1">IFERROR(__xludf.DUMMYFUNCTION("GOOGLETRANSLATE(A5390, ""zh"", ""en"")"),"With the implementation of international cGMP and other quality system certifications such as the United States, Europe, and WHO, as of 2022, the Group's medical device member domestic pharmaceutical member companies have more than 20 APIs that have passe"&amp;"d the US standard for compliant production, and another 7 companies have passed the GMP certification of international companies in accordance with the medical device production quality management regulations of the United States FDA, Europe, Japan, Minis"&amp;"try of Health, Labor and Welfare and other national health departments.")</f>
        <v>With the implementation of international cGMP and other quality system certifications such as the United States, Europe, and WHO, as of 2022, the Group's medical device member domestic pharmaceutical member companies have more than 20 APIs that have passed the US standard for compliant production, and another 7 companies have passed the GMP certification of international companies in accordance with the medical device production quality management regulations of the United States FDA, Europe, Japan, Ministry of Health, Labor and Welfare and other national health departments.</v>
      </c>
      <c r="B5390" s="1" t="str">
        <f ca="1">IFERROR(__xludf.DUMMYFUNCTION("GOOGLETRANSLATE(A5390, ""zh"", ""en"")"),"Product quality")</f>
        <v>Product quality</v>
      </c>
      <c r="C5390" s="1" t="str">
        <f ca="1">IFERROR(__xludf.DUMMYFUNCTION("GOOGLETRANSLATE(E5390, ""zh"", ""en"")"),"Quantitative Text")</f>
        <v>Quantitative Text</v>
      </c>
    </row>
    <row r="5391" spans="1:3" ht="13" x14ac:dyDescent="0.15">
      <c r="A5391" s="1" t="str">
        <f ca="1">IFERROR(__xludf.DUMMYFUNCTION("GOOGLETRANSLATE(A5391, ""zh"", ""en"")"),"Safety Inspection, Safety Rectification, Safety Training, Focus on Employee Health 38 2022 Tibet Mount Everest Sustainable Development Report Community Mutual Aid and Friendly Community Building 39 Humanistic Care 41 Visit Tibet Mount Everest Corporate Go"&amp;"vernance Environment Industry Co-building Employee Community 39 Tibet Mount Everest believes that the production and operation of an enterprise cannot be separated from the support of the local community. A sustainable and modern operation site is of grea"&amp;"t significance to the development of an enterprise.")</f>
        <v>Safety Inspection, Safety Rectification, Safety Training, Focus on Employee Health 38 2022 Tibet Mount Everest Sustainable Development Report Community Mutual Aid and Friendly Community Building 39 Humanistic Care 41 Visit Tibet Mount Everest Corporate Governance Environment Industry Co-building Employee Community 39 Tibet Mount Everest believes that the production and operation of an enterprise cannot be separated from the support of the local community. A sustainable and modern operation site is of great significance to the development of an enterprise.</v>
      </c>
      <c r="B5391" s="1" t="str">
        <f ca="1">IFERROR(__xludf.DUMMYFUNCTION("GOOGLETRANSLATE(A5391, ""zh"", ""en"")"),"staff")</f>
        <v>staff</v>
      </c>
      <c r="C5391" s="1" t="str">
        <f ca="1">IFERROR(__xludf.DUMMYFUNCTION("GOOGLETRANSLATE(E5391, ""zh"", ""en"")"),"Qualitative text")</f>
        <v>Qualitative text</v>
      </c>
    </row>
    <row r="5392" spans="1:3" ht="13" x14ac:dyDescent="0.15">
      <c r="A5392" s="1" t="str">
        <f ca="1">IFERROR(__xludf.DUMMYFUNCTION("GOOGLETRANSLATE(A5392, ""zh"", ""en"")"),"Through consumer protection special training, business line embedded training outlets, daily training, training centers, online training and other methods, consumer rights protection training is fully covered in middle and senior management personnel, gra"&amp;"ssroots business personnel and new employees. All employees who have direct contact with customers receive at least one consumer protection training every year. The training content covers different aspects such as marketing behavior norms, personal infor"&amp;"mation protection, customer complaint management, consumer protection review, etc.")</f>
        <v>Through consumer protection special training, business line embedded training outlets, daily training, training centers, online training and other methods, consumer rights protection training is fully covered in middle and senior management personnel, grassroots business personnel and new employees. All employees who have direct contact with customers receive at least one consumer protection training every year. The training content covers different aspects such as marketing behavior norms, personal information protection, customer complaint management, consumer protection review, etc.</v>
      </c>
      <c r="B5392" s="1" t="str">
        <f ca="1">IFERROR(__xludf.DUMMYFUNCTION("GOOGLETRANSLATE(A5392, ""zh"", ""en"")"),"Customers and Consumers")</f>
        <v>Customers and Consumers</v>
      </c>
      <c r="C5392" s="1" t="str">
        <f ca="1">IFERROR(__xludf.DUMMYFUNCTION("GOOGLETRANSLATE(E5392, ""zh"", ""en"")"),"Qualitative text")</f>
        <v>Qualitative text</v>
      </c>
    </row>
    <row r="5393" spans="1:3" ht="13" x14ac:dyDescent="0.15">
      <c r="A5393" s="1" t="str">
        <f ca="1">IFERROR(__xludf.DUMMYFUNCTION("GOOGLETRANSLATE(A5393, ""zh"", ""en"")"),"24Innovation for Global Health Continuous Innovation Enjoying Health The company's strategic vision is to become a first-class enterprise in the global medical and health market. The medium-term goal is 2026-2030 to be a Chinese pharmaceutical enterprise "&amp;"with global competitiveness. The recent county standard is a leading domestic international innovation enterprise. The social responsibility strategy of the company is inseparable from the overall strategy of this set of maps.")</f>
        <v>24Innovation for Global Health Continuous Innovation Enjoying Health The company's strategic vision is to become a first-class enterprise in the global medical and health market. The medium-term goal is 2026-2030 to be a Chinese pharmaceutical enterprise with global competitiveness. The recent county standard is a leading domestic international innovation enterprise. The social responsibility strategy of the company is inseparable from the overall strategy of this set of maps.</v>
      </c>
      <c r="B5393" s="1" t="str">
        <f ca="1">IFERROR(__xludf.DUMMYFUNCTION("GOOGLETRANSLATE(A5393, ""zh"", ""en"")"),"Technological innovation")</f>
        <v>Technological innovation</v>
      </c>
      <c r="C5393" s="1" t="str">
        <f ca="1">IFERROR(__xludf.DUMMYFUNCTION("GOOGLETRANSLATE(E5393, ""zh"", ""en"")"),"Qualitative text")</f>
        <v>Qualitative text</v>
      </c>
    </row>
    <row r="5394" spans="1:3" ht="13" x14ac:dyDescent="0.15">
      <c r="A5394" s="1" t="str">
        <f ca="1">IFERROR(__xludf.DUMMYFUNCTION("GOOGLETRANSLATE(A5394, ""zh"", ""en"")"),"Kangyuan Pharmaceutical Group Co., Ltd. established a joint learning and practice base for Party members on Laohegou Ecological Protection. Case 20: Kangyuan Pharmaceutical Group Co., Ltd. 4.6 Integrity and Self-Discipline. Kangyuan values ​​business ethi"&amp;"cs and always abides by laws and regulations such as the Criminal Law of the People's Republic of China and the Anti-Unfair Competition Law of the People's Republic of China, and the Interim Provisions on Prohibition of Commercial Bribery. We are committe"&amp;"d to shaping our corporate image through the business philosophy and practice of integrity and self-discipline.")</f>
        <v>Kangyuan Pharmaceutical Group Co., Ltd. established a joint learning and practice base for Party members on Laohegou Ecological Protection. Case 20: Kangyuan Pharmaceutical Group Co., Ltd. 4.6 Integrity and Self-Discipline. Kangyuan values ​​business ethics and always abides by laws and regulations such as the Criminal Law of the People's Republic of China and the Anti-Unfair Competition Law of the People's Republic of China, and the Interim Provisions on Prohibition of Commercial Bribery. We are committed to shaping our corporate image through the business philosophy and practice of integrity and self-discipline.</v>
      </c>
      <c r="B5394" s="1" t="str">
        <f ca="1">IFERROR(__xludf.DUMMYFUNCTION("GOOGLETRANSLATE(A5394, ""zh"", ""en"")"),"Anti-corruption and anti-money laundering")</f>
        <v>Anti-corruption and anti-money laundering</v>
      </c>
      <c r="C5394" s="1" t="str">
        <f ca="1">IFERROR(__xludf.DUMMYFUNCTION("GOOGLETRANSLATE(E5394, ""zh"", ""en"")"),"Qualitative text")</f>
        <v>Qualitative text</v>
      </c>
    </row>
    <row r="5395" spans="1:3" ht="13" x14ac:dyDescent="0.15">
      <c r="A5395" s="1" t="str">
        <f ca="1">IFERROR(__xludf.DUMMYFUNCTION("GOOGLETRANSLATE(A5395, ""zh"", ""en"")"),"The company has officially launched a three-year action plan for green production and intelligent manufacturing, and has completed the ERP project. It has basically realized the informatization of internal management, integrated business and financial dat"&amp;"a interoperability, and laid a solid foundation for digital transformation and empowerment. It has initially formed a digital transformation plan with Digital China Animal Husbandry as the core, and has accelerated the construction and integration of the "&amp;"industry ecosystem. Substantial progress has been made in the construction of high-end demonstration projects with domestic breeding giants.")</f>
        <v>The company has officially launched a three-year action plan for green production and intelligent manufacturing, and has completed the ERP project. It has basically realized the informatization of internal management, integrated business and financial data interoperability, and laid a solid foundation for digital transformation and empowerment. It has initially formed a digital transformation plan with Digital China Animal Husbandry as the core, and has accelerated the construction and integration of the industry ecosystem. Substantial progress has been made in the construction of high-end demonstration projects with domestic breeding giants.</v>
      </c>
      <c r="B5395" s="1" t="str">
        <f ca="1">IFERROR(__xludf.DUMMYFUNCTION("GOOGLETRANSLATE(A5395, ""zh"", ""en"")"),"Technological innovation")</f>
        <v>Technological innovation</v>
      </c>
      <c r="C5395" s="1" t="str">
        <f ca="1">IFERROR(__xludf.DUMMYFUNCTION("GOOGLETRANSLATE(E5395, ""zh"", ""en"")"),"Qualitative text")</f>
        <v>Qualitative text</v>
      </c>
    </row>
    <row r="5396" spans="1:3" ht="13" x14ac:dyDescent="0.15">
      <c r="A5396" s="1" t="str">
        <f ca="1">IFERROR(__xludf.DUMMYFUNCTION("GOOGLETRANSLATE(A5396, ""zh"", ""en"")"),"The Nomination Committee discussed and reviewed the selection and appointment of candidates for the Ninth Term of Directors and senior management personnel, and made recommendations to the Board of Directors based on their skills, experience, professional"&amp;" knowledge, personal integrity and time commitment, and other relevant statutory requirements and regulations. The Nomination Committee believes that the Board has maintained an appropriate balance in the nomination of directors for the Company.")</f>
        <v>The Nomination Committee discussed and reviewed the selection and appointment of candidates for the Ninth Term of Directors and senior management personnel, and made recommendations to the Board of Directors based on their skills, experience, professional knowledge, personal integrity and time commitment, and other relevant statutory requirements and regulations. The Nomination Committee believes that the Board has maintained an appropriate balance in the nomination of directors for the Company.</v>
      </c>
      <c r="B5396" s="1" t="str">
        <f ca="1">IFERROR(__xludf.DUMMYFUNCTION("GOOGLETRANSLATE(A5396, ""zh"", ""en"")"),"Organizational structure and operations")</f>
        <v>Organizational structure and operations</v>
      </c>
      <c r="C5396" s="1" t="str">
        <f ca="1">IFERROR(__xludf.DUMMYFUNCTION("GOOGLETRANSLATE(E5396, ""zh"", ""en"")"),"Qualitative text")</f>
        <v>Qualitative text</v>
      </c>
    </row>
    <row r="5397" spans="1:3" ht="13" x14ac:dyDescent="0.15">
      <c r="A5397" s="1" t="str">
        <f ca="1">IFERROR(__xludf.DUMMYFUNCTION("GOOGLETRANSLATE(A5397, ""zh"", ""en"")"),"1920 Shenma Industrial Co., Ltd. 2021 Social Responsibility Report Enhance value creation and strengthen supply management. We continuously improve our sustainable procurement policy and incorporate suppliers' social responsibility performance in occupati"&amp;"onal health and safety, environmental management, business ethics, and environmentally friendly material supply into our audit and rating system. This requires suppliers to operate in compliance with clean production regulations and jointly build a sustai"&amp;"nable supply chain.")</f>
        <v>1920 Shenma Industrial Co., Ltd. 2021 Social Responsibility Report Enhance value creation and strengthen supply management. We continuously improve our sustainable procurement policy and incorporate suppliers' social responsibility performance in occupational health and safety, environmental management, business ethics, and environmentally friendly material supply into our audit and rating system. This requires suppliers to operate in compliance with clean production regulations and jointly build a sustainable supply chain.</v>
      </c>
      <c r="B5397" s="1" t="str">
        <f ca="1">IFERROR(__xludf.DUMMYFUNCTION("GOOGLETRANSLATE(A5397, ""zh"", ""en"")"),"supply chain management")</f>
        <v>supply chain management</v>
      </c>
      <c r="C5397" s="1" t="str">
        <f ca="1">IFERROR(__xludf.DUMMYFUNCTION("GOOGLETRANSLATE(E5397, ""zh"", ""en"")"),"Qualitative text")</f>
        <v>Qualitative text</v>
      </c>
    </row>
    <row r="5398" spans="1:3" ht="13" x14ac:dyDescent="0.15">
      <c r="A5398" s="1" t="str">
        <f ca="1">IFERROR(__xludf.DUMMYFUNCTION("GOOGLETRANSLATE(A5398, ""zh"", ""en"")"),"By completely isolating the operation area from the equipment area, the overall optimization of mechanical protection is achieved, eliminating the risk of extrusion when operators directly contact the equipment. The details of the protective pads for the "&amp;"equipment are carefully checked and the dust is carefully controlled to reduce the risk of occupational exposure. As an occupational hazard, dust can enter the human body through inhalation and cause damage to the respiratory tract, skin and other organs.")</f>
        <v>By completely isolating the operation area from the equipment area, the overall optimization of mechanical protection is achieved, eliminating the risk of extrusion when operators directly contact the equipment. The details of the protective pads for the equipment are carefully checked and the dust is carefully controlled to reduce the risk of occupational exposure. As an occupational hazard, dust can enter the human body through inhalation and cause damage to the respiratory tract, skin and other organs.</v>
      </c>
      <c r="B5398" s="1" t="str">
        <f ca="1">IFERROR(__xludf.DUMMYFUNCTION("GOOGLETRANSLATE(A5398, ""zh"", ""en"")"),"Product quality")</f>
        <v>Product quality</v>
      </c>
      <c r="C5398" s="1" t="str">
        <f ca="1">IFERROR(__xludf.DUMMYFUNCTION("GOOGLETRANSLATE(E5398, ""zh"", ""en"")"),"Qualitative text")</f>
        <v>Qualitative text</v>
      </c>
    </row>
    <row r="5399" spans="1:3" ht="13" x14ac:dyDescent="0.15">
      <c r="A5399" s="1" t="str">
        <f ca="1">IFERROR(__xludf.DUMMYFUNCTION("GOOGLETRANSLATE(A5399, ""zh"", ""en"")"),"Duqunhua operation model Duqunhua is used to form a knowledge manual for new managers. It condenses the knowledge points, learning tools, theoretical models, management skills and methods learned in the course, and accumulates classroom group points and c"&amp;"lass group interactive learning. The class group supplements and collects homework and writing after classroom learning, condenses and extracts them, and compiles them into a book with special points to stimulate students' enthusiasm for participation and"&amp;" interaction among students.")</f>
        <v>Duqunhua operation model Duqunhua is used to form a knowledge manual for new managers. It condenses the knowledge points, learning tools, theoretical models, management skills and methods learned in the course, and accumulates classroom group points and class group interactive learning. The class group supplements and collects homework and writing after classroom learning, condenses and extracts them, and compiles them into a book with special points to stimulate students' enthusiasm for participation and interaction among students.</v>
      </c>
      <c r="B5399" s="1" t="str">
        <f ca="1">IFERROR(__xludf.DUMMYFUNCTION("GOOGLETRANSLATE(A5399, ""zh"", ""en"")"),"Organizational structure and operations")</f>
        <v>Organizational structure and operations</v>
      </c>
      <c r="C5399" s="1" t="str">
        <f ca="1">IFERROR(__xludf.DUMMYFUNCTION("GOOGLETRANSLATE(E5399, ""zh"", ""en"")"),"Qualitative text")</f>
        <v>Qualitative text</v>
      </c>
    </row>
    <row r="5400" spans="1:3" ht="13" x14ac:dyDescent="0.15">
      <c r="A5400" s="1" t="str">
        <f ca="1">IFERROR(__xludf.DUMMYFUNCTION("GOOGLETRANSLATE(A5400, ""zh"", ""en"")"),"Case Study: Selection of the Most Popular Employee-Caring Initiatives. To promote better employee care in institutions at all levels and build career development platforms for employees, the Bank organized a selection activity for the most popular employe"&amp;"e-caring initiatives. A total of 30 initiatives were selected through voting by all employees of the Bank. These initiatives were classified into five categories: comprehensive mechanism, ideological care, empowerment, burden reduction, employee growth su"&amp;"pport and guarantee.")</f>
        <v>Case Study: Selection of the Most Popular Employee-Caring Initiatives. To promote better employee care in institutions at all levels and build career development platforms for employees, the Bank organized a selection activity for the most popular employee-caring initiatives. A total of 30 initiatives were selected through voting by all employees of the Bank. These initiatives were classified into five categories: comprehensive mechanism, ideological care, empowerment, burden reduction, employee growth support and guarantee.</v>
      </c>
      <c r="B5400" s="1" t="str">
        <f ca="1">IFERROR(__xludf.DUMMYFUNCTION("GOOGLETRANSLATE(A5400, ""zh"", ""en"")"),"staff")</f>
        <v>staff</v>
      </c>
      <c r="C5400" s="1" t="str">
        <f ca="1">IFERROR(__xludf.DUMMYFUNCTION("GOOGLETRANSLATE(E5400, ""zh"", ""en"")"),"Quantitative Text")</f>
        <v>Quantitative Text</v>
      </c>
    </row>
    <row r="5401" spans="1:3" ht="13" x14ac:dyDescent="0.15">
      <c r="A5401" s="1" t="str">
        <f ca="1">IFERROR(__xludf.DUMMYFUNCTION("GOOGLETRANSLATE(A5401, ""zh"", ""en"")"),"Overcoming difficulties to ensure the safety of the elderly population. In the face of the epidemic, Changqingshe fully mobilized internal and external resources based on internal potential to overcome various difficulties such as the shortage of nursing "&amp;"staff, lack of medical care and medicine, and ultimately ensured that there were no major safety accidents. The specific measures are as follows: First, establish an emergency plan for epidemic prevention and control in nursing homes in accordance with re"&amp;"quirements and strictly implement the third edition of the prevention and control guidelines for high-risk areas and infected nursing service institutions of the new coronavirus epidemic.")</f>
        <v>Overcoming difficulties to ensure the safety of the elderly population. In the face of the epidemic, Changqingshe fully mobilized internal and external resources based on internal potential to overcome various difficulties such as the shortage of nursing staff, lack of medical care and medicine, and ultimately ensured that there were no major safety accidents. The specific measures are as follows: First, establish an emergency plan for epidemic prevention and control in nursing homes in accordance with requirements and strictly implement the third edition of the prevention and control guidelines for high-risk areas and infected nursing service institutions of the new coronavirus epidemic.</v>
      </c>
      <c r="B5401" s="1" t="str">
        <f ca="1">IFERROR(__xludf.DUMMYFUNCTION("GOOGLETRANSLATE(A5401, ""zh"", ""en"")"),"Fighting the epidemic")</f>
        <v>Fighting the epidemic</v>
      </c>
      <c r="C5401" s="1" t="str">
        <f ca="1">IFERROR(__xludf.DUMMYFUNCTION("GOOGLETRANSLATE(E5401, ""zh"", ""en"")"),"Qualitative text")</f>
        <v>Qualitative text</v>
      </c>
    </row>
    <row r="5402" spans="1:3" ht="13" x14ac:dyDescent="0.15">
      <c r="A5402" s="1" t="str">
        <f ca="1">IFERROR(__xludf.DUMMYFUNCTION("GOOGLETRANSLATE(A5402, ""zh"", ""en"")"),"The Group actively responds to animal ethics policies and animal welfare protection requirements, raising and using laboratory animals scientifically and humanely. Laboratory animals are a fundamental element of life science research, and actively improvi"&amp;"ng the environmental protection of animal husbandry is an important support condition for laboratory animals. Animal experiments are the interests of life science research, and we will continue to explore and develop refined animal experimentation technol"&amp;"ogies to reduce and replace the use of laboratory animals.")</f>
        <v>The Group actively responds to animal ethics policies and animal welfare protection requirements, raising and using laboratory animals scientifically and humanely. Laboratory animals are a fundamental element of life science research, and actively improving the environmental protection of animal husbandry is an important support condition for laboratory animals. Animal experiments are the interests of life science research, and we will continue to explore and develop refined animal experimentation technologies to reduce and replace the use of laboratory animals.</v>
      </c>
      <c r="B5402" s="1" t="str">
        <f ca="1">IFERROR(__xludf.DUMMYFUNCTION("GOOGLETRANSLATE(A5402, ""zh"", ""en"")"),"biodiversity")</f>
        <v>biodiversity</v>
      </c>
      <c r="C5402" s="1" t="str">
        <f ca="1">IFERROR(__xludf.DUMMYFUNCTION("GOOGLETRANSLATE(E5402, ""zh"", ""en"")"),"Qualitative text")</f>
        <v>Qualitative text</v>
      </c>
    </row>
    <row r="5403" spans="1:3" ht="13" x14ac:dyDescent="0.15">
      <c r="A5403" s="1" t="str">
        <f ca="1">IFERROR(__xludf.DUMMYFUNCTION("GOOGLETRANSLATE(A5403, ""zh"", ""en"")"),"Sinopec Corporation Sinopec Corporation 7374 Corporate Governance: Building a Strong Safety Line, Addressing Climate Change, Respecting Human Rights, Cultivating Talents, Protecting the Environment, and Fulfilling Social Responsibilities. Caring for Emplo"&amp;"yee Mental Health. Mental health is an important component of employee occupational health. Sinopec has always insisted on implementing its own unique Employee Assistance Program (EAP) to scientifically safeguard employee mental health.")</f>
        <v>Sinopec Corporation Sinopec Corporation 7374 Corporate Governance: Building a Strong Safety Line, Addressing Climate Change, Respecting Human Rights, Cultivating Talents, Protecting the Environment, and Fulfilling Social Responsibilities. Caring for Employee Mental Health. Mental health is an important component of employee occupational health. Sinopec has always insisted on implementing its own unique Employee Assistance Program (EAP) to scientifically safeguard employee mental health.</v>
      </c>
      <c r="B5403" s="1" t="str">
        <f ca="1">IFERROR(__xludf.DUMMYFUNCTION("GOOGLETRANSLATE(A5403, ""zh"", ""en"")"),"staff")</f>
        <v>staff</v>
      </c>
      <c r="C5403" s="1" t="str">
        <f ca="1">IFERROR(__xludf.DUMMYFUNCTION("GOOGLETRANSLATE(E5403, ""zh"", ""en"")"),"Qualitative text")</f>
        <v>Qualitative text</v>
      </c>
    </row>
    <row r="5404" spans="1:3" ht="13" x14ac:dyDescent="0.15">
      <c r="A5404" s="1" t="str">
        <f ca="1">IFERROR(__xludf.DUMMYFUNCTION("GOOGLETRANSLATE(A5404, ""zh"", ""en"")"),"Shenma Co., Ltd. aims to become a world-class value creator in the nylon industry chain. It continuously improves its internal management, strengthens its compliance and operational capabilities, and upholds the quality philosophy that quality is the life"&amp;"blood of an enterprise. By continuously providing responsible high-quality products and services to global customers to meet their diverse needs, it has enabled customers to have permanent trust through product quality and technological advancement, great"&amp;"ly enhancing the company's reputation and competitiveness.")</f>
        <v>Shenma Co., Ltd. aims to become a world-class value creator in the nylon industry chain. It continuously improves its internal management, strengthens its compliance and operational capabilities, and upholds the quality philosophy that quality is the lifeblood of an enterprise. By continuously providing responsible high-quality products and services to global customers to meet their diverse needs, it has enabled customers to have permanent trust through product quality and technological advancement, greatly enhancing the company's reputation and competitiveness.</v>
      </c>
      <c r="B5404" s="1" t="str">
        <f ca="1">IFERROR(__xludf.DUMMYFUNCTION("GOOGLETRANSLATE(A5404, ""zh"", ""en"")"),"Product quality")</f>
        <v>Product quality</v>
      </c>
      <c r="C5404" s="1" t="str">
        <f ca="1">IFERROR(__xludf.DUMMYFUNCTION("GOOGLETRANSLATE(E5404, ""zh"", ""en"")"),"Qualitative text")</f>
        <v>Qualitative text</v>
      </c>
    </row>
    <row r="5405" spans="1:3" ht="13" x14ac:dyDescent="0.15">
      <c r="A5405" s="1" t="str">
        <f ca="1">IFERROR(__xludf.DUMMYFUNCTION("GOOGLETRANSLATE(A5405, ""zh"", ""en"")"),"As of the end of the reporting period, the Company's Board of Directors consisted of 12 Directors, including 2 female Directors. 4 of the 12 are independent non-executive Directors, who are experts in the fields of accounting, legal, management and strate"&amp;"gic planning. Regarding the continuous improvement of the performance of duties, the Company's directors and professionals meet the requirements of the Corporate Governance Standards for Listed Companies, and the supervisors and senior management fully ut"&amp;"ilize various channels to participate in various training packages on the standardized operation of listed companies to meet the needs of the Group's development.")</f>
        <v>As of the end of the reporting period, the Company's Board of Directors consisted of 12 Directors, including 2 female Directors. 4 of the 12 are independent non-executive Directors, who are experts in the fields of accounting, legal, management and strategic planning. Regarding the continuous improvement of the performance of duties, the Company's directors and professionals meet the requirements of the Corporate Governance Standards for Listed Companies, and the supervisors and senior management fully utilize various channels to participate in various training packages on the standardized operation of listed companies to meet the needs of the Group's development.</v>
      </c>
      <c r="B5405" s="1" t="str">
        <f ca="1">IFERROR(__xludf.DUMMYFUNCTION("GOOGLETRANSLATE(A5405, ""zh"", ""en"")"),"Organizational structure and operations")</f>
        <v>Organizational structure and operations</v>
      </c>
      <c r="C5405" s="1" t="str">
        <f ca="1">IFERROR(__xludf.DUMMYFUNCTION("GOOGLETRANSLATE(E5405, ""zh"", ""en"")"),"Qualitative text")</f>
        <v>Qualitative text</v>
      </c>
    </row>
    <row r="5406" spans="1:3" ht="13" x14ac:dyDescent="0.15">
      <c r="A5406" s="1" t="str">
        <f ca="1">IFERROR(__xludf.DUMMYFUNCTION("GOOGLETRANSLATE(A5406, ""zh"", ""en"")"),"Shanghai Electric has always been committed to achieving harmonious coexistence between man and nature. Relying on its own low-carbon and green business solutions, it vigorously promotes the development of efficient clean energy, the development of new en"&amp;"ergy industries, harmless waste treatment, and seawater desalination technologies. It has also conducted in-depth research on the construction and development of tree planting and forest restoration, empowering the protection of biological habitats and th"&amp;"e sustainable development of the ecological environment in response to climate change, and contributing to the protection of biodiversity through electrical power.")</f>
        <v>Shanghai Electric has always been committed to achieving harmonious coexistence between man and nature. Relying on its own low-carbon and green business solutions, it vigorously promotes the development of efficient clean energy, the development of new energy industries, harmless waste treatment, and seawater desalination technologies. It has also conducted in-depth research on the construction and development of tree planting and forest restoration, empowering the protection of biological habitats and the sustainable development of the ecological environment in response to climate change, and contributing to the protection of biodiversity through electrical power.</v>
      </c>
      <c r="B5406" s="1" t="str">
        <f ca="1">IFERROR(__xludf.DUMMYFUNCTION("GOOGLETRANSLATE(A5406, ""zh"", ""en"")"),"biodiversity")</f>
        <v>biodiversity</v>
      </c>
      <c r="C5406" s="1" t="str">
        <f ca="1">IFERROR(__xludf.DUMMYFUNCTION("GOOGLETRANSLATE(E5406, ""zh"", ""en"")"),"Qualitative text")</f>
        <v>Qualitative text</v>
      </c>
    </row>
    <row r="5407" spans="1:3" ht="13" x14ac:dyDescent="0.15">
      <c r="A5407" s="1" t="str">
        <f ca="1">IFERROR(__xludf.DUMMYFUNCTION("GOOGLETRANSLATE(A5407, ""zh"", ""en"")"),"Anti-corruption 12. Report Preparation Basis: Environmental Responsibility, Reducing Carbon Emissions, and Promoting Circular Economy 13. This report is primarily prepared based on the Shanghai Stock Exchange's Guidelines for Listed Companies' Self-Regula"&amp;"tory Operations No. 1, and also refers to the Global Reporting Initiative (GRI) Sustainability Reporting Standards (GRI Standards) and the Chinese Academy of Social Sciences' Guidelines for Corporate Social Responsibility (CASSESG) 5.0.")</f>
        <v>Anti-corruption 12. Report Preparation Basis: Environmental Responsibility, Reducing Carbon Emissions, and Promoting Circular Economy 13. This report is primarily prepared based on the Shanghai Stock Exchange's Guidelines for Listed Companies' Self-Regulatory Operations No. 1, and also refers to the Global Reporting Initiative (GRI) Sustainability Reporting Standards (GRI Standards) and the Chinese Academy of Social Sciences' Guidelines for Corporate Social Responsibility (CASSESG) 5.0.</v>
      </c>
      <c r="B5407" s="1" t="str">
        <f ca="1">IFERROR(__xludf.DUMMYFUNCTION("GOOGLETRANSLATE(A5407, ""zh"", ""en"")"),"Anti-corruption and anti-money laundering")</f>
        <v>Anti-corruption and anti-money laundering</v>
      </c>
      <c r="C5407" s="1" t="str">
        <f ca="1">IFERROR(__xludf.DUMMYFUNCTION("GOOGLETRANSLATE(E5407, ""zh"", ""en"")"),"Qualitative text")</f>
        <v>Qualitative text</v>
      </c>
    </row>
    <row r="5408" spans="1:3" ht="13" x14ac:dyDescent="0.15">
      <c r="A5408" s="1" t="str">
        <f ca="1">IFERROR(__xludf.DUMMYFUNCTION("GOOGLETRANSLATE(A5408, ""zh"", ""en"")"),"COSL 2022 ESG Report 37 Protecting the Ecosystem, Preventing Oil Leaks, Preventing Groundwater Contamination, and Protecting Biodiversity. The company has established robust measures and procedures to prevent potential oil leaks during production operatio"&amp;"ns. Each operating unit strengthens its management of oil spill risks through measures such as pre-drilling safety inspections, regular maintenance of oil spill prevention equipment, and irregular oil spill emergency drills.")</f>
        <v>COSL 2022 ESG Report 37 Protecting the Ecosystem, Preventing Oil Leaks, Preventing Groundwater Contamination, and Protecting Biodiversity. The company has established robust measures and procedures to prevent potential oil leaks during production operations. Each operating unit strengthens its management of oil spill risks through measures such as pre-drilling safety inspections, regular maintenance of oil spill prevention equipment, and irregular oil spill emergency drills.</v>
      </c>
      <c r="B5408" s="1" t="str">
        <f ca="1">IFERROR(__xludf.DUMMYFUNCTION("GOOGLETRANSLATE(A5408, ""zh"", ""en"")"),"biodiversity")</f>
        <v>biodiversity</v>
      </c>
      <c r="C5408" s="1" t="str">
        <f ca="1">IFERROR(__xludf.DUMMYFUNCTION("GOOGLETRANSLATE(E5408, ""zh"", ""en"")"),"Qualitative text")</f>
        <v>Qualitative text</v>
      </c>
    </row>
    <row r="5409" spans="1:3" ht="13" x14ac:dyDescent="0.15">
      <c r="A5409" s="1" t="str">
        <f ca="1">IFERROR(__xludf.DUMMYFUNCTION("GOOGLETRANSLATE(A5409, ""zh"", ""en"")"),"Overseas security and human rights protection. Kazakhstan PK Company conducts security contractor qualification review according to the bidding method, selects security contractors with qualifications, strength and rich management experience, and requires"&amp;" security contractors to comply with the laws and regulations of the government of the country where the business is located in terms of salary, vacation benefits, pension payment, working environment and labor protection supplies. The contractor's respon"&amp;"sibility to protect employees is included in the contract and its implementation is supervised.")</f>
        <v>Overseas security and human rights protection. Kazakhstan PK Company conducts security contractor qualification review according to the bidding method, selects security contractors with qualifications, strength and rich management experience, and requires security contractors to comply with the laws and regulations of the government of the country where the business is located in terms of salary, vacation benefits, pension payment, working environment and labor protection supplies. The contractor's responsibility to protect employees is included in the contract and its implementation is supervised.</v>
      </c>
      <c r="B5409" s="1" t="str">
        <f ca="1">IFERROR(__xludf.DUMMYFUNCTION("GOOGLETRANSLATE(A5409, ""zh"", ""en"")"),"staff")</f>
        <v>staff</v>
      </c>
      <c r="C5409" s="1" t="str">
        <f ca="1">IFERROR(__xludf.DUMMYFUNCTION("GOOGLETRANSLATE(E5409, ""zh"", ""en"")"),"Qualitative text")</f>
        <v>Qualitative text</v>
      </c>
    </row>
    <row r="5410" spans="1:3" ht="13" x14ac:dyDescent="0.15">
      <c r="A5410" s="1" t="str">
        <f ca="1">IFERROR(__xludf.DUMMYFUNCTION("GOOGLETRANSLATE(A5410, ""zh"", ""en"")"),"55.54 hours of training per employee, 11 hours of total training hours for male and female employees, 408719.50 hours of total training hours for employees. Case: SDIC Capital held a training course on state-owned assets management. Case: SDIC Capital hel"&amp;"d a training course on general skills improvement for employees. In order to improve the lean management of the company's property rights work and enhance the level of state-owned assets management, SDIC Capital organized and held a training course on sta"&amp;"te-owned assets management.")</f>
        <v>55.54 hours of training per employee, 11 hours of total training hours for male and female employees, 408719.50 hours of total training hours for employees. Case: SDIC Capital held a training course on state-owned assets management. Case: SDIC Capital held a training course on general skills improvement for employees. In order to improve the lean management of the company's property rights work and enhance the level of state-owned assets management, SDIC Capital organized and held a training course on state-owned assets management.</v>
      </c>
      <c r="B5410" s="1" t="str">
        <f ca="1">IFERROR(__xludf.DUMMYFUNCTION("GOOGLETRANSLATE(A5410, ""zh"", ""en"")"),"staff")</f>
        <v>staff</v>
      </c>
      <c r="C5410" s="1" t="str">
        <f ca="1">IFERROR(__xludf.DUMMYFUNCTION("GOOGLETRANSLATE(E5410, ""zh"", ""en"")"),"Quantitative Text")</f>
        <v>Quantitative Text</v>
      </c>
    </row>
    <row r="5411" spans="1:3" ht="13" x14ac:dyDescent="0.15">
      <c r="A5411" s="1" t="str">
        <f ca="1">IFERROR(__xludf.DUMMYFUNCTION("GOOGLETRANSLATE(A5411, ""zh"", ""en"")"),"Democracy building and communication: Legal services delivered to employees' doorsteps further safeguard their rights and interests. The Shanghai Mechanical and Electrical Trade Union attaches great importance to the promotion and implementation of legal "&amp;"services for employees. To this end, it organized consultations with union cadres and employee representatives, studied relevant laws and policies such as the Shanghai Trade Union Regulations and the Guidelines for the Operation of Workers' Representative"&amp;" Conferences, and held activities such as the ""How Much Do You Know About Workers' Representative Conferences?"" Quiz to encourage employees to actively participate in learning the law through fun activities.")</f>
        <v>Democracy building and communication: Legal services delivered to employees' doorsteps further safeguard their rights and interests. The Shanghai Mechanical and Electrical Trade Union attaches great importance to the promotion and implementation of legal services for employees. To this end, it organized consultations with union cadres and employee representatives, studied relevant laws and policies such as the Shanghai Trade Union Regulations and the Guidelines for the Operation of Workers' Representative Conferences, and held activities such as the "How Much Do You Know About Workers' Representative Conferences?" Quiz to encourage employees to actively participate in learning the law through fun activities.</v>
      </c>
      <c r="B5411" s="1" t="str">
        <f ca="1">IFERROR(__xludf.DUMMYFUNCTION("GOOGLETRANSLATE(A5411, ""zh"", ""en"")"),"staff")</f>
        <v>staff</v>
      </c>
      <c r="C5411" s="1" t="str">
        <f ca="1">IFERROR(__xludf.DUMMYFUNCTION("GOOGLETRANSLATE(E5411, ""zh"", ""en"")"),"Qualitative text")</f>
        <v>Qualitative text</v>
      </c>
    </row>
    <row r="5412" spans="1:3" ht="13" x14ac:dyDescent="0.15">
      <c r="A5412" s="1" t="str">
        <f ca="1">IFERROR(__xludf.DUMMYFUNCTION("GOOGLETRANSLATE(A5412, ""zh"", ""en"")"),"SDIC's state-owned asset management training SDIC employee general skills improvement training RMB 1247.37 Employee training investment SDIC 2022 ESG report Build a better society together 6667 SDIC is committed to building an equal and inclusive work sys"&amp;"tem and work environment, absorbing talents from diverse backgrounds, building a diversified employee system, and encouraging employees to unleash their diverse potential and create diverse value.")</f>
        <v>SDIC's state-owned asset management training SDIC employee general skills improvement training RMB 1247.37 Employee training investment SDIC 2022 ESG report Build a better society together 6667 SDIC is committed to building an equal and inclusive work system and work environment, absorbing talents from diverse backgrounds, building a diversified employee system, and encouraging employees to unleash their diverse potential and create diverse value.</v>
      </c>
      <c r="B5412" s="1" t="str">
        <f ca="1">IFERROR(__xludf.DUMMYFUNCTION("GOOGLETRANSLATE(A5412, ""zh"", ""en"")"),"staff")</f>
        <v>staff</v>
      </c>
      <c r="C5412" s="1" t="str">
        <f ca="1">IFERROR(__xludf.DUMMYFUNCTION("GOOGLETRANSLATE(E5412, ""zh"", ""en"")"),"Quantitative Text")</f>
        <v>Quantitative Text</v>
      </c>
    </row>
    <row r="5413" spans="1:3" ht="13" x14ac:dyDescent="0.15">
      <c r="A5413" s="1" t="str">
        <f ca="1">IFERROR(__xludf.DUMMYFUNCTION("GOOGLETRANSLATE(A5413, ""zh"", ""en"")"),"Promote employee development and build a comprehensive training system. SDIC Capital focuses on employee growth and combines industry development trends to empower employees, serve business, support strategy, and build a systematic talent training system "&amp;"for positioning. Use a variety of training methods to continuously improve employees' professional capabilities, professional qualities, and comprehensive qualities. Create a stable internal talent supply chain for the company's development and promote th"&amp;"e organic unity of employee growth and company development.")</f>
        <v>Promote employee development and build a comprehensive training system. SDIC Capital focuses on employee growth and combines industry development trends to empower employees, serve business, support strategy, and build a systematic talent training system for positioning. Use a variety of training methods to continuously improve employees' professional capabilities, professional qualities, and comprehensive qualities. Create a stable internal talent supply chain for the company's development and promote the organic unity of employee growth and company development.</v>
      </c>
      <c r="B5413" s="1" t="str">
        <f ca="1">IFERROR(__xludf.DUMMYFUNCTION("GOOGLETRANSLATE(A5413, ""zh"", ""en"")"),"staff")</f>
        <v>staff</v>
      </c>
      <c r="C5413" s="1" t="str">
        <f ca="1">IFERROR(__xludf.DUMMYFUNCTION("GOOGLETRANSLATE(E5413, ""zh"", ""en"")"),"Qualitative text")</f>
        <v>Qualitative text</v>
      </c>
    </row>
    <row r="5414" spans="1:3" ht="13" x14ac:dyDescent="0.15">
      <c r="A5414" s="1" t="str">
        <f ca="1">IFERROR(__xludf.DUMMYFUNCTION("GOOGLETRANSLATE(A5414, ""zh"", ""en"")"),"Three development models: operational and professional. Iterative leadership competitions strengthen talent attraction and encourage employee innovation. In 2022, to build a reserve and high-potential talent supply chain, we will focus on attracting fresh"&amp;" graduates and scientific and technological talent. We organized and launched the 2022CFP and 2023CFP special talent attraction programs for fresh graduates, increasing the proportion of Double First-Class Master's degree science and engineering personnel"&amp;" and effectively improving talent quality.")</f>
        <v>Three development models: operational and professional. Iterative leadership competitions strengthen talent attraction and encourage employee innovation. In 2022, to build a reserve and high-potential talent supply chain, we will focus on attracting fresh graduates and scientific and technological talent. We organized and launched the 2022CFP and 2023CFP special talent attraction programs for fresh graduates, increasing the proportion of Double First-Class Master's degree science and engineering personnel and effectively improving talent quality.</v>
      </c>
      <c r="B5414" s="1" t="str">
        <f ca="1">IFERROR(__xludf.DUMMYFUNCTION("GOOGLETRANSLATE(A5414, ""zh"", ""en"")"),"staff")</f>
        <v>staff</v>
      </c>
      <c r="C5414" s="1" t="str">
        <f ca="1">IFERROR(__xludf.DUMMYFUNCTION("GOOGLETRANSLATE(E5414, ""zh"", ""en"")"),"Qualitative text")</f>
        <v>Qualitative text</v>
      </c>
    </row>
    <row r="5415" spans="1:3" ht="13" x14ac:dyDescent="0.15">
      <c r="A5415" s="1" t="str">
        <f ca="1">IFERROR(__xludf.DUMMYFUNCTION("GOOGLETRANSLATE(A5415, ""zh"", ""en"")"),"We strictly abide by the applicable intellectual property laws and regulations in the countries where we operate, including the Patent Law of the People's Republic of China, the Trademark Law of the People's Republic of China, the Copyright Law of the Peo"&amp;"ple's Republic of China, etc. We have established a global management mechanism, formulated and issued patent asset evaluation and patent maintenance and abandonment management platforms, patent licensing and transfer management process platforms, and oth"&amp;"er systems to optimize patent quality management platforms and patent incentive platforms.")</f>
        <v>We strictly abide by the applicable intellectual property laws and regulations in the countries where we operate, including the Patent Law of the People's Republic of China, the Trademark Law of the People's Republic of China, the Copyright Law of the People's Republic of China, etc. We have established a global management mechanism, formulated and issued patent asset evaluation and patent maintenance and abandonment management platforms, patent licensing and transfer management process platforms, and other systems to optimize patent quality management platforms and patent incentive platforms.</v>
      </c>
      <c r="B5415" s="1" t="str">
        <f ca="1">IFERROR(__xludf.DUMMYFUNCTION("GOOGLETRANSLATE(A5415, ""zh"", ""en"")"),"Intellectual Property Protection")</f>
        <v>Intellectual Property Protection</v>
      </c>
      <c r="C5415" s="1" t="str">
        <f ca="1">IFERROR(__xludf.DUMMYFUNCTION("GOOGLETRANSLATE(E5415, ""zh"", ""en"")"),"Qualitative text")</f>
        <v>Qualitative text</v>
      </c>
    </row>
    <row r="5416" spans="1:3" ht="13" x14ac:dyDescent="0.15">
      <c r="A5416" s="1" t="str">
        <f ca="1">IFERROR(__xludf.DUMMYFUNCTION("GOOGLETRANSLATE(A5416, ""zh"", ""en"")"),"In July 2022, Yichang Renfu planned to introduce the Supplier Procurement Management Platform (SRM) project, which realizes the information management of the entire process from procurement plan generation to material warehousing and use. It further stren"&amp;"gthens the inventory management control with suppliers and improves the efficiency and turnover speed of the entire supply chain. It can achieve win-win cooperation with suppliers and promote the common growth of both parties.")</f>
        <v>In July 2022, Yichang Renfu planned to introduce the Supplier Procurement Management Platform (SRM) project, which realizes the information management of the entire process from procurement plan generation to material warehousing and use. It further strengthens the inventory management control with suppliers and improves the efficiency and turnover speed of the entire supply chain. It can achieve win-win cooperation with suppliers and promote the common growth of both parties.</v>
      </c>
      <c r="B5416" s="1" t="str">
        <f ca="1">IFERROR(__xludf.DUMMYFUNCTION("GOOGLETRANSLATE(A5416, ""zh"", ""en"")"),"supply chain management")</f>
        <v>supply chain management</v>
      </c>
      <c r="C5416" s="1" t="str">
        <f ca="1">IFERROR(__xludf.DUMMYFUNCTION("GOOGLETRANSLATE(E5416, ""zh"", ""en"")"),"Qualitative text")</f>
        <v>Qualitative text</v>
      </c>
    </row>
    <row r="5417" spans="1:3" ht="13" x14ac:dyDescent="0.15">
      <c r="A5417" s="1" t="str">
        <f ca="1">IFERROR(__xludf.DUMMYFUNCTION("GOOGLETRANSLATE(A5417, ""zh"", ""en"")"),"Integrity building and anti-corruption practice business ethics in accordance with the anti-corruption compliance control system of Shanghai Fosun Pharmaceutical Group Co., Ltd. to strengthen supervision and improve the company's integrity supervision man"&amp;"agement system. Fosun Pharmaceutical Group consciously practices good business ethics and anti-corruption goals.")</f>
        <v>Integrity building and anti-corruption practice business ethics in accordance with the anti-corruption compliance control system of Shanghai Fosun Pharmaceutical Group Co., Ltd. to strengthen supervision and improve the company's integrity supervision management system. Fosun Pharmaceutical Group consciously practices good business ethics and anti-corruption goals.</v>
      </c>
      <c r="B5417" s="1" t="str">
        <f ca="1">IFERROR(__xludf.DUMMYFUNCTION("GOOGLETRANSLATE(A5417, ""zh"", ""en"")"),"Anti-corruption and anti-money laundering")</f>
        <v>Anti-corruption and anti-money laundering</v>
      </c>
      <c r="C5417" s="1" t="str">
        <f ca="1">IFERROR(__xludf.DUMMYFUNCTION("GOOGLETRANSLATE(E5417, ""zh"", ""en"")"),"Qualitative text")</f>
        <v>Qualitative text</v>
      </c>
    </row>
    <row r="5418" spans="1:3" ht="13" x14ac:dyDescent="0.15">
      <c r="A5418" s="1" t="str">
        <f ca="1">IFERROR(__xludf.DUMMYFUNCTION("GOOGLETRANSLATE(A5418, ""zh"", ""en"")"),"The company pays close attention to key markets and communicates with core customers, actively participates in industry exhibitions such as the Abu Dhabi International Petroleum Expo (ADIPEC), the Asia-Pacific Drilling Technology Annual Conference (APDT),"&amp;" the Indonesian National Petroleum Exhibition (IPA), and international high-end forums, demonstrates the company's high-end technology and equipment strength and integrated service capabilities, promotes customer communication and exchanges, deepens multi"&amp;"-party cooperation, and continuously enhances the company's brand influence in the domestic and international oil fields.")</f>
        <v>The company pays close attention to key markets and communicates with core customers, actively participates in industry exhibitions such as the Abu Dhabi International Petroleum Expo (ADIPEC), the Asia-Pacific Drilling Technology Annual Conference (APDT), the Indonesian National Petroleum Exhibition (IPA), and international high-end forums, demonstrates the company's high-end technology and equipment strength and integrated service capabilities, promotes customer communication and exchanges, deepens multi-party cooperation, and continuously enhances the company's brand influence in the domestic and international oil fields.</v>
      </c>
      <c r="B5418" s="1" t="str">
        <f ca="1">IFERROR(__xludf.DUMMYFUNCTION("GOOGLETRANSLATE(A5418, ""zh"", ""en"")"),"Customers and Consumers")</f>
        <v>Customers and Consumers</v>
      </c>
      <c r="C5418" s="1" t="str">
        <f ca="1">IFERROR(__xludf.DUMMYFUNCTION("GOOGLETRANSLATE(E5418, ""zh"", ""en"")"),"Qualitative text")</f>
        <v>Qualitative text</v>
      </c>
    </row>
    <row r="5419" spans="1:3" ht="13" x14ac:dyDescent="0.15">
      <c r="A5419" s="1" t="str">
        <f ca="1">IFERROR(__xludf.DUMMYFUNCTION("GOOGLETRANSLATE(A5419, ""zh"", ""en"")"),"Shanghai Electric Group Co., Ltd. 47. Improving and Optimizing Legal Management. To effectively safeguard the quality of the Group's work and promote the harmonious development of the Company, we are continuously improving the Company's legal system, stri"&amp;"ctly controlling legal compliance risks, adhering to legal operations and management, and deepening legal system development efforts. We are striving to extend the reach of legal development to every corner of the Company, safeguarding the Company's stead"&amp;"y progress.")</f>
        <v>Shanghai Electric Group Co., Ltd. 47. Improving and Optimizing Legal Management. To effectively safeguard the quality of the Group's work and promote the harmonious development of the Company, we are continuously improving the Company's legal system, strictly controlling legal compliance risks, adhering to legal operations and management, and deepening legal system development efforts. We are striving to extend the reach of legal development to every corner of the Company, safeguarding the Company's steady progress.</v>
      </c>
      <c r="B5419" s="1" t="str">
        <f ca="1">IFERROR(__xludf.DUMMYFUNCTION("GOOGLETRANSLATE(A5419, ""zh"", ""en"")"),"Legal proceedings and external sanctions")</f>
        <v>Legal proceedings and external sanctions</v>
      </c>
      <c r="C5419" s="1" t="str">
        <f ca="1">IFERROR(__xludf.DUMMYFUNCTION("GOOGLETRANSLATE(E5419, ""zh"", ""en"")"),"Qualitative text")</f>
        <v>Qualitative text</v>
      </c>
    </row>
    <row r="5420" spans="1:3" ht="13" x14ac:dyDescent="0.15">
      <c r="A5420" s="1" t="str">
        <f ca="1">IFERROR(__xludf.DUMMYFUNCTION("GOOGLETRANSLATE(A5420, ""zh"", ""en"")"),"2022 COSL Laboratory Certification Certificate 2022 QC Team Outstanding Achievement Certificate COSL strictly abides by the Product Quality Law of the People's Republic of China, the Industrial Product Quality Responsibility Regulations and other relevant"&amp;" laws and regulations. We always adhere to the management policy of reputation first and equipment integrity and quality assurance, and fully implement quality management to provide customers with high-quality, sustainable products and services to meet th"&amp;"eir diverse needs.")</f>
        <v>2022 COSL Laboratory Certification Certificate 2022 QC Team Outstanding Achievement Certificate COSL strictly abides by the Product Quality Law of the People's Republic of China, the Industrial Product Quality Responsibility Regulations and other relevant laws and regulations. We always adhere to the management policy of reputation first and equipment integrity and quality assurance, and fully implement quality management to provide customers with high-quality, sustainable products and services to meet their diverse needs.</v>
      </c>
      <c r="B5420" s="1" t="str">
        <f ca="1">IFERROR(__xludf.DUMMYFUNCTION("GOOGLETRANSLATE(A5420, ""zh"", ""en"")"),"Product quality")</f>
        <v>Product quality</v>
      </c>
      <c r="C5420" s="1" t="str">
        <f ca="1">IFERROR(__xludf.DUMMYFUNCTION("GOOGLETRANSLATE(E5420, ""zh"", ""en"")"),"Qualitative text")</f>
        <v>Qualitative text</v>
      </c>
    </row>
    <row r="5421" spans="1:3" ht="13" x14ac:dyDescent="0.15">
      <c r="A5421" s="1" t="str">
        <f ca="1">IFERROR(__xludf.DUMMYFUNCTION("GOOGLETRANSLATE(A5421, ""zh"", ""en"")"),"To strengthen the Group's quality culture and implement the Group's quality management system, fostering a quality consciousness among all employees that prioritizes quality and compliance, Mr. Yu Xiong, Group Chairman and Director, personally supervised "&amp;"and organized the Quality Month activities jointly organized by the Group headquarters, Taitai Pharmaceutical, Haibin Pharmaceutical, and Kangyuan Haibin, three subsidiaries. These activities included quality knowledge training, quality knowledge competit"&amp;"ions, operational skills competitions, and quality-themed salons.")</f>
        <v>To strengthen the Group's quality culture and implement the Group's quality management system, fostering a quality consciousness among all employees that prioritizes quality and compliance, Mr. Yu Xiong, Group Chairman and Director, personally supervised and organized the Quality Month activities jointly organized by the Group headquarters, Taitai Pharmaceutical, Haibin Pharmaceutical, and Kangyuan Haibin, three subsidiaries. These activities included quality knowledge training, quality knowledge competitions, operational skills competitions, and quality-themed salons.</v>
      </c>
      <c r="B5421" s="1" t="str">
        <f ca="1">IFERROR(__xludf.DUMMYFUNCTION("GOOGLETRANSLATE(A5421, ""zh"", ""en"")"),"Product quality")</f>
        <v>Product quality</v>
      </c>
      <c r="C5421" s="1" t="str">
        <f ca="1">IFERROR(__xludf.DUMMYFUNCTION("GOOGLETRANSLATE(E5421, ""zh"", ""en"")"),"Qualitative text")</f>
        <v>Qualitative text</v>
      </c>
    </row>
    <row r="5422" spans="1:3" ht="13" x14ac:dyDescent="0.15">
      <c r="A5422" s="1" t="str">
        <f ca="1">IFERROR(__xludf.DUMMYFUNCTION("GOOGLETRANSLATE(A5422, ""zh"", ""en"")"),"In May 2022, COSL Europe Drilling Company (CDE)'s Promoter semi-submersible drilling rig was featured on the cover of the International Association of Drilling Contractors' magazine, DRILLINGCONTRACTORMAYJUN2022. The CDE semi-submersible drilling rig's lo"&amp;"w-carbon emission reduction system was featured in the magazine's low-carbon drilling solution, and the drilling rig's emission reduction technology: From concept to reality.")</f>
        <v>In May 2022, COSL Europe Drilling Company (CDE)'s Promoter semi-submersible drilling rig was featured on the cover of the International Association of Drilling Contractors' magazine, DRILLINGCONTRACTORMAYJUN2022. The CDE semi-submersible drilling rig's low-carbon emission reduction system was featured in the magazine's low-carbon drilling solution, and the drilling rig's emission reduction technology: From concept to reality.</v>
      </c>
      <c r="B5422" s="1" t="str">
        <f ca="1">IFERROR(__xludf.DUMMYFUNCTION("GOOGLETRANSLATE(A5422, ""zh"", ""en"")"),"carbon emissions")</f>
        <v>carbon emissions</v>
      </c>
      <c r="C5422" s="1" t="str">
        <f ca="1">IFERROR(__xludf.DUMMYFUNCTION("GOOGLETRANSLATE(E5422, ""zh"", ""en"")"),"Qualitative text")</f>
        <v>Qualitative text</v>
      </c>
    </row>
    <row r="5423" spans="1:3" ht="13" x14ac:dyDescent="0.15">
      <c r="A5423" s="1" t="str">
        <f ca="1">IFERROR(__xludf.DUMMYFUNCTION("GOOGLETRANSLATE(A5423, ""zh"", ""en"")"),"To enhance the company's compliance management and strengthen its compliance culture, the company organized system units to actively participate in compliance training, disseminated the rules and regulations of China Storage Development Co., Ltd. through "&amp;"video conferences, and provided system units with video training on legal litigation matters. In addition, the company organized all system units to participate in six sessions of group rules and regulations training and foreign-related business complianc"&amp;"e training, and participated in the State-owned Assets Supervision and Administration Commission's Rule of Law Lecture Hall.")</f>
        <v>To enhance the company's compliance management and strengthen its compliance culture, the company organized system units to actively participate in compliance training, disseminated the rules and regulations of China Storage Development Co., Ltd. through video conferences, and provided system units with video training on legal litigation matters. In addition, the company organized all system units to participate in six sessions of group rules and regulations training and foreign-related business compliance training, and participated in the State-owned Assets Supervision and Administration Commission's Rule of Law Lecture Hall.</v>
      </c>
      <c r="B5423" s="1" t="str">
        <f ca="1">IFERROR(__xludf.DUMMYFUNCTION("GOOGLETRANSLATE(A5423, ""zh"", ""en"")"),"Legal proceedings and external sanctions")</f>
        <v>Legal proceedings and external sanctions</v>
      </c>
      <c r="C5423" s="1" t="str">
        <f ca="1">IFERROR(__xludf.DUMMYFUNCTION("GOOGLETRANSLATE(E5423, ""zh"", ""en"")"),"Qualitative text")</f>
        <v>Qualitative text</v>
      </c>
    </row>
    <row r="5424" spans="1:3" ht="13" x14ac:dyDescent="0.15">
      <c r="A5424" s="1" t="str">
        <f ca="1">IFERROR(__xludf.DUMMYFUNCTION("GOOGLETRANSLATE(A5424, ""zh"", ""en"")"),"In July 2022, Yichang Renfu plans to introduce the Supplier Procurement Management Platform Project (SRM) to conduct business exchanges with core suppliers. From procurement plan generation to material warehousing and use, the entire process and chain wil"&amp;"l be managed in an informationized manner. This will strengthen inventory management control with suppliers, improve the efficiency and turnover speed of the entire supply chain, and achieve win-win cooperation with suppliers while promoting the common gr"&amp;"owth of both parties.")</f>
        <v>In July 2022, Yichang Renfu plans to introduce the Supplier Procurement Management Platform Project (SRM) to conduct business exchanges with core suppliers. From procurement plan generation to material warehousing and use, the entire process and chain will be managed in an informationized manner. This will strengthen inventory management control with suppliers, improve the efficiency and turnover speed of the entire supply chain, and achieve win-win cooperation with suppliers while promoting the common growth of both parties.</v>
      </c>
      <c r="B5424" s="1" t="str">
        <f ca="1">IFERROR(__xludf.DUMMYFUNCTION("GOOGLETRANSLATE(A5424, ""zh"", ""en"")"),"supply chain management")</f>
        <v>supply chain management</v>
      </c>
      <c r="C5424" s="1" t="str">
        <f ca="1">IFERROR(__xludf.DUMMYFUNCTION("GOOGLETRANSLATE(E5424, ""zh"", ""en"")"),"Qualitative text")</f>
        <v>Qualitative text</v>
      </c>
    </row>
    <row r="5425" spans="1:3" ht="13" x14ac:dyDescent="0.15">
      <c r="A5425" s="1" t="str">
        <f ca="1">IFERROR(__xludf.DUMMYFUNCTION("GOOGLETRANSLATE(A5425, ""zh"", ""en"")"),"The annual risk identification and assessment work has achieved positive results. Sinopec Corporation Sinopec Corporation 2526 Corporate Governance strengthens security lines, addresses climate change, respects human rights, cultivates talent, protects th"&amp;"e environment, and fulfills social responsibilities. Internal control management stimulates innovation and tackles key technology challenges. Sinopec's Board of Directors is responsible for establishing and improving the company's internal control system "&amp;"and ensuring its effective implementation.")</f>
        <v>The annual risk identification and assessment work has achieved positive results. Sinopec Corporation Sinopec Corporation 2526 Corporate Governance strengthens security lines, addresses climate change, respects human rights, cultivates talent, protects the environment, and fulfills social responsibilities. Internal control management stimulates innovation and tackles key technology challenges. Sinopec's Board of Directors is responsible for establishing and improving the company's internal control system and ensuring its effective implementation.</v>
      </c>
      <c r="B5425" s="1" t="str">
        <f ca="1">IFERROR(__xludf.DUMMYFUNCTION("GOOGLETRANSLATE(A5425, ""zh"", ""en"")"),"Technological innovation")</f>
        <v>Technological innovation</v>
      </c>
      <c r="C5425" s="1" t="str">
        <f ca="1">IFERROR(__xludf.DUMMYFUNCTION("GOOGLETRANSLATE(E5425, ""zh"", ""en"")"),"Qualitative text")</f>
        <v>Qualitative text</v>
      </c>
    </row>
    <row r="5426" spans="1:3" ht="13" x14ac:dyDescent="0.15">
      <c r="A5426" s="1" t="str">
        <f ca="1">IFERROR(__xludf.DUMMYFUNCTION("GOOGLETRANSLATE(A5426, ""zh"", ""en"")"),"We will fully explore and utilize the comparative advantages of domestic oil companies, such as solid reserve management, sophisticated reservoir engineering research, and practical process technologies, supplemented by a comprehensive and integrated busi"&amp;"ness model for exploration, development, engineering, and production, as well as profit models such as service product sales and equipment leasing, to promote balanced development of the entire business range within the region, and implement international"&amp;"ization strategies at lower costs and with lower risks.")</f>
        <v>We will fully explore and utilize the comparative advantages of domestic oil companies, such as solid reserve management, sophisticated reservoir engineering research, and practical process technologies, supplemented by a comprehensive and integrated business model for exploration, development, engineering, and production, as well as profit models such as service product sales and equipment leasing, to promote balanced development of the entire business range within the region, and implement internationalization strategies at lower costs and with lower risks.</v>
      </c>
      <c r="B5426" s="1" t="str">
        <f ca="1">IFERROR(__xludf.DUMMYFUNCTION("GOOGLETRANSLATE(A5426, ""zh"", ""en"")"),"Energy and resource consumption")</f>
        <v>Energy and resource consumption</v>
      </c>
      <c r="C5426" s="1" t="str">
        <f ca="1">IFERROR(__xludf.DUMMYFUNCTION("GOOGLETRANSLATE(E5426, ""zh"", ""en"")"),"Qualitative text")</f>
        <v>Qualitative text</v>
      </c>
    </row>
    <row r="5427" spans="1:3" ht="13" x14ac:dyDescent="0.15">
      <c r="A5427" s="1" t="str">
        <f ca="1">IFERROR(__xludf.DUMMYFUNCTION("GOOGLETRANSLATE(A5427, ""zh"", ""en"")"),"Focusing on the overall bank strategy, the service strategy held a new stage, new concept, new pattern, and a future-oriented commercial bank special study and seminar project, focusing on digital operations, smart government affairs, inclusive finance, r"&amp;"ural revitalization, housing finance, intermediary business risk management, and group asset management. Seven lectures were held, with over 260,000 people watching and learning on the CCB learning platform. China Construction Bank Corporation 2022 Social"&amp;" Responsibility Report 65")</f>
        <v>Focusing on the overall bank strategy, the service strategy held a new stage, new concept, new pattern, and a future-oriented commercial bank special study and seminar project, focusing on digital operations, smart government affairs, inclusive finance, rural revitalization, housing finance, intermediary business risk management, and group asset management. Seven lectures were held, with over 260,000 people watching and learning on the CCB learning platform. China Construction Bank Corporation 2022 Social Responsibility Report 65</v>
      </c>
      <c r="B5427" s="1" t="str">
        <f ca="1">IFERROR(__xludf.DUMMYFUNCTION("GOOGLETRANSLATE(A5427, ""zh"", ""en"")"),"Organizational structure and operations")</f>
        <v>Organizational structure and operations</v>
      </c>
      <c r="C5427" s="1" t="str">
        <f ca="1">IFERROR(__xludf.DUMMYFUNCTION("GOOGLETRANSLATE(E5427, ""zh"", ""en"")"),"Quantitative Text")</f>
        <v>Quantitative Text</v>
      </c>
    </row>
    <row r="5428" spans="1:3" ht="13" x14ac:dyDescent="0.15">
      <c r="A5428" s="1" t="str">
        <f ca="1">IFERROR(__xludf.DUMMYFUNCTION("GOOGLETRANSLATE(A5428, ""zh"", ""en"")"),"At the same time, the project combines digital twin big data analysis, sensor measurement and other technologies to build a comprehensive system for the coordinated monitoring of boiler flue gas pollutants and carbon dioxide, build a full-process carbon m"&amp;"anagement and control system covering emission reduction potential, cost-effectiveness and energy efficiency evaluation, and dynamically quantify carbon dioxide generation and emissions throughout the entire process in real time. It achieves dynamic quant"&amp;"ification of CO2 emissions throughout the entire production process, deeply explores the carbon reduction potential of enterprises, and lays the foundation for carbon asset management.")</f>
        <v>At the same time, the project combines digital twin big data analysis, sensor measurement and other technologies to build a comprehensive system for the coordinated monitoring of boiler flue gas pollutants and carbon dioxide, build a full-process carbon management and control system covering emission reduction potential, cost-effectiveness and energy efficiency evaluation, and dynamically quantify carbon dioxide generation and emissions throughout the entire process in real time. It achieves dynamic quantification of CO2 emissions throughout the entire production process, deeply explores the carbon reduction potential of enterprises, and lays the foundation for carbon asset management.</v>
      </c>
      <c r="B5428" s="1" t="str">
        <f ca="1">IFERROR(__xludf.DUMMYFUNCTION("GOOGLETRANSLATE(A5428, ""zh"", ""en"")"),"carbon emissions")</f>
        <v>carbon emissions</v>
      </c>
      <c r="C5428" s="1" t="str">
        <f ca="1">IFERROR(__xludf.DUMMYFUNCTION("GOOGLETRANSLATE(E5428, ""zh"", ""en"")"),"Qualitative text")</f>
        <v>Qualitative text</v>
      </c>
    </row>
    <row r="5429" spans="1:3" ht="13" x14ac:dyDescent="0.15">
      <c r="A5429" s="1" t="str">
        <f ca="1">IFERROR(__xludf.DUMMYFUNCTION("GOOGLETRANSLATE(A5429, ""zh"", ""en"")"),"Suppliers are divided into three categories: A, B, and C. Suppliers whose process products and services have a significant impact on Shenma's product processes and services are called Category A suppliers. Suppliers whose process products and services hav"&amp;"e a direct impact on Shenma's product processes and services are called Category B suppliers. Suppliers whose process products and services have no direct impact on Shenma's product processes and services are called Category C suppliers.")</f>
        <v>Suppliers are divided into three categories: A, B, and C. Suppliers whose process products and services have a significant impact on Shenma's product processes and services are called Category A suppliers. Suppliers whose process products and services have a direct impact on Shenma's product processes and services are called Category B suppliers. Suppliers whose process products and services have no direct impact on Shenma's product processes and services are called Category C suppliers.</v>
      </c>
      <c r="B5429" s="1" t="str">
        <f ca="1">IFERROR(__xludf.DUMMYFUNCTION("GOOGLETRANSLATE(A5429, ""zh"", ""en"")"),"supply chain management")</f>
        <v>supply chain management</v>
      </c>
      <c r="C5429" s="1" t="str">
        <f ca="1">IFERROR(__xludf.DUMMYFUNCTION("GOOGLETRANSLATE(E5429, ""zh"", ""en"")"),"Qualitative text")</f>
        <v>Qualitative text</v>
      </c>
    </row>
    <row r="5430" spans="1:3" ht="13" x14ac:dyDescent="0.15">
      <c r="A5430" s="1" t="str">
        <f ca="1">IFERROR(__xludf.DUMMYFUNCTION("GOOGLETRANSLATE(A5430, ""zh"", ""en"")"),"By age group: 30 years old and below; 31 years old; 40 years old; 41 years old; 50 years old; 51 years old; 59 years old; 60 years old and above. The number of employees by age group disclosed in the China Construction Bank's Social Responsibility Report "&amp;"refers to the number of employees of each age category among the regular employees of China Construction Bank as of the end of the reporting period, excluding domestic and overseas subsidiaries and branches that have signed labor contracts with China Cons"&amp;"truction Bank.")</f>
        <v>By age group: 30 years old and below; 31 years old; 40 years old; 41 years old; 50 years old; 51 years old; 59 years old; 60 years old and above. The number of employees by age group disclosed in the China Construction Bank's Social Responsibility Report refers to the number of employees of each age category among the regular employees of China Construction Bank as of the end of the reporting period, excluding domestic and overseas subsidiaries and branches that have signed labor contracts with China Construction Bank.</v>
      </c>
      <c r="B5430" s="1" t="str">
        <f ca="1">IFERROR(__xludf.DUMMYFUNCTION("GOOGLETRANSLATE(A5430, ""zh"", ""en"")"),"staff")</f>
        <v>staff</v>
      </c>
      <c r="C5430" s="1" t="str">
        <f ca="1">IFERROR(__xludf.DUMMYFUNCTION("GOOGLETRANSLATE(E5430, ""zh"", ""en"")"),"Qualitative text")</f>
        <v>Qualitative text</v>
      </c>
    </row>
    <row r="5431" spans="1:3" ht="13" x14ac:dyDescent="0.15">
      <c r="A5431" s="1" t="str">
        <f ca="1">IFERROR(__xludf.DUMMYFUNCTION("GOOGLETRANSLATE(A5431, ""zh"", ""en"")"),"In 2022, the company organized its affiliated enterprises to continuously carry out tax self-inspections to promote the enhanced compliance awareness of its affiliated enterprises. Solid results were achieved in strengthening source compliance control, pr"&amp;"ocess compliance control, results and compliance monitoring. A sound long-term mechanism was established from the aspects of improving management systems, standardizing internal processes, optimizing information systems, etc. to promote the normalization,"&amp;" institutionalization and precision of tax risk prevention and control work, effectively improving tax risk prevention and control capabilities.")</f>
        <v>In 2022, the company organized its affiliated enterprises to continuously carry out tax self-inspections to promote the enhanced compliance awareness of its affiliated enterprises. Solid results were achieved in strengthening source compliance control, process compliance control, results and compliance monitoring. A sound long-term mechanism was established from the aspects of improving management systems, standardizing internal processes, optimizing information systems, etc. to promote the normalization, institutionalization and precision of tax risk prevention and control work, effectively improving tax risk prevention and control capabilities.</v>
      </c>
      <c r="B5431" s="1" t="str">
        <f ca="1">IFERROR(__xludf.DUMMYFUNCTION("GOOGLETRANSLATE(A5431, ""zh"", ""en"")"),"Tax transparency")</f>
        <v>Tax transparency</v>
      </c>
      <c r="C5431" s="1" t="str">
        <f ca="1">IFERROR(__xludf.DUMMYFUNCTION("GOOGLETRANSLATE(E5431, ""zh"", ""en"")"),"Qualitative text")</f>
        <v>Qualitative text</v>
      </c>
    </row>
    <row r="5432" spans="1:3" ht="13" x14ac:dyDescent="0.15">
      <c r="A5432" s="1" t="str">
        <f ca="1">IFERROR(__xludf.DUMMYFUNCTION("GOOGLETRANSLATE(A5432, ""zh"", ""en"")"),"In 2022, the financial company launched a campaign to popularize financial knowledge, prevent financial risks, and build harmonious finance, targeting the large number of elderly people in the communities surrounding the company. Through face-to-face comm"&amp;"unication and knowledge quizzes, the company popularized financial knowledge and the dangers of illegal fundraising to the community, raised the financial safety awareness of the elderly, guided the general public to stay away from illegal fundraising, im"&amp;"proved the ability to prevent financial risks, and strengthened the safety production line in the financial field.")</f>
        <v>In 2022, the financial company launched a campaign to popularize financial knowledge, prevent financial risks, and build harmonious finance, targeting the large number of elderly people in the communities surrounding the company. Through face-to-face communication and knowledge quizzes, the company popularized financial knowledge and the dangers of illegal fundraising to the community, raised the financial safety awareness of the elderly, guided the general public to stay away from illegal fundraising, improved the ability to prevent financial risks, and strengthened the safety production line in the financial field.</v>
      </c>
      <c r="B5432" s="1" t="str">
        <f ca="1">IFERROR(__xludf.DUMMYFUNCTION("GOOGLETRANSLATE(A5432, ""zh"", ""en"")"),"Public welfare and volunteer service")</f>
        <v>Public welfare and volunteer service</v>
      </c>
      <c r="C5432" s="1" t="str">
        <f ca="1">IFERROR(__xludf.DUMMYFUNCTION("GOOGLETRANSLATE(E5432, ""zh"", ""en"")"),"Qualitative text")</f>
        <v>Qualitative text</v>
      </c>
    </row>
    <row r="5433" spans="1:3" ht="13" x14ac:dyDescent="0.15">
      <c r="A5433" s="1" t="str">
        <f ca="1">IFERROR(__xludf.DUMMYFUNCTION("GOOGLETRANSLATE(A5433, ""zh"", ""en"")"),"We uphold our commitment to quality, strictly control product quality, and continuously improve our service capabilities. We seize development opportunities, leverage our overall advantages, and work together with all parties to achieve common development"&amp;". We optimize supply chain management, upgrade dynamic regulatory mechanisms, and convey the concept of sustainable development. We strengthen communication, prioritize investor needs, and actively explore effective communication channels. We fully protec"&amp;"t employee rights and interests, build a customized talent training system, and create a warm and positive working atmosphere.")</f>
        <v>We uphold our commitment to quality, strictly control product quality, and continuously improve our service capabilities. We seize development opportunities, leverage our overall advantages, and work together with all parties to achieve common development. We optimize supply chain management, upgrade dynamic regulatory mechanisms, and convey the concept of sustainable development. We strengthen communication, prioritize investor needs, and actively explore effective communication channels. We fully protect employee rights and interests, build a customized talent training system, and create a warm and positive working atmosphere.</v>
      </c>
      <c r="B5433" s="1" t="str">
        <f ca="1">IFERROR(__xludf.DUMMYFUNCTION("GOOGLETRANSLATE(A5433, ""zh"", ""en"")"),"staff")</f>
        <v>staff</v>
      </c>
      <c r="C5433" s="1" t="str">
        <f ca="1">IFERROR(__xludf.DUMMYFUNCTION("GOOGLETRANSLATE(E5433, ""zh"", ""en"")"),"Qualitative text")</f>
        <v>Qualitative text</v>
      </c>
    </row>
    <row r="5434" spans="1:3" ht="13" x14ac:dyDescent="0.15">
      <c r="A5434" s="1" t="str">
        <f ca="1">IFERROR(__xludf.DUMMYFUNCTION("GOOGLETRANSLATE(A5434, ""zh"", ""en"")"),"The company has taken concrete measures to prevent contract management risks. The Legal Affairs Department has carried out early compliance work, implemented the spirit of the Central Committee's eight regulations, and persistently rectified the four unhe"&amp;"althy practices. It has carried out front-line experience activities for leading cadres, carried out special supervision on cadre work styles, and conducted risk control in six key links: document review, approval, signature, seal control, contract perfor"&amp;"mance supervision, and risk response. It has created a model document, promoted it throughout the company, and conducted more than 120 inspections, which have been recognized by the Group's Discipline Inspection Commission.")</f>
        <v>The company has taken concrete measures to prevent contract management risks. The Legal Affairs Department has carried out early compliance work, implemented the spirit of the Central Committee's eight regulations, and persistently rectified the four unhealthy practices. It has carried out front-line experience activities for leading cadres, carried out special supervision on cadre work styles, and conducted risk control in six key links: document review, approval, signature, seal control, contract performance supervision, and risk response. It has created a model document, promoted it throughout the company, and conducted more than 120 inspections, which have been recognized by the Group's Discipline Inspection Commission.</v>
      </c>
      <c r="B5434" s="1" t="str">
        <f ca="1">IFERROR(__xludf.DUMMYFUNCTION("GOOGLETRANSLATE(A5434, ""zh"", ""en"")"),"Legal proceedings and external sanctions")</f>
        <v>Legal proceedings and external sanctions</v>
      </c>
      <c r="C5434" s="1" t="str">
        <f ca="1">IFERROR(__xludf.DUMMYFUNCTION("GOOGLETRANSLATE(E5434, ""zh"", ""en"")"),"Quantitative Text")</f>
        <v>Quantitative Text</v>
      </c>
    </row>
    <row r="5435" spans="1:3" ht="13" x14ac:dyDescent="0.15">
      <c r="A5435" s="1" t="str">
        <f ca="1">IFERROR(__xludf.DUMMYFUNCTION("GOOGLETRANSLATE(A5435, ""zh"", ""en"")"),"In accordance with the national standards for the management and reporting rate of single disease in private hospitals, the hospital has set a 100% adverse event special inspection standard. All medical institutions have been managed 100% using the PDCA c"&amp;"linical pathway management to strengthen supervision and enhance safety management. Multiple dragnet inspections have been carried out, covering all clinical departments in the hospital, totaling 200 disease types, to eliminate various medical risks and f"&amp;"urther enrich the medical pathway rate and entry completion rate. Both have reached national requirements.")</f>
        <v>In accordance with the national standards for the management and reporting rate of single disease in private hospitals, the hospital has set a 100% adverse event special inspection standard. All medical institutions have been managed 100% using the PDCA clinical pathway management to strengthen supervision and enhance safety management. Multiple dragnet inspections have been carried out, covering all clinical departments in the hospital, totaling 200 disease types, to eliminate various medical risks and further enrich the medical pathway rate and entry completion rate. Both have reached national requirements.</v>
      </c>
      <c r="B5435" s="1" t="str">
        <f ca="1">IFERROR(__xludf.DUMMYFUNCTION("GOOGLETRANSLATE(A5435, ""zh"", ""en"")"),"Product quality")</f>
        <v>Product quality</v>
      </c>
      <c r="C5435" s="1" t="str">
        <f ca="1">IFERROR(__xludf.DUMMYFUNCTION("GOOGLETRANSLATE(E5435, ""zh"", ""en"")"),"Quantitative Text")</f>
        <v>Quantitative Text</v>
      </c>
    </row>
    <row r="5436" spans="1:3" ht="13" x14ac:dyDescent="0.15">
      <c r="A5436" s="1" t="str">
        <f ca="1">IFERROR(__xludf.DUMMYFUNCTION("GOOGLETRANSLATE(A5436, ""zh"", ""en"")"),"1. Caring for employees' work and life. Central air conditioning was installed in factories and offices to provide a safer and more comfortable working environment. Employee accommodation was improved. Water heaters were installed in employee dormitories,"&amp;" and automatic laundry facilities were installed. High-temperature subsidies were issued. The Party Committee Secretary and the Labor Union Chairman visited the workshops to carry out cooling activities. After resuming work at the beginning of the year, f"&amp;"ree lunch was implemented and separate meals were managed in different areas during the Spring Festival. Employees were encouraged to stay in their local area for the Spring Festival and incentive policies and Spring Festival gift packages were introduced"&amp;".")</f>
        <v>1. Caring for employees' work and life. Central air conditioning was installed in factories and offices to provide a safer and more comfortable working environment. Employee accommodation was improved. Water heaters were installed in employee dormitories, and automatic laundry facilities were installed. High-temperature subsidies were issued. The Party Committee Secretary and the Labor Union Chairman visited the workshops to carry out cooling activities. After resuming work at the beginning of the year, free lunch was implemented and separate meals were managed in different areas during the Spring Festival. Employees were encouraged to stay in their local area for the Spring Festival and incentive policies and Spring Festival gift packages were introduced.</v>
      </c>
      <c r="B5436" s="1" t="str">
        <f ca="1">IFERROR(__xludf.DUMMYFUNCTION("GOOGLETRANSLATE(A5436, ""zh"", ""en"")"),"staff")</f>
        <v>staff</v>
      </c>
      <c r="C5436" s="1" t="str">
        <f ca="1">IFERROR(__xludf.DUMMYFUNCTION("GOOGLETRANSLATE(E5436, ""zh"", ""en"")"),"Qualitative text")</f>
        <v>Qualitative text</v>
      </c>
    </row>
    <row r="5437" spans="1:3" ht="13" x14ac:dyDescent="0.15">
      <c r="A5437" s="1" t="str">
        <f ca="1">IFERROR(__xludf.DUMMYFUNCTION("GOOGLETRANSLATE(A5437, ""zh"", ""en"")"),"The Supervision Department implements mutual restraint of internal power by improving the internal supervision and control mechanism and work process, prevents abuse of power, strengthens supervision and inspection of lower-level supervisory agencies, sta"&amp;"ndardizes the supervisory behavior of lower-level supervisory agencies, and independently investigates reports on supervisory agencies and supervisory personnel through specialized agencies. Fraudulent behavior by supervisory personnel is strictly investi"&amp;"gated and dealt with in accordance with company regulations and relevant laws and regulations.")</f>
        <v>The Supervision Department implements mutual restraint of internal power by improving the internal supervision and control mechanism and work process, prevents abuse of power, strengthens supervision and inspection of lower-level supervisory agencies, standardizes the supervisory behavior of lower-level supervisory agencies, and independently investigates reports on supervisory agencies and supervisory personnel through specialized agencies. Fraudulent behavior by supervisory personnel is strictly investigated and dealt with in accordance with company regulations and relevant laws and regulations.</v>
      </c>
      <c r="B5437" s="1" t="str">
        <f ca="1">IFERROR(__xludf.DUMMYFUNCTION("GOOGLETRANSLATE(A5437, ""zh"", ""en"")"),"Reporting System")</f>
        <v>Reporting System</v>
      </c>
      <c r="C5437" s="1" t="str">
        <f ca="1">IFERROR(__xludf.DUMMYFUNCTION("GOOGLETRANSLATE(E5437, ""zh"", ""en"")"),"Qualitative text")</f>
        <v>Qualitative text</v>
      </c>
    </row>
    <row r="5438" spans="1:3" ht="13" x14ac:dyDescent="0.15">
      <c r="A5438" s="1" t="str">
        <f ca="1">IFERROR(__xludf.DUMMYFUNCTION("GOOGLETRANSLATE(A5438, ""zh"", ""en"")"),"We have established labor unions in accordance with the relevant laws and regulations of each operating location and regularly elect employee representatives to fully understand employees' expectations and safeguard their legal rights and interests in emp"&amp;"loyment, wages, rest and vacation, labor safety and health, and social insurance. We improve employee benefits and welfare through collective bargaining, improve the working environment, provide employees with training, education, consulting and other ser"&amp;"vices, enhance their skills and quality, and strengthen their competitiveness.")</f>
        <v>We have established labor unions in accordance with the relevant laws and regulations of each operating location and regularly elect employee representatives to fully understand employees' expectations and safeguard their legal rights and interests in employment, wages, rest and vacation, labor safety and health, and social insurance. We improve employee benefits and welfare through collective bargaining, improve the working environment, provide employees with training, education, consulting and other services, enhance their skills and quality, and strengthen their competitiveness.</v>
      </c>
      <c r="B5438" s="1" t="str">
        <f ca="1">IFERROR(__xludf.DUMMYFUNCTION("GOOGLETRANSLATE(A5438, ""zh"", ""en"")"),"staff")</f>
        <v>staff</v>
      </c>
      <c r="C5438" s="1" t="str">
        <f ca="1">IFERROR(__xludf.DUMMYFUNCTION("GOOGLETRANSLATE(E5438, ""zh"", ""en"")"),"Qualitative text")</f>
        <v>Qualitative text</v>
      </c>
    </row>
    <row r="5439" spans="1:3" ht="13" x14ac:dyDescent="0.15">
      <c r="A5439" s="1" t="str">
        <f ca="1">IFERROR(__xludf.DUMMYFUNCTION("GOOGLETRANSLATE(A5439, ""zh"", ""en"")"),"To broaden the horizons of R&amp;D personnel and enhance their professional skills and quality, Kangyuan arranges for grassroots managers and professionals to participate in external training, academic exchanges and seminars, job qualification training, speci"&amp;"al operation training and other professional technical training according to the characteristics of R&amp;D positions and work needs. At the same time, it provides full training subsidies, including training expenses, transportation, accommodation and meal su"&amp;"bsidies, to stimulate employees' learning motivation and promote their all-round development.")</f>
        <v>To broaden the horizons of R&amp;D personnel and enhance their professional skills and quality, Kangyuan arranges for grassroots managers and professionals to participate in external training, academic exchanges and seminars, job qualification training, special operation training and other professional technical training according to the characteristics of R&amp;D positions and work needs. At the same time, it provides full training subsidies, including training expenses, transportation, accommodation and meal subsidies, to stimulate employees' learning motivation and promote their all-round development.</v>
      </c>
      <c r="B5439" s="1" t="str">
        <f ca="1">IFERROR(__xludf.DUMMYFUNCTION("GOOGLETRANSLATE(A5439, ""zh"", ""en"")"),"staff")</f>
        <v>staff</v>
      </c>
      <c r="C5439" s="1" t="str">
        <f ca="1">IFERROR(__xludf.DUMMYFUNCTION("GOOGLETRANSLATE(E5439, ""zh"", ""en"")"),"Qualitative text")</f>
        <v>Qualitative text</v>
      </c>
    </row>
    <row r="5440" spans="1:3" ht="13" x14ac:dyDescent="0.15">
      <c r="A5440" s="1" t="str">
        <f ca="1">IFERROR(__xludf.DUMMYFUNCTION("GOOGLETRANSLATE(A5440, ""zh"", ""en"")"),"In 2022, we will complete the planting of precious tree species over 200 mu, plant tens of thousands of precious seedlings such as Zhejiang nanmu, Zhejiang camphor, and cherry, complete the cultivation and pest control management of more than 3,600 mu of "&amp;"high-quality seed resources, complete the transformation of 200 mu of provincial guaranteed nurseries, plant more than 35,000 seedlings, provide more than 1,000 kilograms of high-quality seedlings for various parts of the country, effectively preserve mor"&amp;"e than 500 germplasm resources, and optimize the forest landscape of more than 300 mu.")</f>
        <v>In 2022, we will complete the planting of precious tree species over 200 mu, plant tens of thousands of precious seedlings such as Zhejiang nanmu, Zhejiang camphor, and cherry, complete the cultivation and pest control management of more than 3,600 mu of high-quality seed resources, complete the transformation of 200 mu of provincial guaranteed nurseries, plant more than 35,000 seedlings, provide more than 1,000 kilograms of high-quality seedlings for various parts of the country, effectively preserve more than 500 germplasm resources, and optimize the forest landscape of more than 300 mu.</v>
      </c>
      <c r="B5440" s="1" t="str">
        <f ca="1">IFERROR(__xludf.DUMMYFUNCTION("GOOGLETRANSLATE(A5440, ""zh"", ""en"")"),"Public welfare and volunteer service")</f>
        <v>Public welfare and volunteer service</v>
      </c>
      <c r="C5440" s="1" t="str">
        <f ca="1">IFERROR(__xludf.DUMMYFUNCTION("GOOGLETRANSLATE(E5440, ""zh"", ""en"")"),"Quantitative Text")</f>
        <v>Quantitative Text</v>
      </c>
    </row>
    <row r="5441" spans="1:3" ht="13" x14ac:dyDescent="0.15">
      <c r="A5441" s="1" t="str">
        <f ca="1">IFERROR(__xludf.DUMMYFUNCTION("GOOGLETRANSLATE(A5441, ""zh"", ""en"")"),"Transformation risks: Environmental protection regulations are becoming increasingly stringent, and national and local governments have successively introduced policies to limit corporate carbon emissions. Climate change is leading to rising costs for raw"&amp;" materials, auxiliary materials, and energy required for pharmaceutical production. Increased logistics costs are also impacting supply chain stability. Public concern about environmental issues continues to grow. Failure to proactively address climate ch"&amp;"ange will impact a company's overall market perception and damage its reputation.")</f>
        <v>Transformation risks: Environmental protection regulations are becoming increasingly stringent, and national and local governments have successively introduced policies to limit corporate carbon emissions. Climate change is leading to rising costs for raw materials, auxiliary materials, and energy required for pharmaceutical production. Increased logistics costs are also impacting supply chain stability. Public concern about environmental issues continues to grow. Failure to proactively address climate change will impact a company's overall market perception and damage its reputation.</v>
      </c>
      <c r="B5441" s="1" t="str">
        <f ca="1">IFERROR(__xludf.DUMMYFUNCTION("GOOGLETRANSLATE(A5441, ""zh"", ""en"")"),"Addressing climate change")</f>
        <v>Addressing climate change</v>
      </c>
      <c r="C5441" s="1" t="str">
        <f ca="1">IFERROR(__xludf.DUMMYFUNCTION("GOOGLETRANSLATE(E5441, ""zh"", ""en"")"),"Qualitative text")</f>
        <v>Qualitative text</v>
      </c>
    </row>
    <row r="5442" spans="1:3" ht="13" x14ac:dyDescent="0.15">
      <c r="A5442" s="1" t="str">
        <f ca="1">IFERROR(__xludf.DUMMYFUNCTION("GOOGLETRANSLATE(A5442, ""zh"", ""en"")"),"To this end, the Group conducted a special analysis of human resource effectiveness, completed the Group's overall human resource effectiveness analysis report and the human resource effectiveness analysis report for 11 industrial groups, improved the des"&amp;"ign of a compensation system that combines short-term and long-term approaches, and established a mechanism for self-performance challenges and independent selection of compensation standards. In accordance with the requirements of market-based recruitmen"&amp;"t, contractual management, differentiated compensation, and market-based exit, a new round of professional manager programs and other leadership compensation-related systems were completed.")</f>
        <v>To this end, the Group conducted a special analysis of human resource effectiveness, completed the Group's overall human resource effectiveness analysis report and the human resource effectiveness analysis report for 11 industrial groups, improved the design of a compensation system that combines short-term and long-term approaches, and established a mechanism for self-performance challenges and independent selection of compensation standards. In accordance with the requirements of market-based recruitment, contractual management, differentiated compensation, and market-based exit, a new round of professional manager programs and other leadership compensation-related systems were completed.</v>
      </c>
      <c r="B5442" s="1" t="str">
        <f ca="1">IFERROR(__xludf.DUMMYFUNCTION("GOOGLETRANSLATE(A5442, ""zh"", ""en"")"),"staff")</f>
        <v>staff</v>
      </c>
      <c r="C5442" s="1" t="str">
        <f ca="1">IFERROR(__xludf.DUMMYFUNCTION("GOOGLETRANSLATE(E5442, ""zh"", ""en"")"),"Qualitative text")</f>
        <v>Qualitative text</v>
      </c>
    </row>
    <row r="5443" spans="1:3" ht="13" x14ac:dyDescent="0.15">
      <c r="A5443" s="1" t="str">
        <f ca="1">IFERROR(__xludf.DUMMYFUNCTION("GOOGLETRANSLATE(A5443, ""zh"", ""en"")"),"Although the statistical caliber adjustment of characteristic factors such as COD, ammonia, nitrogen, and pH can significantly increase the discharge volume through online monitoring, it also affects the regular sampling of Fosun Pharma Group's monitoring"&amp;" equipment. The discharge concentration value shows that the overall sewage discharge target has not yet been achieved. However, the company that adjusted the online monitoring system uses third-party sampling and testing to more realistically and objecti"&amp;"vely reflect the company's pollutant emissions as a statistical method.")</f>
        <v>Although the statistical caliber adjustment of characteristic factors such as COD, ammonia, nitrogen, and pH can significantly increase the discharge volume through online monitoring, it also affects the regular sampling of Fosun Pharma Group's monitoring equipment. The discharge concentration value shows that the overall sewage discharge target has not yet been achieved. However, the company that adjusted the online monitoring system uses third-party sampling and testing to more realistically and objectively reflect the company's pollutant emissions as a statistical method.</v>
      </c>
      <c r="B5443" s="1" t="str">
        <f ca="1">IFERROR(__xludf.DUMMYFUNCTION("GOOGLETRANSLATE(A5443, ""zh"", ""en"")"),"Waste Management")</f>
        <v>Waste Management</v>
      </c>
      <c r="C5443" s="1" t="str">
        <f ca="1">IFERROR(__xludf.DUMMYFUNCTION("GOOGLETRANSLATE(E5443, ""zh"", ""en"")"),"Qualitative text")</f>
        <v>Qualitative text</v>
      </c>
    </row>
    <row r="5444" spans="1:3" ht="13" x14ac:dyDescent="0.15">
      <c r="A5444" s="1" t="str">
        <f ca="1">IFERROR(__xludf.DUMMYFUNCTION("GOOGLETRANSLATE(A5444, ""zh"", ""en"")"),"Zero Carbon Children's Earth Creator Art Graffiti Co-creation Charity Event From April 23 to 24, 2022, Yuanjuchang and environmentally friendly car company Tesla jointly launched a children's environmental protection art graffiti co-creation charity event"&amp;" with the theme of Zero Carbon Children's Earth Creator at Chongqing Dongyuan 1891. As a practical advocate of low-carbon and environmentally friendly life, Yuanjuchang has been actively advocating environmentally friendly life and using actions to build "&amp;"a zero-carbon community.")</f>
        <v>Zero Carbon Children's Earth Creator Art Graffiti Co-creation Charity Event From April 23 to 24, 2022, Yuanjuchang and environmentally friendly car company Tesla jointly launched a children's environmental protection art graffiti co-creation charity event with the theme of Zero Carbon Children's Earth Creator at Chongqing Dongyuan 1891. As a practical advocate of low-carbon and environmentally friendly life, Yuanjuchang has been actively advocating environmentally friendly life and using actions to build a zero-carbon community.</v>
      </c>
      <c r="B5444" s="1" t="str">
        <f ca="1">IFERROR(__xludf.DUMMYFUNCTION("GOOGLETRANSLATE(A5444, ""zh"", ""en"")"),"Public welfare and volunteer service")</f>
        <v>Public welfare and volunteer service</v>
      </c>
      <c r="C5444" s="1" t="str">
        <f ca="1">IFERROR(__xludf.DUMMYFUNCTION("GOOGLETRANSLATE(E5444, ""zh"", ""en"")"),"Qualitative text")</f>
        <v>Qualitative text</v>
      </c>
    </row>
    <row r="5445" spans="1:3" ht="13" x14ac:dyDescent="0.15">
      <c r="A5445" s="1" t="str">
        <f ca="1">IFERROR(__xludf.DUMMYFUNCTION("GOOGLETRANSLATE(A5445, ""zh"", ""en"")"),"In 2022, we established an Anti-Fraud Committee, comprised of nine members, including those from internal control, legal affairs, and various business lines, responsible for anti-corruption and anti-fraud work. We actively promote the development and impl"&amp;"ementation of systems related to business ethics, such as anti-corruption and anti-money laundering. We regularly identify business ethics risks, conduct anti-corruption audits, and report to and accept oversight from the Audit Committee of the Board of D"&amp;"irectors. We strive to create a business environment of integrity and ethics.")</f>
        <v>In 2022, we established an Anti-Fraud Committee, comprised of nine members, including those from internal control, legal affairs, and various business lines, responsible for anti-corruption and anti-fraud work. We actively promote the development and implementation of systems related to business ethics, such as anti-corruption and anti-money laundering. We regularly identify business ethics risks, conduct anti-corruption audits, and report to and accept oversight from the Audit Committee of the Board of Directors. We strive to create a business environment of integrity and ethics.</v>
      </c>
      <c r="B5445" s="1" t="str">
        <f ca="1">IFERROR(__xludf.DUMMYFUNCTION("GOOGLETRANSLATE(A5445, ""zh"", ""en"")"),"Anti-corruption and anti-money laundering")</f>
        <v>Anti-corruption and anti-money laundering</v>
      </c>
      <c r="C5445" s="1" t="str">
        <f ca="1">IFERROR(__xludf.DUMMYFUNCTION("GOOGLETRANSLATE(E5445, ""zh"", ""en"")"),"Qualitative text")</f>
        <v>Qualitative text</v>
      </c>
    </row>
    <row r="5446" spans="1:3" ht="13" x14ac:dyDescent="0.15">
      <c r="A5446" s="1" t="str">
        <f ca="1">IFERROR(__xludf.DUMMYFUNCTION("GOOGLETRANSLATE(A5446, ""zh"", ""en"")"),"The company adheres to the business philosophy of benefiting the people and the society, taking people as the core, and balancing righteousness and interests. It closely combines its own development with social progress and actively carries out the ""doub"&amp;"le thousand"" pairing work with Longquan. In 2022, it increased the collective economy of Lanxia Village by more than 100,000 yuan. It insists on taking people's happiness as the purpose and responsibility of development and actively participates in the 2"&amp;"2nd Spring Breeze Action in Shangcheng District. It donates 30,000 yuan of charity funds and practices the responsibility of the great leader of the country with practical actions.")</f>
        <v>The company adheres to the business philosophy of benefiting the people and the society, taking people as the core, and balancing righteousness and interests. It closely combines its own development with social progress and actively carries out the "double thousand" pairing work with Longquan. In 2022, it increased the collective economy of Lanxia Village by more than 100,000 yuan. It insists on taking people's happiness as the purpose and responsibility of development and actively participates in the 22nd Spring Breeze Action in Shangcheng District. It donates 30,000 yuan of charity funds and practices the responsibility of the great leader of the country with practical actions.</v>
      </c>
      <c r="B5446" s="1" t="str">
        <f ca="1">IFERROR(__xludf.DUMMYFUNCTION("GOOGLETRANSLATE(A5446, ""zh"", ""en"")"),"Public welfare and volunteer service")</f>
        <v>Public welfare and volunteer service</v>
      </c>
      <c r="C5446" s="1" t="str">
        <f ca="1">IFERROR(__xludf.DUMMYFUNCTION("GOOGLETRANSLATE(E5446, ""zh"", ""en"")"),"Quantitative Text")</f>
        <v>Quantitative Text</v>
      </c>
    </row>
    <row r="5447" spans="1:3" ht="13" x14ac:dyDescent="0.15">
      <c r="A5447" s="1" t="str">
        <f ca="1">IFERROR(__xludf.DUMMYFUNCTION("GOOGLETRANSLATE(A5447, ""zh"", ""en"")"),"In 2022, in order to consolidate and expand the achievements of poverty alleviation and rural revitalization, the Group provided key support to Zhuanghang Town, Fengxian District, Shanghai, with a total of RMB 600,000 in aid funds to help sell agricultura"&amp;"l products such as honey pears, yellow peaches, and rice in Fengxian District, Shanghai, totaling RMB 1.527 million. In the ""Double 100 Village-Enterprise Pairing Targeted Poverty Alleviation"" project, the Group provided a total of RMB 450,000 in aid fu"&amp;"nds to three villages in Mohong Town, Fuyuan County, Qujing City, Yunnan Province.")</f>
        <v>In 2022, in order to consolidate and expand the achievements of poverty alleviation and rural revitalization, the Group provided key support to Zhuanghang Town, Fengxian District, Shanghai, with a total of RMB 600,000 in aid funds to help sell agricultural products such as honey pears, yellow peaches, and rice in Fengxian District, Shanghai, totaling RMB 1.527 million. In the "Double 100 Village-Enterprise Pairing Targeted Poverty Alleviation" project, the Group provided a total of RMB 450,000 in aid funds to three villages in Mohong Town, Fuyuan County, Qujing City, Yunnan Province.</v>
      </c>
      <c r="B5447" s="1" t="str">
        <f ca="1">IFERROR(__xludf.DUMMYFUNCTION("GOOGLETRANSLATE(A5447, ""zh"", ""en"")"),"Rural assistance")</f>
        <v>Rural assistance</v>
      </c>
      <c r="C5447" s="1" t="str">
        <f ca="1">IFERROR(__xludf.DUMMYFUNCTION("GOOGLETRANSLATE(E5447, ""zh"", ""en"")"),"Quantitative Text")</f>
        <v>Quantitative Text</v>
      </c>
    </row>
    <row r="5448" spans="1:3" ht="13" x14ac:dyDescent="0.15">
      <c r="A5448" s="1" t="str">
        <f ca="1">IFERROR(__xludf.DUMMYFUNCTION("GOOGLETRANSLATE(A5448, ""zh"", ""en"")"),"Establish regional CCUS industry centers and leverage the advantages of integrated oilfield and refining operations. Integrate resources among oil and gas fields and refineries in regions such as Xinjiang, Changqing, Daqing, Jilin, and the Bohai Rim. Appl"&amp;"y CO2 capture, utilization, storage, and enhanced oil recovery (CCUSEOR) technology to apply CO2 generated and captured by refineries to oil and gas production. Enhance oil recovery through CO2 flooding and establish near-zero emission demonstration zones"&amp;" for petroleum and petrochemicals.")</f>
        <v>Establish regional CCUS industry centers and leverage the advantages of integrated oilfield and refining operations. Integrate resources among oil and gas fields and refineries in regions such as Xinjiang, Changqing, Daqing, Jilin, and the Bohai Rim. Apply CO2 capture, utilization, storage, and enhanced oil recovery (CCUSEOR) technology to apply CO2 generated and captured by refineries to oil and gas production. Enhance oil recovery through CO2 flooding and establish near-zero emission demonstration zones for petroleum and petrochemicals.</v>
      </c>
      <c r="B5448" s="1" t="str">
        <f ca="1">IFERROR(__xludf.DUMMYFUNCTION("GOOGLETRANSLATE(A5448, ""zh"", ""en"")"),"carbon emissions")</f>
        <v>carbon emissions</v>
      </c>
      <c r="C5448" s="1" t="str">
        <f ca="1">IFERROR(__xludf.DUMMYFUNCTION("GOOGLETRANSLATE(E5448, ""zh"", ""en"")"),"Qualitative text")</f>
        <v>Qualitative text</v>
      </c>
    </row>
    <row r="5449" spans="1:3" ht="13" x14ac:dyDescent="0.15">
      <c r="A5449" s="1" t="str">
        <f ca="1">IFERROR(__xludf.DUMMYFUNCTION("GOOGLETRANSLATE(A5449, ""zh"", ""en"")"),"Renfu Chengtian conducted anti-commercial bribery training for 9 people, including 3 board members, 5 independent directors, 2 supervisory board members, 3 employee supervisors, 20 shareholder meetings, 7 supervisory board meetings, and board of directors"&amp;" meetings. Key performance indicators for the operation of the three meetings were 1718 PARTYBUILDINGFOUNDATION. Renfu Pharmaceutical attaches great importance to the importance of party building work to the healthy development of non-public enterprises.")</f>
        <v>Renfu Chengtian conducted anti-commercial bribery training for 9 people, including 3 board members, 5 independent directors, 2 supervisory board members, 3 employee supervisors, 20 shareholder meetings, 7 supervisory board meetings, and board of directors meetings. Key performance indicators for the operation of the three meetings were 1718 PARTYBUILDINGFOUNDATION. Renfu Pharmaceutical attaches great importance to the importance of party building work to the healthy development of non-public enterprises.</v>
      </c>
      <c r="B5449" s="1" t="str">
        <f ca="1">IFERROR(__xludf.DUMMYFUNCTION("GOOGLETRANSLATE(A5449, ""zh"", ""en"")"),"Anti-corruption and anti-money laundering")</f>
        <v>Anti-corruption and anti-money laundering</v>
      </c>
      <c r="C5449" s="1" t="str">
        <f ca="1">IFERROR(__xludf.DUMMYFUNCTION("GOOGLETRANSLATE(E5449, ""zh"", ""en"")"),"Quantitative Text")</f>
        <v>Quantitative Text</v>
      </c>
    </row>
    <row r="5450" spans="1:3" ht="13" x14ac:dyDescent="0.15">
      <c r="A5450" s="1" t="str">
        <f ca="1">IFERROR(__xludf.DUMMYFUNCTION("GOOGLETRANSLATE(A5450, ""zh"", ""en"")"),"Faced with the industrial trend of profound adjustments in energy supply structure and profound changes in energy utilization methods, as well as the leapfrog upgrade of energy technology and equipment and the accelerated deep integration of digital econo"&amp;"my and real economy, Shanghai Electric, under the pressure of unprecedented opportunities and changes, insists on driving development with scientific and technological innovation, focusing on joint innovation, collaborative innovation and open innovation "&amp;"with all parties, and seizing the major opportunities of building a new national arena such as carbon peak and carbon neutrality.")</f>
        <v>Faced with the industrial trend of profound adjustments in energy supply structure and profound changes in energy utilization methods, as well as the leapfrog upgrade of energy technology and equipment and the accelerated deep integration of digital economy and real economy, Shanghai Electric, under the pressure of unprecedented opportunities and changes, insists on driving development with scientific and technological innovation, focusing on joint innovation, collaborative innovation and open innovation with all parties, and seizing the major opportunities of building a new national arena such as carbon peak and carbon neutrality.</v>
      </c>
      <c r="B5450" s="1" t="str">
        <f ca="1">IFERROR(__xludf.DUMMYFUNCTION("GOOGLETRANSLATE(A5450, ""zh"", ""en"")"),"Technological innovation")</f>
        <v>Technological innovation</v>
      </c>
      <c r="C5450" s="1" t="str">
        <f ca="1">IFERROR(__xludf.DUMMYFUNCTION("GOOGLETRANSLATE(E5450, ""zh"", ""en"")"),"Qualitative text")</f>
        <v>Qualitative text</v>
      </c>
    </row>
    <row r="5451" spans="1:3" ht="13" x14ac:dyDescent="0.15">
      <c r="A5451" s="1" t="str">
        <f ca="1">IFERROR(__xludf.DUMMYFUNCTION("GOOGLETRANSLATE(A5451, ""zh"", ""en"")"),"Fulfilling overseas responsibilities In August 2022, COSL Iraq Branch visited Baghdad University in Iraq and met with Professor Moneer Hameed Tolephih, Chairman of Baghdad University. They had in-depth discussions on talent cultivation, transformation of "&amp;"industry-university-research results, construction of joint laboratories for college student internships, Sino-Iranian cultural exchanges, and joint training with domestic petroleum universities.")</f>
        <v>Fulfilling overseas responsibilities In August 2022, COSL Iraq Branch visited Baghdad University in Iraq and met with Professor Moneer Hameed Tolephih, Chairman of Baghdad University. They had in-depth discussions on talent cultivation, transformation of industry-university-research results, construction of joint laboratories for college student internships, Sino-Iranian cultural exchanges, and joint training with domestic petroleum universities.</v>
      </c>
      <c r="B5451" s="1" t="str">
        <f ca="1">IFERROR(__xludf.DUMMYFUNCTION("GOOGLETRANSLATE(A5451, ""zh"", ""en"")"),"Promoting employment")</f>
        <v>Promoting employment</v>
      </c>
      <c r="C5451" s="1" t="str">
        <f ca="1">IFERROR(__xludf.DUMMYFUNCTION("GOOGLETRANSLATE(E5451, ""zh"", ""en"")"),"Qualitative text")</f>
        <v>Qualitative text</v>
      </c>
    </row>
    <row r="5452" spans="1:3" ht="13" x14ac:dyDescent="0.15">
      <c r="A5452" s="1" t="str">
        <f ca="1">IFERROR(__xludf.DUMMYFUNCTION("GOOGLETRANSLATE(A5452, ""zh"", ""en"")"),"3. Asia Pacific Market In 2022, the Asia Pacific Division listed South Korea, Indonesia, Vietnam, Malaysia, Iraq, Philippines, Singapore, Bangladesh, Saudi Arabia, and Morocco as ten key countries for independent brand expansion. Through customer communic"&amp;"ation and visits, new product promotion and improvement of terminal product display, promotion, distribution channel construction and other marketing investment measures, the accumulated independent brand sales in the ten key countries in 2022 exceeded RM"&amp;"B 100 million, realizing the company's channel expansion in overseas markets.")</f>
        <v>3. Asia Pacific Market In 2022, the Asia Pacific Division listed South Korea, Indonesia, Vietnam, Malaysia, Iraq, Philippines, Singapore, Bangladesh, Saudi Arabia, and Morocco as ten key countries for independent brand expansion. Through customer communication and visits, new product promotion and improvement of terminal product display, promotion, distribution channel construction and other marketing investment measures, the accumulated independent brand sales in the ten key countries in 2022 exceeded RMB 100 million, realizing the company's channel expansion in overseas markets.</v>
      </c>
      <c r="B5452" s="1" t="str">
        <f ca="1">IFERROR(__xludf.DUMMYFUNCTION("GOOGLETRANSLATE(A5452, ""zh"", ""en"")"),"Customers and Consumers")</f>
        <v>Customers and Consumers</v>
      </c>
      <c r="C5452" s="1" t="str">
        <f ca="1">IFERROR(__xludf.DUMMYFUNCTION("GOOGLETRANSLATE(E5452, ""zh"", ""en"")"),"Quantitative Text")</f>
        <v>Quantitative Text</v>
      </c>
    </row>
    <row r="5453" spans="1:3" ht="13" x14ac:dyDescent="0.15">
      <c r="A5453" s="1" t="str">
        <f ca="1">IFERROR(__xludf.DUMMYFUNCTION("GOOGLETRANSLATE(A5453, ""zh"", ""en"")"),"The Kangyuan Quality Risk Management System establishes risk management data integrity assessment systems based on pharmaceutical production quality management standards. It uses prospective or retrospective methods to use potential failure mode and effec"&amp;"ts analysis (FMEA), hazard analysis and critical control point (HACCP) brainstorming and other assessment and analysis tools to identify risks in the production process, such as man-machine, material-method, and environment testing, and take corresponding"&amp;" measures to reduce or eliminate risks.")</f>
        <v>The Kangyuan Quality Risk Management System establishes risk management data integrity assessment systems based on pharmaceutical production quality management standards. It uses prospective or retrospective methods to use potential failure mode and effects analysis (FMEA), hazard analysis and critical control point (HACCP) brainstorming and other assessment and analysis tools to identify risks in the production process, such as man-machine, material-method, and environment testing, and take corresponding measures to reduce or eliminate risks.</v>
      </c>
      <c r="B5453" s="1" t="str">
        <f ca="1">IFERROR(__xludf.DUMMYFUNCTION("GOOGLETRANSLATE(A5453, ""zh"", ""en"")"),"Product quality")</f>
        <v>Product quality</v>
      </c>
      <c r="C5453" s="1" t="str">
        <f ca="1">IFERROR(__xludf.DUMMYFUNCTION("GOOGLETRANSLATE(E5453, ""zh"", ""en"")"),"Qualitative text")</f>
        <v>Qualitative text</v>
      </c>
    </row>
    <row r="5454" spans="1:3" ht="13" x14ac:dyDescent="0.15">
      <c r="A5454" s="1" t="str">
        <f ca="1">IFERROR(__xludf.DUMMYFUNCTION("GOOGLETRANSLATE(A5454, ""zh"", ""en"")"),"Wuchan Zhongda Environmental Energy has formulated the 2022 Wuchan Zhongda Environmental Energy Energy Conservation Promotion Week activity plan. Jiaxing Xinjiaaisi Thermal Power Co., Ltd. participated in the green, low-carbon, energy-saving pioneering lo"&amp;"w-carbon travel around Nanhu Lake event hosted by the Jiaxing Energy Conservation Association. Zhejiang Wuchan Huanneng Pujiang Thermal Power Co., Ltd. took the opportunity of the National Urban Water Conservation Promotion Week to promote scientific wate"&amp;"r use and encourage employees to participate in water-saving city construction through electronic screens, newspapers, regular meetings, etc.")</f>
        <v>Wuchan Zhongda Environmental Energy has formulated the 2022 Wuchan Zhongda Environmental Energy Energy Conservation Promotion Week activity plan. Jiaxing Xinjiaaisi Thermal Power Co., Ltd. participated in the green, low-carbon, energy-saving pioneering low-carbon travel around Nanhu Lake event hosted by the Jiaxing Energy Conservation Association. Zhejiang Wuchan Huanneng Pujiang Thermal Power Co., Ltd. took the opportunity of the National Urban Water Conservation Promotion Week to promote scientific water use and encourage employees to participate in water-saving city construction through electronic screens, newspapers, regular meetings, etc.</v>
      </c>
      <c r="B5454" s="1" t="str">
        <f ca="1">IFERROR(__xludf.DUMMYFUNCTION("GOOGLETRANSLATE(A5454, ""zh"", ""en"")"),"Water resources")</f>
        <v>Water resources</v>
      </c>
      <c r="C5454" s="1" t="str">
        <f ca="1">IFERROR(__xludf.DUMMYFUNCTION("GOOGLETRANSLATE(E5454, ""zh"", ""en"")"),"Qualitative text")</f>
        <v>Qualitative text</v>
      </c>
    </row>
    <row r="5455" spans="1:3" ht="13" x14ac:dyDescent="0.15">
      <c r="A5455" s="1" t="str">
        <f ca="1">IFERROR(__xludf.DUMMYFUNCTION("GOOGLETRANSLATE(A5455, ""zh"", ""en"")"),"In 2022, due to the pandemic, third parties were unable to conduct customer satisfaction evaluations on Evergreen Society's services. However, Evergreen Society independently conducted customer satisfaction evaluations on its 10 operating nursing homes. T"&amp;"he standards were stricter than those of external evaluations. The evaluations included questionnaires, telephone interviews, and other sub-items such as life care services, nursing services, dietary services, cultural and entertainment services, complain"&amp;"t handling, and environmental sanitation. Ultimately, the combined scores of all 10 institutions were above 91 points.")</f>
        <v>In 2022, due to the pandemic, third parties were unable to conduct customer satisfaction evaluations on Evergreen Society's services. However, Evergreen Society independently conducted customer satisfaction evaluations on its 10 operating nursing homes. The standards were stricter than those of external evaluations. The evaluations included questionnaires, telephone interviews, and other sub-items such as life care services, nursing services, dietary services, cultural and entertainment services, complaint handling, and environmental sanitation. Ultimately, the combined scores of all 10 institutions were above 91 points.</v>
      </c>
      <c r="B5455" s="1" t="str">
        <f ca="1">IFERROR(__xludf.DUMMYFUNCTION("GOOGLETRANSLATE(A5455, ""zh"", ""en"")"),"Customers and Consumers")</f>
        <v>Customers and Consumers</v>
      </c>
      <c r="C5455" s="1" t="str">
        <f ca="1">IFERROR(__xludf.DUMMYFUNCTION("GOOGLETRANSLATE(E5455, ""zh"", ""en"")"),"Quantitative Text")</f>
        <v>Quantitative Text</v>
      </c>
    </row>
    <row r="5456" spans="1:3" ht="13" x14ac:dyDescent="0.15">
      <c r="A5456" s="1" t="str">
        <f ca="1">IFERROR(__xludf.DUMMYFUNCTION("GOOGLETRANSLATE(A5456, ""zh"", ""en"")"),"Jinlun Company's Senda Decoration rainwater and sewage diversion renovation project. The company's subsidiary, Jinlun Industrial, implemented environmentally friendly projects, including a motor iron core paint spraying waste gas environmental treatment f"&amp;"acility. Jinlun Card Cloth invested 4.5 million yuan in fume purification for the first branch, dust removal for the second branch, and rainwater and sewage diversion renovation projects. Senda Decoration invested 3.2 million yuan in rainwater and sewage "&amp;"diversion and hazardous waste disposal renovation projects.")</f>
        <v>Jinlun Company's Senda Decoration rainwater and sewage diversion renovation project. The company's subsidiary, Jinlun Industrial, implemented environmentally friendly projects, including a motor iron core paint spraying waste gas environmental treatment facility. Jinlun Card Cloth invested 4.5 million yuan in fume purification for the first branch, dust removal for the second branch, and rainwater and sewage diversion renovation projects. Senda Decoration invested 3.2 million yuan in rainwater and sewage diversion and hazardous waste disposal renovation projects.</v>
      </c>
      <c r="B5456" s="1" t="str">
        <f ca="1">IFERROR(__xludf.DUMMYFUNCTION("GOOGLETRANSLATE(A5456, ""zh"", ""en"")"),"Waste Management")</f>
        <v>Waste Management</v>
      </c>
      <c r="C5456" s="1" t="str">
        <f ca="1">IFERROR(__xludf.DUMMYFUNCTION("GOOGLETRANSLATE(E5456, ""zh"", ""en"")"),"Quantitative Text")</f>
        <v>Quantitative Text</v>
      </c>
    </row>
    <row r="5457" spans="1:3" ht="13" x14ac:dyDescent="0.15">
      <c r="A5457" s="1" t="str">
        <f ca="1">IFERROR(__xludf.DUMMYFUNCTION("GOOGLETRANSLATE(A5457, ""zh"", ""en"")"),"The company pays great attention to the mental health of its employees. It takes the mental health management system as the starting point, uses scientific mental health assessment and intervention methods to stimulate employees' potential from the perspe"&amp;"ctive of improving their mental health and personality quality, mobilizes employees' enthusiasm from the perspective of their sense of professional value, organizational identity and life happiness, prevents and reduces the occurrence of psychological cri"&amp;"sis events, guides employees to resolve stress scientifically and protects their physical and mental health.")</f>
        <v>The company pays great attention to the mental health of its employees. It takes the mental health management system as the starting point, uses scientific mental health assessment and intervention methods to stimulate employees' potential from the perspective of improving their mental health and personality quality, mobilizes employees' enthusiasm from the perspective of their sense of professional value, organizational identity and life happiness, prevents and reduces the occurrence of psychological crisis events, guides employees to resolve stress scientifically and protects their physical and mental health.</v>
      </c>
      <c r="B5457" s="1" t="str">
        <f ca="1">IFERROR(__xludf.DUMMYFUNCTION("GOOGLETRANSLATE(A5457, ""zh"", ""en"")"),"staff")</f>
        <v>staff</v>
      </c>
      <c r="C5457" s="1" t="str">
        <f ca="1">IFERROR(__xludf.DUMMYFUNCTION("GOOGLETRANSLATE(E5457, ""zh"", ""en"")"),"Qualitative text")</f>
        <v>Qualitative text</v>
      </c>
    </row>
    <row r="5458" spans="1:3" ht="13" x14ac:dyDescent="0.15">
      <c r="A5458" s="1" t="str">
        <f ca="1">IFERROR(__xludf.DUMMYFUNCTION("GOOGLETRANSLATE(A5458, ""zh"", ""en"")"),"Authorization of the Board of Directors Development Strategy and ESG Committee Authorization of the Board of Directors Management Executive Level ESG Leadership Group Company Management Departments and Business Lines Subsidiaries 12 CITIC Securities 2022 "&amp;"Annual Social Responsibility Report CITIC Securities attaches great importance to communication with all stakeholders. Based on the actual business and management operation characteristics, it establishes multiple communication channels to ensure that inf"&amp;"ormation between the company and all stakeholders can be transmitted in a timely and effective manner.")</f>
        <v>Authorization of the Board of Directors Development Strategy and ESG Committee Authorization of the Board of Directors Management Executive Level ESG Leadership Group Company Management Departments and Business Lines Subsidiaries 12 CITIC Securities 2022 Annual Social Responsibility Report CITIC Securities attaches great importance to communication with all stakeholders. Based on the actual business and management operation characteristics, it establishes multiple communication channels to ensure that information between the company and all stakeholders can be transmitted in a timely and effective manner.</v>
      </c>
      <c r="B5458" s="1" t="str">
        <f ca="1">IFERROR(__xludf.DUMMYFUNCTION("GOOGLETRANSLATE(A5458, ""zh"", ""en"")"),"Organizational structure and operations")</f>
        <v>Organizational structure and operations</v>
      </c>
      <c r="C5458" s="1" t="str">
        <f ca="1">IFERROR(__xludf.DUMMYFUNCTION("GOOGLETRANSLATE(E5458, ""zh"", ""en"")"),"Qualitative text")</f>
        <v>Qualitative text</v>
      </c>
    </row>
    <row r="5459" spans="1:3" ht="13" x14ac:dyDescent="0.15">
      <c r="A5459" s="1" t="str">
        <f ca="1">IFERROR(__xludf.DUMMYFUNCTION("GOOGLETRANSLATE(A5459, ""zh"", ""en"")"),"121314 Establishment of a model for collaborative governance between parent and subsidiary listed companies' boards of directors; Board operation evaluation; External director performance evaluation; Wuchan Zhongda, a provincial super-large state-controll"&amp;"ed listed company, has successively split A-shares from A-shares of Wuchan Huanneng's second-level subsidiary A-shares and merged A-shares of Wuchan Jinlun, a former private enterprise, into Jinlun Shares, becoming the first state-controlled company in Ch"&amp;"ina to have listed companies at all three levels: parent, subsidiary, and grandchild.")</f>
        <v>121314 Establishment of a model for collaborative governance between parent and subsidiary listed companies' boards of directors; Board operation evaluation; External director performance evaluation; Wuchan Zhongda, a provincial super-large state-controlled listed company, has successively split A-shares from A-shares of Wuchan Huanneng's second-level subsidiary A-shares and merged A-shares of Wuchan Jinlun, a former private enterprise, into Jinlun Shares, becoming the first state-controlled company in China to have listed companies at all three levels: parent, subsidiary, and grandchild.</v>
      </c>
      <c r="B5459" s="1" t="str">
        <f ca="1">IFERROR(__xludf.DUMMYFUNCTION("GOOGLETRANSLATE(A5459, ""zh"", ""en"")"),"Organizational structure and operations")</f>
        <v>Organizational structure and operations</v>
      </c>
      <c r="C5459" s="1" t="str">
        <f ca="1">IFERROR(__xludf.DUMMYFUNCTION("GOOGLETRANSLATE(E5459, ""zh"", ""en"")"),"Quantitative Text")</f>
        <v>Quantitative Text</v>
      </c>
    </row>
    <row r="5460" spans="1:3" ht="13" x14ac:dyDescent="0.15">
      <c r="A5460" s="1" t="str">
        <f ca="1">IFERROR(__xludf.DUMMYFUNCTION("GOOGLETRANSLATE(A5460, ""zh"", ""en"")"),"We will make every effort to ensure the availability of vehicles for the Hangzhou Asian Games and Asian Para Games. The company's business travel subsidiary will provide vehicles for activities related to the Asian Games and Asian Para Games. Metal Compan"&amp;"y Leasing Company 0425 2022. The company will adhere to the principle of innovation-driven work and vigorously implement the innovation-driven strategy to strengthen the organizational leadership of innovation work, improve the innovation mechanism, and r"&amp;"efine work measures. Innovation and R&amp;D capabilities will continue to increase, and scientific and technological innovation will yield fruitful results, effectively contributing to the company's high-quality development.")</f>
        <v>We will make every effort to ensure the availability of vehicles for the Hangzhou Asian Games and Asian Para Games. The company's business travel subsidiary will provide vehicles for activities related to the Asian Games and Asian Para Games. Metal Company Leasing Company 0425 2022. The company will adhere to the principle of innovation-driven work and vigorously implement the innovation-driven strategy to strengthen the organizational leadership of innovation work, improve the innovation mechanism, and refine work measures. Innovation and R&amp;D capabilities will continue to increase, and scientific and technological innovation will yield fruitful results, effectively contributing to the company's high-quality development.</v>
      </c>
      <c r="B5460" s="1" t="str">
        <f ca="1">IFERROR(__xludf.DUMMYFUNCTION("GOOGLETRANSLATE(A5460, ""zh"", ""en"")"),"Technological innovation")</f>
        <v>Technological innovation</v>
      </c>
      <c r="C5460" s="1" t="str">
        <f ca="1">IFERROR(__xludf.DUMMYFUNCTION("GOOGLETRANSLATE(E5460, ""zh"", ""en"")"),"Qualitative text")</f>
        <v>Qualitative text</v>
      </c>
    </row>
    <row r="5461" spans="1:3" ht="13" x14ac:dyDescent="0.15">
      <c r="A5461" s="1" t="str">
        <f ca="1">IFERROR(__xludf.DUMMYFUNCTION("GOOGLETRANSLATE(A5461, ""zh"", ""en"")"),"To better manage risks associated with business development, we refer to the Shanghai Stock Exchange's Guidelines for Internal Control of Listed Companies, the Basic Standards for Enterprise Internal Control and the Supporting Guidelines for Enterprise In"&amp;"ternal Control jointly issued by the Ministry of Finance and five other ministries and commissions, the Hong Kong Stock Exchange's Corporate Governance Code, and other guidelines to clarify the roles and responsibilities of the board of directors, audit c"&amp;"ommittee, supervisory committee, and management in the internal control mechanism, establish and continuously improve risk management and internal control systems.")</f>
        <v>To better manage risks associated with business development, we refer to the Shanghai Stock Exchange's Guidelines for Internal Control of Listed Companies, the Basic Standards for Enterprise Internal Control and the Supporting Guidelines for Enterprise Internal Control jointly issued by the Ministry of Finance and five other ministries and commissions, the Hong Kong Stock Exchange's Corporate Governance Code, and other guidelines to clarify the roles and responsibilities of the board of directors, audit committee, supervisory committee, and management in the internal control mechanism, establish and continuously improve risk management and internal control systems.</v>
      </c>
      <c r="B5461" s="1" t="str">
        <f ca="1">IFERROR(__xludf.DUMMYFUNCTION("GOOGLETRANSLATE(A5461, ""zh"", ""en"")"),"Audit work")</f>
        <v>Audit work</v>
      </c>
      <c r="C5461" s="1" t="str">
        <f ca="1">IFERROR(__xludf.DUMMYFUNCTION("GOOGLETRANSLATE(E5461, ""zh"", ""en"")"),"Qualitative text")</f>
        <v>Qualitative text</v>
      </c>
    </row>
    <row r="5462" spans="1:3" ht="13" x14ac:dyDescent="0.15">
      <c r="A5462" s="1" t="str">
        <f ca="1">IFERROR(__xludf.DUMMYFUNCTION("GOOGLETRANSLATE(A5462, ""zh"", ""en"")"),"The company continues to improve the ""one county, one chain"" support model and industrial development plan, comprehensively promotes industrial development and consumption support, and promotes the formation of a virtuous cycle of production-driven sale"&amp;"s and sales-driven production, with production and sales promoting each other and improving in both directions. It vigorously promotes the extension of support industries from breeding and raising to deep processing of products, and strives to ensure that"&amp;" each county has a high-quality agricultural product industry chain and a batch of market-competitive products, creating a ""one county, one chain"" full-chain support model for industrial consumption.")</f>
        <v>The company continues to improve the "one county, one chain" support model and industrial development plan, comprehensively promotes industrial development and consumption support, and promotes the formation of a virtuous cycle of production-driven sales and sales-driven production, with production and sales promoting each other and improving in both directions. It vigorously promotes the extension of support industries from breeding and raising to deep processing of products, and strives to ensure that each county has a high-quality agricultural product industry chain and a batch of market-competitive products, creating a "one county, one chain" full-chain support model for industrial consumption.</v>
      </c>
      <c r="B5462" s="1" t="str">
        <f ca="1">IFERROR(__xludf.DUMMYFUNCTION("GOOGLETRANSLATE(A5462, ""zh"", ""en"")"),"Rural assistance")</f>
        <v>Rural assistance</v>
      </c>
      <c r="C5462" s="1" t="str">
        <f ca="1">IFERROR(__xludf.DUMMYFUNCTION("GOOGLETRANSLATE(E5462, ""zh"", ""en"")"),"Qualitative text")</f>
        <v>Qualitative text</v>
      </c>
    </row>
    <row r="5463" spans="1:3" ht="13" x14ac:dyDescent="0.15">
      <c r="A5463" s="1" t="str">
        <f ca="1">IFERROR(__xludf.DUMMYFUNCTION("GOOGLETRANSLATE(A5463, ""zh"", ""en"")"),"The Desert Health Express Volunteer Medical Service Team of the Northwest Oilfield Branch was established in May 2015. Leveraging the resources of the Northwest Oilfield Public Security and Fire Protection Center's Gas Prevention and Medical Station, the "&amp;"team signed cooperation agreements with the Beijing Road Medical Area of ​​the Xinjiang Military Region General Hospital and the People's Hospitals of Luntai County, Kuqa City, and Shaya County in Bayingolin Mongol Autonomous Prefecture to establish an em"&amp;"ergency green medical channel, establish a paired medical consultation model with the oilfield residents, a menu-based hospital linkage, and a group volunteer service model.")</f>
        <v>The Desert Health Express Volunteer Medical Service Team of the Northwest Oilfield Branch was established in May 2015. Leveraging the resources of the Northwest Oilfield Public Security and Fire Protection Center's Gas Prevention and Medical Station, the team signed cooperation agreements with the Beijing Road Medical Area of ​​the Xinjiang Military Region General Hospital and the People's Hospitals of Luntai County, Kuqa City, and Shaya County in Bayingolin Mongol Autonomous Prefecture to establish an emergency green medical channel, establish a paired medical consultation model with the oilfield residents, a menu-based hospital linkage, and a group volunteer service model.</v>
      </c>
      <c r="B5463" s="1" t="str">
        <f ca="1">IFERROR(__xludf.DUMMYFUNCTION("GOOGLETRANSLATE(A5463, ""zh"", ""en"")"),"Public welfare and volunteer service")</f>
        <v>Public welfare and volunteer service</v>
      </c>
      <c r="C5463" s="1" t="str">
        <f ca="1">IFERROR(__xludf.DUMMYFUNCTION("GOOGLETRANSLATE(E5463, ""zh"", ""en"")"),"Qualitative text")</f>
        <v>Qualitative text</v>
      </c>
    </row>
    <row r="5464" spans="1:3" ht="13" x14ac:dyDescent="0.15">
      <c r="A5464" s="1" t="str">
        <f ca="1">IFERROR(__xludf.DUMMYFUNCTION("GOOGLETRANSLATE(A5464, ""zh"", ""en"")"),"In 2022, the company invested RMB 211 million in aid, introduced RMB 231 million in aid, trained 65,300 people, completed RMB 1.156 billion in consumer aid, and achieved new highs in various indicators for targeted aid in six counties. 70 directly affilia"&amp;"ted units undertook aid tasks in 616 villages, assigned 927 village cadres, and recruited 31 volunteers from within the company to participate in education and other work in the targeted counties.")</f>
        <v>In 2022, the company invested RMB 211 million in aid, introduced RMB 231 million in aid, trained 65,300 people, completed RMB 1.156 billion in consumer aid, and achieved new highs in various indicators for targeted aid in six counties. 70 directly affiliated units undertook aid tasks in 616 villages, assigned 927 village cadres, and recruited 31 volunteers from within the company to participate in education and other work in the targeted counties.</v>
      </c>
      <c r="B5464" s="1" t="str">
        <f ca="1">IFERROR(__xludf.DUMMYFUNCTION("GOOGLETRANSLATE(A5464, ""zh"", ""en"")"),"Rural assistance")</f>
        <v>Rural assistance</v>
      </c>
      <c r="C5464" s="1" t="str">
        <f ca="1">IFERROR(__xludf.DUMMYFUNCTION("GOOGLETRANSLATE(E5464, ""zh"", ""en"")"),"Quantitative Text")</f>
        <v>Quantitative Text</v>
      </c>
    </row>
    <row r="5465" spans="1:3" ht="13" x14ac:dyDescent="0.15">
      <c r="A5465" s="1" t="str">
        <f ca="1">IFERROR(__xludf.DUMMYFUNCTION("GOOGLETRANSLATE(A5465, ""zh"", ""en"")"),"The International Association for Continuing Engineering Education (IACE) Board of Directors believes that Sinopec's Chaoyang Project training system for young talents demonstrates its advanced nature in systematic planning of training paths, integrated i"&amp;"nnovation of training models, integrated school-enterprise cooperation, optimized training organization and operations, continuous improvement of training quality, and the integration of advantageous resources from all parties. It provides a model for glo"&amp;"bal companies and demonstrates Sinopec's world-class leadership in continuing engineering education.")</f>
        <v>The International Association for Continuing Engineering Education (IACE) Board of Directors believes that Sinopec's Chaoyang Project training system for young talents demonstrates its advanced nature in systematic planning of training paths, integrated innovation of training models, integrated school-enterprise cooperation, optimized training organization and operations, continuous improvement of training quality, and the integration of advantageous resources from all parties. It provides a model for global companies and demonstrates Sinopec's world-class leadership in continuing engineering education.</v>
      </c>
      <c r="B5465" s="1" t="str">
        <f ca="1">IFERROR(__xludf.DUMMYFUNCTION("GOOGLETRANSLATE(A5465, ""zh"", ""en"")"),"staff")</f>
        <v>staff</v>
      </c>
      <c r="C5465" s="1" t="str">
        <f ca="1">IFERROR(__xludf.DUMMYFUNCTION("GOOGLETRANSLATE(E5465, ""zh"", ""en"")"),"Qualitative text")</f>
        <v>Qualitative text</v>
      </c>
    </row>
    <row r="5466" spans="1:3" ht="13" x14ac:dyDescent="0.15">
      <c r="A5466" s="1" t="str">
        <f ca="1">IFERROR(__xludf.DUMMYFUNCTION("GOOGLETRANSLATE(A5466, ""zh"", ""en"")"),"Risk Control SDG has established a relatively complete internal control management system in strict accordance with the provisions of the Basic Standards for Enterprise Internal Control and its supporting guidelines and other internal control regulatory r"&amp;"equirements. It can continuously optimize the corporate governance structure and internal control system according to the actual operation of the company, revise and improve relevant management systems, and continuously carry out internal control evaluati"&amp;"on. The company's internal control operation mechanism is sound and effective.")</f>
        <v>Risk Control SDG has established a relatively complete internal control management system in strict accordance with the provisions of the Basic Standards for Enterprise Internal Control and its supporting guidelines and other internal control regulatory requirements. It can continuously optimize the corporate governance structure and internal control system according to the actual operation of the company, revise and improve relevant management systems, and continuously carry out internal control evaluation. The company's internal control operation mechanism is sound and effective.</v>
      </c>
      <c r="B5466" s="1" t="str">
        <f ca="1">IFERROR(__xludf.DUMMYFUNCTION("GOOGLETRANSLATE(A5466, ""zh"", ""en"")"),"Organizational structure and operations")</f>
        <v>Organizational structure and operations</v>
      </c>
      <c r="C5466" s="1" t="str">
        <f ca="1">IFERROR(__xludf.DUMMYFUNCTION("GOOGLETRANSLATE(E5466, ""zh"", ""en"")"),"Qualitative text")</f>
        <v>Qualitative text</v>
      </c>
    </row>
    <row r="5467" spans="1:3" ht="13" x14ac:dyDescent="0.15">
      <c r="A5467" s="1" t="str">
        <f ca="1">IFERROR(__xludf.DUMMYFUNCTION("GOOGLETRANSLATE(A5467, ""zh"", ""en"")"),"Physical examination package upgrades: The 2022 physical examination package continues to be upgraded with the addition of cardiovascular and metabolic supplementary packages. Projects focus on cerebrovascular health status, thyroid function, digestive sy"&amp;"stem, optional supplementary packages, and flexible combination examination packages. New self-paid supplementary packages for immune function are added to enhance immunity. Each employee can also receive a physical examination report interpretation and c"&amp;"onsultation service. Professionals will provide employees with detailed interpretation of the report and professional advice.")</f>
        <v>Physical examination package upgrades: The 2022 physical examination package continues to be upgraded with the addition of cardiovascular and metabolic supplementary packages. Projects focus on cerebrovascular health status, thyroid function, digestive system, optional supplementary packages, and flexible combination examination packages. New self-paid supplementary packages for immune function are added to enhance immunity. Each employee can also receive a physical examination report interpretation and consultation service. Professionals will provide employees with detailed interpretation of the report and professional advice.</v>
      </c>
      <c r="B5467" s="1" t="str">
        <f ca="1">IFERROR(__xludf.DUMMYFUNCTION("GOOGLETRANSLATE(A5467, ""zh"", ""en"")"),"staff")</f>
        <v>staff</v>
      </c>
      <c r="C5467" s="1" t="str">
        <f ca="1">IFERROR(__xludf.DUMMYFUNCTION("GOOGLETRANSLATE(E5467, ""zh"", ""en"")"),"Qualitative text")</f>
        <v>Qualitative text</v>
      </c>
    </row>
    <row r="5468" spans="1:3" ht="13" x14ac:dyDescent="0.15">
      <c r="A5468" s="1" t="str">
        <f ca="1">IFERROR(__xludf.DUMMYFUNCTION("GOOGLETRANSLATE(A5468, ""zh"", ""en"")"),"Employee participation mechanism standardization member companies abide by national and local laws, regulations and rules on production safety, uphold the principle of ""one post, two responsibilities"" and manage production, and employees are both EHS co"&amp;"ntributors and role models. Strengthen production safety management and establish a sound concept of EHS beneficiaries. Every manager of the Group fully implements production regulations and promotes production safety standardization. Frontline employees "&amp;"actively participate in all aspects of risk management and control.")</f>
        <v>Employee participation mechanism standardization member companies abide by national and local laws, regulations and rules on production safety, uphold the principle of "one post, two responsibilities" and manage production, and employees are both EHS contributors and role models. Strengthen production safety management and establish a sound concept of EHS beneficiaries. Every manager of the Group fully implements production regulations and promotes production safety standardization. Frontline employees actively participate in all aspects of risk management and control.</v>
      </c>
      <c r="B5468" s="1" t="str">
        <f ca="1">IFERROR(__xludf.DUMMYFUNCTION("GOOGLETRANSLATE(A5468, ""zh"", ""en"")"),"staff")</f>
        <v>staff</v>
      </c>
      <c r="C5468" s="1" t="str">
        <f ca="1">IFERROR(__xludf.DUMMYFUNCTION("GOOGLETRANSLATE(E5468, ""zh"", ""en"")"),"Qualitative text")</f>
        <v>Qualitative text</v>
      </c>
    </row>
    <row r="5469" spans="1:3" ht="13" x14ac:dyDescent="0.15">
      <c r="A5469" s="1" t="str">
        <f ca="1">IFERROR(__xludf.DUMMYFUNCTION("GOOGLETRANSLATE(A5469, ""zh"", ""en"")"),"The family letters of seven comrades, including Chen Jianli from the Manjiao Factory and Ye Fang from the Luzhuang Logistics Support Center of the Silk Factory No. 1, were selected into the Group's Discipline Inspection Commission's compilation of outstan"&amp;"ding family letters. The company has the largest number of works compiled into the Group's anti-corruption publicity and education month. It was awarded the title of ""Outstanding Organizing Unit"" for the Group's Anti-Corruption and Integrity Education M"&amp;"onth. 12. Shenma Industrial Co., Ltd. 2021 Social Responsibility Report Corporate Governance. The company promotes learning from cases, promoting reforms through cases, and deepening warning education.")</f>
        <v>The family letters of seven comrades, including Chen Jianli from the Manjiao Factory and Ye Fang from the Luzhuang Logistics Support Center of the Silk Factory No. 1, were selected into the Group's Discipline Inspection Commission's compilation of outstanding family letters. The company has the largest number of works compiled into the Group's anti-corruption publicity and education month. It was awarded the title of "Outstanding Organizing Unit" for the Group's Anti-Corruption and Integrity Education Month. 12. Shenma Industrial Co., Ltd. 2021 Social Responsibility Report Corporate Governance. The company promotes learning from cases, promoting reforms through cases, and deepening warning education.</v>
      </c>
      <c r="B5469" s="1" t="str">
        <f ca="1">IFERROR(__xludf.DUMMYFUNCTION("GOOGLETRANSLATE(A5469, ""zh"", ""en"")"),"Anti-corruption and anti-money laundering")</f>
        <v>Anti-corruption and anti-money laundering</v>
      </c>
      <c r="C5469" s="1" t="str">
        <f ca="1">IFERROR(__xludf.DUMMYFUNCTION("GOOGLETRANSLATE(E5469, ""zh"", ""en"")"),"Quantitative Text")</f>
        <v>Quantitative Text</v>
      </c>
    </row>
    <row r="5470" spans="1:3" ht="13" x14ac:dyDescent="0.15">
      <c r="A5470" s="1" t="str">
        <f ca="1">IFERROR(__xludf.DUMMYFUNCTION("GOOGLETRANSLATE(A5470, ""zh"", ""en"")"),"Highly recognized product portfolio. In 2022, Dima Industry launched 38 R&amp;D projects, including water and forest rescue, emergency communication integration, three-level side-pull command vehicle 2.0, multi-functional property robot, and developed 30 new "&amp;"products, including EKT44C, a new self-made electric passenger elevator, a high-flow explosion-proof robot, an agricultural robot, a multi-functional surgical vehicle, etc., and created a medical product line, achieving the third place in the market share"&amp;" of medical special vehicles.")</f>
        <v>Highly recognized product portfolio. In 2022, Dima Industry launched 38 R&amp;D projects, including water and forest rescue, emergency communication integration, three-level side-pull command vehicle 2.0, multi-functional property robot, and developed 30 new products, including EKT44C, a new self-made electric passenger elevator, a high-flow explosion-proof robot, an agricultural robot, a multi-functional surgical vehicle, etc., and created a medical product line, achieving the third place in the market share of medical special vehicles.</v>
      </c>
      <c r="B5470" s="1" t="str">
        <f ca="1">IFERROR(__xludf.DUMMYFUNCTION("GOOGLETRANSLATE(A5470, ""zh"", ""en"")"),"Technological innovation")</f>
        <v>Technological innovation</v>
      </c>
      <c r="C5470" s="1" t="str">
        <f ca="1">IFERROR(__xludf.DUMMYFUNCTION("GOOGLETRANSLATE(E5470, ""zh"", ""en"")"),"Quantitative Text")</f>
        <v>Quantitative Text</v>
      </c>
    </row>
    <row r="5471" spans="1:3" ht="13" x14ac:dyDescent="0.15">
      <c r="A5471" s="1" t="str">
        <f ca="1">IFERROR(__xludf.DUMMYFUNCTION("GOOGLETRANSLATE(A5471, ""zh"", ""en"")"),"During the activities, the Group carefully organized and implemented various tasks, taking the creation of high-quality products as the starting point, carried out quality training activities around product quality improvement, process technology innovati"&amp;"on, employee skill improvement, etc., quality culture publicity activities, labor competitions, mass quality activities, customer service return visits to improve user satisfaction activities, external quality exchange activities, and other series of dive"&amp;"rse forms, distinctive features and a strong atmosphere of the Quality Month activities, which achieved broad and positive results.")</f>
        <v>During the activities, the Group carefully organized and implemented various tasks, taking the creation of high-quality products as the starting point, carried out quality training activities around product quality improvement, process technology innovation, employee skill improvement, etc., quality culture publicity activities, labor competitions, mass quality activities, customer service return visits to improve user satisfaction activities, external quality exchange activities, and other series of diverse forms, distinctive features and a strong atmosphere of the Quality Month activities, which achieved broad and positive results.</v>
      </c>
      <c r="B5471" s="1" t="str">
        <f ca="1">IFERROR(__xludf.DUMMYFUNCTION("GOOGLETRANSLATE(A5471, ""zh"", ""en"")"),"Product quality")</f>
        <v>Product quality</v>
      </c>
      <c r="C5471" s="1" t="str">
        <f ca="1">IFERROR(__xludf.DUMMYFUNCTION("GOOGLETRANSLATE(E5471, ""zh"", ""en"")"),"Qualitative text")</f>
        <v>Qualitative text</v>
      </c>
    </row>
    <row r="5472" spans="1:3" ht="13" x14ac:dyDescent="0.15">
      <c r="A5472" s="1" t="str">
        <f ca="1">IFERROR(__xludf.DUMMYFUNCTION("GOOGLETRANSLATE(A5472, ""zh"", ""en"")"),"Shanghai Electric's steam turbine reliability comprehensive index once again topped the list. Shanghai Mitsubishi Elevator successfully completed support missions for the Winter Olympics, Winter Paralympics, and the Two Sessions.")</f>
        <v>Shanghai Electric's steam turbine reliability comprehensive index once again topped the list. Shanghai Mitsubishi Elevator successfully completed support missions for the Winter Olympics, Winter Paralympics, and the Two Sessions.</v>
      </c>
      <c r="B5472" s="1" t="str">
        <f ca="1">IFERROR(__xludf.DUMMYFUNCTION("GOOGLETRANSLATE(A5472, ""zh"", ""en"")"),"Product quality")</f>
        <v>Product quality</v>
      </c>
      <c r="C5472" s="1" t="str">
        <f ca="1">IFERROR(__xludf.DUMMYFUNCTION("GOOGLETRANSLATE(E5472, ""zh"", ""en"")"),"Qualitative text")</f>
        <v>Qualitative text</v>
      </c>
    </row>
    <row r="5473" spans="1:3" ht="13" x14ac:dyDescent="0.15">
      <c r="A5473" s="1" t="str">
        <f ca="1">IFERROR(__xludf.DUMMYFUNCTION("GOOGLETRANSLATE(A5473, ""zh"", ""en"")"),"In order to further standardize the company's intellectual property management system, enhance independent innovation, realize scientific management and strategic application of intellectual property, and improve its competitiveness in the international a"&amp;"nd domestic markets, Xinjiang Uygur Medicine will publicize and implement the national standard GBT294902013 for enterprise intellectual property management in April 2022, establish an intellectual property implementation team, and invite Xinjiang Zhixin "&amp;"Technology Co., Ltd. to conduct standard implementation training and guidance.")</f>
        <v>In order to further standardize the company's intellectual property management system, enhance independent innovation, realize scientific management and strategic application of intellectual property, and improve its competitiveness in the international and domestic markets, Xinjiang Uygur Medicine will publicize and implement the national standard GBT294902013 for enterprise intellectual property management in April 2022, establish an intellectual property implementation team, and invite Xinjiang Zhixin Technology Co., Ltd. to conduct standard implementation training and guidance.</v>
      </c>
      <c r="B5473" s="1" t="str">
        <f ca="1">IFERROR(__xludf.DUMMYFUNCTION("GOOGLETRANSLATE(A5473, ""zh"", ""en"")"),"Intellectual Property Protection")</f>
        <v>Intellectual Property Protection</v>
      </c>
      <c r="C5473" s="1" t="str">
        <f ca="1">IFERROR(__xludf.DUMMYFUNCTION("GOOGLETRANSLATE(E5473, ""zh"", ""en"")"),"Qualitative text")</f>
        <v>Qualitative text</v>
      </c>
    </row>
    <row r="5474" spans="1:3" ht="13" x14ac:dyDescent="0.15">
      <c r="A5474" s="1" t="str">
        <f ca="1">IFERROR(__xludf.DUMMYFUNCTION("GOOGLETRANSLATE(A5474, ""zh"", ""en"")"),"The Young Dreamers volunteer service group focused on youth education and public welfare activities. Haier Poland auctioned painted refrigerators to support local children's development. AQUA Indonesia donated books and home appliances to local schools. I"&amp;"n August 2022, AQUA Indonesia actively assumed corporate social responsibility, donated books and home appliances to several local vocational high schools, built a new book exhibition booth, and initiated seminars and training sessions to support the deve"&amp;"lopment of local education.")</f>
        <v>The Young Dreamers volunteer service group focused on youth education and public welfare activities. Haier Poland auctioned painted refrigerators to support local children's development. AQUA Indonesia donated books and home appliances to local schools. In August 2022, AQUA Indonesia actively assumed corporate social responsibility, donated books and home appliances to several local vocational high schools, built a new book exhibition booth, and initiated seminars and training sessions to support the development of local education.</v>
      </c>
      <c r="B5474" s="1" t="str">
        <f ca="1">IFERROR(__xludf.DUMMYFUNCTION("GOOGLETRANSLATE(A5474, ""zh"", ""en"")"),"Public welfare and volunteer service")</f>
        <v>Public welfare and volunteer service</v>
      </c>
      <c r="C5474" s="1" t="str">
        <f ca="1">IFERROR(__xludf.DUMMYFUNCTION("GOOGLETRANSLATE(E5474, ""zh"", ""en"")"),"Qualitative text")</f>
        <v>Qualitative text</v>
      </c>
    </row>
    <row r="5475" spans="1:3" ht="13" x14ac:dyDescent="0.15">
      <c r="A5475" s="1" t="str">
        <f ca="1">IFERROR(__xludf.DUMMYFUNCTION("GOOGLETRANSLATE(A5475, ""zh"", ""en"")"),"Through strategic analysis, cultural cohesion, growth empowerment, systematic learning of three major themed courses and a one-stop knowledge contest, ""I Am the Electric Spokesperson"", ""Electrical Culture Market"", ""120 Electric Youth"", ""120-foot Ju"&amp;"fu Drawing"", ""Summer Fan Club"" and other themed activities, the group leads new employees to immerse themselves in the charm of Shanghai Electric's powerful national equipment, helping them to gain a deep understanding of Shanghai Electric's strategic "&amp;"blueprint and cultural core, and accelerate their integration into the Shanghai Electric family.")</f>
        <v>Through strategic analysis, cultural cohesion, growth empowerment, systematic learning of three major themed courses and a one-stop knowledge contest, "I Am the Electric Spokesperson", "Electrical Culture Market", "120 Electric Youth", "120-foot Jufu Drawing", "Summer Fan Club" and other themed activities, the group leads new employees to immerse themselves in the charm of Shanghai Electric's powerful national equipment, helping them to gain a deep understanding of Shanghai Electric's strategic blueprint and cultural core, and accelerate their integration into the Shanghai Electric family.</v>
      </c>
      <c r="B5475" s="1" t="str">
        <f ca="1">IFERROR(__xludf.DUMMYFUNCTION("GOOGLETRANSLATE(A5475, ""zh"", ""en"")"),"staff")</f>
        <v>staff</v>
      </c>
      <c r="C5475" s="1" t="str">
        <f ca="1">IFERROR(__xludf.DUMMYFUNCTION("GOOGLETRANSLATE(E5475, ""zh"", ""en"")"),"Qualitative text")</f>
        <v>Qualitative text</v>
      </c>
    </row>
    <row r="5476" spans="1:3" ht="13" x14ac:dyDescent="0.15">
      <c r="A5476" s="1" t="str">
        <f ca="1">IFERROR(__xludf.DUMMYFUNCTION("GOOGLETRANSLATE(A5476, ""zh"", ""en"")"),"II. Environmental Aspects: A1 Emissions: The Bank has made significant progress in green office, green travel, and green operations. We have continuously promoted paperless office, continuously reduced office costs, eliminated and disposed of high-fuel-co"&amp;"nsuming official vehicles, prioritized the purchase of environmentally friendly and new energy vehicles, strengthened energy conservation of office electrical equipment, gradually eliminated high-energy-consuming equipment, and rationally adjusted equipme"&amp;"nt operating hours. We have integrated low-carbon, ecological, and efficient office work into a green and low-carbon business office.")</f>
        <v>II. Environmental Aspects: A1 Emissions: The Bank has made significant progress in green office, green travel, and green operations. We have continuously promoted paperless office, continuously reduced office costs, eliminated and disposed of high-fuel-consuming official vehicles, prioritized the purchase of environmentally friendly and new energy vehicles, strengthened energy conservation of office electrical equipment, gradually eliminated high-energy-consuming equipment, and rationally adjusted equipment operating hours. We have integrated low-carbon, ecological, and efficient office work into a green and low-carbon business office.</v>
      </c>
      <c r="B5476" s="1" t="str">
        <f ca="1">IFERROR(__xludf.DUMMYFUNCTION("GOOGLETRANSLATE(A5476, ""zh"", ""en"")"),"Energy and resource consumption")</f>
        <v>Energy and resource consumption</v>
      </c>
      <c r="C5476" s="1" t="str">
        <f ca="1">IFERROR(__xludf.DUMMYFUNCTION("GOOGLETRANSLATE(E5476, ""zh"", ""en"")"),"Qualitative text")</f>
        <v>Qualitative text</v>
      </c>
    </row>
    <row r="5477" spans="1:3" ht="13" x14ac:dyDescent="0.15">
      <c r="A5477" s="1" t="str">
        <f ca="1">IFERROR(__xludf.DUMMYFUNCTION("GOOGLETRANSLATE(A5477, ""zh"", ""en"")"),"The company's overseas subsidiaries, GEAFPA Candy and its Indian subsidiary, have also established sustainable development management structures to promote ESG-related work in accordance with applicable laws and regulations. These include setting ESG work"&amp;" objectives, directions, and plans, overseeing and reviewing ESG commitments and related matters, compiling and publishing annual ESG reports, and disseminating and promoting a sustainable development culture within the team, sharing best practices, etc.")</f>
        <v>The company's overseas subsidiaries, GEAFPA Candy and its Indian subsidiary, have also established sustainable development management structures to promote ESG-related work in accordance with applicable laws and regulations. These include setting ESG work objectives, directions, and plans, overseeing and reviewing ESG commitments and related matters, compiling and publishing annual ESG reports, and disseminating and promoting a sustainable development culture within the team, sharing best practices, etc.</v>
      </c>
      <c r="B5477" s="1" t="str">
        <f ca="1">IFERROR(__xludf.DUMMYFUNCTION("GOOGLETRANSLATE(A5477, ""zh"", ""en"")"),"Organizational structure and operations")</f>
        <v>Organizational structure and operations</v>
      </c>
      <c r="C5477" s="1" t="str">
        <f ca="1">IFERROR(__xludf.DUMMYFUNCTION("GOOGLETRANSLATE(E5477, ""zh"", ""en"")"),"Qualitative text")</f>
        <v>Qualitative text</v>
      </c>
    </row>
    <row r="5478" spans="1:3" ht="13" x14ac:dyDescent="0.15">
      <c r="A5478" s="1" t="str">
        <f ca="1">IFERROR(__xludf.DUMMYFUNCTION("GOOGLETRANSLATE(A5478, ""zh"", ""en"")"),"SDG3 Community 11 Bay Decoration Community 16 Tianyong W24 2021 Social Responsibility Report Shenma Industrial Co., Ltd. strengthens safety barriers, strengthens supervision and governance, implements the ""two supreme"" concepts, promotes the three-year "&amp;"special rectification campaign for production safety, builds a dual prevention system, conscientiously conducts hidden danger re-inspections, strengthens work style, and leads concentrated rectification activities to continuously improve the safety govern"&amp;"ance system and enhance governance capabilities.")</f>
        <v>SDG3 Community 11 Bay Decoration Community 16 Tianyong W24 2021 Social Responsibility Report Shenma Industrial Co., Ltd. strengthens safety barriers, strengthens supervision and governance, implements the "two supreme" concepts, promotes the three-year special rectification campaign for production safety, builds a dual prevention system, conscientiously conducts hidden danger re-inspections, strengthens work style, and leads concentrated rectification activities to continuously improve the safety governance system and enhance governance capabilities.</v>
      </c>
      <c r="B5478" s="1" t="str">
        <f ca="1">IFERROR(__xludf.DUMMYFUNCTION("GOOGLETRANSLATE(A5478, ""zh"", ""en"")"),"staff")</f>
        <v>staff</v>
      </c>
      <c r="C5478" s="1" t="str">
        <f ca="1">IFERROR(__xludf.DUMMYFUNCTION("GOOGLETRANSLATE(E5478, ""zh"", ""en"")"),"Qualitative text")</f>
        <v>Qualitative text</v>
      </c>
    </row>
    <row r="5479" spans="1:3" ht="13" x14ac:dyDescent="0.15">
      <c r="A5479" s="1" t="str">
        <f ca="1">IFERROR(__xludf.DUMMYFUNCTION("GOOGLETRANSLATE(A5479, ""zh"", ""en"")"),"First, we strive to appease and resolve customer complaints by providing online explanations and solutions or quickly coordinating with branches, and directly handle issues within our authority. The remote intelligent banking center records customer deman"&amp;"ds and related information through a unified customer service platform, generates complaint tickets, and quickly transfers them to the complaint handling agency for processing. We also urge customers to handle second calls or overdue tickets.")</f>
        <v>First, we strive to appease and resolve customer complaints by providing online explanations and solutions or quickly coordinating with branches, and directly handle issues within our authority. The remote intelligent banking center records customer demands and related information through a unified customer service platform, generates complaint tickets, and quickly transfers them to the complaint handling agency for processing. We also urge customers to handle second calls or overdue tickets.</v>
      </c>
      <c r="B5479" s="1" t="str">
        <f ca="1">IFERROR(__xludf.DUMMYFUNCTION("GOOGLETRANSLATE(A5479, ""zh"", ""en"")"),"Customers and Consumers")</f>
        <v>Customers and Consumers</v>
      </c>
      <c r="C5479" s="1" t="str">
        <f ca="1">IFERROR(__xludf.DUMMYFUNCTION("GOOGLETRANSLATE(E5479, ""zh"", ""en"")"),"Qualitative text")</f>
        <v>Qualitative text</v>
      </c>
    </row>
    <row r="5480" spans="1:3" ht="13" x14ac:dyDescent="0.15">
      <c r="A5480" s="1" t="str">
        <f ca="1">IFERROR(__xludf.DUMMYFUNCTION("GOOGLETRANSLATE(A5480, ""zh"", ""en"")"),"SDIC Taikang Trust's Love Mother and Baby Room, named 98, supports employees in need. SDIC Capital's 2022 ESG Report: Working Together to Build a Better Society, 6869: Building Harmonious Communities. SDIC Capital practices the new development philosophy "&amp;"of innovation, coordination, green development, openness, and sharing. It views corporate citizenship responsibility as a powerful driving force for the company's development, continuously improving community co-building mechanisms, sharing development ac"&amp;"hievements with stakeholders, and contributing to the achievement of sustainable development goals.")</f>
        <v>SDIC Taikang Trust's Love Mother and Baby Room, named 98, supports employees in need. SDIC Capital's 2022 ESG Report: Working Together to Build a Better Society, 6869: Building Harmonious Communities. SDIC Capital practices the new development philosophy of innovation, coordination, green development, openness, and sharing. It views corporate citizenship responsibility as a powerful driving force for the company's development, continuously improving community co-building mechanisms, sharing development achievements with stakeholders, and contributing to the achievement of sustainable development goals.</v>
      </c>
      <c r="B5480" s="1" t="str">
        <f ca="1">IFERROR(__xludf.DUMMYFUNCTION("GOOGLETRANSLATE(A5480, ""zh"", ""en"")"),"Public welfare and volunteer service")</f>
        <v>Public welfare and volunteer service</v>
      </c>
      <c r="C5480" s="1" t="str">
        <f ca="1">IFERROR(__xludf.DUMMYFUNCTION("GOOGLETRANSLATE(E5480, ""zh"", ""en"")"),"Qualitative text")</f>
        <v>Qualitative text</v>
      </c>
    </row>
    <row r="5481" spans="1:3" ht="13" x14ac:dyDescent="0.15">
      <c r="A5481" s="1" t="str">
        <f ca="1">IFERROR(__xludf.DUMMYFUNCTION("GOOGLETRANSLATE(A5481, ""zh"", ""en"")"),"The Company's Board of Directors, Supervisory Committee and its subordinate specialized committees convened meetings of the Board of Directors' Strategic Committee (1 meeting), the Audit Committee (18 meetings), the Nomination Committee (5 meetings), the "&amp;"Remuneration and Appraisal Committee (4 meetings), and the Environmental, Social and Governance Committee (2 meetings).")</f>
        <v>The Company's Board of Directors, Supervisory Committee and its subordinate specialized committees convened meetings of the Board of Directors' Strategic Committee (1 meeting), the Audit Committee (18 meetings), the Nomination Committee (5 meetings), the Remuneration and Appraisal Committee (4 meetings), and the Environmental, Social and Governance Committee (2 meetings).</v>
      </c>
      <c r="B5481" s="1" t="str">
        <f ca="1">IFERROR(__xludf.DUMMYFUNCTION("GOOGLETRANSLATE(A5481, ""zh"", ""en"")"),"Organizational structure and operations")</f>
        <v>Organizational structure and operations</v>
      </c>
      <c r="C5481" s="1" t="str">
        <f ca="1">IFERROR(__xludf.DUMMYFUNCTION("GOOGLETRANSLATE(E5481, ""zh"", ""en"")"),"Quantitative Text")</f>
        <v>Quantitative Text</v>
      </c>
    </row>
    <row r="5482" spans="1:3" ht="13" x14ac:dyDescent="0.15">
      <c r="A5482" s="1" t="str">
        <f ca="1">IFERROR(__xludf.DUMMYFUNCTION("GOOGLETRANSLATE(A5482, ""zh"", ""en"")"),"Guilin Pharmaceutical has one oral production line certified by ISO134852016, two companies with solid dosage forms certified by ISO134852016, three parenteral production lines with IS090012015 certification, and multiple products from three companies wit"&amp;"h WHOPQ certification. Yaoyou Pharmaceutical has one oral production line certified by CE, and Fosun Diagnostics Medical Laboratory has passed the US FDA certification and CNAS laboratory re-certification.")</f>
        <v>Guilin Pharmaceutical has one oral production line certified by ISO134852016, two companies with solid dosage forms certified by ISO134852016, three parenteral production lines with IS090012015 certification, and multiple products from three companies with WHOPQ certification. Yaoyou Pharmaceutical has one oral production line certified by CE, and Fosun Diagnostics Medical Laboratory has passed the US FDA certification and CNAS laboratory re-certification.</v>
      </c>
      <c r="B5482" s="1" t="str">
        <f ca="1">IFERROR(__xludf.DUMMYFUNCTION("GOOGLETRANSLATE(A5482, ""zh"", ""en"")"),"Sustainable certification")</f>
        <v>Sustainable certification</v>
      </c>
      <c r="C5482" s="1" t="str">
        <f ca="1">IFERROR(__xludf.DUMMYFUNCTION("GOOGLETRANSLATE(E5482, ""zh"", ""en"")"),"Quantitative Text")</f>
        <v>Quantitative Text</v>
      </c>
    </row>
    <row r="5483" spans="1:3" ht="13" x14ac:dyDescent="0.15">
      <c r="A5483" s="1" t="str">
        <f ca="1">IFERROR(__xludf.DUMMYFUNCTION("GOOGLETRANSLATE(A5483, ""zh"", ""en"")"),"Taking Xinxiang Haibin as an example, Xinxiang Haibin replaced the 3 sets of softened water drainage in the production workshop with tap water connected to the circulating water pool for reuse, which can reduce the circulating water consumption by 60 cubi"&amp;"c meters per day and save 19,800 cubic meters of tap water per year. The tap water used in production was replaced by steam condensate and the steam condensate was reused in the closed cooling tower, which can reduce the tap water consumption by 15 cubic "&amp;"meters per day and save 5,000 cubic meters of tap water per year.")</f>
        <v>Taking Xinxiang Haibin as an example, Xinxiang Haibin replaced the 3 sets of softened water drainage in the production workshop with tap water connected to the circulating water pool for reuse, which can reduce the circulating water consumption by 60 cubic meters per day and save 19,800 cubic meters of tap water per year. The tap water used in production was replaced by steam condensate and the steam condensate was reused in the closed cooling tower, which can reduce the tap water consumption by 15 cubic meters per day and save 5,000 cubic meters of tap water per year.</v>
      </c>
      <c r="B5483" s="1" t="str">
        <f ca="1">IFERROR(__xludf.DUMMYFUNCTION("GOOGLETRANSLATE(A5483, ""zh"", ""en"")"),"Water resources")</f>
        <v>Water resources</v>
      </c>
      <c r="C5483" s="1" t="str">
        <f ca="1">IFERROR(__xludf.DUMMYFUNCTION("GOOGLETRANSLATE(E5483, ""zh"", ""en"")"),"Quantitative Text")</f>
        <v>Quantitative Text</v>
      </c>
    </row>
    <row r="5484" spans="1:3" ht="13" x14ac:dyDescent="0.15">
      <c r="A5484" s="1" t="str">
        <f ca="1">IFERROR(__xludf.DUMMYFUNCTION("GOOGLETRANSLATE(A5484, ""zh"", ""en"")"),"The ULEDX technology platform is the result of Hisense's integrated innovation in image processing technology for video optical systems. It has tackled 127 technical challenges, achieved major breakthroughs in seven core technology areas, and received 13 "&amp;"industry-leading awards for products and technologies. It has also received awards from the China Semiconductor Industry Association, including pixel-level backlight control, and stacked display chip design and application development. The HV7827 technolo"&amp;"gy has been recognized by the China Semiconductor Industry Association.")</f>
        <v>The ULEDX technology platform is the result of Hisense's integrated innovation in image processing technology for video optical systems. It has tackled 127 technical challenges, achieved major breakthroughs in seven core technology areas, and received 13 industry-leading awards for products and technologies. It has also received awards from the China Semiconductor Industry Association, including pixel-level backlight control, and stacked display chip design and application development. The HV7827 technology has been recognized by the China Semiconductor Industry Association.</v>
      </c>
      <c r="B5484" s="1" t="str">
        <f ca="1">IFERROR(__xludf.DUMMYFUNCTION("GOOGLETRANSLATE(A5484, ""zh"", ""en"")"),"Technological innovation")</f>
        <v>Technological innovation</v>
      </c>
      <c r="C5484" s="1" t="str">
        <f ca="1">IFERROR(__xludf.DUMMYFUNCTION("GOOGLETRANSLATE(E5484, ""zh"", ""en"")"),"Quantitative Text")</f>
        <v>Quantitative Text</v>
      </c>
    </row>
    <row r="5485" spans="1:3" ht="13" x14ac:dyDescent="0.15">
      <c r="A5485" s="1" t="str">
        <f ca="1">IFERROR(__xludf.DUMMYFUNCTION("GOOGLETRANSLATE(A5485, ""zh"", ""en"")"),"41CorporateSocialResponsibityReport202242Social Responsibility Talent Cultivation and Development Leading the Advanced Manufacturing Career Development and Career Promotion System with Intelligence as the Core Becoming a World-Class Multi-Scenario System "&amp;"Display Solution Provider The company has a comprehensive career development system with a dual-track development path of professional and management channels covering all employees")</f>
        <v>41CorporateSocialResponsibityReport202242Social Responsibility Talent Cultivation and Development Leading the Advanced Manufacturing Career Development and Career Promotion System with Intelligence as the Core Becoming a World-Class Multi-Scenario System Display Solution Provider The company has a comprehensive career development system with a dual-track development path of professional and management channels covering all employees</v>
      </c>
      <c r="B5485" s="1" t="str">
        <f ca="1">IFERROR(__xludf.DUMMYFUNCTION("GOOGLETRANSLATE(A5485, ""zh"", ""en"")"),"staff")</f>
        <v>staff</v>
      </c>
      <c r="C5485" s="1" t="str">
        <f ca="1">IFERROR(__xludf.DUMMYFUNCTION("GOOGLETRANSLATE(E5485, ""zh"", ""en"")"),"Qualitative text")</f>
        <v>Qualitative text</v>
      </c>
    </row>
    <row r="5486" spans="1:3" ht="13" x14ac:dyDescent="0.15">
      <c r="A5486" s="1" t="str">
        <f ca="1">IFERROR(__xludf.DUMMYFUNCTION("GOOGLETRANSLATE(A5486, ""zh"", ""en"")"),"In addition, to better ensure the safety, effectiveness, and quality control of clinical medications and fulfill the social responsibilities of pharmaceutical manufacturers, we assisted the Guangdong Provincial Institute of Drug Control in improving the i"&amp;"nspection standards for ipratropium bromide solution for inhalation, the Wuhan Municipal Food and Drug Supervision and Inspection Institute in improving the inspection standards for budesonide suspension for inhalation, and the Shanghai Municipal Food and"&amp;" Drug Inspection Institute in improving the inspection standards for salbutamol hydrochloride nebulized inhalation solution.")</f>
        <v>In addition, to better ensure the safety, effectiveness, and quality control of clinical medications and fulfill the social responsibilities of pharmaceutical manufacturers, we assisted the Guangdong Provincial Institute of Drug Control in improving the inspection standards for ipratropium bromide solution for inhalation, the Wuhan Municipal Food and Drug Supervision and Inspection Institute in improving the inspection standards for budesonide suspension for inhalation, and the Shanghai Municipal Food and Drug Inspection Institute in improving the inspection standards for salbutamol hydrochloride nebulized inhalation solution.</v>
      </c>
      <c r="B5486" s="1" t="str">
        <f ca="1">IFERROR(__xludf.DUMMYFUNCTION("GOOGLETRANSLATE(A5486, ""zh"", ""en"")"),"Product quality")</f>
        <v>Product quality</v>
      </c>
      <c r="C5486" s="1" t="str">
        <f ca="1">IFERROR(__xludf.DUMMYFUNCTION("GOOGLETRANSLATE(E5486, ""zh"", ""en"")"),"Qualitative text")</f>
        <v>Qualitative text</v>
      </c>
    </row>
    <row r="5487" spans="1:3" ht="13" x14ac:dyDescent="0.15">
      <c r="A5487" s="1" t="str">
        <f ca="1">IFERROR(__xludf.DUMMYFUNCTION("GOOGLETRANSLATE(A5487, ""zh"", ""en"")"),"Customer satisfaction: Pharmacovigilance centers such as Yichang Renfu Gedian Renfu and Wuhan Renfu are equipped with dedicated personnel and have established management documents such as the management procedures for adverse drug reaction reports, the ma"&amp;"nagement procedures for writing regular drug safety update reports, the management procedures for changes to safety information in drug inserts, the management procedures for key drug monitoring, the national direct reporting system DAERS feedback informa"&amp;"tion processing standard operating procedures, the management procedures for adverse drug reaction literature retrieval, and so on.")</f>
        <v>Customer satisfaction: Pharmacovigilance centers such as Yichang Renfu Gedian Renfu and Wuhan Renfu are equipped with dedicated personnel and have established management documents such as the management procedures for adverse drug reaction reports, the management procedures for writing regular drug safety update reports, the management procedures for changes to safety information in drug inserts, the management procedures for key drug monitoring, the national direct reporting system DAERS feedback information processing standard operating procedures, the management procedures for adverse drug reaction literature retrieval, and so on.</v>
      </c>
      <c r="B5487" s="1" t="str">
        <f ca="1">IFERROR(__xludf.DUMMYFUNCTION("GOOGLETRANSLATE(A5487, ""zh"", ""en"")"),"Customers and Consumers")</f>
        <v>Customers and Consumers</v>
      </c>
      <c r="C5487" s="1" t="str">
        <f ca="1">IFERROR(__xludf.DUMMYFUNCTION("GOOGLETRANSLATE(E5487, ""zh"", ""en"")"),"Qualitative text")</f>
        <v>Qualitative text</v>
      </c>
    </row>
    <row r="5488" spans="1:3" ht="13" x14ac:dyDescent="0.15">
      <c r="A5488" s="1" t="str">
        <f ca="1">IFERROR(__xludf.DUMMYFUNCTION("GOOGLETRANSLATE(A5488, ""zh"", ""en"")"),"5. Scope 2 greenhouse gas emissions are primarily derived from indirect greenhouse gas emissions generated by purchased electricity and steam consumed in the company's operations and production processes. The calculation method refers to Appendix 2 of the"&amp;" Hong Kong Stock Exchange's Environmental Key Performance Indicator Reporting Guidelines. The electricity emission factor adopts the corporate greenhouse gas emission accounting method and reporting guidelines for power generation facilities. The grid emi"&amp;"ssion factor is 0.5810tCO2MWh as stated in the Environmental Office Climate 20219.")</f>
        <v>5. Scope 2 greenhouse gas emissions are primarily derived from indirect greenhouse gas emissions generated by purchased electricity and steam consumed in the company's operations and production processes. The calculation method refers to Appendix 2 of the Hong Kong Stock Exchange's Environmental Key Performance Indicator Reporting Guidelines. The electricity emission factor adopts the corporate greenhouse gas emission accounting method and reporting guidelines for power generation facilities. The grid emission factor is 0.5810tCO2MWh as stated in the Environmental Office Climate 20219.</v>
      </c>
      <c r="B5488" s="1" t="str">
        <f ca="1">IFERROR(__xludf.DUMMYFUNCTION("GOOGLETRANSLATE(A5488, ""zh"", ""en"")"),"carbon emissions")</f>
        <v>carbon emissions</v>
      </c>
      <c r="C5488" s="1" t="str">
        <f ca="1">IFERROR(__xludf.DUMMYFUNCTION("GOOGLETRANSLATE(E5488, ""zh"", ""en"")"),"Qualitative text")</f>
        <v>Qualitative text</v>
      </c>
    </row>
    <row r="5489" spans="1:3" ht="13" x14ac:dyDescent="0.15">
      <c r="A5489" s="1" t="str">
        <f ca="1">IFERROR(__xludf.DUMMYFUNCTION("GOOGLETRANSLATE(A5489, ""zh"", ""en"")"),"We strictly abide by the laws and regulations on water resource protection in the areas where we operate. We use resources rationally and strengthen water resource protection efforts in accordance with Argentina's Law No. 25688 on Water Resources Manageme"&amp;"nt and the requirements of the Tajikistan Environmental Protection Committee. We promote sustainable economic and social development, actively carry out water resource protection and pollution prevention efforts, strive to reduce freshwater consumption an"&amp;"d wastewater discharge, and utilize new technologies and equipment to continuously strengthen water resource management.")</f>
        <v>We strictly abide by the laws and regulations on water resource protection in the areas where we operate. We use resources rationally and strengthen water resource protection efforts in accordance with Argentina's Law No. 25688 on Water Resources Management and the requirements of the Tajikistan Environmental Protection Committee. We promote sustainable economic and social development, actively carry out water resource protection and pollution prevention efforts, strive to reduce freshwater consumption and wastewater discharge, and utilize new technologies and equipment to continuously strengthen water resource management.</v>
      </c>
      <c r="B5489" s="1" t="str">
        <f ca="1">IFERROR(__xludf.DUMMYFUNCTION("GOOGLETRANSLATE(A5489, ""zh"", ""en"")"),"Water resources")</f>
        <v>Water resources</v>
      </c>
      <c r="C5489" s="1" t="str">
        <f ca="1">IFERROR(__xludf.DUMMYFUNCTION("GOOGLETRANSLATE(E5489, ""zh"", ""en"")"),"Qualitative text")</f>
        <v>Qualitative text</v>
      </c>
    </row>
    <row r="5490" spans="1:3" ht="13" x14ac:dyDescent="0.15">
      <c r="A5490" s="1" t="str">
        <f ca="1">IFERROR(__xludf.DUMMYFUNCTION("GOOGLETRANSLATE(A5490, ""zh"", ""en"")"),"The company has formulated a series of internal systems based on international standards such as the United Nations Convention against Corruption and the company's operating conditions, including the capital planning management system, procurement managem"&amp;"ent system, supplier management system, material procurement management system, bill management system, intangible asset management system, sales management system and company bidding management methods, etc., to strictly regulate and constrain each link "&amp;"of procurement, production and sales, and severely crack down on any unethical business practices.")</f>
        <v>The company has formulated a series of internal systems based on international standards such as the United Nations Convention against Corruption and the company's operating conditions, including the capital planning management system, procurement management system, supplier management system, material procurement management system, bill management system, intangible asset management system, sales management system and company bidding management methods, etc., to strictly regulate and constrain each link of procurement, production and sales, and severely crack down on any unethical business practices.</v>
      </c>
      <c r="B5490" s="1" t="str">
        <f ca="1">IFERROR(__xludf.DUMMYFUNCTION("GOOGLETRANSLATE(A5490, ""zh"", ""en"")"),"Anti-corruption and anti-money laundering")</f>
        <v>Anti-corruption and anti-money laundering</v>
      </c>
      <c r="C5490" s="1" t="str">
        <f ca="1">IFERROR(__xludf.DUMMYFUNCTION("GOOGLETRANSLATE(E5490, ""zh"", ""en"")"),"Qualitative text")</f>
        <v>Qualitative text</v>
      </c>
    </row>
    <row r="5491" spans="1:3" ht="13" x14ac:dyDescent="0.15">
      <c r="A5491" s="1" t="str">
        <f ca="1">IFERROR(__xludf.DUMMYFUNCTION("GOOGLETRANSLATE(A5491, ""zh"", ""en"")"),"21 Cases of Corporate Governance CASE The company adheres to the direction of intensive, specialized and integrated management, establishes a scientific, standardized, concise, efficient and dynamic management system that covers the structure, organizatio"&amp;"n, operation and supervision systems, matching rights and responsibilities, and strengthens the constraints and supervision on the exercise of power, achieving clear control objectives, effectively integrating resources, optimizing efficiency and benefits"&amp;", and promoting the company to improve environmental, social and governance performance and achieve sustainable development.")</f>
        <v>21 Cases of Corporate Governance CASE The company adheres to the direction of intensive, specialized and integrated management, establishes a scientific, standardized, concise, efficient and dynamic management system that covers the structure, organization, operation and supervision systems, matching rights and responsibilities, and strengthens the constraints and supervision on the exercise of power, achieving clear control objectives, effectively integrating resources, optimizing efficiency and benefits, and promoting the company to improve environmental, social and governance performance and achieve sustainable development.</v>
      </c>
      <c r="B5491" s="1" t="str">
        <f ca="1">IFERROR(__xludf.DUMMYFUNCTION("GOOGLETRANSLATE(A5491, ""zh"", ""en"")"),"Organizational structure and operations")</f>
        <v>Organizational structure and operations</v>
      </c>
      <c r="C5491" s="1" t="str">
        <f ca="1">IFERROR(__xludf.DUMMYFUNCTION("GOOGLETRANSLATE(E5491, ""zh"", ""en"")"),"Qualitative text")</f>
        <v>Qualitative text</v>
      </c>
    </row>
    <row r="5492" spans="1:3" ht="13" x14ac:dyDescent="0.15">
      <c r="A5492" s="1" t="str">
        <f ca="1">IFERROR(__xludf.DUMMYFUNCTION("GOOGLETRANSLATE(A5492, ""zh"", ""en"")"),"All activities, products and services have no significant impact on biodiversity, and all offices, breeding, production, feeding, quality control and operation sites of experimental animals and industrial plants are not located in nature reserves. The res"&amp;"ponse of experimental animals during experiments, including the mechanisms of occurrence, development patterns, and disease prevention and treatment, should be shown. The supporting conditions and operation of experimental animal environmental facilities "&amp;"in semi-rich areas of biodiversity within or outside the nature reserve should also be shown.")</f>
        <v>All activities, products and services have no significant impact on biodiversity, and all offices, breeding, production, feeding, quality control and operation sites of experimental animals and industrial plants are not located in nature reserves. The response of experimental animals during experiments, including the mechanisms of occurrence, development patterns, and disease prevention and treatment, should be shown. The supporting conditions and operation of experimental animal environmental facilities in semi-rich areas of biodiversity within or outside the nature reserve should also be shown.</v>
      </c>
      <c r="B5492" s="1" t="str">
        <f ca="1">IFERROR(__xludf.DUMMYFUNCTION("GOOGLETRANSLATE(A5492, ""zh"", ""en"")"),"biodiversity")</f>
        <v>biodiversity</v>
      </c>
      <c r="C5492" s="1" t="str">
        <f ca="1">IFERROR(__xludf.DUMMYFUNCTION("GOOGLETRANSLATE(E5492, ""zh"", ""en"")"),"Qualitative text")</f>
        <v>Qualitative text</v>
      </c>
    </row>
    <row r="5493" spans="1:3" ht="13" x14ac:dyDescent="0.15">
      <c r="A5493" s="1" t="str">
        <f ca="1">IFERROR(__xludf.DUMMYFUNCTION("GOOGLETRANSLATE(A5493, ""zh"", ""en"")"),"Dima employee big data helps disabled veterans find employment. Since 2022, the market has been changing. Dima shares have maintained a positive and stable attitude and continuously enhanced organizational effectiveness, enhanced individual combat resilie"&amp;"nce, stabilized jobs and improved efficiency through multiple measures. In the first half of 2022, the organizational structure of Dima shares headquarters will be upgraded to further play the role of the headquarters in strategic and cultural leadership,"&amp;" business and resource synergy, empowerment and service support.")</f>
        <v>Dima employee big data helps disabled veterans find employment. Since 2022, the market has been changing. Dima shares have maintained a positive and stable attitude and continuously enhanced organizational effectiveness, enhanced individual combat resilience, stabilized jobs and improved efficiency through multiple measures. In the first half of 2022, the organizational structure of Dima shares headquarters will be upgraded to further play the role of the headquarters in strategic and cultural leadership, business and resource synergy, empowerment and service support.</v>
      </c>
      <c r="B5493" s="1" t="str">
        <f ca="1">IFERROR(__xludf.DUMMYFUNCTION("GOOGLETRANSLATE(A5493, ""zh"", ""en"")"),"Promoting employment")</f>
        <v>Promoting employment</v>
      </c>
      <c r="C5493" s="1" t="str">
        <f ca="1">IFERROR(__xludf.DUMMYFUNCTION("GOOGLETRANSLATE(E5493, ""zh"", ""en"")"),"Qualitative text")</f>
        <v>Qualitative text</v>
      </c>
    </row>
    <row r="5494" spans="1:3" ht="13" x14ac:dyDescent="0.15">
      <c r="A5494" s="1" t="str">
        <f ca="1">IFERROR(__xludf.DUMMYFUNCTION("GOOGLETRANSLATE(A5494, ""zh"", ""en"")"),"A loan of RMB 24 million was provided in Beijing to support the construction of the Liucun Xiaoge Home project in Daxing District. As a housing rental project specifically serving people who provide basic urban public services, it helps address the housin"&amp;"g needs of young people such as delivery drivers in the surrounding area. It also effectively integrates with local rural governance, helps improve urban and rural governance, and improves the living environment of the community.")</f>
        <v>A loan of RMB 24 million was provided in Beijing to support the construction of the Liucun Xiaoge Home project in Daxing District. As a housing rental project specifically serving people who provide basic urban public services, it helps address the housing needs of young people such as delivery drivers in the surrounding area. It also effectively integrates with local rural governance, helps improve urban and rural governance, and improves the living environment of the community.</v>
      </c>
      <c r="B5494" s="1" t="str">
        <f ca="1">IFERROR(__xludf.DUMMYFUNCTION("GOOGLETRANSLATE(A5494, ""zh"", ""en"")"),"Public welfare and volunteer service")</f>
        <v>Public welfare and volunteer service</v>
      </c>
      <c r="C5494" s="1" t="str">
        <f ca="1">IFERROR(__xludf.DUMMYFUNCTION("GOOGLETRANSLATE(E5494, ""zh"", ""en"")"),"Quantitative Text")</f>
        <v>Quantitative Text</v>
      </c>
    </row>
    <row r="5495" spans="1:3" ht="13" x14ac:dyDescent="0.15">
      <c r="A5495" s="1" t="str">
        <f ca="1">IFERROR(__xludf.DUMMYFUNCTION("GOOGLETRANSLATE(A5495, ""zh"", ""en"")"),"The Nomination Committee is primarily responsible for reviewing the selection criteria and procedures for senior management personnel, including Managing Directors, Deputy General Managers, Chief Accountants, Board Secretaries, and General Counsel, and ma"&amp;"king recommendations; selecting qualified candidates for directors and senior management personnel; reviewing and submitting proposals for the appointment of senior management personnel, including Managing Directors, Deputy General Managers, Chief Account"&amp;"ants, Board Secretaries, and General Counsel, to the Board for review and decision; and other matters authorized by the Board.")</f>
        <v>The Nomination Committee is primarily responsible for reviewing the selection criteria and procedures for senior management personnel, including Managing Directors, Deputy General Managers, Chief Accountants, Board Secretaries, and General Counsel, and making recommendations; selecting qualified candidates for directors and senior management personnel; reviewing and submitting proposals for the appointment of senior management personnel, including Managing Directors, Deputy General Managers, Chief Accountants, Board Secretaries, and General Counsel, to the Board for review and decision; and other matters authorized by the Board.</v>
      </c>
      <c r="B5495" s="1" t="str">
        <f ca="1">IFERROR(__xludf.DUMMYFUNCTION("GOOGLETRANSLATE(A5495, ""zh"", ""en"")"),"Organizational structure and operations")</f>
        <v>Organizational structure and operations</v>
      </c>
      <c r="C5495" s="1" t="str">
        <f ca="1">IFERROR(__xludf.DUMMYFUNCTION("GOOGLETRANSLATE(E5495, ""zh"", ""en"")"),"Qualitative text")</f>
        <v>Qualitative text</v>
      </c>
    </row>
    <row r="5496" spans="1:3" ht="13" x14ac:dyDescent="0.15">
      <c r="A5496" s="1" t="str">
        <f ca="1">IFERROR(__xludf.DUMMYFUNCTION("GOOGLETRANSLATE(A5496, ""zh"", ""en"")"),"The above environmental protection investment amount only includes the total investment of RMB101.778 million in health and safety, which is mainly used for the construction of environmental protection facilities at the Group's bases and the upgrading and"&amp;" renovation of various safety facilities of member enterprises in environmental protection operation. It does not include the construction of environmental protection facilities at bases currently under construction, the normal operation and maintenance o"&amp;"f various safety and fire protection facilities, and employee expenses. The safety and health protection of environmental protection facilities in new bases that have occurred in 2022 are also included.")</f>
        <v>The above environmental protection investment amount only includes the total investment of RMB101.778 million in health and safety, which is mainly used for the construction of environmental protection facilities at the Group's bases and the upgrading and renovation of various safety facilities of member enterprises in environmental protection operation. It does not include the construction of environmental protection facilities at bases currently under construction, the normal operation and maintenance of various safety and fire protection facilities, and employee expenses. The safety and health protection of environmental protection facilities in new bases that have occurred in 2022 are also included.</v>
      </c>
      <c r="B5496" s="1" t="str">
        <f ca="1">IFERROR(__xludf.DUMMYFUNCTION("GOOGLETRANSLATE(A5496, ""zh"", ""en"")"),"Environmental Policy")</f>
        <v>Environmental Policy</v>
      </c>
      <c r="C5496" s="1" t="str">
        <f ca="1">IFERROR(__xludf.DUMMYFUNCTION("GOOGLETRANSLATE(E5496, ""zh"", ""en"")"),"Quantitative Text")</f>
        <v>Quantitative Text</v>
      </c>
    </row>
    <row r="5497" spans="1:3" ht="13" x14ac:dyDescent="0.15">
      <c r="A5497" s="1" t="str">
        <f ca="1">IFERROR(__xludf.DUMMYFUNCTION("GOOGLETRANSLATE(A5497, ""zh"", ""en"")"),"Serving major strategies MAJOR SERVICE STRATEGIES01 Metal Company serves the dual circulation strategy value creation V Metal Company provides steel and other supply chain integration services for the Zhejiang Ninghai Pumped Storage Project 20 Subsidiary "&amp;"Company Zhejiang Zhongda Yuantong International Trade Co., Ltd. is committed to building a global automobile circulation and trade system with the vision of responding to the Ministry of Commerce's promotion of supply-side reform of automobile consumption"&amp;".")</f>
        <v>Serving major strategies MAJOR SERVICE STRATEGIES01 Metal Company serves the dual circulation strategy value creation V Metal Company provides steel and other supply chain integration services for the Zhejiang Ninghai Pumped Storage Project 20 Subsidiary Company Zhejiang Zhongda Yuantong International Trade Co., Ltd. is committed to building a global automobile circulation and trade system with the vision of responding to the Ministry of Commerce's promotion of supply-side reform of automobile consumption.</v>
      </c>
      <c r="B5497" s="1" t="str">
        <f ca="1">IFERROR(__xludf.DUMMYFUNCTION("GOOGLETRANSLATE(A5497, ""zh"", ""en"")"),"supply chain management")</f>
        <v>supply chain management</v>
      </c>
      <c r="C5497" s="1" t="str">
        <f ca="1">IFERROR(__xludf.DUMMYFUNCTION("GOOGLETRANSLATE(E5497, ""zh"", ""en"")"),"Qualitative text")</f>
        <v>Qualitative text</v>
      </c>
    </row>
    <row r="5498" spans="1:3" ht="13" x14ac:dyDescent="0.15">
      <c r="A5498" s="1" t="str">
        <f ca="1">IFERROR(__xludf.DUMMYFUNCTION("GOOGLETRANSLATE(A5498, ""zh"", ""en"")"),"Leveraging the Three-Year Action Plan for State-Owned Enterprise Reform, the Hangzhou Regional Comprehensive Reform Pilot Plan, and the Provincial Enterprise Mixed-Owned Reform Special Action Plan, and taking advantage of the approval of two of the Group'"&amp;"s member companies as the first state-owned preferred stock pilot units in the province, we are exploring equity-level cooperation through methods such as quasi-preferred stocks, exploring new ideas and approaches to address the mismatch between equity ca"&amp;"pital and operating scale, and promoting the Group's transition from Mixed-Owned Reform 3.0 to Mixed-Owned Reform 4.0.")</f>
        <v>Leveraging the Three-Year Action Plan for State-Owned Enterprise Reform, the Hangzhou Regional Comprehensive Reform Pilot Plan, and the Provincial Enterprise Mixed-Owned Reform Special Action Plan, and taking advantage of the approval of two of the Group's member companies as the first state-owned preferred stock pilot units in the province, we are exploring equity-level cooperation through methods such as quasi-preferred stocks, exploring new ideas and approaches to address the mismatch between equity capital and operating scale, and promoting the Group's transition from Mixed-Owned Reform 3.0 to Mixed-Owned Reform 4.0.</v>
      </c>
      <c r="B5498" s="1" t="str">
        <f ca="1">IFERROR(__xludf.DUMMYFUNCTION("GOOGLETRANSLATE(A5498, ""zh"", ""en"")"),"Organizational structure and operations")</f>
        <v>Organizational structure and operations</v>
      </c>
      <c r="C5498" s="1" t="str">
        <f ca="1">IFERROR(__xludf.DUMMYFUNCTION("GOOGLETRANSLATE(E5498, ""zh"", ""en"")"),"Qualitative text")</f>
        <v>Qualitative text</v>
      </c>
    </row>
    <row r="5499" spans="1:3" ht="13" x14ac:dyDescent="0.15">
      <c r="A5499" s="1" t="str">
        <f ca="1">IFERROR(__xludf.DUMMYFUNCTION("GOOGLETRANSLATE(A5499, ""zh"", ""en"")"),"The number of outlets with ""Caring Window"" disclosed in China Construction Bank's Social Responsibility Report refers to the number of outlets with ""Caring Window"" that China Construction Bank has established, as of the end of the reporting period, in"&amp;" accordance with the requirements of the Notice on Banking and Insurance Institutions to Effectively Solve the Difficulties of the Elderly in Using Smart Technology, which was issued by the China Banking and Insurance Regulatory Commission. This number do"&amp;"es not include domestic and overseas subsidiaries and branches that have priority service counter windows for special customers such as the elderly, the weak, the sick, the disabled, and pregnant women.")</f>
        <v>The number of outlets with "Caring Window" disclosed in China Construction Bank's Social Responsibility Report refers to the number of outlets with "Caring Window" that China Construction Bank has established, as of the end of the reporting period, in accordance with the requirements of the Notice on Banking and Insurance Institutions to Effectively Solve the Difficulties of the Elderly in Using Smart Technology, which was issued by the China Banking and Insurance Regulatory Commission. This number does not include domestic and overseas subsidiaries and branches that have priority service counter windows for special customers such as the elderly, the weak, the sick, the disabled, and pregnant women.</v>
      </c>
      <c r="B5499" s="1" t="str">
        <f ca="1">IFERROR(__xludf.DUMMYFUNCTION("GOOGLETRANSLATE(A5499, ""zh"", ""en"")"),"Customers and Consumers")</f>
        <v>Customers and Consumers</v>
      </c>
      <c r="C5499" s="1" t="str">
        <f ca="1">IFERROR(__xludf.DUMMYFUNCTION("GOOGLETRANSLATE(E5499, ""zh"", ""en"")"),"Quantitative Text")</f>
        <v>Quantitative Text</v>
      </c>
    </row>
    <row r="5500" spans="1:3" ht="13" x14ac:dyDescent="0.15">
      <c r="A5500" s="1" t="str">
        <f ca="1">IFERROR(__xludf.DUMMYFUNCTION("GOOGLETRANSLATE(A5500, ""zh"", ""en"")"),"18. Innovation for Good Health: Continuous Innovation and Enjoyment of Health. Fosun Pharma's sales and marketing committee, such as the company's technical center, is conducting business and observation. The Fosun Pharma Party Committee was formally esta"&amp;"blished in 2007. Through various means, such as sharing personal insights, the Party has consistently promoted the spirit of Party-building leadership and healthy development over the past 20 years. This spirit has taken root in Party organizations at all"&amp;" levels, deeply rooted in the hearts of the people.")</f>
        <v>18. Innovation for Good Health: Continuous Innovation and Enjoyment of Health. Fosun Pharma's sales and marketing committee, such as the company's technical center, is conducting business and observation. The Fosun Pharma Party Committee was formally established in 2007. Through various means, such as sharing personal insights, the Party has consistently promoted the spirit of Party-building leadership and healthy development over the past 20 years. This spirit has taken root in Party organizations at all levels, deeply rooted in the hearts of the people.</v>
      </c>
      <c r="B5500" s="1" t="str">
        <f ca="1">IFERROR(__xludf.DUMMYFUNCTION("GOOGLETRANSLATE(A5500, ""zh"", ""en"")"),"Organizational structure and operations")</f>
        <v>Organizational structure and operations</v>
      </c>
      <c r="C5500" s="1" t="str">
        <f ca="1">IFERROR(__xludf.DUMMYFUNCTION("GOOGLETRANSLATE(E5500, ""zh"", ""en"")"),"Qualitative text")</f>
        <v>Qualitative text</v>
      </c>
    </row>
    <row r="5501" spans="1:3" ht="13" x14ac:dyDescent="0.15">
      <c r="A5501" s="1" t="str">
        <f ca="1">IFERROR(__xludf.DUMMYFUNCTION("GOOGLETRANSLATE(A5501, ""zh"", ""en"")"),"Other complaints should be registered through dedicated personnel. Member companies should keep a record of user complaint handling in detail, record telephone answers or on-site services, obtain every detail of the end user's complaint about the company'"&amp;"s products and give customers a satisfactory answer. After the detailed information of the product problem complaint is explained to the other party through preliminary evaluation, an investigation, analysis and handling will be organized. After determini"&amp;"ng the cause of the complaint, record the information of the relevant batch of products with the company's management representative or quality manager.")</f>
        <v>Other complaints should be registered through dedicated personnel. Member companies should keep a record of user complaint handling in detail, record telephone answers or on-site services, obtain every detail of the end user's complaint about the company's products and give customers a satisfactory answer. After the detailed information of the product problem complaint is explained to the other party through preliminary evaluation, an investigation, analysis and handling will be organized. After determining the cause of the complaint, record the information of the relevant batch of products with the company's management representative or quality manager.</v>
      </c>
      <c r="B5501" s="1" t="str">
        <f ca="1">IFERROR(__xludf.DUMMYFUNCTION("GOOGLETRANSLATE(A5501, ""zh"", ""en"")"),"Customers and Consumers")</f>
        <v>Customers and Consumers</v>
      </c>
      <c r="C5501" s="1" t="str">
        <f ca="1">IFERROR(__xludf.DUMMYFUNCTION("GOOGLETRANSLATE(E5501, ""zh"", ""en"")"),"Qualitative text")</f>
        <v>Qualitative text</v>
      </c>
    </row>
    <row r="5502" spans="1:3" ht="13" x14ac:dyDescent="0.15">
      <c r="A5502" s="1" t="str">
        <f ca="1">IFERROR(__xludf.DUMMYFUNCTION("GOOGLETRANSLATE(A5502, ""zh"", ""en"")"),"The FDA approved the oral thrombopoietin receptor agonist TPORA for CLD-related thrombocytopenia. In January and March 2022, Fosun Pharma member companies such as Kexin and Avatrombopag Maleate Tablets were further approved by Fosun Pharma for production "&amp;"and supply to Merck, which has improved the accessibility and affordability of innovative drugs to low- and middle-income countries in designated regions around the world. More domestic patients have been supplied.")</f>
        <v>The FDA approved the oral thrombopoietin receptor agonist TPORA for CLD-related thrombocytopenia. In January and March 2022, Fosun Pharma member companies such as Kexin and Avatrombopag Maleate Tablets were further approved by Fosun Pharma for production and supply to Merck, which has improved the accessibility and affordability of innovative drugs to low- and middle-income countries in designated regions around the world. More domestic patients have been supplied.</v>
      </c>
      <c r="B5502" s="1" t="str">
        <f ca="1">IFERROR(__xludf.DUMMYFUNCTION("GOOGLETRANSLATE(A5502, ""zh"", ""en"")"),"Product quality")</f>
        <v>Product quality</v>
      </c>
      <c r="C5502" s="1" t="str">
        <f ca="1">IFERROR(__xludf.DUMMYFUNCTION("GOOGLETRANSLATE(E5502, ""zh"", ""en"")"),"Qualitative text")</f>
        <v>Qualitative text</v>
      </c>
    </row>
    <row r="5503" spans="1:3" ht="13" x14ac:dyDescent="0.15">
      <c r="A5503" s="1" t="str">
        <f ca="1">IFERROR(__xludf.DUMMYFUNCTION("GOOGLETRANSLATE(A5503, ""zh"", ""en"")"),"Guide and encourage more social capital to invest in green industries or green projects, with the development of strategic emerging industries, industrial energy efficiency improvement, clean production transformation, comprehensive resource utilization, "&amp;"and green manufacturing system construction as key areas, and flexibly use IPOs, refinancing, mergers and acquisitions, restructuring, and the issuance of convertible bonds on the National Equities Exchange and Quotations (NEEQ) to effectively broaden fin"&amp;"ancing channels for green industries or green projects, reduce green financing costs, and efficiently serve the green transformation and development of the economy and society.")</f>
        <v>Guide and encourage more social capital to invest in green industries or green projects, with the development of strategic emerging industries, industrial energy efficiency improvement, clean production transformation, comprehensive resource utilization, and green manufacturing system construction as key areas, and flexibly use IPOs, refinancing, mergers and acquisitions, restructuring, and the issuance of convertible bonds on the National Equities Exchange and Quotations (NEEQ) to effectively broaden financing channels for green industries or green projects, reduce green financing costs, and efficiently serve the green transformation and development of the economy and society.</v>
      </c>
      <c r="B5503" s="1" t="str">
        <f ca="1">IFERROR(__xludf.DUMMYFUNCTION("GOOGLETRANSLATE(A5503, ""zh"", ""en"")"),"Green Finance")</f>
        <v>Green Finance</v>
      </c>
      <c r="C5503" s="1" t="str">
        <f ca="1">IFERROR(__xludf.DUMMYFUNCTION("GOOGLETRANSLATE(E5503, ""zh"", ""en"")"),"Qualitative text")</f>
        <v>Qualitative text</v>
      </c>
    </row>
    <row r="5504" spans="1:3" ht="13" x14ac:dyDescent="0.15">
      <c r="A5504" s="1" t="str">
        <f ca="1">IFERROR(__xludf.DUMMYFUNCTION("GOOGLETRANSLATE(A5504, ""zh"", ""en"")"),"Table: Audit frequency and form of Kangyuan Suppliers Audit frequency and form of supplier classification H-type high-risk materials: On-site audit every 2 years M-type medium-risk materials: Written quality audit every 2 years L-type low-risk materials: "&amp;"Qualification document update every 3 years 332022 Social Responsibility Report At the same time, we pay close attention to the quality capacity building of suppliers and provide training to suppliers every year to help them improve product quality.")</f>
        <v>Table: Audit frequency and form of Kangyuan Suppliers Audit frequency and form of supplier classification H-type high-risk materials: On-site audit every 2 years M-type medium-risk materials: Written quality audit every 2 years L-type low-risk materials: Qualification document update every 3 years 332022 Social Responsibility Report At the same time, we pay close attention to the quality capacity building of suppliers and provide training to suppliers every year to help them improve product quality.</v>
      </c>
      <c r="B5504" s="1" t="str">
        <f ca="1">IFERROR(__xludf.DUMMYFUNCTION("GOOGLETRANSLATE(A5504, ""zh"", ""en"")"),"Audit work")</f>
        <v>Audit work</v>
      </c>
      <c r="C5504" s="1" t="str">
        <f ca="1">IFERROR(__xludf.DUMMYFUNCTION("GOOGLETRANSLATE(E5504, ""zh"", ""en"")"),"Qualitative text")</f>
        <v>Qualitative text</v>
      </c>
    </row>
    <row r="5505" spans="1:3" ht="13" x14ac:dyDescent="0.15">
      <c r="A5505" s="1" t="str">
        <f ca="1">IFERROR(__xludf.DUMMYFUNCTION("GOOGLETRANSLATE(A5505, ""zh"", ""en"")"),"Under the premise of complying with relevant laws and regulations, R&amp;D, production and operation shall follow ICH guidelines such as ICHQ10 Pharmaceutical Quality System and use risk management tools such as target product quality profile (QTPP), potentia"&amp;"l failure mode and effect analysis (FMEA), hazard analysis and critical control point (HACCP) in the process of drug development to determine the product's critical quality attributes (CQAs) and critical process parameters (CPPs) to ensure the quality of "&amp;"drug development.")</f>
        <v>Under the premise of complying with relevant laws and regulations, R&amp;D, production and operation shall follow ICH guidelines such as ICHQ10 Pharmaceutical Quality System and use risk management tools such as target product quality profile (QTPP), potential failure mode and effect analysis (FMEA), hazard analysis and critical control point (HACCP) in the process of drug development to determine the product's critical quality attributes (CQAs) and critical process parameters (CPPs) to ensure the quality of drug development.</v>
      </c>
      <c r="B5505" s="1" t="str">
        <f ca="1">IFERROR(__xludf.DUMMYFUNCTION("GOOGLETRANSLATE(A5505, ""zh"", ""en"")"),"Product quality")</f>
        <v>Product quality</v>
      </c>
      <c r="C5505" s="1" t="str">
        <f ca="1">IFERROR(__xludf.DUMMYFUNCTION("GOOGLETRANSLATE(E5505, ""zh"", ""en"")"),"Qualitative text")</f>
        <v>Qualitative text</v>
      </c>
    </row>
    <row r="5506" spans="1:3" ht="13" x14ac:dyDescent="0.15">
      <c r="A5506" s="1" t="str">
        <f ca="1">IFERROR(__xludf.DUMMYFUNCTION("GOOGLETRANSLATE(A5506, ""zh"", ""en"")"),"16. CITIC Securities 2022 Annual Social Responsibility Report. Overview of CITIC Securities' ESG Due Diligence Key Points. In line with regulatory requirements, we will focus on the impact of companies on the external environment during their production a"&amp;"nd operations. For projects involving high environmental risk areas such as agricultural biodiversity, energy utilization, forestry, mining, oil and gas, transportation, and raw materials, we will focus on their environmental risk scores during due dilige"&amp;"nce and strengthen credit risk management.")</f>
        <v>16. CITIC Securities 2022 Annual Social Responsibility Report. Overview of CITIC Securities' ESG Due Diligence Key Points. In line with regulatory requirements, we will focus on the impact of companies on the external environment during their production and operations. For projects involving high environmental risk areas such as agricultural biodiversity, energy utilization, forestry, mining, oil and gas, transportation, and raw materials, we will focus on their environmental risk scores during due diligence and strengthen credit risk management.</v>
      </c>
      <c r="B5506" s="1" t="str">
        <f ca="1">IFERROR(__xludf.DUMMYFUNCTION("GOOGLETRANSLATE(A5506, ""zh"", ""en"")"),"biodiversity")</f>
        <v>biodiversity</v>
      </c>
      <c r="C5506" s="1" t="str">
        <f ca="1">IFERROR(__xludf.DUMMYFUNCTION("GOOGLETRANSLATE(E5506, ""zh"", ""en"")"),"Qualitative text")</f>
        <v>Qualitative text</v>
      </c>
    </row>
    <row r="5507" spans="1:3" ht="13" x14ac:dyDescent="0.15">
      <c r="A5507" s="1" t="str">
        <f ca="1">IFERROR(__xludf.DUMMYFUNCTION("GOOGLETRANSLATE(A5507, ""zh"", ""en"")"),"Responding to climate change, annual water quality inspection COD compliance rate, annual water quality inspection ammonia nitrogen compliance rate, annual water quality inspection pH compliance rate, hazardous waste treatment rate 7,588 tons, saving 1.24"&amp;"21 million kWh of water, 1,327 tons, and 1.38 million yuan. Saving electricity, saving steam, and saving energy costs. Renfu Healthcare fully implements the concept of green development, regards environmental protection as an important part of the company"&amp;"'s sustainable development strategy, and actively practices environmentally friendly and resource-saving development.")</f>
        <v>Responding to climate change, annual water quality inspection COD compliance rate, annual water quality inspection ammonia nitrogen compliance rate, annual water quality inspection pH compliance rate, hazardous waste treatment rate 7,588 tons, saving 1.2421 million kWh of water, 1,327 tons, and 1.38 million yuan. Saving electricity, saving steam, and saving energy costs. Renfu Healthcare fully implements the concept of green development, regards environmental protection as an important part of the company's sustainable development strategy, and actively practices environmentally friendly and resource-saving development.</v>
      </c>
      <c r="B5507" s="1" t="str">
        <f ca="1">IFERROR(__xludf.DUMMYFUNCTION("GOOGLETRANSLATE(A5507, ""zh"", ""en"")"),"Energy and resource consumption")</f>
        <v>Energy and resource consumption</v>
      </c>
      <c r="C5507" s="1" t="str">
        <f ca="1">IFERROR(__xludf.DUMMYFUNCTION("GOOGLETRANSLATE(E5507, ""zh"", ""en"")"),"Quantitative Text")</f>
        <v>Quantitative Text</v>
      </c>
    </row>
    <row r="5508" spans="1:3" ht="13" x14ac:dyDescent="0.15">
      <c r="A5508" s="1" t="str">
        <f ca="1">IFERROR(__xludf.DUMMYFUNCTION("GOOGLETRANSLATE(A5508, ""zh"", ""en"")"),"Changqingshe has always adhered to three principles: insisting on deep regional development and thoroughly understanding the ""one city, one policy"" approach; considering both economies of scale and the coverage of the management radius to ensure operati"&amp;"onal quality; adhering to the four-level linkage of medical institutions, communities, and homes; supporting and incubating communities and homes that are not yet able to close themselves off; and providing more elderly groups with long-termism and surviv"&amp;"al, and continuously strengthening internal strength to respect the elderly and the elderly of others, providing high-quality products and services to the elderly.")</f>
        <v>Changqingshe has always adhered to three principles: insisting on deep regional development and thoroughly understanding the "one city, one policy" approach; considering both economies of scale and the coverage of the management radius to ensure operational quality; adhering to the four-level linkage of medical institutions, communities, and homes; supporting and incubating communities and homes that are not yet able to close themselves off; and providing more elderly groups with long-termism and survival, and continuously strengthening internal strength to respect the elderly and the elderly of others, providing high-quality products and services to the elderly.</v>
      </c>
      <c r="B5508" s="1" t="str">
        <f ca="1">IFERROR(__xludf.DUMMYFUNCTION("GOOGLETRANSLATE(A5508, ""zh"", ""en"")"),"Product quality")</f>
        <v>Product quality</v>
      </c>
      <c r="C5508" s="1" t="str">
        <f ca="1">IFERROR(__xludf.DUMMYFUNCTION("GOOGLETRANSLATE(E5508, ""zh"", ""en"")"),"Qualitative text")</f>
        <v>Qualitative text</v>
      </c>
    </row>
    <row r="5509" spans="1:3" ht="13" x14ac:dyDescent="0.15">
      <c r="A5509" s="1" t="str">
        <f ca="1">IFERROR(__xludf.DUMMYFUNCTION("GOOGLETRANSLATE(A5509, ""zh"", ""en"")"),"Employee Care: From July 19th to 23rd, 2022, Wuchan Zhongda Group held its 2022 Science and Technology Summer Camp for the Children of Outstanding Expatriate Employees. Yunshang Company also held its 2022 Campus Open Day and Internal Purchase Meeting for "&amp;"Employee and Family Welfare. Yunshang Company, Financing and Leasing Company, Environmental Company, and 54 other companies are leveraging diverse channels to deeply and sustainably promote the company's mission, vision, and core values ​​among employees,"&amp;" promoting the inculcation of the e-family culture within the minds and hearts of young people.")</f>
        <v>Employee Care: From July 19th to 23rd, 2022, Wuchan Zhongda Group held its 2022 Science and Technology Summer Camp for the Children of Outstanding Expatriate Employees. Yunshang Company also held its 2022 Campus Open Day and Internal Purchase Meeting for Employee and Family Welfare. Yunshang Company, Financing and Leasing Company, Environmental Company, and 54 other companies are leveraging diverse channels to deeply and sustainably promote the company's mission, vision, and core values ​​among employees, promoting the inculcation of the e-family culture within the minds and hearts of young people.</v>
      </c>
      <c r="B5509" s="1" t="str">
        <f ca="1">IFERROR(__xludf.DUMMYFUNCTION("GOOGLETRANSLATE(A5509, ""zh"", ""en"")"),"staff")</f>
        <v>staff</v>
      </c>
      <c r="C5509" s="1" t="str">
        <f ca="1">IFERROR(__xludf.DUMMYFUNCTION("GOOGLETRANSLATE(E5509, ""zh"", ""en"")"),"Qualitative text")</f>
        <v>Qualitative text</v>
      </c>
    </row>
    <row r="5510" spans="1:3" ht="13" x14ac:dyDescent="0.15">
      <c r="A5510" s="1" t="str">
        <f ca="1">IFERROR(__xludf.DUMMYFUNCTION("GOOGLETRANSLATE(A5510, ""zh"", ""en"")"),"Figure: The business department of the Nan'an Sub-branch in Quanzhou, Fujian, provides considerate services to senior customers. China Construction Bank Corporation 2022 Social Responsibility Report 36 Protecting Consumer Rights In 2022, China Constructio"&amp;"n Bank adheres to a customer-centric service philosophy and continuously strengthens the construction and improvement of consumer rights protection systems, mechanisms, processes, and systems, and continuously promotes the deep integration of consumer rig"&amp;"hts protection work with business development and service management.")</f>
        <v>Figure: The business department of the Nan'an Sub-branch in Quanzhou, Fujian, provides considerate services to senior customers. China Construction Bank Corporation 2022 Social Responsibility Report 36 Protecting Consumer Rights In 2022, China Construction Bank adheres to a customer-centric service philosophy and continuously strengthens the construction and improvement of consumer rights protection systems, mechanisms, processes, and systems, and continuously promotes the deep integration of consumer rights protection work with business development and service management.</v>
      </c>
      <c r="B5510" s="1" t="str">
        <f ca="1">IFERROR(__xludf.DUMMYFUNCTION("GOOGLETRANSLATE(A5510, ""zh"", ""en"")"),"Customers and Consumers")</f>
        <v>Customers and Consumers</v>
      </c>
      <c r="C5510" s="1" t="str">
        <f ca="1">IFERROR(__xludf.DUMMYFUNCTION("GOOGLETRANSLATE(E5510, ""zh"", ""en"")"),"Qualitative text")</f>
        <v>Qualitative text</v>
      </c>
    </row>
    <row r="5511" spans="1:3" ht="13" x14ac:dyDescent="0.15">
      <c r="A5511" s="1" t="str">
        <f ca="1">IFERROR(__xludf.DUMMYFUNCTION("GOOGLETRANSLATE(A5511, ""zh"", ""en"")"),"The company continues to strengthen the deep integration of industry, academia, research and application, and joins hands with domestic backbone manufacturing enterprises to vigorously promote the localization of major equipment research and development. "&amp;"It has carried out 26 localization research projects, including oil and gas field exploration and development, LNG loading and unloading, storage and transportation, special industrial pumps, national localization control systems and other special equipme"&amp;"nt, focusing on solving the problems of both existing and non-existent, promoting the optimization of existing and promoting domestic equipment manufacturing enterprises to transform scientific and technological achievements into industrial competitive ad"&amp;"vantages and enhance the level of industrialization.")</f>
        <v>The company continues to strengthen the deep integration of industry, academia, research and application, and joins hands with domestic backbone manufacturing enterprises to vigorously promote the localization of major equipment research and development. It has carried out 26 localization research projects, including oil and gas field exploration and development, LNG loading and unloading, storage and transportation, special industrial pumps, national localization control systems and other special equipment, focusing on solving the problems of both existing and non-existent, promoting the optimization of existing and promoting domestic equipment manufacturing enterprises to transform scientific and technological achievements into industrial competitive advantages and enhance the level of industrialization.</v>
      </c>
      <c r="B5511" s="1" t="str">
        <f ca="1">IFERROR(__xludf.DUMMYFUNCTION("GOOGLETRANSLATE(A5511, ""zh"", ""en"")"),"Technological innovation")</f>
        <v>Technological innovation</v>
      </c>
      <c r="C5511" s="1" t="str">
        <f ca="1">IFERROR(__xludf.DUMMYFUNCTION("GOOGLETRANSLATE(E5511, ""zh"", ""en"")"),"Qualitative text")</f>
        <v>Qualitative text</v>
      </c>
    </row>
    <row r="5512" spans="1:3" ht="13" x14ac:dyDescent="0.15">
      <c r="A5512" s="1" t="str">
        <f ca="1">IFERROR(__xludf.DUMMYFUNCTION("GOOGLETRANSLATE(A5512, ""zh"", ""en"")"),"In 2022, the Group carried out in-depth research on pharmacovigilance, including the management of safety reference information in the product manual and product instructions, the management of the annual pharmacovigilance report of the holder, and the ph"&amp;"armacovigilance business continuity plan. In terms of pharmacovigilance, the Group participated in the update and improvement of the leading documents and multiple procedural documents of the Fubitai mRNA vaccine project and the existing pharmacovigilance"&amp;" system.")</f>
        <v>In 2022, the Group carried out in-depth research on pharmacovigilance, including the management of safety reference information in the product manual and product instructions, the management of the annual pharmacovigilance report of the holder, and the pharmacovigilance business continuity plan. In terms of pharmacovigilance, the Group participated in the update and improvement of the leading documents and multiple procedural documents of the Fubitai mRNA vaccine project and the existing pharmacovigilance system.</v>
      </c>
      <c r="B5512" s="1" t="str">
        <f ca="1">IFERROR(__xludf.DUMMYFUNCTION("GOOGLETRANSLATE(A5512, ""zh"", ""en"")"),"Fighting the epidemic")</f>
        <v>Fighting the epidemic</v>
      </c>
      <c r="C5512" s="1" t="str">
        <f ca="1">IFERROR(__xludf.DUMMYFUNCTION("GOOGLETRANSLATE(E5512, ""zh"", ""en"")"),"Qualitative text")</f>
        <v>Qualitative text</v>
      </c>
    </row>
    <row r="5513" spans="1:3" ht="13" x14ac:dyDescent="0.15">
      <c r="A5513" s="1" t="str">
        <f ca="1">IFERROR(__xludf.DUMMYFUNCTION("GOOGLETRANSLATE(A5513, ""zh"", ""en"")"),"In 2022, Foshan Fosun Yangcheng Hospital completed a program to inactivate tumor bioactivity. Xinshi Hospital in Foshan obtained an international patent. The city applied for a key specialty in the 14th Five-Year Plan. The Magnolia Building has standardiz"&amp;"ed diagnosis and treatment of tumor bioactivity. Obstetrics and gynecology, pediatrics, breast surgery, etc. have been approved by the Luxembourg government and have been put into use. The hospital has also received a first-class scientific research award"&amp;" from the Guangdong Provincial Health Commission and has fully deployed CyberKnife and is now in full operation. The Da Vinci Award and the third prize for Guangdong Provincial Science and Technology Progress were also awarded.")</f>
        <v>In 2022, Foshan Fosun Yangcheng Hospital completed a program to inactivate tumor bioactivity. Xinshi Hospital in Foshan obtained an international patent. The city applied for a key specialty in the 14th Five-Year Plan. The Magnolia Building has standardized diagnosis and treatment of tumor bioactivity. Obstetrics and gynecology, pediatrics, breast surgery, etc. have been approved by the Luxembourg government and have been put into use. The hospital has also received a first-class scientific research award from the Guangdong Provincial Health Commission and has fully deployed CyberKnife and is now in full operation. The Da Vinci Award and the third prize for Guangdong Provincial Science and Technology Progress were also awarded.</v>
      </c>
      <c r="B5513" s="1" t="str">
        <f ca="1">IFERROR(__xludf.DUMMYFUNCTION("GOOGLETRANSLATE(A5513, ""zh"", ""en"")"),"Intellectual Property Protection")</f>
        <v>Intellectual Property Protection</v>
      </c>
      <c r="C5513" s="1" t="str">
        <f ca="1">IFERROR(__xludf.DUMMYFUNCTION("GOOGLETRANSLATE(E5513, ""zh"", ""en"")"),"Quantitative Text")</f>
        <v>Quantitative Text</v>
      </c>
    </row>
    <row r="5514" spans="1:3" ht="13" x14ac:dyDescent="0.15">
      <c r="A5514" s="1" t="str">
        <f ca="1">IFERROR(__xludf.DUMMYFUNCTION("GOOGLETRANSLATE(A5514, ""zh"", ""en"")"),"Oilfield enterprises are actively deploying green electricity hydrogen production and refining. China Petroleum &amp; Chemical Corporation 44 strengthens security defenses, respects human rights, cultivates talents, and fulfills social responsibilities. Enter"&amp;"prises are focusing on the construction of national fuel cell vehicle demonstration city clusters and relying on by-product hydrogen resources to promote the construction of fuel cell hydrogen supply centers. Sales enterprises are actively and steadily pr"&amp;"omoting hydrogen refueling business and conducting extensive cooperation with research institutions and related enterprises to jointly promote the construction of my country's modern hydrogen energy industry chain.")</f>
        <v>Oilfield enterprises are actively deploying green electricity hydrogen production and refining. China Petroleum &amp; Chemical Corporation 44 strengthens security defenses, respects human rights, cultivates talents, and fulfills social responsibilities. Enterprises are focusing on the construction of national fuel cell vehicle demonstration city clusters and relying on by-product hydrogen resources to promote the construction of fuel cell hydrogen supply centers. Sales enterprises are actively and steadily promoting hydrogen refueling business and conducting extensive cooperation with research institutions and related enterprises to jointly promote the construction of my country's modern hydrogen energy industry chain.</v>
      </c>
      <c r="B5514" s="1" t="str">
        <f ca="1">IFERROR(__xludf.DUMMYFUNCTION("GOOGLETRANSLATE(A5514, ""zh"", ""en"")"),"Clean Technology")</f>
        <v>Clean Technology</v>
      </c>
      <c r="C5514" s="1" t="str">
        <f ca="1">IFERROR(__xludf.DUMMYFUNCTION("GOOGLETRANSLATE(E5514, ""zh"", ""en"")"),"Qualitative text")</f>
        <v>Qualitative text</v>
      </c>
    </row>
    <row r="5515" spans="1:3" ht="13" x14ac:dyDescent="0.15">
      <c r="A5515" s="1" t="str">
        <f ca="1">IFERROR(__xludf.DUMMYFUNCTION("GOOGLETRANSLATE(A5515, ""zh"", ""en"")"),"In 2022, the Group will continue to conduct quantitative evaluations of the quality systems of its member companies, referring to GMP requirements. This evaluation will focus on the development of pharmaceutical manufacturing quality systems, focusing on "&amp;"six systems: quality, production documents, materials, laboratories, equipment, and facilities, combining the latest domestic GMP and the latest regulations. This will quickly identify the company's international cGMP requirements, fully implement the qua"&amp;"lity system within the Group, and urge the company to improve itself.")</f>
        <v>In 2022, the Group will continue to conduct quantitative evaluations of the quality systems of its member companies, referring to GMP requirements. This evaluation will focus on the development of pharmaceutical manufacturing quality systems, focusing on six systems: quality, production documents, materials, laboratories, equipment, and facilities, combining the latest domestic GMP and the latest regulations. This will quickly identify the company's international cGMP requirements, fully implement the quality system within the Group, and urge the company to improve itself.</v>
      </c>
      <c r="B5515" s="1" t="str">
        <f ca="1">IFERROR(__xludf.DUMMYFUNCTION("GOOGLETRANSLATE(A5515, ""zh"", ""en"")"),"Product quality")</f>
        <v>Product quality</v>
      </c>
      <c r="C5515" s="1" t="str">
        <f ca="1">IFERROR(__xludf.DUMMYFUNCTION("GOOGLETRANSLATE(E5515, ""zh"", ""en"")"),"Qualitative text")</f>
        <v>Qualitative text</v>
      </c>
    </row>
    <row r="5516" spans="1:3" ht="13" x14ac:dyDescent="0.15">
      <c r="A5516" s="1" t="str">
        <f ca="1">IFERROR(__xludf.DUMMYFUNCTION("GOOGLETRANSLATE(A5516, ""zh"", ""en"")"),"Our goal for the low-carbon energy transition is to increase the proportion of domestic natural gas production in the company's domestic oil and gas equivalent production to approximately 55% by 2025. PetroChina 2022 Environmental, Social and Governance R"&amp;"eport 50 New Energy and New Businesses The company uses new energy and new businesses as new drivers for its green and low-carbon transition and has established a New Energy and New Materials Business Development Leadership Group, with Chairman Dai Houlia"&amp;"ng as its leader.")</f>
        <v>Our goal for the low-carbon energy transition is to increase the proportion of domestic natural gas production in the company's domestic oil and gas equivalent production to approximately 55% by 2025. PetroChina 2022 Environmental, Social and Governance Report 50 New Energy and New Businesses The company uses new energy and new businesses as new drivers for its green and low-carbon transition and has established a New Energy and New Materials Business Development Leadership Group, with Chairman Dai Houliang as its leader.</v>
      </c>
      <c r="B5516" s="1" t="str">
        <f ca="1">IFERROR(__xludf.DUMMYFUNCTION("GOOGLETRANSLATE(A5516, ""zh"", ""en"")"),"carbon emissions")</f>
        <v>carbon emissions</v>
      </c>
      <c r="C5516" s="1" t="str">
        <f ca="1">IFERROR(__xludf.DUMMYFUNCTION("GOOGLETRANSLATE(E5516, ""zh"", ""en"")"),"Quantitative Text")</f>
        <v>Quantitative Text</v>
      </c>
    </row>
    <row r="5517" spans="1:3" ht="13" x14ac:dyDescent="0.15">
      <c r="A5517" s="1" t="str">
        <f ca="1">IFERROR(__xludf.DUMMYFUNCTION("GOOGLETRANSLATE(A5517, ""zh"", ""en"")"),"No such government subsidies were provided in 2014. GRI 202 Market Performance GRI 3 Material Topics LZ0733 Management of Material Topics 22d1082dd2021a Further information on employee gender, the ratio of standard starting salary by gender to the local m"&amp;"inimum wage, the ratio of employees with fewer or irregular operations, etc. is not available at this time.")</f>
        <v>No such government subsidies were provided in 2014. GRI 202 Market Performance GRI 3 Material Topics LZ0733 Management of Material Topics 22d1082dd2021a Further information on employee gender, the ratio of standard starting salary by gender to the local minimum wage, the ratio of employees with fewer or irregular operations, etc. is not available at this time.</v>
      </c>
      <c r="B5517" s="1" t="str">
        <f ca="1">IFERROR(__xludf.DUMMYFUNCTION("GOOGLETRANSLATE(A5517, ""zh"", ""en"")"),"staff")</f>
        <v>staff</v>
      </c>
      <c r="C5517" s="1" t="str">
        <f ca="1">IFERROR(__xludf.DUMMYFUNCTION("GOOGLETRANSLATE(E5517, ""zh"", ""en"")"),"Quantitative Text")</f>
        <v>Quantitative Text</v>
      </c>
    </row>
    <row r="5518" spans="1:3" ht="13" x14ac:dyDescent="0.15">
      <c r="A5518" s="1" t="str">
        <f ca="1">IFERROR(__xludf.DUMMYFUNCTION("GOOGLETRANSLATE(A5518, ""zh"", ""en"")"),"2022CorporateSocialResponsibilityReport113 Responsible Communities: Protecting Health with Responsibility. While rapidly developing, Fosun Pharma Group remains committed to public welfare and giving back to society. It partnered with the Shanghai Fosun Ch"&amp;"arity Foundation to establish the Star Love 121 Special Fund, carrying out numerous public welfare activities in the areas of health care, scientific research innovation, and public welfare donations, actively fulfilling its corporate citizenship responsi"&amp;"bilities.")</f>
        <v>2022CorporateSocialResponsibilityReport113 Responsible Communities: Protecting Health with Responsibility. While rapidly developing, Fosun Pharma Group remains committed to public welfare and giving back to society. It partnered with the Shanghai Fosun Charity Foundation to establish the Star Love 121 Special Fund, carrying out numerous public welfare activities in the areas of health care, scientific research innovation, and public welfare donations, actively fulfilling its corporate citizenship responsibilities.</v>
      </c>
      <c r="B5518" s="1" t="str">
        <f ca="1">IFERROR(__xludf.DUMMYFUNCTION("GOOGLETRANSLATE(A5518, ""zh"", ""en"")"),"Public welfare and volunteer service")</f>
        <v>Public welfare and volunteer service</v>
      </c>
      <c r="C5518" s="1" t="str">
        <f ca="1">IFERROR(__xludf.DUMMYFUNCTION("GOOGLETRANSLATE(E5518, ""zh"", ""en"")"),"Qualitative text")</f>
        <v>Qualitative text</v>
      </c>
    </row>
    <row r="5519" spans="1:3" ht="13" x14ac:dyDescent="0.15">
      <c r="A5519" s="1" t="str">
        <f ca="1">IFERROR(__xludf.DUMMYFUNCTION("GOOGLETRANSLATE(A5519, ""zh"", ""en"")"),"We value the voice of our employees and every employee. To make internal communication more transparent and direct, we have established the following communication channels: internal training mechanism, online information sharing channels, the real estate"&amp;" sector has switched to online training, and launched a WeChat public account for internal information sharing to encourage cross-sector communication and exchange of ideas. Columns such as the President's Column, Industry Insights, and Dima Encyclopedia "&amp;"will be launched soon to help employees better understand the company's development and accumulate experience in multiple fields.")</f>
        <v>We value the voice of our employees and every employee. To make internal communication more transparent and direct, we have established the following communication channels: internal training mechanism, online information sharing channels, the real estate sector has switched to online training, and launched a WeChat public account for internal information sharing to encourage cross-sector communication and exchange of ideas. Columns such as the President's Column, Industry Insights, and Dima Encyclopedia will be launched soon to help employees better understand the company's development and accumulate experience in multiple fields.</v>
      </c>
      <c r="B5519" s="1" t="str">
        <f ca="1">IFERROR(__xludf.DUMMYFUNCTION("GOOGLETRANSLATE(A5519, ""zh"", ""en"")"),"staff")</f>
        <v>staff</v>
      </c>
      <c r="C5519" s="1" t="str">
        <f ca="1">IFERROR(__xludf.DUMMYFUNCTION("GOOGLETRANSLATE(E5519, ""zh"", ""en"")"),"Qualitative text")</f>
        <v>Qualitative text</v>
      </c>
    </row>
    <row r="5520" spans="1:3" ht="13" x14ac:dyDescent="0.15">
      <c r="A5520" s="1" t="str">
        <f ca="1">IFERROR(__xludf.DUMMYFUNCTION("GOOGLETRANSLATE(A5520, ""zh"", ""en"")"),"The Company and its member companies must sign an anti-commercial accounting agreement when signing contracts with external parties. For example, during the bidding process of member company Fosun Beiling, if there is suspicion of bid rigging by the biddi"&amp;"ng party, the Anti-Corruption Supervision Department shall, in accordance with the law and regulations, attach it to the contract and require the Group's staff to take on-the-spot control measures to thwart illegal suppliers' bid rigging. They shall not a"&amp;"sk for or accept improper benefits from others when requesting contract bids. At the same time, under the premise of compliance,")</f>
        <v>The Company and its member companies must sign an anti-commercial accounting agreement when signing contracts with external parties. For example, during the bidding process of member company Fosun Beiling, if there is suspicion of bid rigging by the bidding party, the Anti-Corruption Supervision Department shall, in accordance with the law and regulations, attach it to the contract and require the Group's staff to take on-the-spot control measures to thwart illegal suppliers' bid rigging. They shall not ask for or accept improper benefits from others when requesting contract bids. At the same time, under the premise of compliance,</v>
      </c>
      <c r="B5520" s="1" t="str">
        <f ca="1">IFERROR(__xludf.DUMMYFUNCTION("GOOGLETRANSLATE(A5520, ""zh"", ""en"")"),"Anti-corruption and anti-money laundering")</f>
        <v>Anti-corruption and anti-money laundering</v>
      </c>
      <c r="C5520" s="1" t="str">
        <f ca="1">IFERROR(__xludf.DUMMYFUNCTION("GOOGLETRANSLATE(E5520, ""zh"", ""en"")"),"Qualitative text")</f>
        <v>Qualitative text</v>
      </c>
    </row>
    <row r="5521" spans="1:3" ht="13" x14ac:dyDescent="0.15">
      <c r="A5521" s="1" t="str">
        <f ca="1">IFERROR(__xludf.DUMMYFUNCTION("GOOGLETRANSLATE(A5521, ""zh"", ""en"")"),"The Board of Directors has established a Related Party Transactions, Social Responsibility and Consumer Rights Protection Committee. The committee actively performs its consumer protection duties in accordance with the Board's authorization. It regularly "&amp;"monitors the progress of consumer protection work, including branch consumer protection audits and assessments, complaints management, and regulatory notifications. It analyzes individual customer satisfaction surveys and other work reports, reviews consu"&amp;"mer protection work plans, continuously promotes and improves the strategic policies and objectives of consumer protection work, and monitors and evaluates the implementation of consumer protection work.")</f>
        <v>The Board of Directors has established a Related Party Transactions, Social Responsibility and Consumer Rights Protection Committee. The committee actively performs its consumer protection duties in accordance with the Board's authorization. It regularly monitors the progress of consumer protection work, including branch consumer protection audits and assessments, complaints management, and regulatory notifications. It analyzes individual customer satisfaction surveys and other work reports, reviews consumer protection work plans, continuously promotes and improves the strategic policies and objectives of consumer protection work, and monitors and evaluates the implementation of consumer protection work.</v>
      </c>
      <c r="B5521" s="1" t="str">
        <f ca="1">IFERROR(__xludf.DUMMYFUNCTION("GOOGLETRANSLATE(A5521, ""zh"", ""en"")"),"Customers and Consumers")</f>
        <v>Customers and Consumers</v>
      </c>
      <c r="C5521" s="1" t="str">
        <f ca="1">IFERROR(__xludf.DUMMYFUNCTION("GOOGLETRANSLATE(E5521, ""zh"", ""en"")"),"Qualitative text")</f>
        <v>Qualitative text</v>
      </c>
    </row>
    <row r="5522" spans="1:3" ht="13" x14ac:dyDescent="0.15">
      <c r="A5522" s="1" t="str">
        <f ca="1">IFERROR(__xludf.DUMMYFUNCTION("GOOGLETRANSLATE(A5522, ""zh"", ""en"")"),"SDIC UBS Fund Investor Education Poster SDIC Capital 2022 ESG Report: Building a Better Society Together 6263: Grow Together with Employees SDIC Capital adheres to a people-oriented, equal and inclusive employment philosophy, safeguarding employee rights "&amp;"and interests, focusing on employee well-being, providing a wide range of empowering training programs, providing a healthy, safe, harmonious and shared work environment for employees, building a first-class talent team with professional business services"&amp;", and cultivating a diverse and inclusive corporate culture.")</f>
        <v>SDIC UBS Fund Investor Education Poster SDIC Capital 2022 ESG Report: Building a Better Society Together 6263: Grow Together with Employees SDIC Capital adheres to a people-oriented, equal and inclusive employment philosophy, safeguarding employee rights and interests, focusing on employee well-being, providing a wide range of empowering training programs, providing a healthy, safe, harmonious and shared work environment for employees, building a first-class talent team with professional business services, and cultivating a diverse and inclusive corporate culture.</v>
      </c>
      <c r="B5522" s="1" t="str">
        <f ca="1">IFERROR(__xludf.DUMMYFUNCTION("GOOGLETRANSLATE(A5522, ""zh"", ""en"")"),"staff")</f>
        <v>staff</v>
      </c>
      <c r="C5522" s="1" t="str">
        <f ca="1">IFERROR(__xludf.DUMMYFUNCTION("GOOGLETRANSLATE(E5522, ""zh"", ""en"")"),"Qualitative text")</f>
        <v>Qualitative text</v>
      </c>
    </row>
    <row r="5523" spans="1:3" ht="13" x14ac:dyDescent="0.15">
      <c r="A5523" s="1" t="str">
        <f ca="1">IFERROR(__xludf.DUMMYFUNCTION("GOOGLETRANSLATE(A5523, ""zh"", ""en"")"),"Patent and intellectual property protection for essence washing products. We have also undertaken the construction of national platforms such as the National High-end Intelligent Home Appliances Innovation Center. Relying on these national innovation plat"&amp;"forms, we have gathered innovation resources from the entire industry chain of industry, academia, research, and application to create an innovative ecosystem for technical patent standards in China's home appliance industry. Currently, there are more tha"&amp;"n 180 ecosystem members, operating more than 5,000 patents, participating in the formulation of 69 standards, empowering China's home appliance industry to enhance its global competitiveness.")</f>
        <v>Patent and intellectual property protection for essence washing products. We have also undertaken the construction of national platforms such as the National High-end Intelligent Home Appliances Innovation Center. Relying on these national innovation platforms, we have gathered innovation resources from the entire industry chain of industry, academia, research, and application to create an innovative ecosystem for technical patent standards in China's home appliance industry. Currently, there are more than 180 ecosystem members, operating more than 5,000 patents, participating in the formulation of 69 standards, empowering China's home appliance industry to enhance its global competitiveness.</v>
      </c>
      <c r="B5523" s="1" t="str">
        <f ca="1">IFERROR(__xludf.DUMMYFUNCTION("GOOGLETRANSLATE(A5523, ""zh"", ""en"")"),"Intellectual Property Protection")</f>
        <v>Intellectual Property Protection</v>
      </c>
      <c r="C5523" s="1" t="str">
        <f ca="1">IFERROR(__xludf.DUMMYFUNCTION("GOOGLETRANSLATE(E5523, ""zh"", ""en"")"),"Quantitative Text")</f>
        <v>Quantitative Text</v>
      </c>
    </row>
    <row r="5524" spans="1:3" ht="13" x14ac:dyDescent="0.15">
      <c r="A5524" s="1" t="str">
        <f ca="1">IFERROR(__xludf.DUMMYFUNCTION("GOOGLETRANSLATE(A5524, ""zh"", ""en"")"),"Based on the loopholes found in previous internal audits and the rectification status of each subsidiary, the Group's EHS Department and the audit team jointly formulate an annual internal audit plan at the beginning of the year to ensure that no less tha"&amp;"n two EHS internal audits are conducted on subsidiaries each year. After the audit work is completed, the overall audit situation is promptly sorted out and integrated to form an internal audit report for the subsidiaries, and each subsidiary is supervise"&amp;"d to rectify any non-conforming items. A group audit report is compiled every six months for management review.")</f>
        <v>Based on the loopholes found in previous internal audits and the rectification status of each subsidiary, the Group's EHS Department and the audit team jointly formulate an annual internal audit plan at the beginning of the year to ensure that no less than two EHS internal audits are conducted on subsidiaries each year. After the audit work is completed, the overall audit situation is promptly sorted out and integrated to form an internal audit report for the subsidiaries, and each subsidiary is supervised to rectify any non-conforming items. A group audit report is compiled every six months for management review.</v>
      </c>
      <c r="B5524" s="1" t="str">
        <f ca="1">IFERROR(__xludf.DUMMYFUNCTION("GOOGLETRANSLATE(A5524, ""zh"", ""en"")"),"Audit work")</f>
        <v>Audit work</v>
      </c>
      <c r="C5524" s="1" t="str">
        <f ca="1">IFERROR(__xludf.DUMMYFUNCTION("GOOGLETRANSLATE(E5524, ""zh"", ""en"")"),"Qualitative text")</f>
        <v>Qualitative text</v>
      </c>
    </row>
    <row r="5525" spans="1:3" ht="13" x14ac:dyDescent="0.15">
      <c r="A5525" s="1" t="str">
        <f ca="1">IFERROR(__xludf.DUMMYFUNCTION("GOOGLETRANSLATE(A5525, ""zh"", ""en"")"),"In August 2022, the Hubei Provincial Drug and Medical Device Adverse Reaction Monitoring Center, together with relevant local departments, organized pharmacovigilance personnel from five pharmaceutical companies in Jingmen City to visit Wuhan Renfu to con"&amp;"duct on-site learning and experience exchange activities at the Hubei Provincial Pharmacovigilance Demonstration Base. The participating units held in-depth discussions on the construction of the pharmacovigilance system, pharmacovigilance working methods"&amp;", information monitoring methods, post-marketing safety research of drugs, and corporate development strategies.")</f>
        <v>In August 2022, the Hubei Provincial Drug and Medical Device Adverse Reaction Monitoring Center, together with relevant local departments, organized pharmacovigilance personnel from five pharmaceutical companies in Jingmen City to visit Wuhan Renfu to conduct on-site learning and experience exchange activities at the Hubei Provincial Pharmacovigilance Demonstration Base. The participating units held in-depth discussions on the construction of the pharmacovigilance system, pharmacovigilance working methods, information monitoring methods, post-marketing safety research of drugs, and corporate development strategies.</v>
      </c>
      <c r="B5525" s="1" t="str">
        <f ca="1">IFERROR(__xludf.DUMMYFUNCTION("GOOGLETRANSLATE(A5525, ""zh"", ""en"")"),"Product quality")</f>
        <v>Product quality</v>
      </c>
      <c r="C5525" s="1" t="str">
        <f ca="1">IFERROR(__xludf.DUMMYFUNCTION("GOOGLETRANSLATE(E5525, ""zh"", ""en"")"),"Qualitative text")</f>
        <v>Qualitative text</v>
      </c>
    </row>
    <row r="5526" spans="1:3" ht="13" x14ac:dyDescent="0.15">
      <c r="A5526" s="1" t="str">
        <f ca="1">IFERROR(__xludf.DUMMYFUNCTION("GOOGLETRANSLATE(A5526, ""zh"", ""en"")"),"4. Scope 1 Greenhouse gas emissions are primarily derived from direct greenhouse gas emissions from fossil fuels consumed during the company's operations and production processes, such as gasoline, diesel, and natural gas. Emission factors and calculation"&amp;" methods refer to the pilot greenhouse gas emission accounting and reporting guidelines for enterprises in other industries. The calculation formula used is: Carbon dioxide emissions from fossil fuels; Fuel consumption; Low calorific value; Unit calorific"&amp;" value; Carbon content; Fuel carbon oxidation rate; 4412")</f>
        <v>4. Scope 1 Greenhouse gas emissions are primarily derived from direct greenhouse gas emissions from fossil fuels consumed during the company's operations and production processes, such as gasoline, diesel, and natural gas. Emission factors and calculation methods refer to the pilot greenhouse gas emission accounting and reporting guidelines for enterprises in other industries. The calculation formula used is: Carbon dioxide emissions from fossil fuels; Fuel consumption; Low calorific value; Unit calorific value; Carbon content; Fuel carbon oxidation rate; 4412</v>
      </c>
      <c r="B5526" s="1" t="str">
        <f ca="1">IFERROR(__xludf.DUMMYFUNCTION("GOOGLETRANSLATE(A5526, ""zh"", ""en"")"),"carbon emissions")</f>
        <v>carbon emissions</v>
      </c>
      <c r="C5526" s="1" t="str">
        <f ca="1">IFERROR(__xludf.DUMMYFUNCTION("GOOGLETRANSLATE(E5526, ""zh"", ""en"")"),"Qualitative text")</f>
        <v>Qualitative text</v>
      </c>
    </row>
    <row r="5527" spans="1:3" ht="13" x14ac:dyDescent="0.15">
      <c r="A5527" s="1" t="str">
        <f ca="1">IFERROR(__xludf.DUMMYFUNCTION("GOOGLETRANSLATE(A5527, ""zh"", ""en"")"),"This report is prepared in accordance with the Hong Kong Stock Exchange's Environmental, Social and Governance Reporting Guidelines (ESG Reporting Guidelines), the Shanghai Stock Exchange's Listed Company Self-Regulatory Guidelines No. 1, and the Guidelin"&amp;"es for Preparing Reports on Standardized Operations and Corporate Social Responsibility. The report is prepared with reference to the GRI Sustainability Reporting Guidelines issued by the Global Reporting Initiative (GRI).")</f>
        <v>This report is prepared in accordance with the Hong Kong Stock Exchange's Environmental, Social and Governance Reporting Guidelines (ESG Reporting Guidelines), the Shanghai Stock Exchange's Listed Company Self-Regulatory Guidelines No. 1, and the Guidelines for Preparing Reports on Standardized Operations and Corporate Social Responsibility. The report is prepared with reference to the GRI Sustainability Reporting Guidelines issued by the Global Reporting Initiative (GRI).</v>
      </c>
      <c r="B5527" s="1" t="str">
        <f ca="1">IFERROR(__xludf.DUMMYFUNCTION("GOOGLETRANSLATE(A5527, ""zh"", ""en"")"),"irrelevant text")</f>
        <v>irrelevant text</v>
      </c>
      <c r="C5527" s="1" t="str">
        <f ca="1">IFERROR(__xludf.DUMMYFUNCTION("GOOGLETRANSLATE(E5527, ""zh"", ""en"")"),"irrelevant text")</f>
        <v>irrelevant text</v>
      </c>
    </row>
    <row r="5528" spans="1:3" ht="13" x14ac:dyDescent="0.15">
      <c r="A5528" s="1" t="str">
        <f ca="1">IFERROR(__xludf.DUMMYFUNCTION("GOOGLETRANSLATE(A5528, ""zh"", ""en"")"),"Implement construction projects and production in accordance with laws and regulations. Strictly carry out environmental impact assessments in accordance with the ""three simultaneous"" requirements for environmental protection of construction projects. C"&amp;"oordinate the development of green industrial chains and green supply chains. Explore the path from green smart manufacturing to green smart remanufacturing. Drive the overall green conversion procedures of the industry. During the reporting period, carry"&amp;" out one project that requires environmental impact assessment and pass the environmental impact assessment. Prepare and implement environmental incident emergency plans in accordance with local regulations.")</f>
        <v>Implement construction projects and production in accordance with laws and regulations. Strictly carry out environmental impact assessments in accordance with the "three simultaneous" requirements for environmental protection of construction projects. Coordinate the development of green industrial chains and green supply chains. Explore the path from green smart manufacturing to green smart remanufacturing. Drive the overall green conversion procedures of the industry. During the reporting period, carry out one project that requires environmental impact assessment and pass the environmental impact assessment. Prepare and implement environmental incident emergency plans in accordance with local regulations.</v>
      </c>
      <c r="B5528" s="1" t="str">
        <f ca="1">IFERROR(__xludf.DUMMYFUNCTION("GOOGLETRANSLATE(A5528, ""zh"", ""en"")"),"Environmental Policy")</f>
        <v>Environmental Policy</v>
      </c>
      <c r="C5528" s="1" t="str">
        <f ca="1">IFERROR(__xludf.DUMMYFUNCTION("GOOGLETRANSLATE(E5528, ""zh"", ""en"")"),"Quantitative Text")</f>
        <v>Quantitative Text</v>
      </c>
    </row>
    <row r="5529" spans="1:3" ht="13" x14ac:dyDescent="0.15">
      <c r="A5529" s="1" t="str">
        <f ca="1">IFERROR(__xludf.DUMMYFUNCTION("GOOGLETRANSLATE(A5529, ""zh"", ""en"")"),"Social Responsibility Product R&amp;D and Innovation 2022 Hisense Visual Product Quality Certification Status The company has established a hierarchical technology R&amp;D system based on the transformation of its product development management model, building an"&amp;" R&amp;D structure with the public R&amp;D organization as the technology and product platform center and the product line R&amp;D organization as the market-oriented product delivery center.")</f>
        <v>Social Responsibility Product R&amp;D and Innovation 2022 Hisense Visual Product Quality Certification Status The company has established a hierarchical technology R&amp;D system based on the transformation of its product development management model, building an R&amp;D structure with the public R&amp;D organization as the technology and product platform center and the product line R&amp;D organization as the market-oriented product delivery center.</v>
      </c>
      <c r="B5529" s="1" t="str">
        <f ca="1">IFERROR(__xludf.DUMMYFUNCTION("GOOGLETRANSLATE(A5529, ""zh"", ""en"")"),"Product quality")</f>
        <v>Product quality</v>
      </c>
      <c r="C5529" s="1" t="str">
        <f ca="1">IFERROR(__xludf.DUMMYFUNCTION("GOOGLETRANSLATE(E5529, ""zh"", ""en"")"),"Qualitative text")</f>
        <v>Qualitative text</v>
      </c>
    </row>
    <row r="5530" spans="1:3" ht="13" x14ac:dyDescent="0.15">
      <c r="A5530" s="1" t="str">
        <f ca="1">IFERROR(__xludf.DUMMYFUNCTION("GOOGLETRANSLATE(A5530, ""zh"", ""en"")"),"On-site emergency drills: 6,204 comprehensive well control and shore-based emergency joint exercises, 18,216 special exercises, and 489,984 participants. COSL's 2022 ESG Report 43. Ensuring Occupational Health: COSL continues to promote occupational healt"&amp;"h management for all employees on the basis of strengthening occupational disease prevention and control, building a health management culture, deepening employee mental health care, and promoting healthy work and life for employees.")</f>
        <v>On-site emergency drills: 6,204 comprehensive well control and shore-based emergency joint exercises, 18,216 special exercises, and 489,984 participants. COSL's 2022 ESG Report 43. Ensuring Occupational Health: COSL continues to promote occupational health management for all employees on the basis of strengthening occupational disease prevention and control, building a health management culture, deepening employee mental health care, and promoting healthy work and life for employees.</v>
      </c>
      <c r="B5530" s="1" t="str">
        <f ca="1">IFERROR(__xludf.DUMMYFUNCTION("GOOGLETRANSLATE(A5530, ""zh"", ""en"")"),"staff")</f>
        <v>staff</v>
      </c>
      <c r="C5530" s="1" t="str">
        <f ca="1">IFERROR(__xludf.DUMMYFUNCTION("GOOGLETRANSLATE(E5530, ""zh"", ""en"")"),"Quantitative Text")</f>
        <v>Quantitative Text</v>
      </c>
    </row>
    <row r="5531" spans="1:3" ht="13" x14ac:dyDescent="0.15">
      <c r="A5531" s="1" t="str">
        <f ca="1">IFERROR(__xludf.DUMMYFUNCTION("GOOGLETRANSLATE(A5531, ""zh"", ""en"")"),"20% of management positions are female; 20% of mid-level management positions are female; 24% of R&amp;D and technical positions are female. We have long adhered to the principles of equality, diversity, and non-discrimination, treating employees of different"&amp;" nationalities, races, genders, religious beliefs, and cultural backgrounds fairly and impartially. We ensure that employees with disabilities receive the same treatment and equal development opportunities in recruitment, salary, training, and promotion.")</f>
        <v>20% of management positions are female; 20% of mid-level management positions are female; 24% of R&amp;D and technical positions are female. We have long adhered to the principles of equality, diversity, and non-discrimination, treating employees of different nationalities, races, genders, religious beliefs, and cultural backgrounds fairly and impartially. We ensure that employees with disabilities receive the same treatment and equal development opportunities in recruitment, salary, training, and promotion.</v>
      </c>
      <c r="B5531" s="1" t="str">
        <f ca="1">IFERROR(__xludf.DUMMYFUNCTION("GOOGLETRANSLATE(A5531, ""zh"", ""en"")"),"staff")</f>
        <v>staff</v>
      </c>
      <c r="C5531" s="1" t="str">
        <f ca="1">IFERROR(__xludf.DUMMYFUNCTION("GOOGLETRANSLATE(E5531, ""zh"", ""en"")"),"Quantitative Text")</f>
        <v>Quantitative Text</v>
      </c>
    </row>
    <row r="5532" spans="1:3" ht="13" x14ac:dyDescent="0.15">
      <c r="A5532" s="1" t="str">
        <f ca="1">IFERROR(__xludf.DUMMYFUNCTION("GOOGLETRANSLATE(A5532, ""zh"", ""en"")"),"Green finance and environmental governance enable the Suzhou branch to develop the Green Finance GIS Management Platform 1.0, which adopts an open functional module design and is tailored to five functional modules, including intelligent green credit mana"&amp;"gement, AI-assisted identification, enterprise environmental risk monitoring, regional environmental monitoring, and carbon emission index monitoring. This provides support for front-, middle-, and back-end personnel in green finance customer development,"&amp;" green credit management, environmental and climate risk monitoring and early warning.")</f>
        <v>Green finance and environmental governance enable the Suzhou branch to develop the Green Finance GIS Management Platform 1.0, which adopts an open functional module design and is tailored to five functional modules, including intelligent green credit management, AI-assisted identification, enterprise environmental risk monitoring, regional environmental monitoring, and carbon emission index monitoring. This provides support for front-, middle-, and back-end personnel in green finance customer development, green credit management, environmental and climate risk monitoring and early warning.</v>
      </c>
      <c r="B5532" s="1" t="str">
        <f ca="1">IFERROR(__xludf.DUMMYFUNCTION("GOOGLETRANSLATE(A5532, ""zh"", ""en"")"),"Green Finance")</f>
        <v>Green Finance</v>
      </c>
      <c r="C5532" s="1" t="str">
        <f ca="1">IFERROR(__xludf.DUMMYFUNCTION("GOOGLETRANSLATE(E5532, ""zh"", ""en"")"),"Qualitative text")</f>
        <v>Qualitative text</v>
      </c>
    </row>
    <row r="5533" spans="1:3" ht="13" x14ac:dyDescent="0.15">
      <c r="A5533" s="1" t="str">
        <f ca="1">IFERROR(__xludf.DUMMYFUNCTION("GOOGLETRANSLATE(A5533, ""zh"", ""en"")"),"Lisutong, a key product in the National Medical Insurance Catalogue (NRDL), is a typical complex preparation. In 2018, Lisutong entered the national priority review process for major pediatric medications under the priority review program. The 29th batch "&amp;"of drug registration applications was approved for marketing in 2019 as China's first new Class III inhalation preparation and has been included in the National Medical Insurance Catalogue since 2020.")</f>
        <v>Lisutong, a key product in the National Medical Insurance Catalogue (NRDL), is a typical complex preparation. In 2018, Lisutong entered the national priority review process for major pediatric medications under the priority review program. The 29th batch of drug registration applications was approved for marketing in 2019 as China's first new Class III inhalation preparation and has been included in the National Medical Insurance Catalogue since 2020.</v>
      </c>
      <c r="B5533" s="1" t="str">
        <f ca="1">IFERROR(__xludf.DUMMYFUNCTION("GOOGLETRANSLATE(A5533, ""zh"", ""en"")"),"Product quality")</f>
        <v>Product quality</v>
      </c>
      <c r="C5533" s="1" t="str">
        <f ca="1">IFERROR(__xludf.DUMMYFUNCTION("GOOGLETRANSLATE(E5533, ""zh"", ""en"")"),"Quantitative Text")</f>
        <v>Quantitative Text</v>
      </c>
    </row>
    <row r="5534" spans="1:3" ht="13" x14ac:dyDescent="0.15">
      <c r="A5534" s="1" t="str">
        <f ca="1">IFERROR(__xludf.DUMMYFUNCTION("GOOGLETRANSLATE(A5534, ""zh"", ""en"")"),"Environmental Protection 65: Ecological and environmental management throughout the entire industry chain and biodiversity conservation initiatives. We incorporate biodiversity conservation into our company management system, adhere to the integrated prot"&amp;"ection and systematic management of mountains, rivers, forests, farmlands, lakes, grasslands, and deserts, adopt natural restoration measures or green restoration technologies, carry out ecological and environmental protection in key river basins such as "&amp;"the Yangtze River and the Yellow River, establish biodiversity reserves and green mines, and implement a variety of biodiversity conservation practices.")</f>
        <v>Environmental Protection 65: Ecological and environmental management throughout the entire industry chain and biodiversity conservation initiatives. We incorporate biodiversity conservation into our company management system, adhere to the integrated protection and systematic management of mountains, rivers, forests, farmlands, lakes, grasslands, and deserts, adopt natural restoration measures or green restoration technologies, carry out ecological and environmental protection in key river basins such as the Yangtze River and the Yellow River, establish biodiversity reserves and green mines, and implement a variety of biodiversity conservation practices.</v>
      </c>
      <c r="B5534" s="1" t="str">
        <f ca="1">IFERROR(__xludf.DUMMYFUNCTION("GOOGLETRANSLATE(A5534, ""zh"", ""en"")"),"biodiversity")</f>
        <v>biodiversity</v>
      </c>
      <c r="C5534" s="1" t="str">
        <f ca="1">IFERROR(__xludf.DUMMYFUNCTION("GOOGLETRANSLATE(E5534, ""zh"", ""en"")"),"Qualitative text")</f>
        <v>Qualitative text</v>
      </c>
    </row>
    <row r="5535" spans="1:3" ht="13" x14ac:dyDescent="0.15">
      <c r="A5535" s="1" t="str">
        <f ca="1">IFERROR(__xludf.DUMMYFUNCTION("GOOGLETRANSLATE(A5535, ""zh"", ""en"")"),"Social welfare investment, independent cooperation and implementation of public welfare projects, more than 360, disaster relief donations, RMB 51.33, environmental protection, RMB 78.1, poverty alleviation, RMB 30.274, other public welfare expenditures, "&amp;"RMB 17.55, donations to education, RMB 45.30, global social welfare total investment in 2022, RMB 58.272, social contribution, 89, sustainable development capacity building and promoting industrial prosperity are the fundamental solutions to overcoming th"&amp;"e economic backwardness of underdeveloped regions.")</f>
        <v>Social welfare investment, independent cooperation and implementation of public welfare projects, more than 360, disaster relief donations, RMB 51.33, environmental protection, RMB 78.1, poverty alleviation, RMB 30.274, other public welfare expenditures, RMB 17.55, donations to education, RMB 45.30, global social welfare total investment in 2022, RMB 58.272, social contribution, 89, sustainable development capacity building and promoting industrial prosperity are the fundamental solutions to overcoming the economic backwardness of underdeveloped regions.</v>
      </c>
      <c r="B5535" s="1" t="str">
        <f ca="1">IFERROR(__xludf.DUMMYFUNCTION("GOOGLETRANSLATE(A5535, ""zh"", ""en"")"),"Public welfare and volunteer service")</f>
        <v>Public welfare and volunteer service</v>
      </c>
      <c r="C5535" s="1" t="str">
        <f ca="1">IFERROR(__xludf.DUMMYFUNCTION("GOOGLETRANSLATE(E5535, ""zh"", ""en"")"),"Quantitative Text")</f>
        <v>Quantitative Text</v>
      </c>
    </row>
    <row r="5536" spans="1:3" ht="13" x14ac:dyDescent="0.15">
      <c r="A5536" s="1" t="str">
        <f ca="1">IFERROR(__xludf.DUMMYFUNCTION("GOOGLETRANSLATE(A5536, ""zh"", ""en"")"),"To prevent potential conflicts of interest in business activities and to address potential conflicts of interest, the Anti-Corruption Supervision Department requires Fosun Pharma's headquarters, senior management of core member companies, and persons in c"&amp;"harge of relevant sensitive positions to report potential conflicts of interest.")</f>
        <v>To prevent potential conflicts of interest in business activities and to address potential conflicts of interest, the Anti-Corruption Supervision Department requires Fosun Pharma's headquarters, senior management of core member companies, and persons in charge of relevant sensitive positions to report potential conflicts of interest.</v>
      </c>
      <c r="B5536" s="1" t="str">
        <f ca="1">IFERROR(__xludf.DUMMYFUNCTION("GOOGLETRANSLATE(A5536, ""zh"", ""en"")"),"Reporting System")</f>
        <v>Reporting System</v>
      </c>
      <c r="C5536" s="1" t="str">
        <f ca="1">IFERROR(__xludf.DUMMYFUNCTION("GOOGLETRANSLATE(E5536, ""zh"", ""en"")"),"Qualitative text")</f>
        <v>Qualitative text</v>
      </c>
    </row>
    <row r="5537" spans="1:3" ht="13" x14ac:dyDescent="0.15">
      <c r="A5537" s="1" t="str">
        <f ca="1">IFERROR(__xludf.DUMMYFUNCTION("GOOGLETRANSLATE(A5537, ""zh"", ""en"")"),"Number of employees by educational level: Bachelor's degree holders: 5887; Associate degree holders: 8256; Compensation and benefits management and performance evaluation system: High school and below: 8256; In 2022, the company updated its compensation m"&amp;"anagement methods, compensation execution management methods, incentive management methods, welfare management methods and other rules and regulations. People aged 30 and below: 6214; Continuously improve the employment mechanism, adhere to equal pay for "&amp;"equal work, and provide market-competitive compensation and benefits based on employee capabilities and market levels.")</f>
        <v>Number of employees by educational level: Bachelor's degree holders: 5887; Associate degree holders: 8256; Compensation and benefits management and performance evaluation system: High school and below: 8256; In 2022, the company updated its compensation management methods, compensation execution management methods, incentive management methods, welfare management methods and other rules and regulations. People aged 30 and below: 6214; Continuously improve the employment mechanism, adhere to equal pay for equal work, and provide market-competitive compensation and benefits based on employee capabilities and market levels.</v>
      </c>
      <c r="B5537" s="1" t="str">
        <f ca="1">IFERROR(__xludf.DUMMYFUNCTION("GOOGLETRANSLATE(A5537, ""zh"", ""en"")"),"staff")</f>
        <v>staff</v>
      </c>
      <c r="C5537" s="1" t="str">
        <f ca="1">IFERROR(__xludf.DUMMYFUNCTION("GOOGLETRANSLATE(E5537, ""zh"", ""en"")"),"Quantitative Text")</f>
        <v>Quantitative Text</v>
      </c>
    </row>
    <row r="5538" spans="1:3" ht="13" x14ac:dyDescent="0.15">
      <c r="A5538" s="1" t="str">
        <f ca="1">IFERROR(__xludf.DUMMYFUNCTION("GOOGLETRANSLATE(A5538, ""zh"", ""en"")"),"Featured Case: Sinopec's Young Talent Chaoyang Project won the 2022 Continuing Engineering Education Corporate Leadership Award, becoming the only Chinese company to receive this award in the past decade. The company is committed to creating scientific, t"&amp;"ransparent, and diversified career development paths for its employees. It continuously standardizes talent development channels, broadens talent development paths both horizontally and vertically, and actively improves its expert management system to lev"&amp;"erage the guidance and leadership of high-level experts.")</f>
        <v>Featured Case: Sinopec's Young Talent Chaoyang Project won the 2022 Continuing Engineering Education Corporate Leadership Award, becoming the only Chinese company to receive this award in the past decade. The company is committed to creating scientific, transparent, and diversified career development paths for its employees. It continuously standardizes talent development channels, broadens talent development paths both horizontally and vertically, and actively improves its expert management system to leverage the guidance and leadership of high-level experts.</v>
      </c>
      <c r="B5538" s="1" t="str">
        <f ca="1">IFERROR(__xludf.DUMMYFUNCTION("GOOGLETRANSLATE(A5538, ""zh"", ""en"")"),"staff")</f>
        <v>staff</v>
      </c>
      <c r="C5538" s="1" t="str">
        <f ca="1">IFERROR(__xludf.DUMMYFUNCTION("GOOGLETRANSLATE(E5538, ""zh"", ""en"")"),"Qualitative text")</f>
        <v>Qualitative text</v>
      </c>
    </row>
    <row r="5539" spans="1:3" ht="13" x14ac:dyDescent="0.15">
      <c r="A5539" s="1" t="str">
        <f ca="1">IFERROR(__xludf.DUMMYFUNCTION("GOOGLETRANSLATE(A5539, ""zh"", ""en"")"),"01 Yunshang Company Yuantong Company 33 In response to the call of the Zhejiang Provincial Tibet Aid Command to strengthen the profound friendship between Zhejiang and Naqu and consolidate the sense of community of the Chinese nation, the company's labor "&amp;"union carefully selected a batch of children's sensory integration teaching aids to address the practical difficulties of the newly established aid-built schools in lacking teaching materials. The donation of nearly 30,000 yuan in loving materials was mad"&amp;"e to 289 children in the No. 6 Kindergarten in Naqu, Tibet. The donation brought fun and warmth to the children, and the love spread from the shores of West Lake to the Qinghai-Tibet Plateau.")</f>
        <v>01 Yunshang Company Yuantong Company 33 In response to the call of the Zhejiang Provincial Tibet Aid Command to strengthen the profound friendship between Zhejiang and Naqu and consolidate the sense of community of the Chinese nation, the company's labor union carefully selected a batch of children's sensory integration teaching aids to address the practical difficulties of the newly established aid-built schools in lacking teaching materials. The donation of nearly 30,000 yuan in loving materials was made to 289 children in the No. 6 Kindergarten in Naqu, Tibet. The donation brought fun and warmth to the children, and the love spread from the shores of West Lake to the Qinghai-Tibet Plateau.</v>
      </c>
      <c r="B5539" s="1" t="str">
        <f ca="1">IFERROR(__xludf.DUMMYFUNCTION("GOOGLETRANSLATE(A5539, ""zh"", ""en"")"),"Public welfare and volunteer service")</f>
        <v>Public welfare and volunteer service</v>
      </c>
      <c r="C5539" s="1" t="str">
        <f ca="1">IFERROR(__xludf.DUMMYFUNCTION("GOOGLETRANSLATE(E5539, ""zh"", ""en"")"),"Quantitative Text")</f>
        <v>Quantitative Text</v>
      </c>
    </row>
    <row r="5540" spans="1:3" ht="13" x14ac:dyDescent="0.15">
      <c r="A5540" s="1" t="str">
        <f ca="1">IFERROR(__xludf.DUMMYFUNCTION("GOOGLETRANSLATE(A5540, ""zh"", ""en"")"),"Product recycling reduces carbon emissions. The entire appliance recycling process. As of the end of this reporting period, Haier Smart Home has recycled a total of 6.13 million used appliances through various channels. We leverage our 32,000 offline stor"&amp;"es, over 100,000 service personnel, and over 100 logistics distribution centers. Through strategic partnerships with nearly 1,300 recyclers nationwide, we have established a nationwide recycling network covering 2,624 districts and counties, set up multip"&amp;"le recycling points, and collect all proprietary products.")</f>
        <v>Product recycling reduces carbon emissions. The entire appliance recycling process. As of the end of this reporting period, Haier Smart Home has recycled a total of 6.13 million used appliances through various channels. We leverage our 32,000 offline stores, over 100,000 service personnel, and over 100 logistics distribution centers. Through strategic partnerships with nearly 1,300 recyclers nationwide, we have established a nationwide recycling network covering 2,624 districts and counties, set up multiple recycling points, and collect all proprietary products.</v>
      </c>
      <c r="B5540" s="1" t="str">
        <f ca="1">IFERROR(__xludf.DUMMYFUNCTION("GOOGLETRANSLATE(A5540, ""zh"", ""en"")"),"Waste Management")</f>
        <v>Waste Management</v>
      </c>
      <c r="C5540" s="1" t="str">
        <f ca="1">IFERROR(__xludf.DUMMYFUNCTION("GOOGLETRANSLATE(E5540, ""zh"", ""en"")"),"Quantitative Text")</f>
        <v>Quantitative Text</v>
      </c>
    </row>
    <row r="5541" spans="1:3" ht="13" x14ac:dyDescent="0.15">
      <c r="A5541" s="1" t="str">
        <f ca="1">IFERROR(__xludf.DUMMYFUNCTION("GOOGLETRANSLATE(A5541, ""zh"", ""en"")"),"Deepen the construction of a clean development mechanism for state-owned enterprises through mixed-ownership reform. Develop three subsidiary companies' clean benchmarking points. Cultivate and build 26 clean benchmarking points for the group. Win the Zhe"&amp;"jiang Top Ten Innovation Experience Award for Clean Unit Construction. Zhejiang Province's state-owned enterprise integrity culture innovation case. Participate in the 2022 state-owned assets and state-owned enterprises project of the Zhejiang State-owned"&amp;" Assets Supervision and Administration Commission. Explore and conduct practical research on the clean development mechanism for state-owned enterprises through mixed-ownership reform. The results of this work have been promoted in Zhejiang State-owned As"&amp;"sets Anti-Corruption Guide and other publications.")</f>
        <v>Deepen the construction of a clean development mechanism for state-owned enterprises through mixed-ownership reform. Develop three subsidiary companies' clean benchmarking points. Cultivate and build 26 clean benchmarking points for the group. Win the Zhejiang Top Ten Innovation Experience Award for Clean Unit Construction. Zhejiang Province's state-owned enterprise integrity culture innovation case. Participate in the 2022 state-owned assets and state-owned enterprises project of the Zhejiang State-owned Assets Supervision and Administration Commission. Explore and conduct practical research on the clean development mechanism for state-owned enterprises through mixed-ownership reform. The results of this work have been promoted in Zhejiang State-owned Assets Anti-Corruption Guide and other publications.</v>
      </c>
      <c r="B5541" s="1" t="str">
        <f ca="1">IFERROR(__xludf.DUMMYFUNCTION("GOOGLETRANSLATE(A5541, ""zh"", ""en"")"),"Anti-corruption and anti-money laundering")</f>
        <v>Anti-corruption and anti-money laundering</v>
      </c>
      <c r="C5541" s="1" t="str">
        <f ca="1">IFERROR(__xludf.DUMMYFUNCTION("GOOGLETRANSLATE(E5541, ""zh"", ""en"")"),"Quantitative Text")</f>
        <v>Quantitative Text</v>
      </c>
    </row>
    <row r="5542" spans="1:3" ht="13" x14ac:dyDescent="0.15">
      <c r="A5542" s="1" t="str">
        <f ca="1">IFERROR(__xludf.DUMMYFUNCTION("GOOGLETRANSLATE(A5542, ""zh"", ""en"")"),"Futures companies, finance companies, asset management companies, factoring companies, cloud commerce companies, and 29 other companies are focusing on key domestic industrial clusters, enhancing their core customer resource protection, price management, "&amp;"logistics, warehousing, and other service capabilities. The proportion of high-quality suppliers and customers is continuously increasing, and the company is actively developing its network. Its transportation location is advantageous, its role as a logis"&amp;"tics hub is prominent, its coverage area is wide, its industrial drainage conditions are excellent, and its asset appreciation potential is high. The company is continuously promoting its 100-warehouse plan and improving its bow-and-arrow network layout.")</f>
        <v>Futures companies, finance companies, asset management companies, factoring companies, cloud commerce companies, and 29 other companies are focusing on key domestic industrial clusters, enhancing their core customer resource protection, price management, logistics, warehousing, and other service capabilities. The proportion of high-quality suppliers and customers is continuously increasing, and the company is actively developing its network. Its transportation location is advantageous, its role as a logistics hub is prominent, its coverage area is wide, its industrial drainage conditions are excellent, and its asset appreciation potential is high. The company is continuously promoting its 100-warehouse plan and improving its bow-and-arrow network layout.</v>
      </c>
      <c r="B5542" s="1" t="str">
        <f ca="1">IFERROR(__xludf.DUMMYFUNCTION("GOOGLETRANSLATE(A5542, ""zh"", ""en"")"),"supply chain management")</f>
        <v>supply chain management</v>
      </c>
      <c r="C5542" s="1" t="str">
        <f ca="1">IFERROR(__xludf.DUMMYFUNCTION("GOOGLETRANSLATE(E5542, ""zh"", ""en"")"),"Qualitative text")</f>
        <v>Qualitative text</v>
      </c>
    </row>
    <row r="5543" spans="1:3" ht="13" x14ac:dyDescent="0.15">
      <c r="A5543" s="1" t="str">
        <f ca="1">IFERROR(__xludf.DUMMYFUNCTION("GOOGLETRANSLATE(A5543, ""zh"", ""en"")"),"The project selection covers a wide range of key positions, including branch account managers and high counter tellers. Based on the learning path diagram (LPI) method, we sort out key tasks and competency standards according to the principles of what to "&amp;"do, how to do, and how to learn. We design five learning modes, including classroom training, on-the-job practice, reading and self-study, coaching, summary and sharing, to create a new employee tracking and training program that aligns course content wit"&amp;"h job standards and teaching processes with production processes.")</f>
        <v>The project selection covers a wide range of key positions, including branch account managers and high counter tellers. Based on the learning path diagram (LPI) method, we sort out key tasks and competency standards according to the principles of what to do, how to do, and how to learn. We design five learning modes, including classroom training, on-the-job practice, reading and self-study, coaching, summary and sharing, to create a new employee tracking and training program that aligns course content with job standards and teaching processes with production processes.</v>
      </c>
      <c r="B5543" s="1" t="str">
        <f ca="1">IFERROR(__xludf.DUMMYFUNCTION("GOOGLETRANSLATE(A5543, ""zh"", ""en"")"),"staff")</f>
        <v>staff</v>
      </c>
      <c r="C5543" s="1" t="str">
        <f ca="1">IFERROR(__xludf.DUMMYFUNCTION("GOOGLETRANSLATE(E5543, ""zh"", ""en"")"),"Qualitative text")</f>
        <v>Qualitative text</v>
      </c>
    </row>
    <row r="5544" spans="1:3" ht="13" x14ac:dyDescent="0.15">
      <c r="A5544" s="1" t="str">
        <f ca="1">IFERROR(__xludf.DUMMYFUNCTION("GOOGLETRANSLATE(A5544, ""zh"", ""en"")"),"Net asset return rate, operating income 5765.492.49 billion yuan, a year-on-year increase of RMB 100 million, total profit 77.66 billion yuan, a year-on-year increase of RMB 4.0512.69082022 Wuchan Zhongda Social Responsibility ESG Report Development Strat"&amp;"egy Financial Services The financial services sector has formed a comprehensive financial service platform architecture including financial leasing, futures, finance companies, pawnshops, oil and gas trading platforms, asset management, private equity fun"&amp;"ds, and factoring, which has enabled the core business capabilities to be enhanced.")</f>
        <v>Net asset return rate, operating income 5765.492.49 billion yuan, a year-on-year increase of RMB 100 million, total profit 77.66 billion yuan, a year-on-year increase of RMB 4.0512.69082022 Wuchan Zhongda Social Responsibility ESG Report Development Strategy Financial Services The financial services sector has formed a comprehensive financial service platform architecture including financial leasing, futures, finance companies, pawnshops, oil and gas trading platforms, asset management, private equity funds, and factoring, which has enabled the core business capabilities to be enhanced.</v>
      </c>
      <c r="B5544" s="1" t="str">
        <f ca="1">IFERROR(__xludf.DUMMYFUNCTION("GOOGLETRANSLATE(A5544, ""zh"", ""en"")"),"Organizational structure and operations")</f>
        <v>Organizational structure and operations</v>
      </c>
      <c r="C5544" s="1" t="str">
        <f ca="1">IFERROR(__xludf.DUMMYFUNCTION("GOOGLETRANSLATE(E5544, ""zh"", ""en"")"),"Quantitative Text")</f>
        <v>Quantitative Text</v>
      </c>
    </row>
    <row r="5545" spans="1:3" ht="13" x14ac:dyDescent="0.15">
      <c r="A5545" s="1" t="str">
        <f ca="1">IFERROR(__xludf.DUMMYFUNCTION("GOOGLETRANSLATE(A5545, ""zh"", ""en"")"),"Innovatively create a digital credit certificate settlement system to build an ecosystem with district and county-level state-owned enterprises as the core enterprises, a chain of supplier ecosystems and a special business circle of the Rongrong ecosystem"&amp;". In the special business circle, the core enterprises and their member companies issue digital credit settlement certificates based on the accounts receivable and payable already formed by suppliers. Through the circulation, splitting, financing and refi"&amp;"nancing of the settlement certificates, the problems of financing difficulties, high costs and slow financing for small and medium-sized enterprises are solved, contributing to common prosperity.")</f>
        <v>Innovatively create a digital credit certificate settlement system to build an ecosystem with district and county-level state-owned enterprises as the core enterprises, a chain of supplier ecosystems and a special business circle of the Rongrong ecosystem. In the special business circle, the core enterprises and their member companies issue digital credit settlement certificates based on the accounts receivable and payable already formed by suppliers. Through the circulation, splitting, financing and refinancing of the settlement certificates, the problems of financing difficulties, high costs and slow financing for small and medium-sized enterprises are solved, contributing to common prosperity.</v>
      </c>
      <c r="B5545" s="1" t="str">
        <f ca="1">IFERROR(__xludf.DUMMYFUNCTION("GOOGLETRANSLATE(A5545, ""zh"", ""en"")"),"supply chain management")</f>
        <v>supply chain management</v>
      </c>
      <c r="C5545" s="1" t="str">
        <f ca="1">IFERROR(__xludf.DUMMYFUNCTION("GOOGLETRANSLATE(E5545, ""zh"", ""en"")"),"Qualitative text")</f>
        <v>Qualitative text</v>
      </c>
    </row>
    <row r="5546" spans="1:3" ht="13" x14ac:dyDescent="0.15">
      <c r="A5546" s="1" t="str">
        <f ca="1">IFERROR(__xludf.DUMMYFUNCTION("GOOGLETRANSLATE(A5546, ""zh"", ""en"")"),"In 2022, the company's digital achievements reached the leading level in the domestic industry. For example, the business-driven digital transformation practice experience won the first prize of the National Enterprise Management Modernization Innovation "&amp;"Achievement Award; the integrated investment optimization and control sharing platform won the 2022 IDC China Future Enterprise Award Excellence Award; the smart contract service was named the 2022 Industrial Intelligence Pioneer Case; the data service pl"&amp;"atform won the DAMA China Best Data Governance Excellent Product Award, etc.")</f>
        <v>In 2022, the company's digital achievements reached the leading level in the domestic industry. For example, the business-driven digital transformation practice experience won the first prize of the National Enterprise Management Modernization Innovation Achievement Award; the integrated investment optimization and control sharing platform won the 2022 IDC China Future Enterprise Award Excellence Award; the smart contract service was named the 2022 Industrial Intelligence Pioneer Case; the data service platform won the DAMA China Best Data Governance Excellent Product Award, etc.</v>
      </c>
      <c r="B5546" s="1" t="str">
        <f ca="1">IFERROR(__xludf.DUMMYFUNCTION("GOOGLETRANSLATE(A5546, ""zh"", ""en"")"),"Technological innovation")</f>
        <v>Technological innovation</v>
      </c>
      <c r="C5546" s="1" t="str">
        <f ca="1">IFERROR(__xludf.DUMMYFUNCTION("GOOGLETRANSLATE(E5546, ""zh"", ""en"")"),"Quantitative Text")</f>
        <v>Quantitative Text</v>
      </c>
    </row>
    <row r="5547" spans="1:3" ht="13" x14ac:dyDescent="0.15">
      <c r="A5547" s="1" t="str">
        <f ca="1">IFERROR(__xludf.DUMMYFUNCTION("GOOGLETRANSLATE(A5547, ""zh"", ""en"")"),"Measures: Improve the network security system, manage data backups, optimize security technologies, and manage physical security. Detailed description: 49 CITIC Securities 2022 Annual Social Responsibility Report Based on the Information System Emergency "&amp;"Management Measures of CITIC Securities Co., Ltd., the Company has formulated the Data Security Incident Emergency Management Regulations of CITIC Securities Co., Ltd., which define the organizational structure of emergency response work, emergency respon"&amp;"se procedures, etc., and developed emergency drill plans for four scenarios.")</f>
        <v>Measures: Improve the network security system, manage data backups, optimize security technologies, and manage physical security. Detailed description: 49 CITIC Securities 2022 Annual Social Responsibility Report Based on the Information System Emergency Management Measures of CITIC Securities Co., Ltd., the Company has formulated the Data Security Incident Emergency Management Regulations of CITIC Securities Co., Ltd., which define the organizational structure of emergency response work, emergency response procedures, etc., and developed emergency drill plans for four scenarios.</v>
      </c>
      <c r="B5547" s="1" t="str">
        <f ca="1">IFERROR(__xludf.DUMMYFUNCTION("GOOGLETRANSLATE(A5547, ""zh"", ""en"")"),"Data security")</f>
        <v>Data security</v>
      </c>
      <c r="C5547" s="1" t="str">
        <f ca="1">IFERROR(__xludf.DUMMYFUNCTION("GOOGLETRANSLATE(E5547, ""zh"", ""en"")"),"Qualitative text")</f>
        <v>Qualitative text</v>
      </c>
    </row>
    <row r="5548" spans="1:3" ht="13" x14ac:dyDescent="0.15">
      <c r="A5548" s="1" t="str">
        <f ca="1">IFERROR(__xludf.DUMMYFUNCTION("GOOGLETRANSLATE(A5548, ""zh"", ""en"")"),"The company integrates the leadership of the Party into the entire governance process, implements the pre-decision-making procedures of the Party Committee on major issues, and takes the three meetings and one level as the starting point to establish a co"&amp;"rporate governance mechanism in which the shareholders' meeting has overall control, the board of directors makes operational decisions, and the board of supervisors supervises the senior management's implementation in accordance with the law. It has esta"&amp;"blished a legal person governance structure with scientific decision-making, strong execution, effective supervision, and standardized operation, effectively improving the professionalism and effectiveness of the three meetings and one level in performing"&amp;" their duties, and comprehensively promoting the modernization of the company's governance system and governance capabilities.")</f>
        <v>The company integrates the leadership of the Party into the entire governance process, implements the pre-decision-making procedures of the Party Committee on major issues, and takes the three meetings and one level as the starting point to establish a corporate governance mechanism in which the shareholders' meeting has overall control, the board of directors makes operational decisions, and the board of supervisors supervises the senior management's implementation in accordance with the law. It has established a legal person governance structure with scientific decision-making, strong execution, effective supervision, and standardized operation, effectively improving the professionalism and effectiveness of the three meetings and one level in performing their duties, and comprehensively promoting the modernization of the company's governance system and governance capabilities.</v>
      </c>
      <c r="B5548" s="1" t="str">
        <f ca="1">IFERROR(__xludf.DUMMYFUNCTION("GOOGLETRANSLATE(A5548, ""zh"", ""en"")"),"Organizational structure and operations")</f>
        <v>Organizational structure and operations</v>
      </c>
      <c r="C5548" s="1" t="str">
        <f ca="1">IFERROR(__xludf.DUMMYFUNCTION("GOOGLETRANSLATE(E5548, ""zh"", ""en"")"),"Qualitative text")</f>
        <v>Qualitative text</v>
      </c>
    </row>
    <row r="5549" spans="1:3" ht="13" x14ac:dyDescent="0.15">
      <c r="A5549" s="1" t="str">
        <f ca="1">IFERROR(__xludf.DUMMYFUNCTION("GOOGLETRANSLATE(A5549, ""zh"", ""en"")"),"In 2022, the Guangying Huinong Photovoltaic Project and related trust products continued to operate, supporting a total of 47 farmers to install solar panels on their rooftops. Essence Securities held a training course on enhancing the rural revitalizatio"&amp;"n capabilities of grassroots cadres in Luodian County. The training course, jointly organized by Essence Securities Co., Ltd., the China Rural Development Foundation, and the Luodian County People's Government, successfully concluded at the Huajiachi Camp"&amp;"us of Zhejiang University.")</f>
        <v>In 2022, the Guangying Huinong Photovoltaic Project and related trust products continued to operate, supporting a total of 47 farmers to install solar panels on their rooftops. Essence Securities held a training course on enhancing the rural revitalization capabilities of grassroots cadres in Luodian County. The training course, jointly organized by Essence Securities Co., Ltd., the China Rural Development Foundation, and the Luodian County People's Government, successfully concluded at the Huajiachi Campus of Zhejiang University.</v>
      </c>
      <c r="B5549" s="1" t="str">
        <f ca="1">IFERROR(__xludf.DUMMYFUNCTION("GOOGLETRANSLATE(A5549, ""zh"", ""en"")"),"Rural assistance")</f>
        <v>Rural assistance</v>
      </c>
      <c r="C5549" s="1" t="str">
        <f ca="1">IFERROR(__xludf.DUMMYFUNCTION("GOOGLETRANSLATE(E5549, ""zh"", ""en"")"),"Quantitative Text")</f>
        <v>Quantitative Text</v>
      </c>
    </row>
    <row r="5550" spans="1:3" ht="13" x14ac:dyDescent="0.15">
      <c r="A5550" s="1" t="str">
        <f ca="1">IFERROR(__xludf.DUMMYFUNCTION("GOOGLETRANSLATE(A5550, ""zh"", ""en"")"),"Focusing on comprehensive learning, comprehensive understanding, and comprehensive implementation, COSL's 2022 ESG Report 9 focuses on high-quality development and solidly promotes the integration of Party building and consolidation. Party secretaries at "&amp;"all levels firmly establish the concept that strengthening Party building is to grasp development, take the lead in focusing on the needs of reform and development, the urgent needs of production and operations, and the expectations of employees and the p"&amp;"ublic, lead the secretaries' projects, set an example, and tackle tough problems, creating a vivid situation in which secretaries are in charge of secretaries.")</f>
        <v>Focusing on comprehensive learning, comprehensive understanding, and comprehensive implementation, COSL's 2022 ESG Report 9 focuses on high-quality development and solidly promotes the integration of Party building and consolidation. Party secretaries at all levels firmly establish the concept that strengthening Party building is to grasp development, take the lead in focusing on the needs of reform and development, the urgent needs of production and operations, and the expectations of employees and the public, lead the secretaries' projects, set an example, and tackle tough problems, creating a vivid situation in which secretaries are in charge of secretaries.</v>
      </c>
      <c r="B5550" s="1" t="str">
        <f ca="1">IFERROR(__xludf.DUMMYFUNCTION("GOOGLETRANSLATE(A5550, ""zh"", ""en"")"),"Organizational structure and operations")</f>
        <v>Organizational structure and operations</v>
      </c>
      <c r="C5550" s="1" t="str">
        <f ca="1">IFERROR(__xludf.DUMMYFUNCTION("GOOGLETRANSLATE(E5550, ""zh"", ""en"")"),"Qualitative text")</f>
        <v>Qualitative text</v>
      </c>
    </row>
    <row r="5551" spans="1:3" ht="13" x14ac:dyDescent="0.15">
      <c r="A5551" s="1" t="str">
        <f ca="1">IFERROR(__xludf.DUMMYFUNCTION("GOOGLETRANSLATE(A5551, ""zh"", ""en"")"),"Customer Privacy and Security The company strictly fulfills the customer information protection obligations stipulated in the Personal Information Protection Law and the Consumer Rights Protection Law. It has established a comprehensive customer informati"&amp;"on management system, including supplier establishment years, annual sales, quality system, quality control capabilities, technical capabilities, supplier qualification review, and a strict security management system. At each stage of the customer informa"&amp;"tion lifecycle, encryption, desensitization, de-identification, and permissions are adopted, as well as supplier on-site review.")</f>
        <v>Customer Privacy and Security The company strictly fulfills the customer information protection obligations stipulated in the Personal Information Protection Law and the Consumer Rights Protection Law. It has established a comprehensive customer information management system, including supplier establishment years, annual sales, quality system, quality control capabilities, technical capabilities, supplier qualification review, and a strict security management system. At each stage of the customer information lifecycle, encryption, desensitization, de-identification, and permissions are adopted, as well as supplier on-site review.</v>
      </c>
      <c r="B5551" s="1" t="str">
        <f ca="1">IFERROR(__xludf.DUMMYFUNCTION("GOOGLETRANSLATE(A5551, ""zh"", ""en"")"),"Customers and Consumers")</f>
        <v>Customers and Consumers</v>
      </c>
      <c r="C5551" s="1" t="str">
        <f ca="1">IFERROR(__xludf.DUMMYFUNCTION("GOOGLETRANSLATE(E5551, ""zh"", ""en"")"),"Qualitative text")</f>
        <v>Qualitative text</v>
      </c>
    </row>
    <row r="5552" spans="1:3" ht="13" x14ac:dyDescent="0.15">
      <c r="A5552" s="1" t="str">
        <f ca="1">IFERROR(__xludf.DUMMYFUNCTION("GOOGLETRANSLATE(A5552, ""zh"", ""en"")"),"Table 2022 Kangyuan Environmental Compliance Operation Target Indicators Annual Target Completion Wastewater and Waste Gas Emission Compliance Rate 100 Completed Major Environmental Pollution Accidents 0 Completed Annual Environmental Penalties 0 Complete"&amp;"d 67 2022 Social Responsibility Report 8.1.2 Management Structure To effectively improve the Group's EHS management level, Kangyuan continues to optimize its EHS management structure and refers to the EHS Management Manual to break down responsibilities l"&amp;"ayer by layer and implement them in practice.")</f>
        <v>Table 2022 Kangyuan Environmental Compliance Operation Target Indicators Annual Target Completion Wastewater and Waste Gas Emission Compliance Rate 100 Completed Major Environmental Pollution Accidents 0 Completed Annual Environmental Penalties 0 Completed 67 2022 Social Responsibility Report 8.1.2 Management Structure To effectively improve the Group's EHS management level, Kangyuan continues to optimize its EHS management structure and refers to the EHS Management Manual to break down responsibilities layer by layer and implement them in practice.</v>
      </c>
      <c r="B5552" s="1" t="str">
        <f ca="1">IFERROR(__xludf.DUMMYFUNCTION("GOOGLETRANSLATE(A5552, ""zh"", ""en"")"),"Environmental penalties")</f>
        <v>Environmental penalties</v>
      </c>
      <c r="C5552" s="1" t="str">
        <f ca="1">IFERROR(__xludf.DUMMYFUNCTION("GOOGLETRANSLATE(E5552, ""zh"", ""en"")"),"Quantitative Text")</f>
        <v>Quantitative Text</v>
      </c>
    </row>
    <row r="5553" spans="1:3" ht="13" x14ac:dyDescent="0.15">
      <c r="A5553" s="1" t="str">
        <f ca="1">IFERROR(__xludf.DUMMYFUNCTION("GOOGLETRANSLATE(A5553, ""zh"", ""en"")"),"Statement of the Board 02 Social Responsibility Management System - Social Responsibility Management Reporting Principles Describe or explain how the following reporting principles are applied in the preparation of the Environmental, Social and Governance"&amp;" Report. Materiality: The Environmental, Social and Governance Report should disclose: i) the process for identifying significant environmental, social and governance factors and the criteria for selecting these factors; ii) if the issuer has conducted st"&amp;"akeholder engagement, a description of the significant stakeholders identified and the issuer's stakeholder engagement process and results.")</f>
        <v>Statement of the Board 02 Social Responsibility Management System - Social Responsibility Management Reporting Principles Describe or explain how the following reporting principles are applied in the preparation of the Environmental, Social and Governance Report. Materiality: The Environmental, Social and Governance Report should disclose: i) the process for identifying significant environmental, social and governance factors and the criteria for selecting these factors; ii) if the issuer has conducted stakeholder engagement, a description of the significant stakeholders identified and the issuer's stakeholder engagement process and results.</v>
      </c>
      <c r="B5553" s="1" t="str">
        <f ca="1">IFERROR(__xludf.DUMMYFUNCTION("GOOGLETRANSLATE(A5553, ""zh"", ""en"")"),"Organizational structure and operations")</f>
        <v>Organizational structure and operations</v>
      </c>
      <c r="C5553" s="1" t="str">
        <f ca="1">IFERROR(__xludf.DUMMYFUNCTION("GOOGLETRANSLATE(E5553, ""zh"", ""en"")"),"Qualitative text")</f>
        <v>Qualitative text</v>
      </c>
    </row>
    <row r="5554" spans="1:3" ht="13" x14ac:dyDescent="0.15">
      <c r="A5554" s="1" t="str">
        <f ca="1">IFERROR(__xludf.DUMMYFUNCTION("GOOGLETRANSLATE(A5554, ""zh"", ""en"")"),"Fosun Pharma Group's HR strategy is centered on the 4IN strategy outlined in this collection. It aims to drive organizational change from specialized capabilities to innovative capabilities, fulfilling the company's mission and achieving strategic goals. "&amp;"It provides organizational value reconstruction, planning, and development opportunities, guiding talent development with a value-driven approach. It also ensures cross-disciplinary, professional, and efficient organizational talent development, including"&amp;" organizational structure and cultural aspects, ensuring open symbiosis. Through intelligent operations, it further optimizes HR infrastructure, streamlines operational processes, and provides shared knowledge.")</f>
        <v>Fosun Pharma Group's HR strategy is centered on the 4IN strategy outlined in this collection. It aims to drive organizational change from specialized capabilities to innovative capabilities, fulfilling the company's mission and achieving strategic goals. It provides organizational value reconstruction, planning, and development opportunities, guiding talent development with a value-driven approach. It also ensures cross-disciplinary, professional, and efficient organizational talent development, including organizational structure and cultural aspects, ensuring open symbiosis. Through intelligent operations, it further optimizes HR infrastructure, streamlines operational processes, and provides shared knowledge.</v>
      </c>
      <c r="B5554" s="1" t="str">
        <f ca="1">IFERROR(__xludf.DUMMYFUNCTION("GOOGLETRANSLATE(A5554, ""zh"", ""en"")"),"staff")</f>
        <v>staff</v>
      </c>
      <c r="C5554" s="1" t="str">
        <f ca="1">IFERROR(__xludf.DUMMYFUNCTION("GOOGLETRANSLATE(E5554, ""zh"", ""en"")"),"Qualitative text")</f>
        <v>Qualitative text</v>
      </c>
    </row>
    <row r="5555" spans="1:3" ht="13" x14ac:dyDescent="0.15">
      <c r="A5555" s="1" t="str">
        <f ca="1">IFERROR(__xludf.DUMMYFUNCTION("GOOGLETRANSLATE(A5555, ""zh"", ""en"")"),"Regulators and the capital market highly recognize Kangyuan's information disclosure work. In August 2022, we were again awarded the highest grade A (Excellent) in the Shanghai Stock Exchange's evaluation of listed companies' information disclosure work f"&amp;"rom 2021 to 2022. In December 2022, we won the 2022 Outstanding Practice Case Award for the Board Office of Listed Companies in the Best Practice Selection of Listed Companies held by the China Association of Listed Companies.")</f>
        <v>Regulators and the capital market highly recognize Kangyuan's information disclosure work. In August 2022, we were again awarded the highest grade A (Excellent) in the Shanghai Stock Exchange's evaluation of listed companies' information disclosure work from 2021 to 2022. In December 2022, we won the 2022 Outstanding Practice Case Award for the Board Office of Listed Companies in the Best Practice Selection of Listed Companies held by the China Association of Listed Companies.</v>
      </c>
      <c r="B5555" s="1" t="str">
        <f ca="1">IFERROR(__xludf.DUMMYFUNCTION("GOOGLETRANSLATE(A5555, ""zh"", ""en"")"),"Information Disclosure and Investor Communication")</f>
        <v>Information Disclosure and Investor Communication</v>
      </c>
      <c r="C5555" s="1" t="str">
        <f ca="1">IFERROR(__xludf.DUMMYFUNCTION("GOOGLETRANSLATE(E5555, ""zh"", ""en"")"),"Quantitative Text")</f>
        <v>Quantitative Text</v>
      </c>
    </row>
    <row r="5556" spans="1:3" ht="13" x14ac:dyDescent="0.15">
      <c r="A5556" s="1" t="str">
        <f ca="1">IFERROR(__xludf.DUMMYFUNCTION("GOOGLETRANSLATE(A5556, ""zh"", ""en"")"),"In order to reasonably ensure the legality and compliance of corporate operations and management, the security of assets, the completeness of financial reports and related information, the company revised the new internal control manual in 2022 in accorda"&amp;"nce with the basic internal control standards and supporting guidelines issued by five ministries and commissions including the Ministry of Finance and the China Securities Regulatory Commission, and combined with the company's current business situation,"&amp;" to clarify the management of business control.")</f>
        <v>In order to reasonably ensure the legality and compliance of corporate operations and management, the security of assets, the completeness of financial reports and related information, the company revised the new internal control manual in 2022 in accordance with the basic internal control standards and supporting guidelines issued by five ministries and commissions including the Ministry of Finance and the China Securities Regulatory Commission, and combined with the company's current business situation, to clarify the management of business control.</v>
      </c>
      <c r="B5556" s="1" t="str">
        <f ca="1">IFERROR(__xludf.DUMMYFUNCTION("GOOGLETRANSLATE(A5556, ""zh"", ""en"")"),"Audit work")</f>
        <v>Audit work</v>
      </c>
      <c r="C5556" s="1" t="str">
        <f ca="1">IFERROR(__xludf.DUMMYFUNCTION("GOOGLETRANSLATE(E5556, ""zh"", ""en"")"),"Qualitative text")</f>
        <v>Qualitative text</v>
      </c>
    </row>
    <row r="5557" spans="1:3" ht="13" x14ac:dyDescent="0.15">
      <c r="A5557" s="1" t="str">
        <f ca="1">IFERROR(__xludf.DUMMYFUNCTION("GOOGLETRANSLATE(A5557, ""zh"", ""en"")"),"About This Report: Chairman's Statement; Statement of the Board of Directors; About Haier Smart Home; Appendix 9796: Environmental, Social and Governance Report of Haier Smart Home Co., Ltd.; About This Report: Chairman's Statement; Statement of the Board"&amp;" of Directors; About Haier Smart Home: Sanyi Bird Selected for China's 500 Most Valuable Brands; On July 26, 2022, the World Brand Lab released the 2022 list of China's 500 Most Valuable Brands. Haier Smart Home's Sanyi Bird rose 21 places in the ranking.")</f>
        <v>About This Report: Chairman's Statement; Statement of the Board of Directors; About Haier Smart Home; Appendix 9796: Environmental, Social and Governance Report of Haier Smart Home Co., Ltd.; About This Report: Chairman's Statement; Statement of the Board of Directors; About Haier Smart Home: Sanyi Bird Selected for China's 500 Most Valuable Brands; On July 26, 2022, the World Brand Lab released the 2022 list of China's 500 Most Valuable Brands. Haier Smart Home's Sanyi Bird rose 21 places in the ranking.</v>
      </c>
      <c r="B5557" s="1" t="str">
        <f ca="1">IFERROR(__xludf.DUMMYFUNCTION("GOOGLETRANSLATE(A5557, ""zh"", ""en"")"),"Technological innovation")</f>
        <v>Technological innovation</v>
      </c>
      <c r="C5557" s="1" t="str">
        <f ca="1">IFERROR(__xludf.DUMMYFUNCTION("GOOGLETRANSLATE(E5557, ""zh"", ""en"")"),"Quantitative Text")</f>
        <v>Quantitative Text</v>
      </c>
    </row>
    <row r="5558" spans="1:3" ht="13" x14ac:dyDescent="0.15">
      <c r="A5558" s="1" t="str">
        <f ca="1">IFERROR(__xludf.DUMMYFUNCTION("GOOGLETRANSLATE(A5558, ""zh"", ""en"")"),"3334 Green and Low-Carbon Boosts Carbon Neutrality Progress. Total environmental protection investment: RMB 68.662 million. Production safety investment: RMB 23.2984 million. Carbon dioxide emissions decreased by 7.48. Key Performance Safety and Environme"&amp;"ntal Management System. In February 2022, Xinjiang Uygur Medicine held a signing ceremony for the 2022 Safety Target Responsibility Letter, implementing safety work goals, safety work responsibilities, and safety control measures into EHS management to st"&amp;"rengthen safety defenses.")</f>
        <v>3334 Green and Low-Carbon Boosts Carbon Neutrality Progress. Total environmental protection investment: RMB 68.662 million. Production safety investment: RMB 23.2984 million. Carbon dioxide emissions decreased by 7.48. Key Performance Safety and Environmental Management System. In February 2022, Xinjiang Uygur Medicine held a signing ceremony for the 2022 Safety Target Responsibility Letter, implementing safety work goals, safety work responsibilities, and safety control measures into EHS management to strengthen safety defenses.</v>
      </c>
      <c r="B5558" s="1" t="str">
        <f ca="1">IFERROR(__xludf.DUMMYFUNCTION("GOOGLETRANSLATE(A5558, ""zh"", ""en"")"),"carbon emissions")</f>
        <v>carbon emissions</v>
      </c>
      <c r="C5558" s="1" t="str">
        <f ca="1">IFERROR(__xludf.DUMMYFUNCTION("GOOGLETRANSLATE(E5558, ""zh"", ""en"")"),"Quantitative Text")</f>
        <v>Quantitative Text</v>
      </c>
    </row>
    <row r="5559" spans="1:3" ht="13" x14ac:dyDescent="0.15">
      <c r="A5559" s="1" t="str">
        <f ca="1">IFERROR(__xludf.DUMMYFUNCTION("GOOGLETRANSLATE(A5559, ""zh"", ""en"")"),"The company continues to improve its HSE health, safety and environmental management system and will officially release the HSE management system manual in 2022. Each enterprise has issued its own version of the HSE management system manual based on its o"&amp;"wn production and operation characteristics. The company has formed an environmental protection system with 16 systems as the main body, including environmental information management methods, ecological environmental incident management methods, ecologic"&amp;"al environmental incident accountability management methods, special emergency plans for sudden environmental incidents, and radiation management methods.")</f>
        <v>The company continues to improve its HSE health, safety and environmental management system and will officially release the HSE management system manual in 2022. Each enterprise has issued its own version of the HSE management system manual based on its own production and operation characteristics. The company has formed an environmental protection system with 16 systems as the main body, including environmental information management methods, ecological environmental incident management methods, ecological environmental incident accountability management methods, special emergency plans for sudden environmental incidents, and radiation management methods.</v>
      </c>
      <c r="B5559" s="1" t="str">
        <f ca="1">IFERROR(__xludf.DUMMYFUNCTION("GOOGLETRANSLATE(A5559, ""zh"", ""en"")"),"Environmental Policy")</f>
        <v>Environmental Policy</v>
      </c>
      <c r="C5559" s="1" t="str">
        <f ca="1">IFERROR(__xludf.DUMMYFUNCTION("GOOGLETRANSLATE(E5559, ""zh"", ""en"")"),"Quantitative Text")</f>
        <v>Quantitative Text</v>
      </c>
    </row>
    <row r="5560" spans="1:3" ht="13" x14ac:dyDescent="0.15">
      <c r="A5560" s="1" t="str">
        <f ca="1">IFERROR(__xludf.DUMMYFUNCTION("GOOGLETRANSLATE(A5560, ""zh"", ""en"")"),"Quality Management The company strictly abides by the Product Measurement Law of the People's Republic of China, the Measurement Law of the People's Republic of China, the Standardization Law of the People's Republic of China and other laws and regulation"&amp;"s, and has formulated the Quality Management Measures for Finished Oil and Natural Gas, the Regulations on Quality Risk Management for Finished Oil and Natural Gas, and the Work Standards for the Finished Oil and Natural Gas Quality Inspection Office, and"&amp;" other management systems to strictly control quality risks, fulfilling the social responsibility of ""Every Drop of Oil is a Commitment"" and dedicating itself to providing consumers with safe and high-quality products.")</f>
        <v>Quality Management The company strictly abides by the Product Measurement Law of the People's Republic of China, the Measurement Law of the People's Republic of China, the Standardization Law of the People's Republic of China and other laws and regulations, and has formulated the Quality Management Measures for Finished Oil and Natural Gas, the Regulations on Quality Risk Management for Finished Oil and Natural Gas, and the Work Standards for the Finished Oil and Natural Gas Quality Inspection Office, and other management systems to strictly control quality risks, fulfilling the social responsibility of "Every Drop of Oil is a Commitment" and dedicating itself to providing consumers with safe and high-quality products.</v>
      </c>
      <c r="B5560" s="1" t="str">
        <f ca="1">IFERROR(__xludf.DUMMYFUNCTION("GOOGLETRANSLATE(A5560, ""zh"", ""en"")"),"Product quality")</f>
        <v>Product quality</v>
      </c>
      <c r="C5560" s="1" t="str">
        <f ca="1">IFERROR(__xludf.DUMMYFUNCTION("GOOGLETRANSLATE(E5560, ""zh"", ""en"")"),"Qualitative text")</f>
        <v>Qualitative text</v>
      </c>
    </row>
    <row r="5561" spans="1:3" ht="13" x14ac:dyDescent="0.15">
      <c r="A5561" s="1" t="str">
        <f ca="1">IFERROR(__xludf.DUMMYFUNCTION("GOOGLETRANSLATE(A5561, ""zh"", ""en"")"),"Case studies of diversified pension finance services include the launch of the China Pension Initiative themed investment education campaign. China Construction Bank launched the China Pension Initiative themed investment education campaign, ""Lighting Up"&amp;" Ten Cities,"" and collaborated with over 20 professional wealth management institutions to conduct roundtable forums focused on pensions, visiting communities and businesses, and other diverse activities in 10 cities, including Beijing, Shanghai, Guangzh"&amp;"ou, Shenzhen, Chengdu, Xi'an, Qingdao, Nanjing, Xiamen, and Changsha. (China Construction Bank Co., Ltd. 2022 Social Responsibility Report 34)")</f>
        <v>Case studies of diversified pension finance services include the launch of the China Pension Initiative themed investment education campaign. China Construction Bank launched the China Pension Initiative themed investment education campaign, "Lighting Up Ten Cities," and collaborated with over 20 professional wealth management institutions to conduct roundtable forums focused on pensions, visiting communities and businesses, and other diverse activities in 10 cities, including Beijing, Shanghai, Guangzhou, Shenzhen, Chengdu, Xi'an, Qingdao, Nanjing, Xiamen, and Changsha. (China Construction Bank Co., Ltd. 2022 Social Responsibility Report 34)</v>
      </c>
      <c r="B5561" s="1" t="str">
        <f ca="1">IFERROR(__xludf.DUMMYFUNCTION("GOOGLETRANSLATE(A5561, ""zh"", ""en"")"),"Public welfare and volunteer service")</f>
        <v>Public welfare and volunteer service</v>
      </c>
      <c r="C5561" s="1" t="str">
        <f ca="1">IFERROR(__xludf.DUMMYFUNCTION("GOOGLETRANSLATE(E5561, ""zh"", ""en"")"),"Quantitative Text")</f>
        <v>Quantitative Text</v>
      </c>
    </row>
    <row r="5562" spans="1:3" ht="13" x14ac:dyDescent="0.15">
      <c r="A5562" s="1" t="str">
        <f ca="1">IFERROR(__xludf.DUMMYFUNCTION("GOOGLETRANSLATE(A5562, ""zh"", ""en"")"),"In order to enrich everyone's spare time and improve their physical fitness, Dima Industry established the Dima Fitness Club, an interactive communication platform, to enrich employees' business life, improve their physical fitness, and enhance their cohe"&amp;"sion and sense of unity. Currently, there are 8 associations with a total of more than 150 members, and more than 70 activities have been held, providing more interactive communication platforms for everyone. In 2022, the company organized badminton, tabl"&amp;"e tennis, basketball, football, running, yoga and other activities.")</f>
        <v>In order to enrich everyone's spare time and improve their physical fitness, Dima Industry established the Dima Fitness Club, an interactive communication platform, to enrich employees' business life, improve their physical fitness, and enhance their cohesion and sense of unity. Currently, there are 8 associations with a total of more than 150 members, and more than 70 activities have been held, providing more interactive communication platforms for everyone. In 2022, the company organized badminton, table tennis, basketball, football, running, yoga and other activities.</v>
      </c>
      <c r="B5562" s="1" t="str">
        <f ca="1">IFERROR(__xludf.DUMMYFUNCTION("GOOGLETRANSLATE(A5562, ""zh"", ""en"")"),"staff")</f>
        <v>staff</v>
      </c>
      <c r="C5562" s="1" t="str">
        <f ca="1">IFERROR(__xludf.DUMMYFUNCTION("GOOGLETRANSLATE(E5562, ""zh"", ""en"")"),"Quantitative Text")</f>
        <v>Quantitative Text</v>
      </c>
    </row>
    <row r="5563" spans="1:3" ht="13" x14ac:dyDescent="0.15">
      <c r="A5563" s="1" t="str">
        <f ca="1">IFERROR(__xludf.DUMMYFUNCTION("GOOGLETRANSLATE(A5563, ""zh"", ""en"")"),"We strictly abide by the 1930 Forced Labour Convention, the 1957 Abolition of Forced Labour Convention, the Convention on the Prohibition and Immediate Action for the Elimination of the Worst Forms of Child Labour, the International Labour Organization's "&amp;"Convention on the Prohibition and Immediate Action for the Elimination of Child Labour, as well as the provisions of national laws on the protection of minors prohibiting the use of child labour, and the laws of the countries and regions where we operate "&amp;"overseas on the prohibition of child labour and forced labour. We prohibit the use of child labour and resist all forms of forced and compulsory labour.")</f>
        <v>We strictly abide by the 1930 Forced Labour Convention, the 1957 Abolition of Forced Labour Convention, the Convention on the Prohibition and Immediate Action for the Elimination of the Worst Forms of Child Labour, the International Labour Organization's Convention on the Prohibition and Immediate Action for the Elimination of Child Labour, as well as the provisions of national laws on the protection of minors prohibiting the use of child labour, and the laws of the countries and regions where we operate overseas on the prohibition of child labour and forced labour. We prohibit the use of child labour and resist all forms of forced and compulsory labour.</v>
      </c>
      <c r="B5563" s="1" t="str">
        <f ca="1">IFERROR(__xludf.DUMMYFUNCTION("GOOGLETRANSLATE(A5563, ""zh"", ""en"")"),"staff")</f>
        <v>staff</v>
      </c>
      <c r="C5563" s="1" t="str">
        <f ca="1">IFERROR(__xludf.DUMMYFUNCTION("GOOGLETRANSLATE(E5563, ""zh"", ""en"")"),"Qualitative text")</f>
        <v>Qualitative text</v>
      </c>
    </row>
    <row r="5564" spans="1:3" ht="13" x14ac:dyDescent="0.15">
      <c r="A5564" s="1" t="str">
        <f ca="1">IFERROR(__xludf.DUMMYFUNCTION("GOOGLETRANSLATE(A5564, ""zh"", ""en"")"),"China National Petroleum Corporation 2022 Environmental, Social and Governance Report 72 Optimize and improve the market-based remuneration distribution mechanism. Improve the differentiated total wage determination mechanism linked to performance and eff"&amp;"iciency. Increase remuneration incentives for core backbone personnel. In 2022, we will improve the remuneration and benefits system. The company's remuneration distribution work closely focuses on improving quality, efficiency, talent and enterprise deve"&amp;"lopment, and continuously improves and perfects the market-based remuneration distribution mechanism and benefits system.")</f>
        <v>China National Petroleum Corporation 2022 Environmental, Social and Governance Report 72 Optimize and improve the market-based remuneration distribution mechanism. Improve the differentiated total wage determination mechanism linked to performance and efficiency. Increase remuneration incentives for core backbone personnel. In 2022, we will improve the remuneration and benefits system. The company's remuneration distribution work closely focuses on improving quality, efficiency, talent and enterprise development, and continuously improves and perfects the market-based remuneration distribution mechanism and benefits system.</v>
      </c>
      <c r="B5564" s="1" t="str">
        <f ca="1">IFERROR(__xludf.DUMMYFUNCTION("GOOGLETRANSLATE(A5564, ""zh"", ""en"")"),"staff")</f>
        <v>staff</v>
      </c>
      <c r="C5564" s="1" t="str">
        <f ca="1">IFERROR(__xludf.DUMMYFUNCTION("GOOGLETRANSLATE(E5564, ""zh"", ""en"")"),"Qualitative text")</f>
        <v>Qualitative text</v>
      </c>
    </row>
    <row r="5565" spans="1:3" ht="13" x14ac:dyDescent="0.15">
      <c r="A5565" s="1" t="str">
        <f ca="1">IFERROR(__xludf.DUMMYFUNCTION("GOOGLETRANSLATE(A5565, ""zh"", ""en"")"),"ESG Governance Role of the Board of Directors, ESG Management Strategy and Policy, Objectives, Indicators, and Review Progress, Board of Directors of Sinopec Corporation, March 24, 2023. The Company's principal oil and gas assets are located in China. The"&amp;" Company has only four equity-holding oil and gas projects overseas: the UDM project in Russia, the Block 18 project in Angola, the CIR project in Kazakhstan, and the Holy Lake Energy project in Colombia. The Company does not have any other overseas oil a"&amp;"nd gas project assets.")</f>
        <v>ESG Governance Role of the Board of Directors, ESG Management Strategy and Policy, Objectives, Indicators, and Review Progress, Board of Directors of Sinopec Corporation, March 24, 2023. The Company's principal oil and gas assets are located in China. The Company has only four equity-holding oil and gas projects overseas: the UDM project in Russia, the Block 18 project in Angola, the CIR project in Kazakhstan, and the Holy Lake Energy project in Colombia. The Company does not have any other overseas oil and gas project assets.</v>
      </c>
      <c r="B5565" s="1" t="str">
        <f ca="1">IFERROR(__xludf.DUMMYFUNCTION("GOOGLETRANSLATE(A5565, ""zh"", ""en"")"),"Organizational structure and operations")</f>
        <v>Organizational structure and operations</v>
      </c>
      <c r="C5565" s="1" t="str">
        <f ca="1">IFERROR(__xludf.DUMMYFUNCTION("GOOGLETRANSLATE(E5565, ""zh"", ""en"")"),"Quantitative Text")</f>
        <v>Quantitative Text</v>
      </c>
    </row>
    <row r="5566" spans="1:3" ht="13" x14ac:dyDescent="0.15">
      <c r="A5566" s="1" t="str">
        <f ca="1">IFERROR(__xludf.DUMMYFUNCTION("GOOGLETRANSLATE(A5566, ""zh"", ""en"")"),"In terms of organized waste gas treatment, we have completed the low-nitrogen combustion transformation of the thermal oil boiler, the waste gas treatment of the first rubber dipping plant, the waste gas treatment of the burning boiler of the first raw si"&amp;"lk plant, the waste gas treatment of the second rubber dipping plant, and other waste gas treatment projects. In terms of unorganized waste gas treatment, we have completed the waste gas collection and treatment of the sewage treatment station, the unorga"&amp;"nized gas collection and treatment of the rubber dipping workshop, and other projects. We have carried out LDAR leakage repair and detection to further reduce the occupational health hazards and unorganized emission levels at the production site.")</f>
        <v>In terms of organized waste gas treatment, we have completed the low-nitrogen combustion transformation of the thermal oil boiler, the waste gas treatment of the first rubber dipping plant, the waste gas treatment of the burning boiler of the first raw silk plant, the waste gas treatment of the second rubber dipping plant, and other waste gas treatment projects. In terms of unorganized waste gas treatment, we have completed the waste gas collection and treatment of the sewage treatment station, the unorganized gas collection and treatment of the rubber dipping workshop, and other projects. We have carried out LDAR leakage repair and detection to further reduce the occupational health hazards and unorganized emission levels at the production site.</v>
      </c>
      <c r="B5566" s="1" t="str">
        <f ca="1">IFERROR(__xludf.DUMMYFUNCTION("GOOGLETRANSLATE(A5566, ""zh"", ""en"")"),"Waste Management")</f>
        <v>Waste Management</v>
      </c>
      <c r="C5566" s="1" t="str">
        <f ca="1">IFERROR(__xludf.DUMMYFUNCTION("GOOGLETRANSLATE(E5566, ""zh"", ""en"")"),"Qualitative text")</f>
        <v>Qualitative text</v>
      </c>
    </row>
    <row r="5567" spans="1:3" ht="13" x14ac:dyDescent="0.15">
      <c r="A5567" s="1" t="str">
        <f ca="1">IFERROR(__xludf.DUMMYFUNCTION("GOOGLETRANSLATE(A5567, ""zh"", ""en"")"),"Risk Management: Climate change presents potential challenges for us. Our industries and economies face both physical risks and transition risks. Physical risks refer to the direct impacts of climate change, such as extreme weather events, sea level rise,"&amp;" droughts, floods, blizzards, etc., which affect a company's physical assets, infrastructure, supply chain, and operations. Transition risks refer to the risks that companies may face when responding to climate change and transitioning to a low-carbon eco"&amp;"nomy.")</f>
        <v>Risk Management: Climate change presents potential challenges for us. Our industries and economies face both physical risks and transition risks. Physical risks refer to the direct impacts of climate change, such as extreme weather events, sea level rise, droughts, floods, blizzards, etc., which affect a company's physical assets, infrastructure, supply chain, and operations. Transition risks refer to the risks that companies may face when responding to climate change and transitioning to a low-carbon economy.</v>
      </c>
      <c r="B5567" s="1" t="str">
        <f ca="1">IFERROR(__xludf.DUMMYFUNCTION("GOOGLETRANSLATE(A5567, ""zh"", ""en"")"),"Addressing climate change")</f>
        <v>Addressing climate change</v>
      </c>
      <c r="C5567" s="1" t="str">
        <f ca="1">IFERROR(__xludf.DUMMYFUNCTION("GOOGLETRANSLATE(E5567, ""zh"", ""en"")"),"Qualitative text")</f>
        <v>Qualitative text</v>
      </c>
    </row>
    <row r="5568" spans="1:3" ht="13" x14ac:dyDescent="0.15">
      <c r="A5568" s="1" t="str">
        <f ca="1">IFERROR(__xludf.DUMMYFUNCTION("GOOGLETRANSLATE(A5568, ""zh"", ""en"")"),"Tianxuan Energy Meal 11:00-12:00 Badaguan Conference Room Sunshine Fertilizer Democratic Management and Communication The company values ​​communication and interaction with employees. To continuously create a warm, fair, healthy, and harmonious working e"&amp;"nvironment, the company has established multiple communication and feedback channels. The National Day celebrations were mainly celebrated through democratic forums, employee voice suggestion boxes, code resolution hotlines, online emails, grassroots surv"&amp;"eys, and other channels to collect information and provide feedback to address hot and difficult issues of concern to employees.")</f>
        <v>Tianxuan Energy Meal 11:00-12:00 Badaguan Conference Room Sunshine Fertilizer Democratic Management and Communication The company values ​​communication and interaction with employees. To continuously create a warm, fair, healthy, and harmonious working environment, the company has established multiple communication and feedback channels. The National Day celebrations were mainly celebrated through democratic forums, employee voice suggestion boxes, code resolution hotlines, online emails, grassroots surveys, and other channels to collect information and provide feedback to address hot and difficult issues of concern to employees.</v>
      </c>
      <c r="B5568" s="1" t="str">
        <f ca="1">IFERROR(__xludf.DUMMYFUNCTION("GOOGLETRANSLATE(A5568, ""zh"", ""en"")"),"staff")</f>
        <v>staff</v>
      </c>
      <c r="C5568" s="1" t="str">
        <f ca="1">IFERROR(__xludf.DUMMYFUNCTION("GOOGLETRANSLATE(E5568, ""zh"", ""en"")"),"Qualitative text")</f>
        <v>Qualitative text</v>
      </c>
    </row>
    <row r="5569" spans="1:3" ht="13" x14ac:dyDescent="0.15">
      <c r="A5569" s="1" t="str">
        <f ca="1">IFERROR(__xludf.DUMMYFUNCTION("GOOGLETRANSLATE(A5569, ""zh"", ""en"")"),"In terms of integrated circuits, Hisense Visual has released China's first fully self-developed 8K AI image quality chip. This is Hisense Visual's fifth-generation image quality chip, which has added AI image quality processing capabilities. By equipping "&amp;"it with artificial intelligence with deep neural network technology, it has achieved a leap from 4K to 8K. Compared with traditional image quality chips, it can achieve high-precision image processing, representing a breakthrough in the research and devel"&amp;"opment and industrialization of 8K key technology products in China's ultra-high-definition video industry.")</f>
        <v>In terms of integrated circuits, Hisense Visual has released China's first fully self-developed 8K AI image quality chip. This is Hisense Visual's fifth-generation image quality chip, which has added AI image quality processing capabilities. By equipping it with artificial intelligence with deep neural network technology, it has achieved a leap from 4K to 8K. Compared with traditional image quality chips, it can achieve high-precision image processing, representing a breakthrough in the research and development and industrialization of 8K key technology products in China's ultra-high-definition video industry.</v>
      </c>
      <c r="B5569" s="1" t="str">
        <f ca="1">IFERROR(__xludf.DUMMYFUNCTION("GOOGLETRANSLATE(A5569, ""zh"", ""en"")"),"Technological innovation")</f>
        <v>Technological innovation</v>
      </c>
      <c r="C5569" s="1" t="str">
        <f ca="1">IFERROR(__xludf.DUMMYFUNCTION("GOOGLETRANSLATE(E5569, ""zh"", ""en"")"),"Qualitative text")</f>
        <v>Qualitative text</v>
      </c>
    </row>
    <row r="5570" spans="1:3" ht="13" x14ac:dyDescent="0.15">
      <c r="A5570" s="1" t="str">
        <f ca="1">IFERROR(__xludf.DUMMYFUNCTION("GOOGLETRANSLATE(A5570, ""zh"", ""en"")"),"At the same time, the company has successively won the Interface News Annual ESG Practice Case Award, Sina Finance China's Top 500 ESG Outstanding Enterprises, Interface News 2022 Zero Carbon Future Leader, Ernst &amp; Young Sustainability Annual Best Award, "&amp;"2022 Outstanding Enterprise, Local State-owned Enterprise Social Responsibility Pioneer 100 Index, New Fortune Best IR Hong Kong Stock Company, and 2022 Forbes China Sustainable Development Industrial Enterprise TOP50, among many other ESG-related awards.")</f>
        <v>At the same time, the company has successively won the Interface News Annual ESG Practice Case Award, Sina Finance China's Top 500 ESG Outstanding Enterprises, Interface News 2022 Zero Carbon Future Leader, Ernst &amp; Young Sustainability Annual Best Award, 2022 Outstanding Enterprise, Local State-owned Enterprise Social Responsibility Pioneer 100 Index, New Fortune Best IR Hong Kong Stock Company, and 2022 Forbes China Sustainable Development Industrial Enterprise TOP50, among many other ESG-related awards.</v>
      </c>
      <c r="B5570" s="1" t="str">
        <f ca="1">IFERROR(__xludf.DUMMYFUNCTION("GOOGLETRANSLATE(A5570, ""zh"", ""en"")"),"Sustainable certification")</f>
        <v>Sustainable certification</v>
      </c>
      <c r="C5570" s="1" t="str">
        <f ca="1">IFERROR(__xludf.DUMMYFUNCTION("GOOGLETRANSLATE(E5570, ""zh"", ""en"")"),"Quantitative Text")</f>
        <v>Quantitative Text</v>
      </c>
    </row>
    <row r="5571" spans="1:3" ht="13" x14ac:dyDescent="0.15">
      <c r="A5571" s="1" t="str">
        <f ca="1">IFERROR(__xludf.DUMMYFUNCTION("GOOGLETRANSLATE(A5571, ""zh"", ""en"")"),"The company began organizing open-door corporate events in 2012, and in 2016, it upgraded to Sinopec's Public Open Day, a large-scale branded event. Over the past decade, it has invited more than 220,000 community residents, students, government officials"&amp;", media reporters, and other stakeholders to visit on-site, and more than 80 million people have visited online through live broadcasts. It has become the first branded public open day event for a central enterprise and the largest public open day event f"&amp;"or an industrial enterprise in my country.")</f>
        <v>The company began organizing open-door corporate events in 2012, and in 2016, it upgraded to Sinopec's Public Open Day, a large-scale branded event. Over the past decade, it has invited more than 220,000 community residents, students, government officials, media reporters, and other stakeholders to visit on-site, and more than 80 million people have visited online through live broadcasts. It has become the first branded public open day event for a central enterprise and the largest public open day event for an industrial enterprise in my country.</v>
      </c>
      <c r="B5571" s="1" t="str">
        <f ca="1">IFERROR(__xludf.DUMMYFUNCTION("GOOGLETRANSLATE(A5571, ""zh"", ""en"")"),"Public welfare and volunteer service")</f>
        <v>Public welfare and volunteer service</v>
      </c>
      <c r="C5571" s="1" t="str">
        <f ca="1">IFERROR(__xludf.DUMMYFUNCTION("GOOGLETRANSLATE(E5571, ""zh"", ""en"")"),"Quantitative Text")</f>
        <v>Quantitative Text</v>
      </c>
    </row>
    <row r="5572" spans="1:3" ht="13" x14ac:dyDescent="0.15">
      <c r="A5572" s="1" t="str">
        <f ca="1">IFERROR(__xludf.DUMMYFUNCTION("GOOGLETRANSLATE(A5572, ""zh"", ""en"")"),"In 2022, to further enhance the level of standardized operations and improve the governance structure, Kangyuan held a board of directors and shareholders' meeting in accordance with the latest provisions of relevant laws, regulations, and normative docum"&amp;"ents such as the Company Law of the People's Republic of China, the Securities Law of the People's Republic of China, the Articles of Association of Listed Companies, the Shanghai Stock Exchange Listing Rules, and the actual situation of the Group to revi"&amp;"se the company's articles of association, information disclosure affairs management system, independent director work system, and other management systems, totaling 14.")</f>
        <v>In 2022, to further enhance the level of standardized operations and improve the governance structure, Kangyuan held a board of directors and shareholders' meeting in accordance with the latest provisions of relevant laws, regulations, and normative documents such as the Company Law of the People's Republic of China, the Securities Law of the People's Republic of China, the Articles of Association of Listed Companies, the Shanghai Stock Exchange Listing Rules, and the actual situation of the Group to revise the company's articles of association, information disclosure affairs management system, independent director work system, and other management systems, totaling 14.</v>
      </c>
      <c r="B5572" s="1" t="str">
        <f ca="1">IFERROR(__xludf.DUMMYFUNCTION("GOOGLETRANSLATE(A5572, ""zh"", ""en"")"),"Organizational structure and operations")</f>
        <v>Organizational structure and operations</v>
      </c>
      <c r="C5572" s="1" t="str">
        <f ca="1">IFERROR(__xludf.DUMMYFUNCTION("GOOGLETRANSLATE(E5572, ""zh"", ""en"")"),"Quantitative Text")</f>
        <v>Quantitative Text</v>
      </c>
    </row>
    <row r="5573" spans="1:3" ht="13" x14ac:dyDescent="0.15">
      <c r="A5573" s="1" t="str">
        <f ca="1">IFERROR(__xludf.DUMMYFUNCTION("GOOGLETRANSLATE(A5573, ""zh"", ""en"")"),"Livzon Group conducts information security training. In daily management, the Group actively carries out protection work by deploying the Endpoint Protection System (EDR) to ensure that terminal computers are protected from viruses. It also deploys next-g"&amp;"eneration firewalls to conduct network penetration testing to deeply test system security, conduct security assessments and vulnerability scanning, and establish an intrusion prevention system (IPS) security mechanism. With intrusion detection as the core"&amp;", it applies a variety of defense technologies to stop intrusions when identifying attack threats in real time.")</f>
        <v>Livzon Group conducts information security training. In daily management, the Group actively carries out protection work by deploying the Endpoint Protection System (EDR) to ensure that terminal computers are protected from viruses. It also deploys next-generation firewalls to conduct network penetration testing to deeply test system security, conduct security assessments and vulnerability scanning, and establish an intrusion prevention system (IPS) security mechanism. With intrusion detection as the core, it applies a variety of defense technologies to stop intrusions when identifying attack threats in real time.</v>
      </c>
      <c r="B5573" s="1" t="str">
        <f ca="1">IFERROR(__xludf.DUMMYFUNCTION("GOOGLETRANSLATE(A5573, ""zh"", ""en"")"),"Data security")</f>
        <v>Data security</v>
      </c>
      <c r="C5573" s="1" t="str">
        <f ca="1">IFERROR(__xludf.DUMMYFUNCTION("GOOGLETRANSLATE(E5573, ""zh"", ""en"")"),"Qualitative text")</f>
        <v>Qualitative text</v>
      </c>
    </row>
    <row r="5574" spans="1:3" ht="13" x14ac:dyDescent="0.15">
      <c r="A5574" s="1" t="str">
        <f ca="1">IFERROR(__xludf.DUMMYFUNCTION("GOOGLETRANSLATE(A5574, ""zh"", ""en"")"),"In 2022, the Group continued to deepen its university-enterprise cooperation and actively engaged in industry-university-research collaboration with universities such as the Chinese Academy of Sciences, Sun Yat-sen University, Zhejiang University, China P"&amp;"harmaceutical University, Shanghai Jiao Tong University, Jinan University, Shenyang Pharmaceutical University, and Shenzhen University. We fully understood the employment situation of recent graduates from these universities, held one-on-one talent recrui"&amp;"tment fairs, and provided flexible internship programs for recent graduates. For recent graduates who performed well during industry-university cooperation or internships, we offered priority opportunities to become full-time employees.")</f>
        <v>In 2022, the Group continued to deepen its university-enterprise cooperation and actively engaged in industry-university-research collaboration with universities such as the Chinese Academy of Sciences, Sun Yat-sen University, Zhejiang University, China Pharmaceutical University, Shanghai Jiao Tong University, Jinan University, Shenyang Pharmaceutical University, and Shenzhen University. We fully understood the employment situation of recent graduates from these universities, held one-on-one talent recruitment fairs, and provided flexible internship programs for recent graduates. For recent graduates who performed well during industry-university cooperation or internships, we offered priority opportunities to become full-time employees.</v>
      </c>
      <c r="B5574" s="1" t="str">
        <f ca="1">IFERROR(__xludf.DUMMYFUNCTION("GOOGLETRANSLATE(A5574, ""zh"", ""en"")"),"Promoting employment")</f>
        <v>Promoting employment</v>
      </c>
      <c r="C5574" s="1" t="str">
        <f ca="1">IFERROR(__xludf.DUMMYFUNCTION("GOOGLETRANSLATE(E5574, ""zh"", ""en"")"),"Qualitative text")</f>
        <v>Qualitative text</v>
      </c>
    </row>
    <row r="5575" spans="1:3" ht="13" x14ac:dyDescent="0.15">
      <c r="A5575" s="1" t="str">
        <f ca="1">IFERROR(__xludf.DUMMYFUNCTION("GOOGLETRANSLATE(A5575, ""zh"", ""en"")"),"Health Yuan occupational health and safety measures include occupational health hazard detection, occupational health status monitoring, job-specific health protection, giving priority to the use of healthier and more harmless process equipment and materi"&amp;"als, etc., minimizing the impact of hazards on employees as much as possible, regularly entrusting qualified occupational health technical service agencies to conduct occupational disease hazard factor detection and publicize the results, and conducting o"&amp;"ccupational disease hazard status assessments at the frequency required by workplace occupational health management regulations.")</f>
        <v>Health Yuan occupational health and safety measures include occupational health hazard detection, occupational health status monitoring, job-specific health protection, giving priority to the use of healthier and more harmless process equipment and materials, etc., minimizing the impact of hazards on employees as much as possible, regularly entrusting qualified occupational health technical service agencies to conduct occupational disease hazard factor detection and publicize the results, and conducting occupational disease hazard status assessments at the frequency required by workplace occupational health management regulations.</v>
      </c>
      <c r="B5575" s="1" t="str">
        <f ca="1">IFERROR(__xludf.DUMMYFUNCTION("GOOGLETRANSLATE(A5575, ""zh"", ""en"")"),"staff")</f>
        <v>staff</v>
      </c>
      <c r="C5575" s="1" t="str">
        <f ca="1">IFERROR(__xludf.DUMMYFUNCTION("GOOGLETRANSLATE(E5575, ""zh"", ""en"")"),"Qualitative text")</f>
        <v>Qualitative text</v>
      </c>
    </row>
    <row r="5576" spans="1:3" ht="13" x14ac:dyDescent="0.15">
      <c r="A5576" s="1" t="str">
        <f ca="1">IFERROR(__xludf.DUMMYFUNCTION("GOOGLETRANSLATE(A5576, ""zh"", ""en"")"),"Strengthen the Party's foundation, strengthen the Party organization's roots, carry out themed Party Day activities, and empower high-quality business development. Party building leads the study and implementation of the spirit of the 20th National Congre"&amp;"ss of the Communist Party of China, and learning inspires the company's internal motivation. 202212132022 Dongyuan Group has always adhered to its mission of coexisting with the city and has always abided by its responsibilities and commitments to owners."&amp;" Against the backdrop of profound industry adjustments, it continues to forge ahead courageously, creating new highlights in urban spaces and providing owners with peace of mind and high-quality delivery.")</f>
        <v>Strengthen the Party's foundation, strengthen the Party organization's roots, carry out themed Party Day activities, and empower high-quality business development. Party building leads the study and implementation of the spirit of the 20th National Congress of the Communist Party of China, and learning inspires the company's internal motivation. 202212132022 Dongyuan Group has always adhered to its mission of coexisting with the city and has always abided by its responsibilities and commitments to owners. Against the backdrop of profound industry adjustments, it continues to forge ahead courageously, creating new highlights in urban spaces and providing owners with peace of mind and high-quality delivery.</v>
      </c>
      <c r="B5576" s="1" t="str">
        <f ca="1">IFERROR(__xludf.DUMMYFUNCTION("GOOGLETRANSLATE(A5576, ""zh"", ""en"")"),"Organizational structure and operations")</f>
        <v>Organizational structure and operations</v>
      </c>
      <c r="C5576" s="1" t="str">
        <f ca="1">IFERROR(__xludf.DUMMYFUNCTION("GOOGLETRANSLATE(E5576, ""zh"", ""en"")"),"Qualitative text")</f>
        <v>Qualitative text</v>
      </c>
    </row>
    <row r="5577" spans="1:3" ht="13" x14ac:dyDescent="0.15">
      <c r="A5577" s="1" t="str">
        <f ca="1">IFERROR(__xludf.DUMMYFUNCTION("GOOGLETRANSLATE(A5577, ""zh"", ""en"")"),"Strengthen the calculation method of supervision and management indicators in 2020 and 2021. Strengthen emergency response. Lost work time accident rate. Total accidents. Millions of work hours. Total working hours. 0.630.26. Lost work hours. Severe accid"&amp;"ent rate. Lost days. 1000. Total working hours. 0.06E00. Build a safety culture. Strengthen epidemic prevention and control. The company insists on safety and environmental protection as the premise. Firmly establish red line awareness and bottom line thi"&amp;"nking. Comprehensively strengthen basic management and continuously build a solid foundation for development.")</f>
        <v>Strengthen the calculation method of supervision and management indicators in 2020 and 2021. Strengthen emergency response. Lost work time accident rate. Total accidents. Millions of work hours. Total working hours. 0.630.26. Lost work hours. Severe accident rate. Lost days. 1000. Total working hours. 0.06E00. Build a safety culture. Strengthen epidemic prevention and control. The company insists on safety and environmental protection as the premise. Firmly establish red line awareness and bottom line thinking. Comprehensively strengthen basic management and continuously build a solid foundation for development.</v>
      </c>
      <c r="B5577" s="1" t="str">
        <f ca="1">IFERROR(__xludf.DUMMYFUNCTION("GOOGLETRANSLATE(A5577, ""zh"", ""en"")"),"staff")</f>
        <v>staff</v>
      </c>
      <c r="C5577" s="1" t="str">
        <f ca="1">IFERROR(__xludf.DUMMYFUNCTION("GOOGLETRANSLATE(E5577, ""zh"", ""en"")"),"Qualitative text")</f>
        <v>Qualitative text</v>
      </c>
    </row>
    <row r="5578" spans="1:3" ht="13" x14ac:dyDescent="0.15">
      <c r="A5578" s="1" t="str">
        <f ca="1">IFERROR(__xludf.DUMMYFUNCTION("GOOGLETRANSLATE(A5578, ""zh"", ""en"")"),"Haier Smart Home continuously carries out training and publicity work on information security and privacy protection. It publishes training videos and exams on the VSTUDY platform every quarter, publishes training long pictures on the information security"&amp;" official account every month, and publishes awareness promotion articles every week, covering topics such as Internet security, office safety, and environment. It conducts information security training for all employees and provides special information s"&amp;"ecurity awareness training for those working in information security-related fields from time to time.")</f>
        <v>Haier Smart Home continuously carries out training and publicity work on information security and privacy protection. It publishes training videos and exams on the VSTUDY platform every quarter, publishes training long pictures on the information security official account every month, and publishes awareness promotion articles every week, covering topics such as Internet security, office safety, and environment. It conducts information security training for all employees and provides special information security awareness training for those working in information security-related fields from time to time.</v>
      </c>
      <c r="B5578" s="1" t="str">
        <f ca="1">IFERROR(__xludf.DUMMYFUNCTION("GOOGLETRANSLATE(A5578, ""zh"", ""en"")"),"Data security")</f>
        <v>Data security</v>
      </c>
      <c r="C5578" s="1" t="str">
        <f ca="1">IFERROR(__xludf.DUMMYFUNCTION("GOOGLETRANSLATE(E5578, ""zh"", ""en"")"),"Qualitative text")</f>
        <v>Qualitative text</v>
      </c>
    </row>
    <row r="5579" spans="1:3" ht="13" x14ac:dyDescent="0.15">
      <c r="A5579" s="1" t="str">
        <f ca="1">IFERROR(__xludf.DUMMYFUNCTION("GOOGLETRANSLATE(A5579, ""zh"", ""en"")"),"Protecting the intellectual property rights of others: Explore the ESG management topic and see responsibility, safety first, people-oriented, and win-win outcomes. GRI Content Index. Based on product and intellectual property types, we have established a"&amp;" comprehensive infringement complaint handling mechanism for copyright, patent, and trademark complaints. We have formulated different handling guidelines to standardize the case handling process, review the legality and relevance of intellectual property"&amp;" rights, and safeguard the legitimate rights and interests of rights holders.")</f>
        <v>Protecting the intellectual property rights of others: Explore the ESG management topic and see responsibility, safety first, people-oriented, and win-win outcomes. GRI Content Index. Based on product and intellectual property types, we have established a comprehensive infringement complaint handling mechanism for copyright, patent, and trademark complaints. We have formulated different handling guidelines to standardize the case handling process, review the legality and relevance of intellectual property rights, and safeguard the legitimate rights and interests of rights holders.</v>
      </c>
      <c r="B5579" s="1" t="str">
        <f ca="1">IFERROR(__xludf.DUMMYFUNCTION("GOOGLETRANSLATE(A5579, ""zh"", ""en"")"),"Intellectual Property Protection")</f>
        <v>Intellectual Property Protection</v>
      </c>
      <c r="C5579" s="1" t="str">
        <f ca="1">IFERROR(__xludf.DUMMYFUNCTION("GOOGLETRANSLATE(E5579, ""zh"", ""en"")"),"Qualitative text")</f>
        <v>Qualitative text</v>
      </c>
    </row>
    <row r="5580" spans="1:3" ht="13" x14ac:dyDescent="0.15">
      <c r="A5580" s="1" t="str">
        <f ca="1">IFERROR(__xludf.DUMMYFUNCTION("GOOGLETRANSLATE(A5580, ""zh"", ""en"")"),"29CorporateSocialResponsibityReport202230Social ResponsibilityPatent and Intellectual Property ProtectionHisense Vision focuses on three core areas: customer product team. The large closed loop of experience centered on the user's entire life cycle and th"&amp;"e small closed loop of service centered on the work order flow are interconnected. Through intelligent dispatching process feedback, electronic work orders and other aspects, the service team is empowered to improve customer experience.")</f>
        <v>29CorporateSocialResponsibityReport202230Social ResponsibilityPatent and Intellectual Property ProtectionHisense Vision focuses on three core areas: customer product team. The large closed loop of experience centered on the user's entire life cycle and the small closed loop of service centered on the work order flow are interconnected. Through intelligent dispatching process feedback, electronic work orders and other aspects, the service team is empowered to improve customer experience.</v>
      </c>
      <c r="B5580" s="1" t="str">
        <f ca="1">IFERROR(__xludf.DUMMYFUNCTION("GOOGLETRANSLATE(A5580, ""zh"", ""en"")"),"Intellectual Property Protection")</f>
        <v>Intellectual Property Protection</v>
      </c>
      <c r="C5580" s="1" t="str">
        <f ca="1">IFERROR(__xludf.DUMMYFUNCTION("GOOGLETRANSLATE(E5580, ""zh"", ""en"")"),"Qualitative text")</f>
        <v>Qualitative text</v>
      </c>
    </row>
    <row r="5581" spans="1:3" ht="13" x14ac:dyDescent="0.15">
      <c r="A5581" s="1" t="str">
        <f ca="1">IFERROR(__xludf.DUMMYFUNCTION("GOOGLETRANSLATE(A5581, ""zh"", ""en"")"),"All directly affiliated units of the company have put forward specific implementation measures and work plans based on actual research. All new employees will be included in the Chaoyang Project training system. All kinds of young talents will be comprehe"&amp;"nsively included in the training plans at each stage. The quality training system of source training, follow-up training and full-process training has been improved. Innovative youth leadership training, youth Marxist training project, future scientists t"&amp;"raining, outstanding engineers, shaping international business strategies, and reserve team training have achieved remarkable results.")</f>
        <v>All directly affiliated units of the company have put forward specific implementation measures and work plans based on actual research. All new employees will be included in the Chaoyang Project training system. All kinds of young talents will be comprehensively included in the training plans at each stage. The quality training system of source training, follow-up training and full-process training has been improved. Innovative youth leadership training, youth Marxist training project, future scientists training, outstanding engineers, shaping international business strategies, and reserve team training have achieved remarkable results.</v>
      </c>
      <c r="B5581" s="1" t="str">
        <f ca="1">IFERROR(__xludf.DUMMYFUNCTION("GOOGLETRANSLATE(A5581, ""zh"", ""en"")"),"staff")</f>
        <v>staff</v>
      </c>
      <c r="C5581" s="1" t="str">
        <f ca="1">IFERROR(__xludf.DUMMYFUNCTION("GOOGLETRANSLATE(E5581, ""zh"", ""en"")"),"Qualitative text")</f>
        <v>Qualitative text</v>
      </c>
    </row>
    <row r="5582" spans="1:3" ht="13" x14ac:dyDescent="0.15">
      <c r="A5582" s="1" t="str">
        <f ca="1">IFERROR(__xludf.DUMMYFUNCTION("GOOGLETRANSLATE(A5582, ""zh"", ""en"")"),"2022 Quality Month Activities 2022 Health Yuan Quality Month Series Activities 30 Health Yuan Pharmaceutical Group Co., Ltd. Haibin Pharmaceutical organized 6 special training sessions on the contamination control strategy CCS in the EU Pharmaceutical GMP"&amp;" Guidelines from November to December 2022 to learn about the practical application of this control strategy in different fields such as aseptic process design, aseptic production operation, laboratory management, plant facility design and verification, c"&amp;"lean environment monitoring, etc.")</f>
        <v>2022 Quality Month Activities 2022 Health Yuan Quality Month Series Activities 30 Health Yuan Pharmaceutical Group Co., Ltd. Haibin Pharmaceutical organized 6 special training sessions on the contamination control strategy CCS in the EU Pharmaceutical GMP Guidelines from November to December 2022 to learn about the practical application of this control strategy in different fields such as aseptic process design, aseptic production operation, laboratory management, plant facility design and verification, clean environment monitoring, etc.</v>
      </c>
      <c r="B5582" s="1" t="str">
        <f ca="1">IFERROR(__xludf.DUMMYFUNCTION("GOOGLETRANSLATE(A5582, ""zh"", ""en"")"),"Product quality")</f>
        <v>Product quality</v>
      </c>
      <c r="C5582" s="1" t="str">
        <f ca="1">IFERROR(__xludf.DUMMYFUNCTION("GOOGLETRANSLATE(E5582, ""zh"", ""en"")"),"Qualitative text")</f>
        <v>Qualitative text</v>
      </c>
    </row>
    <row r="5583" spans="1:3" ht="13" x14ac:dyDescent="0.15">
      <c r="A5583" s="1" t="str">
        <f ca="1">IFERROR(__xludf.DUMMYFUNCTION("GOOGLETRANSLATE(A5583, ""zh"", ""en"")"),"We strictly abide by the Tajik Mining Law, the Tajik Natural Resources and Environmental Protection Law, the Tajik Waste Management Law, the Tajik Mining Waste Disposal Standards, and Argentine Law No. 24051, and have established a waste management system"&amp;". The solid waste generated in various links of our business process is mainly mining waste rock in the mining stage, mainly beneficiation tailings in the mineral processing stage, and mainly smelting slag in the smelting stage.")</f>
        <v>We strictly abide by the Tajik Mining Law, the Tajik Natural Resources and Environmental Protection Law, the Tajik Waste Management Law, the Tajik Mining Waste Disposal Standards, and Argentine Law No. 24051, and have established a waste management system. The solid waste generated in various links of our business process is mainly mining waste rock in the mining stage, mainly beneficiation tailings in the mineral processing stage, and mainly smelting slag in the smelting stage.</v>
      </c>
      <c r="B5583" s="1" t="str">
        <f ca="1">IFERROR(__xludf.DUMMYFUNCTION("GOOGLETRANSLATE(A5583, ""zh"", ""en"")"),"Waste Management")</f>
        <v>Waste Management</v>
      </c>
      <c r="C5583" s="1" t="str">
        <f ca="1">IFERROR(__xludf.DUMMYFUNCTION("GOOGLETRANSLATE(E5583, ""zh"", ""en"")"),"Qualitative text")</f>
        <v>Qualitative text</v>
      </c>
    </row>
    <row r="5584" spans="1:3" ht="13" x14ac:dyDescent="0.15">
      <c r="A5584" s="1" t="str">
        <f ca="1">IFERROR(__xludf.DUMMYFUNCTION("GOOGLETRANSLATE(A5584, ""zh"", ""en"")"),"We have developed safety operating procedures for tailings dams and a tailings dam operation management system based on the 15 principles of the global tailings management industry standard and the tailings dam safety regulations GB394962020. These regula"&amp;"tions regulate the safety operations before, during, and after tailings dam operations, and standardize the operation and management of tailings dams from multiple aspects, including transportation, dam construction, discharge water level control, flood c"&amp;"ontrol measures, flood discharge facilities, power lighting, and safety warning signs.")</f>
        <v>We have developed safety operating procedures for tailings dams and a tailings dam operation management system based on the 15 principles of the global tailings management industry standard and the tailings dam safety regulations GB394962020. These regulations regulate the safety operations before, during, and after tailings dam operations, and standardize the operation and management of tailings dams from multiple aspects, including transportation, dam construction, discharge water level control, flood control measures, flood discharge facilities, power lighting, and safety warning signs.</v>
      </c>
      <c r="B5584" s="1" t="str">
        <f ca="1">IFERROR(__xludf.DUMMYFUNCTION("GOOGLETRANSLATE(A5584, ""zh"", ""en"")"),"Waste Management")</f>
        <v>Waste Management</v>
      </c>
      <c r="C5584" s="1" t="str">
        <f ca="1">IFERROR(__xludf.DUMMYFUNCTION("GOOGLETRANSLATE(E5584, ""zh"", ""en"")"),"Qualitative text")</f>
        <v>Qualitative text</v>
      </c>
    </row>
    <row r="5585" spans="1:3" ht="13" x14ac:dyDescent="0.15">
      <c r="A5585" s="1" t="str">
        <f ca="1">IFERROR(__xludf.DUMMYFUNCTION("GOOGLETRANSLATE(A5585, ""zh"", ""en"")"),"We insisted on focusing on both ends to lead the middle, implemented benchmark branch management upgrades, established a mechanism for middle branches to reach higher levels, strengthened paired assistance for lagging branches, and deepened point-to-point"&amp;" cooperation between headquarters and grassroots organizations. We carried out in-depth work to ensure safety and production, and welcomed the 20th National Congress of the Communist Party of China. We cultivated and formed Party building work brands such"&amp;" as the ""Exploration Pioneer"" offshore mission package and the ""Safety Red Shield."" We promoted customer awareness, cost awareness, business awareness, and safety awareness among all employees, and set off a production climax with hundreds of ships co"&amp;"mpeting and tens of thousands of people competing.")</f>
        <v>We insisted on focusing on both ends to lead the middle, implemented benchmark branch management upgrades, established a mechanism for middle branches to reach higher levels, strengthened paired assistance for lagging branches, and deepened point-to-point cooperation between headquarters and grassroots organizations. We carried out in-depth work to ensure safety and production, and welcomed the 20th National Congress of the Communist Party of China. We cultivated and formed Party building work brands such as the "Exploration Pioneer" offshore mission package and the "Safety Red Shield." We promoted customer awareness, cost awareness, business awareness, and safety awareness among all employees, and set off a production climax with hundreds of ships competing and tens of thousands of people competing.</v>
      </c>
      <c r="B5585" s="1" t="str">
        <f ca="1">IFERROR(__xludf.DUMMYFUNCTION("GOOGLETRANSLATE(A5585, ""zh"", ""en"")"),"Organizational structure and operations")</f>
        <v>Organizational structure and operations</v>
      </c>
      <c r="C5585" s="1" t="str">
        <f ca="1">IFERROR(__xludf.DUMMYFUNCTION("GOOGLETRANSLATE(E5585, ""zh"", ""en"")"),"Qualitative text")</f>
        <v>Qualitative text</v>
      </c>
    </row>
    <row r="5586" spans="1:3" ht="13" x14ac:dyDescent="0.15">
      <c r="A5586" s="1" t="str">
        <f ca="1">IFERROR(__xludf.DUMMYFUNCTION("GOOGLETRANSLATE(A5586, ""zh"", ""en"")"),"In accordance with the provisions of the working rules of each special committee, each special committee reviewed and expressed opinions on matters such as the company's regular reports, audit reports, audit fees, internal control evaluation reports, inte"&amp;"rnal control audit reports, audit inspection reports, renewal of accounting firms, performance reports of the Audit and Risk Management Committee, nominations of directors and senior management personnel, personnel remuneration assessments, revisions to t"&amp;"he working rules of each committee, strategic planning, related-party transactions, etc., giving full play to the role of each special committee.")</f>
        <v>In accordance with the provisions of the working rules of each special committee, each special committee reviewed and expressed opinions on matters such as the company's regular reports, audit reports, audit fees, internal control evaluation reports, internal control audit reports, audit inspection reports, renewal of accounting firms, performance reports of the Audit and Risk Management Committee, nominations of directors and senior management personnel, personnel remuneration assessments, revisions to the working rules of each committee, strategic planning, related-party transactions, etc., giving full play to the role of each special committee.</v>
      </c>
      <c r="B5586" s="1" t="str">
        <f ca="1">IFERROR(__xludf.DUMMYFUNCTION("GOOGLETRANSLATE(A5586, ""zh"", ""en"")"),"Audit work")</f>
        <v>Audit work</v>
      </c>
      <c r="C5586" s="1" t="str">
        <f ca="1">IFERROR(__xludf.DUMMYFUNCTION("GOOGLETRANSLATE(E5586, ""zh"", ""en"")"),"Qualitative text")</f>
        <v>Qualitative text</v>
      </c>
    </row>
    <row r="5587" spans="1:3" ht="13" x14ac:dyDescent="0.15">
      <c r="A5587" s="1" t="str">
        <f ca="1">IFERROR(__xludf.DUMMYFUNCTION("GOOGLETRANSLATE(A5587, ""zh"", ""en"")"),"At the same time, Sinopec, leveraging its strengths in R&amp;D and resource supply, guides local recycling companies to process residual film through processes such as film residue separation, granulation, and reprocessing to turn it into reusable recycled ma"&amp;"terials. This opens up the entire process from raw material supply to mulch film production, planting and laying film, to residual film recycling and reuse of recycled materials, forming an economically scalable and exemplary solution for residual film po"&amp;"llution control, realizing the recycling of plastic applications, raw materials, and plastics, and significantly reducing the carbon footprint of products.")</f>
        <v>At the same time, Sinopec, leveraging its strengths in R&amp;D and resource supply, guides local recycling companies to process residual film through processes such as film residue separation, granulation, and reprocessing to turn it into reusable recycled materials. This opens up the entire process from raw material supply to mulch film production, planting and laying film, to residual film recycling and reuse of recycled materials, forming an economically scalable and exemplary solution for residual film pollution control, realizing the recycling of plastic applications, raw materials, and plastics, and significantly reducing the carbon footprint of products.</v>
      </c>
      <c r="B5587" s="1" t="str">
        <f ca="1">IFERROR(__xludf.DUMMYFUNCTION("GOOGLETRANSLATE(A5587, ""zh"", ""en"")"),"Waste Management")</f>
        <v>Waste Management</v>
      </c>
      <c r="C5587" s="1" t="str">
        <f ca="1">IFERROR(__xludf.DUMMYFUNCTION("GOOGLETRANSLATE(E5587, ""zh"", ""en"")"),"Qualitative text")</f>
        <v>Qualitative text</v>
      </c>
    </row>
    <row r="5588" spans="1:3" ht="13" x14ac:dyDescent="0.15">
      <c r="A5588" s="1" t="str">
        <f ca="1">IFERROR(__xludf.DUMMYFUNCTION("GOOGLETRANSLATE(A5588, ""zh"", ""en"")"),"Table 1: Climate risk identification and response. Risk category. Risk impact. Risk response. Physical risk. Extreme weather events caused by climate change, such as rainstorms and typhoons, can affect power supply in the factory area, leading to water an"&amp;"d power outages or equipment damage. They can reduce corporate production capacity and threaten corporate property safety. Extreme high temperatures are occurring more frequently. Continuous work in high-temperature environments can have a negative impact"&amp;" on employee health. Rising sea levels can shorten the service life of factories and facilities in coastal areas.")</f>
        <v>Table 1: Climate risk identification and response. Risk category. Risk impact. Risk response. Physical risk. Extreme weather events caused by climate change, such as rainstorms and typhoons, can affect power supply in the factory area, leading to water and power outages or equipment damage. They can reduce corporate production capacity and threaten corporate property safety. Extreme high temperatures are occurring more frequently. Continuous work in high-temperature environments can have a negative impact on employee health. Rising sea levels can shorten the service life of factories and facilities in coastal areas.</v>
      </c>
      <c r="B5588" s="1" t="str">
        <f ca="1">IFERROR(__xludf.DUMMYFUNCTION("GOOGLETRANSLATE(A5588, ""zh"", ""en"")"),"Addressing climate change")</f>
        <v>Addressing climate change</v>
      </c>
      <c r="C5588" s="1" t="str">
        <f ca="1">IFERROR(__xludf.DUMMYFUNCTION("GOOGLETRANSLATE(E5588, ""zh"", ""en"")"),"Qualitative text")</f>
        <v>Qualitative text</v>
      </c>
    </row>
    <row r="5589" spans="1:3" ht="13" x14ac:dyDescent="0.15">
      <c r="A5589" s="1" t="str">
        <f ca="1">IFERROR(__xludf.DUMMYFUNCTION("GOOGLETRANSLATE(A5589, ""zh"", ""en"")"),"Legal publicity and education have been deeply rooted in the hearts of the people. Taking the National Security Day on April 15, the Anti-Corruption Campaign on September 9, and the National Constitution Day on December 4, etc., the Ministry and more than"&amp;" 700 key personnel have achieved full coverage of the anti-corruption talks. Through popular legal publicity boards, distributing publicity materials, setting up popular legal publicity consultation desks, delivering legal books and other forms, we have p"&amp;"ublicized Xi Jinping's thoughts on the rule of law, the Constitution, the Civil Code and other laws and regulations, and created a strong atmosphere of respecting, learning, abiding by and applying the law throughout the company.")</f>
        <v>Legal publicity and education have been deeply rooted in the hearts of the people. Taking the National Security Day on April 15, the Anti-Corruption Campaign on September 9, and the National Constitution Day on December 4, etc., the Ministry and more than 700 key personnel have achieved full coverage of the anti-corruption talks. Through popular legal publicity boards, distributing publicity materials, setting up popular legal publicity consultation desks, delivering legal books and other forms, we have publicized Xi Jinping's thoughts on the rule of law, the Constitution, the Civil Code and other laws and regulations, and created a strong atmosphere of respecting, learning, abiding by and applying the law throughout the company.</v>
      </c>
      <c r="B5589" s="1" t="str">
        <f ca="1">IFERROR(__xludf.DUMMYFUNCTION("GOOGLETRANSLATE(A5589, ""zh"", ""en"")"),"Anti-corruption and anti-money laundering")</f>
        <v>Anti-corruption and anti-money laundering</v>
      </c>
      <c r="C5589" s="1" t="str">
        <f ca="1">IFERROR(__xludf.DUMMYFUNCTION("GOOGLETRANSLATE(E5589, ""zh"", ""en"")"),"Qualitative text")</f>
        <v>Qualitative text</v>
      </c>
    </row>
    <row r="5590" spans="1:3" ht="13" x14ac:dyDescent="0.15">
      <c r="A5590" s="1" t="str">
        <f ca="1">IFERROR(__xludf.DUMMYFUNCTION("GOOGLETRANSLATE(A5590, ""zh"", ""en"")"),"The development of new energy is accelerating across the board. Wind, solar, and gas-fired power are being integrated. Geothermal, hydrogen, and CCUS are being developed at a faster pace. Over 1.2 million kilowatts of wind and solar power capacity were in"&amp;"stalled that year, with a cumulative installed capacity exceeding 1.4 million kilowatts. The capacity for new energy development and utilization has reached 8 million tons of standard coal per year. Major breakthroughs have been made in the strategic layo"&amp;"ut and transformation and upgrading of refining and new materials. New chemical material output has increased by 56%. Initial results are showing in the development of integrated energy service stations and a human-vehicle life ecosystem.")</f>
        <v>The development of new energy is accelerating across the board. Wind, solar, and gas-fired power are being integrated. Geothermal, hydrogen, and CCUS are being developed at a faster pace. Over 1.2 million kilowatts of wind and solar power capacity were installed that year, with a cumulative installed capacity exceeding 1.4 million kilowatts. The capacity for new energy development and utilization has reached 8 million tons of standard coal per year. Major breakthroughs have been made in the strategic layout and transformation and upgrading of refining and new materials. New chemical material output has increased by 56%. Initial results are showing in the development of integrated energy service stations and a human-vehicle life ecosystem.</v>
      </c>
      <c r="B5590" s="1" t="str">
        <f ca="1">IFERROR(__xludf.DUMMYFUNCTION("GOOGLETRANSLATE(A5590, ""zh"", ""en"")"),"Energy and resource consumption")</f>
        <v>Energy and resource consumption</v>
      </c>
      <c r="C5590" s="1" t="str">
        <f ca="1">IFERROR(__xludf.DUMMYFUNCTION("GOOGLETRANSLATE(E5590, ""zh"", ""en"")"),"Quantitative Text")</f>
        <v>Quantitative Text</v>
      </c>
    </row>
    <row r="5591" spans="1:3" ht="13" x14ac:dyDescent="0.15">
      <c r="A5591" s="1" t="str">
        <f ca="1">IFERROR(__xludf.DUMMYFUNCTION("GOOGLETRANSLATE(A5591, ""zh"", ""en"")"),"Kangyuan Haibin Occupational Health Management Case Study 63 2022 Social Responsibility Report 7.3.2 Production Safety Kangyuan adheres to the implementation of a production safety policy that ensures safety, complies with laws and regulations, and contin"&amp;"uously improves production safety. It establishes management systems such as a safety management system, an operation control management system, a dual prevention system, and an operation assessment system, and continuously improves the production safety "&amp;"management system. It establishes a risk classification and control mechanism at the company level, workshop level, and job level, and clarifies the safety responsibilities of personnel at all levels.")</f>
        <v>Kangyuan Haibin Occupational Health Management Case Study 63 2022 Social Responsibility Report 7.3.2 Production Safety Kangyuan adheres to the implementation of a production safety policy that ensures safety, complies with laws and regulations, and continuously improves production safety. It establishes management systems such as a safety management system, an operation control management system, a dual prevention system, and an operation assessment system, and continuously improves the production safety management system. It establishes a risk classification and control mechanism at the company level, workshop level, and job level, and clarifies the safety responsibilities of personnel at all levels.</v>
      </c>
      <c r="B5591" s="1" t="str">
        <f ca="1">IFERROR(__xludf.DUMMYFUNCTION("GOOGLETRANSLATE(A5591, ""zh"", ""en"")"),"staff")</f>
        <v>staff</v>
      </c>
      <c r="C5591" s="1" t="str">
        <f ca="1">IFERROR(__xludf.DUMMYFUNCTION("GOOGLETRANSLATE(E5591, ""zh"", ""en"")"),"Qualitative text")</f>
        <v>Qualitative text</v>
      </c>
    </row>
    <row r="5592" spans="1:3" ht="13" x14ac:dyDescent="0.15">
      <c r="A5592" s="1" t="str">
        <f ca="1">IFERROR(__xludf.DUMMYFUNCTION("GOOGLETRANSLATE(A5592, ""zh"", ""en"")"),"The Group Research Institute and its nine industrial research branches in member companies have played an important role in macroeconomic research, industrial and layout research, innovative R&amp;D, and digital empowerment. They have effectively promoted the"&amp;" transformation and upgrading of the main businesses of their respective companies and the cultivation and incubation of new industries. They have achieved a large number of achievements in the construction of innovative R&amp;D platforms and scientific and t"&amp;"echnological achievements, organized and created 13 various innovation platforms, obtained 22 invention patents, 4 standard provincial and above scientific and technological awards, 5 provincial R&amp;D projects, and 3 provincial R&amp;D projects.")</f>
        <v>The Group Research Institute and its nine industrial research branches in member companies have played an important role in macroeconomic research, industrial and layout research, innovative R&amp;D, and digital empowerment. They have effectively promoted the transformation and upgrading of the main businesses of their respective companies and the cultivation and incubation of new industries. They have achieved a large number of achievements in the construction of innovative R&amp;D platforms and scientific and technological achievements, organized and created 13 various innovation platforms, obtained 22 invention patents, 4 standard provincial and above scientific and technological awards, 5 provincial R&amp;D projects, and 3 provincial R&amp;D projects.</v>
      </c>
      <c r="B5592" s="1" t="str">
        <f ca="1">IFERROR(__xludf.DUMMYFUNCTION("GOOGLETRANSLATE(A5592, ""zh"", ""en"")"),"Technological innovation")</f>
        <v>Technological innovation</v>
      </c>
      <c r="C5592" s="1" t="str">
        <f ca="1">IFERROR(__xludf.DUMMYFUNCTION("GOOGLETRANSLATE(E5592, ""zh"", ""en"")"),"Quantitative Text")</f>
        <v>Quantitative Text</v>
      </c>
    </row>
    <row r="5593" spans="1:3" ht="13" x14ac:dyDescent="0.15">
      <c r="A5593" s="1" t="str">
        <f ca="1">IFERROR(__xludf.DUMMYFUNCTION("GOOGLETRANSLATE(A5593, ""zh"", ""en"")"),"SDIC Capital's cybersecurity training case study: SDIC Capital held a cybersecurity training session for all employees. SDIC Capital conducted cybersecurity education and training for all employees, focusing on identifying and preventing phishing emails, "&amp;"strengthening personal information protection, preventing social engineering attacks, and correctly using storage devices and password security. The training systematically addressed cybersecurity risks employees are likely to encounter in their daily wor"&amp;"k and their corresponding solutions, raising their cybersecurity awareness and emergency response capabilities.")</f>
        <v>SDIC Capital's cybersecurity training case study: SDIC Capital held a cybersecurity training session for all employees. SDIC Capital conducted cybersecurity education and training for all employees, focusing on identifying and preventing phishing emails, strengthening personal information protection, preventing social engineering attacks, and correctly using storage devices and password security. The training systematically addressed cybersecurity risks employees are likely to encounter in their daily work and their corresponding solutions, raising their cybersecurity awareness and emergency response capabilities.</v>
      </c>
      <c r="B5593" s="1" t="str">
        <f ca="1">IFERROR(__xludf.DUMMYFUNCTION("GOOGLETRANSLATE(A5593, ""zh"", ""en"")"),"Data security")</f>
        <v>Data security</v>
      </c>
      <c r="C5593" s="1" t="str">
        <f ca="1">IFERROR(__xludf.DUMMYFUNCTION("GOOGLETRANSLATE(E5593, ""zh"", ""en"")"),"Qualitative text")</f>
        <v>Qualitative text</v>
      </c>
    </row>
    <row r="5594" spans="1:3" ht="13" x14ac:dyDescent="0.15">
      <c r="A5594" s="1" t="str">
        <f ca="1">IFERROR(__xludf.DUMMYFUNCTION("GOOGLETRANSLATE(A5594, ""zh"", ""en"")"),"Co-create the superior quality of digital craftsmanship 2022 Social Responsibility Report 64 Shanghai Electric Group Co., Ltd. 6565 Shanghai Electric Group Co., Ltd. Shanghai Electric upholds the spirit of innovation and pioneering. While continuously imp"&amp;"roving the quality of products and services, it strives to provide customers with leading solutions through its own continuous breakthroughs in the green and low-carbon fields. It empowers customers to build long-term development in energy technology inno"&amp;"vation and sustainability, and leverages greater value growth for customers.")</f>
        <v>Co-create the superior quality of digital craftsmanship 2022 Social Responsibility Report 64 Shanghai Electric Group Co., Ltd. 6565 Shanghai Electric Group Co., Ltd. Shanghai Electric upholds the spirit of innovation and pioneering. While continuously improving the quality of products and services, it strives to provide customers with leading solutions through its own continuous breakthroughs in the green and low-carbon fields. It empowers customers to build long-term development in energy technology innovation and sustainability, and leverages greater value growth for customers.</v>
      </c>
      <c r="B5594" s="1" t="str">
        <f ca="1">IFERROR(__xludf.DUMMYFUNCTION("GOOGLETRANSLATE(A5594, ""zh"", ""en"")"),"Product quality")</f>
        <v>Product quality</v>
      </c>
      <c r="C5594" s="1" t="str">
        <f ca="1">IFERROR(__xludf.DUMMYFUNCTION("GOOGLETRANSLATE(E5594, ""zh"", ""en"")"),"Qualitative text")</f>
        <v>Qualitative text</v>
      </c>
    </row>
    <row r="5595" spans="1:3" ht="13" x14ac:dyDescent="0.15">
      <c r="A5595" s="1" t="str">
        <f ca="1">IFERROR(__xludf.DUMMYFUNCTION("GOOGLETRANSLATE(A5595, ""zh"", ""en"")"),"Shenma shares should continue to implement the new development trend under the guidance of Xi Jinping Thought on Socialism with Chinese Characteristics for a New Era. However, the general trend of open development in today's world will not change. As far "&amp;"as China's development is concerned, the 20th National Congress of the Communist Party of China has laid a solid foundation for the national economy and development concept in the next five years and a longer period. It will continue to implement the inte"&amp;"grated strategy, vertically extend the large nylon industry chain, horizontally expand the scale of advantageous industries, and make strategic arrangements for social development by relying on its location advantages and abundant coal, coking, etc.")</f>
        <v>Shenma shares should continue to implement the new development trend under the guidance of Xi Jinping Thought on Socialism with Chinese Characteristics for a New Era. However, the general trend of open development in today's world will not change. As far as China's development is concerned, the 20th National Congress of the Communist Party of China has laid a solid foundation for the national economy and development concept in the next five years and a longer period. It will continue to implement the integrated strategy, vertically extend the large nylon industry chain, horizontally expand the scale of advantageous industries, and make strategic arrangements for social development by relying on its location advantages and abundant coal, coking, etc.</v>
      </c>
      <c r="B5595" s="1" t="str">
        <f ca="1">IFERROR(__xludf.DUMMYFUNCTION("GOOGLETRANSLATE(A5595, ""zh"", ""en"")"),"Organizational structure and operations")</f>
        <v>Organizational structure and operations</v>
      </c>
      <c r="C5595" s="1" t="str">
        <f ca="1">IFERROR(__xludf.DUMMYFUNCTION("GOOGLETRANSLATE(E5595, ""zh"", ""en"")"),"Qualitative text")</f>
        <v>Qualitative text</v>
      </c>
    </row>
    <row r="5596" spans="1:3" ht="13" x14ac:dyDescent="0.15">
      <c r="A5596" s="1" t="str">
        <f ca="1">IFERROR(__xludf.DUMMYFUNCTION("GOOGLETRANSLATE(A5596, ""zh"", ""en"")"),"33CorporateSocialResponsibityReport202234Social Responsibility We follow the supplier identification management and control procedures to clearly define the supplier social responsibility audit terms. Labor and employment comply with the provisions of the"&amp;" labor law. Child labor is prohibited. Factory labor rights are prohibited. Forced imprisonment, illegal contracts or bonded labor are prohibited. Violence, sexual harassment and other behaviors are prohibited. Paying employees wages below the local minim"&amp;"um wage standard is prohibited.")</f>
        <v>33CorporateSocialResponsibityReport202234Social Responsibility We follow the supplier identification management and control procedures to clearly define the supplier social responsibility audit terms. Labor and employment comply with the provisions of the labor law. Child labor is prohibited. Factory labor rights are prohibited. Forced imprisonment, illegal contracts or bonded labor are prohibited. Violence, sexual harassment and other behaviors are prohibited. Paying employees wages below the local minimum wage standard is prohibited.</v>
      </c>
      <c r="B5596" s="1" t="str">
        <f ca="1">IFERROR(__xludf.DUMMYFUNCTION("GOOGLETRANSLATE(A5596, ""zh"", ""en"")"),"supply chain management")</f>
        <v>supply chain management</v>
      </c>
      <c r="C5596" s="1" t="str">
        <f ca="1">IFERROR(__xludf.DUMMYFUNCTION("GOOGLETRANSLATE(E5596, ""zh"", ""en"")"),"Qualitative text")</f>
        <v>Qualitative text</v>
      </c>
    </row>
    <row r="5597" spans="1:3" ht="13" x14ac:dyDescent="0.15">
      <c r="A5597" s="1" t="str">
        <f ca="1">IFERROR(__xludf.DUMMYFUNCTION("GOOGLETRANSLATE(A5597, ""zh"", ""en"")"),"Avoid the use of conflict minerals. The company is committed to establishing a conflict-free supply chain. The company will make the non-use of conflict minerals declaration a necessary approval item for supplier access and require all global suppliers to"&amp;" review and manage their performance. The company will annually identify suppliers involved in responsible minerals such as tungsten, tin, tantalum, and gold. The company also provides a conflict mineral procurement report template and a responsible miner"&amp;"al questionnaire. During the reporting period, the company will review and evaluate all suppliers, with a total coverage of 100 suppliers.")</f>
        <v>Avoid the use of conflict minerals. The company is committed to establishing a conflict-free supply chain. The company will make the non-use of conflict minerals declaration a necessary approval item for supplier access and require all global suppliers to review and manage their performance. The company will annually identify suppliers involved in responsible minerals such as tungsten, tin, tantalum, and gold. The company also provides a conflict mineral procurement report template and a responsible mineral questionnaire. During the reporting period, the company will review and evaluate all suppliers, with a total coverage of 100 suppliers.</v>
      </c>
      <c r="B5597" s="1" t="str">
        <f ca="1">IFERROR(__xludf.DUMMYFUNCTION("GOOGLETRANSLATE(A5597, ""zh"", ""en"")"),"supply chain management")</f>
        <v>supply chain management</v>
      </c>
      <c r="C5597" s="1" t="str">
        <f ca="1">IFERROR(__xludf.DUMMYFUNCTION("GOOGLETRANSLATE(E5597, ""zh"", ""en"")"),"Quantitative Text")</f>
        <v>Quantitative Text</v>
      </c>
    </row>
    <row r="5598" spans="1:3" ht="13" x14ac:dyDescent="0.15">
      <c r="A5598" s="1" t="str">
        <f ca="1">IFERROR(__xludf.DUMMYFUNCTION("GOOGLETRANSLATE(A5598, ""zh"", ""en"")"),"Biomass energy, Sinopec, Sinopec 2728, corporate governance, building a strong safety line, addressing climate change, respecting human rights and cultivating talent, protecting the environment, and fulfilling social responsibilities, digital development,"&amp;" Sinopec focuses on kinetic energy conversion and industrial upgrading, vigorously promotes digital transformation, improves intelligent work, and achieves remarkable results in the application of new data platform models, providing efficient support for "&amp;"the company's management innovation, business innovation, and business model innovation.")</f>
        <v>Biomass energy, Sinopec, Sinopec 2728, corporate governance, building a strong safety line, addressing climate change, respecting human rights and cultivating talent, protecting the environment, and fulfilling social responsibilities, digital development, Sinopec focuses on kinetic energy conversion and industrial upgrading, vigorously promotes digital transformation, improves intelligent work, and achieves remarkable results in the application of new data platform models, providing efficient support for the company's management innovation, business innovation, and business model innovation.</v>
      </c>
      <c r="B5598" s="1" t="str">
        <f ca="1">IFERROR(__xludf.DUMMYFUNCTION("GOOGLETRANSLATE(A5598, ""zh"", ""en"")"),"Technological innovation")</f>
        <v>Technological innovation</v>
      </c>
      <c r="C5598" s="1" t="str">
        <f ca="1">IFERROR(__xludf.DUMMYFUNCTION("GOOGLETRANSLATE(E5598, ""zh"", ""en"")"),"Qualitative text")</f>
        <v>Qualitative text</v>
      </c>
    </row>
    <row r="5599" spans="1:3" ht="13" x14ac:dyDescent="0.15">
      <c r="A5599" s="1" t="str">
        <f ca="1">IFERROR(__xludf.DUMMYFUNCTION("GOOGLETRANSLATE(A5599, ""zh"", ""en"")"),"Developed a complete set of hydrogen purification technology for fuel cell vehicles. Built a 3000Nm3h purification unit and a 1,000-ton hydrogen supply mother station. Established a standard system for the design, construction, and operation of hydrogen r"&amp;"efueling stations and oil-hydrogen combined stations. Supported the commercial operation of 5 highly integrated hydrogen refueling stations and oil-hydrogen combined stations. Built 6 regional hydrogen testing quality inspection rooms and obtained the fir"&amp;"st domestic hydrogen testing CMA qualification certification and CNAS accreditation, providing strong support for the creation of the first hydrogen energy company.")</f>
        <v>Developed a complete set of hydrogen purification technology for fuel cell vehicles. Built a 3000Nm3h purification unit and a 1,000-ton hydrogen supply mother station. Established a standard system for the design, construction, and operation of hydrogen refueling stations and oil-hydrogen combined stations. Supported the commercial operation of 5 highly integrated hydrogen refueling stations and oil-hydrogen combined stations. Built 6 regional hydrogen testing quality inspection rooms and obtained the first domestic hydrogen testing CMA qualification certification and CNAS accreditation, providing strong support for the creation of the first hydrogen energy company.</v>
      </c>
      <c r="B5599" s="1" t="str">
        <f ca="1">IFERROR(__xludf.DUMMYFUNCTION("GOOGLETRANSLATE(A5599, ""zh"", ""en"")"),"Clean Technology")</f>
        <v>Clean Technology</v>
      </c>
      <c r="C5599" s="1" t="str">
        <f ca="1">IFERROR(__xludf.DUMMYFUNCTION("GOOGLETRANSLATE(E5599, ""zh"", ""en"")"),"Quantitative Text")</f>
        <v>Quantitative Text</v>
      </c>
    </row>
    <row r="5600" spans="1:3" ht="13" x14ac:dyDescent="0.15">
      <c r="A5600" s="1" t="str">
        <f ca="1">IFERROR(__xludf.DUMMYFUNCTION("GOOGLETRANSLATE(A5600, ""zh"", ""en"")"),"Overseas operations include factories in most of our business regions, including North America, Europe, South Asia, and Southeast Asia. 2. Comprehensive energy consumption is calculated based on the consumption of purchased electricity, steam, natural gas"&amp;", liquefied petroleum gas, and diesel, and the conversion factors in the National Electric Power Industry Statistical Data published by the National Energy Administration of the People's Republic of China (GBT25892020), the General Rules for Calculating C"&amp;"omprehensive Energy Consumption. 3. The company's water consumption is entirely municipal, and there are no issues with obtaining water sources.")</f>
        <v>Overseas operations include factories in most of our business regions, including North America, Europe, South Asia, and Southeast Asia. 2. Comprehensive energy consumption is calculated based on the consumption of purchased electricity, steam, natural gas, liquefied petroleum gas, and diesel, and the conversion factors in the National Electric Power Industry Statistical Data published by the National Energy Administration of the People's Republic of China (GBT25892020), the General Rules for Calculating Comprehensive Energy Consumption. 3. The company's water consumption is entirely municipal, and there are no issues with obtaining water sources.</v>
      </c>
      <c r="B5600" s="1" t="str">
        <f ca="1">IFERROR(__xludf.DUMMYFUNCTION("GOOGLETRANSLATE(A5600, ""zh"", ""en"")"),"Water resources")</f>
        <v>Water resources</v>
      </c>
      <c r="C5600" s="1" t="str">
        <f ca="1">IFERROR(__xludf.DUMMYFUNCTION("GOOGLETRANSLATE(E5600, ""zh"", ""en"")"),"Qualitative text")</f>
        <v>Qualitative text</v>
      </c>
    </row>
    <row r="5601" spans="1:3" ht="13" x14ac:dyDescent="0.15">
      <c r="A5601" s="1" t="str">
        <f ca="1">IFERROR(__xludf.DUMMYFUNCTION("GOOGLETRANSLATE(A5601, ""zh"", ""en"")"),"In addition, Dima Industry signed an employment cooperation agreement for veterans in Chongqing with the Chongqing Veterans Affairs Bureau and has thoroughly implemented the important instructions of General Secretary Xi Jinping on veterans' work in actua"&amp;"l work. It has fully implemented the work arrangements of the Party Central Committee, the State Council, and the Chongqing Municipal Government on veterans' employment, and combined with the employment needs of enterprises to provide veterans with employ"&amp;"ment opportunities that give full play to their expertise and good remuneration, and give priority to hiring veterans under the same conditions.")</f>
        <v>In addition, Dima Industry signed an employment cooperation agreement for veterans in Chongqing with the Chongqing Veterans Affairs Bureau and has thoroughly implemented the important instructions of General Secretary Xi Jinping on veterans' work in actual work. It has fully implemented the work arrangements of the Party Central Committee, the State Council, and the Chongqing Municipal Government on veterans' employment, and combined with the employment needs of enterprises to provide veterans with employment opportunities that give full play to their expertise and good remuneration, and give priority to hiring veterans under the same conditions.</v>
      </c>
      <c r="B5601" s="1" t="str">
        <f ca="1">IFERROR(__xludf.DUMMYFUNCTION("GOOGLETRANSLATE(A5601, ""zh"", ""en"")"),"Promoting employment")</f>
        <v>Promoting employment</v>
      </c>
      <c r="C5601" s="1" t="str">
        <f ca="1">IFERROR(__xludf.DUMMYFUNCTION("GOOGLETRANSLATE(E5601, ""zh"", ""en"")"),"Qualitative text")</f>
        <v>Qualitative text</v>
      </c>
    </row>
    <row r="5602" spans="1:3" ht="13" x14ac:dyDescent="0.15">
      <c r="A5602" s="1" t="str">
        <f ca="1">IFERROR(__xludf.DUMMYFUNCTION("GOOGLETRANSLATE(A5602, ""zh"", ""en"")"),"The Natural Resources and Water Resources Management Company strictly abides by the Environmental Protection Law of the People's Republic of China, the Water Law of the People's Republic of China, the Water Pollution Prevention and Control Law (hereinafte"&amp;"r referred to as the Water Pollution Prevention and Control Law), and other applicable laws and regulations on water resource protection and water pollution prevention and control. It implements the National Water Conservation Action Plan, attaches equal "&amp;"importance to water pollution prevention and control and water recycling, protects the ecological environment of water sources, improves the efficiency of water resource utilization, and realizes sustainable water resource utilization throughout all aspec"&amp;"ts of production and operation.")</f>
        <v>The Natural Resources and Water Resources Management Company strictly abides by the Environmental Protection Law of the People's Republic of China, the Water Law of the People's Republic of China, the Water Pollution Prevention and Control Law (hereinafter referred to as the Water Pollution Prevention and Control Law), and other applicable laws and regulations on water resource protection and water pollution prevention and control. It implements the National Water Conservation Action Plan, attaches equal importance to water pollution prevention and control and water recycling, protects the ecological environment of water sources, improves the efficiency of water resource utilization, and realizes sustainable water resource utilization throughout all aspects of production and operation.</v>
      </c>
      <c r="B5602" s="1" t="str">
        <f ca="1">IFERROR(__xludf.DUMMYFUNCTION("GOOGLETRANSLATE(A5602, ""zh"", ""en"")"),"Water resources")</f>
        <v>Water resources</v>
      </c>
      <c r="C5602" s="1" t="str">
        <f ca="1">IFERROR(__xludf.DUMMYFUNCTION("GOOGLETRANSLATE(E5602, ""zh"", ""en"")"),"Qualitative text")</f>
        <v>Qualitative text</v>
      </c>
    </row>
    <row r="5603" spans="1:3" ht="13" x14ac:dyDescent="0.15">
      <c r="A5603" s="1" t="str">
        <f ca="1">IFERROR(__xludf.DUMMYFUNCTION("GOOGLETRANSLATE(A5603, ""zh"", ""en"")"),"5655 Walking with Kindness to Fulfill Corporate Social Responsibility Key Performance: Total investment in charitable donations reached RMB 47.0566 million; RMB 870,000 invested in rural revitalization; 2,400 volunteer services participated; Renmin Pharma"&amp;"ceutical and its subsidiaries adhered to the principle of walking with kindness, leveraging their own resource advantages while achieving rapid development, actively fulfilling their social responsibilities, focusing on vulnerable groups, and deeply culti"&amp;"vating charity, education, emergency relief and other public welfare fields, with a total donation value of RMB 47.0566 million.")</f>
        <v>5655 Walking with Kindness to Fulfill Corporate Social Responsibility Key Performance: Total investment in charitable donations reached RMB 47.0566 million; RMB 870,000 invested in rural revitalization; 2,400 volunteer services participated; Renmin Pharmaceutical and its subsidiaries adhered to the principle of walking with kindness, leveraging their own resource advantages while achieving rapid development, actively fulfilling their social responsibilities, focusing on vulnerable groups, and deeply cultivating charity, education, emergency relief and other public welfare fields, with a total donation value of RMB 47.0566 million.</v>
      </c>
      <c r="B5603" s="1" t="str">
        <f ca="1">IFERROR(__xludf.DUMMYFUNCTION("GOOGLETRANSLATE(A5603, ""zh"", ""en"")"),"Public welfare and volunteer service")</f>
        <v>Public welfare and volunteer service</v>
      </c>
      <c r="C5603" s="1" t="str">
        <f ca="1">IFERROR(__xludf.DUMMYFUNCTION("GOOGLETRANSLATE(E5603, ""zh"", ""en"")"),"Quantitative Text")</f>
        <v>Quantitative Text</v>
      </c>
    </row>
    <row r="5604" spans="1:3" ht="13" x14ac:dyDescent="0.15">
      <c r="A5604" s="1" t="str">
        <f ca="1">IFERROR(__xludf.DUMMYFUNCTION("GOOGLETRANSLATE(A5604, ""zh"", ""en"")"),"Yan A2021 Social Responsibility Report Shenma Industrial Co., Ltd. builds a better home together and focuses on talent cultivation and career development. Shenma Co., Ltd. actively cultivates talents, improves and perfects the company's talent incentive m"&amp;"echanism, opens up employee development channels, and builds high-quality talents with a scientific and reasonable cultivation system. The company always adheres to the concept that development is the top priority, talent is the first resource, and innova"&amp;"tion is the first driving force. It regards talent work as a basic project and builds a team to help employees realize their self-worth.")</f>
        <v>Yan A2021 Social Responsibility Report Shenma Industrial Co., Ltd. builds a better home together and focuses on talent cultivation and career development. Shenma Co., Ltd. actively cultivates talents, improves and perfects the company's talent incentive mechanism, opens up employee development channels, and builds high-quality talents with a scientific and reasonable cultivation system. The company always adheres to the concept that development is the top priority, talent is the first resource, and innovation is the first driving force. It regards talent work as a basic project and builds a team to help employees realize their self-worth.</v>
      </c>
      <c r="B5604" s="1" t="str">
        <f ca="1">IFERROR(__xludf.DUMMYFUNCTION("GOOGLETRANSLATE(A5604, ""zh"", ""en"")"),"staff")</f>
        <v>staff</v>
      </c>
      <c r="C5604" s="1" t="str">
        <f ca="1">IFERROR(__xludf.DUMMYFUNCTION("GOOGLETRANSLATE(E5604, ""zh"", ""en"")"),"Qualitative text")</f>
        <v>Qualitative text</v>
      </c>
    </row>
    <row r="5605" spans="1:3" ht="13" x14ac:dyDescent="0.15">
      <c r="A5605" s="1" t="str">
        <f ca="1">IFERROR(__xludf.DUMMYFUNCTION("GOOGLETRANSLATE(A5605, ""zh"", ""en"")"),"As of the end of the reporting period, the company had a total of 2574210.94 employees, with a male to female ratio of 1.0%. The company held the Campus Investment Star Simulated Trading Competition, which organized college students to conduct simulated r"&amp;"eal-time trading to help them gain an in-depth understanding of the securities investment and trading market. Students with outstanding performance in the competition were provided with preferential job opportunities such as simulated interviews, internsh"&amp;"ips, and campus recruitment. This helped enhance college students' familiarity and understanding of the capital market, and helped select outstanding investment and trading talents for the company in advance.")</f>
        <v>As of the end of the reporting period, the company had a total of 2574210.94 employees, with a male to female ratio of 1.0%. The company held the Campus Investment Star Simulated Trading Competition, which organized college students to conduct simulated real-time trading to help them gain an in-depth understanding of the securities investment and trading market. Students with outstanding performance in the competition were provided with preferential job opportunities such as simulated interviews, internships, and campus recruitment. This helped enhance college students' familiarity and understanding of the capital market, and helped select outstanding investment and trading talents for the company in advance.</v>
      </c>
      <c r="B5605" s="1" t="str">
        <f ca="1">IFERROR(__xludf.DUMMYFUNCTION("GOOGLETRANSLATE(A5605, ""zh"", ""en"")"),"Promoting employment")</f>
        <v>Promoting employment</v>
      </c>
      <c r="C5605" s="1" t="str">
        <f ca="1">IFERROR(__xludf.DUMMYFUNCTION("GOOGLETRANSLATE(E5605, ""zh"", ""en"")"),"Quantitative Text")</f>
        <v>Quantitative Text</v>
      </c>
    </row>
    <row r="5606" spans="1:3" ht="13" x14ac:dyDescent="0.15">
      <c r="A5606" s="1" t="str">
        <f ca="1">IFERROR(__xludf.DUMMYFUNCTION("GOOGLETRANSLATE(A5606, ""zh"", ""en"")"),"By region: Yangtze River Delta, Pearl River Delta, Bohai Rim, Central Region, Western Region, Northeast Region, Head Office, Overseas. The overall turnover rate disclosed in China Construction Bank's Social Responsibility Report refers to the proportion o"&amp;"f employees under labor contracts of China Construction Bank (excluding overseas institutions, domestic and overseas subsidiaries) who voluntarily requested to terminate their contracts with the company in each region category as of the end of the reporti"&amp;"ng period, compared to the average number of employees in each region category in 2021 and 2022.")</f>
        <v>By region: Yangtze River Delta, Pearl River Delta, Bohai Rim, Central Region, Western Region, Northeast Region, Head Office, Overseas. The overall turnover rate disclosed in China Construction Bank's Social Responsibility Report refers to the proportion of employees under labor contracts of China Construction Bank (excluding overseas institutions, domestic and overseas subsidiaries) who voluntarily requested to terminate their contracts with the company in each region category as of the end of the reporting period, compared to the average number of employees in each region category in 2021 and 2022.</v>
      </c>
      <c r="B5606" s="1" t="str">
        <f ca="1">IFERROR(__xludf.DUMMYFUNCTION("GOOGLETRANSLATE(A5606, ""zh"", ""en"")"),"staff")</f>
        <v>staff</v>
      </c>
      <c r="C5606" s="1" t="str">
        <f ca="1">IFERROR(__xludf.DUMMYFUNCTION("GOOGLETRANSLATE(E5606, ""zh"", ""en"")"),"Quantitative Text")</f>
        <v>Quantitative Text</v>
      </c>
    </row>
    <row r="5607" spans="1:3" ht="13" x14ac:dyDescent="0.15">
      <c r="A5607" s="1" t="str">
        <f ca="1">IFERROR(__xludf.DUMMYFUNCTION("GOOGLETRANSLATE(A5607, ""zh"", ""en"")"),"By gender: Male employees (number of male employees) Female employees (number of female employees) The number of male employees disclosed in the CCB Social Responsibility Report refers to the male regular employees of CCB as of the end of the reporting pe"&amp;"riod, excluding those of domestic and overseas subsidiaries and branches who have signed labor contracts with CCB. The number of female employees refers to the female regular employees of CCB as of the end of the reporting period, excluding those of domes"&amp;"tic and overseas subsidiaries and branches who have signed labor contracts with CCB.")</f>
        <v>By gender: Male employees (number of male employees) Female employees (number of female employees) The number of male employees disclosed in the CCB Social Responsibility Report refers to the male regular employees of CCB as of the end of the reporting period, excluding those of domestic and overseas subsidiaries and branches who have signed labor contracts with CCB. The number of female employees refers to the female regular employees of CCB as of the end of the reporting period, excluding those of domestic and overseas subsidiaries and branches who have signed labor contracts with CCB.</v>
      </c>
      <c r="B5607" s="1" t="str">
        <f ca="1">IFERROR(__xludf.DUMMYFUNCTION("GOOGLETRANSLATE(A5607, ""zh"", ""en"")"),"staff")</f>
        <v>staff</v>
      </c>
      <c r="C5607" s="1" t="str">
        <f ca="1">IFERROR(__xludf.DUMMYFUNCTION("GOOGLETRANSLATE(E5607, ""zh"", ""en"")"),"Qualitative text")</f>
        <v>Qualitative text</v>
      </c>
    </row>
    <row r="5608" spans="1:3" ht="13" x14ac:dyDescent="0.15">
      <c r="A5608" s="1" t="str">
        <f ca="1">IFERROR(__xludf.DUMMYFUNCTION("GOOGLETRANSLATE(A5608, ""zh"", ""en"")"),"The main purpose of the project is to help new managers successfully make the transition to a new role and then form an understanding of themselves, the team and the business. This project provides reference and ideas for subsequent promotion to new manag"&amp;"ers or team managers and positioning, and then improve their awareness and habits from the perspective of managers. The new manager learning project will also help new managers master the necessary management knowledge and concepts and enhance the necessa"&amp;"ry management skills of managers. On the basis of existing ones, it will continuously improve and perfect the management skills.")</f>
        <v>The main purpose of the project is to help new managers successfully make the transition to a new role and then form an understanding of themselves, the team and the business. This project provides reference and ideas for subsequent promotion to new managers or team managers and positioning, and then improve their awareness and habits from the perspective of managers. The new manager learning project will also help new managers master the necessary management knowledge and concepts and enhance the necessary management skills of managers. On the basis of existing ones, it will continuously improve and perfect the management skills.</v>
      </c>
      <c r="B5608" s="1" t="str">
        <f ca="1">IFERROR(__xludf.DUMMYFUNCTION("GOOGLETRANSLATE(A5608, ""zh"", ""en"")"),"Organizational structure and operations")</f>
        <v>Organizational structure and operations</v>
      </c>
      <c r="C5608" s="1" t="str">
        <f ca="1">IFERROR(__xludf.DUMMYFUNCTION("GOOGLETRANSLATE(E5608, ""zh"", ""en"")"),"Qualitative text")</f>
        <v>Qualitative text</v>
      </c>
    </row>
    <row r="5609" spans="1:3" ht="13" x14ac:dyDescent="0.15">
      <c r="A5609" s="1" t="str">
        <f ca="1">IFERROR(__xludf.DUMMYFUNCTION("GOOGLETRANSLATE(A5609, ""zh"", ""en"")"),"Dizi Cloth Development Company 9620.4 Nylon Chemical Company 116.23.9 Bolemai Company 3.30.35 Engineering Plastics Technology Company 6.751.16 Note Engineering Plastics Company's wastewater discharged into Nylon Chemical Company's sewage treatment plant, "&amp;"the total amount of pollutants included in Nylon Chemical Company's total amount. Nylon Technology Company implemented the national water conservation campaign to make water conservation a practice. The total amount of pollutants discharged into Nylon Tec"&amp;"hnology Company's sewage treatment plant was included in Nylon Technology Company's total amount.")</f>
        <v>Dizi Cloth Development Company 9620.4 Nylon Chemical Company 116.23.9 Bolemai Company 3.30.35 Engineering Plastics Technology Company 6.751.16 Note Engineering Plastics Company's wastewater discharged into Nylon Chemical Company's sewage treatment plant, the total amount of pollutants included in Nylon Chemical Company's total amount. Nylon Technology Company implemented the national water conservation campaign to make water conservation a practice. The total amount of pollutants discharged into Nylon Technology Company's sewage treatment plant was included in Nylon Technology Company's total amount.</v>
      </c>
      <c r="B5609" s="1" t="str">
        <f ca="1">IFERROR(__xludf.DUMMYFUNCTION("GOOGLETRANSLATE(A5609, ""zh"", ""en"")"),"Waste Management")</f>
        <v>Waste Management</v>
      </c>
      <c r="C5609" s="1" t="str">
        <f ca="1">IFERROR(__xludf.DUMMYFUNCTION("GOOGLETRANSLATE(E5609, ""zh"", ""en"")"),"Quantitative Text")</f>
        <v>Quantitative Text</v>
      </c>
    </row>
    <row r="5610" spans="1:3" ht="13" x14ac:dyDescent="0.15">
      <c r="A5610" s="1" t="str">
        <f ca="1">IFERROR(__xludf.DUMMYFUNCTION("GOOGLETRANSLATE(A5610, ""zh"", ""en"")"),"In addition, given that the State Administration for Industry and Commerce has determined that monopolistic behavior is the company's top value and the bottom line for corporate survival and development, the company strictly implements the employee handbo"&amp;"ok worldwide. Hisense employees' business code of conduct has changed. The company promptly implements the new standards and actively conducts prior concentration declarations for major investment, financing, and merger and acquisition projects. In 2022, "&amp;"the company clearly requires employees to be honest, law-abiding, and honest in their work in accordance with relevant internal regulations such as the anti-commercial bribery commitment letter.")</f>
        <v>In addition, given that the State Administration for Industry and Commerce has determined that monopolistic behavior is the company's top value and the bottom line for corporate survival and development, the company strictly implements the employee handbook worldwide. Hisense employees' business code of conduct has changed. The company promptly implements the new standards and actively conducts prior concentration declarations for major investment, financing, and merger and acquisition projects. In 2022, the company clearly requires employees to be honest, law-abiding, and honest in their work in accordance with relevant internal regulations such as the anti-commercial bribery commitment letter.</v>
      </c>
      <c r="B5610" s="1" t="str">
        <f ca="1">IFERROR(__xludf.DUMMYFUNCTION("GOOGLETRANSLATE(A5610, ""zh"", ""en"")"),"Anti-unfair competition")</f>
        <v>Anti-unfair competition</v>
      </c>
      <c r="C5610" s="1" t="str">
        <f ca="1">IFERROR(__xludf.DUMMYFUNCTION("GOOGLETRANSLATE(E5610, ""zh"", ""en"")"),"Qualitative text")</f>
        <v>Qualitative text</v>
      </c>
    </row>
    <row r="5611" spans="1:3" ht="13" x14ac:dyDescent="0.15">
      <c r="A5611" s="1" t="str">
        <f ca="1">IFERROR(__xludf.DUMMYFUNCTION("GOOGLETRANSLATE(A5611, ""zh"", ""en"")"),"Preparation Basis: This report was prepared with reference to the Shanghai Stock Exchange's Guidelines for Environmental Information Disclosure of Listed Companies and the Global Reporting Initiative (GRI) Standards Core Option System. It also referenced "&amp;"international normative documents such as the SDGs (United Nations Sustainable Development Goals) Corporate Action Guidelines (SASB), and the International Council on Mining and Metals (ICMM) Sustainable Development Framework.")</f>
        <v>Preparation Basis: This report was prepared with reference to the Shanghai Stock Exchange's Guidelines for Environmental Information Disclosure of Listed Companies and the Global Reporting Initiative (GRI) Standards Core Option System. It also referenced international normative documents such as the SDGs (United Nations Sustainable Development Goals) Corporate Action Guidelines (SASB), and the International Council on Mining and Metals (ICMM) Sustainable Development Framework.</v>
      </c>
      <c r="B5611" s="1" t="str">
        <f ca="1">IFERROR(__xludf.DUMMYFUNCTION("GOOGLETRANSLATE(A5611, ""zh"", ""en"")"),"irrelevant text")</f>
        <v>irrelevant text</v>
      </c>
      <c r="C5611" s="1" t="str">
        <f ca="1">IFERROR(__xludf.DUMMYFUNCTION("GOOGLETRANSLATE(E5611, ""zh"", ""en"")"),"irrelevant text")</f>
        <v>irrelevant text</v>
      </c>
    </row>
    <row r="5612" spans="1:3" ht="13" x14ac:dyDescent="0.15">
      <c r="A5612" s="1" t="str">
        <f ca="1">IFERROR(__xludf.DUMMYFUNCTION("GOOGLETRANSLATE(A5612, ""zh"", ""en"")"),"We have been committed to promoting gender equality, emphasizing the career development and advancement of female employees, encouraging them to actively participate in training and learning to improve their abilities and qualities. We also provide fair p"&amp;"romotion opportunities and reasonable promotion channels. During the reporting period, the proportion of female employees in our middle and senior management is as follows. The gender breakdown of Tibet Everest employees during the reporting period is as "&amp;"follows. During the reporting period, female employees in Tibet Everest's middle and senior management accounted for 22.4%.")</f>
        <v>We have been committed to promoting gender equality, emphasizing the career development and advancement of female employees, encouraging them to actively participate in training and learning to improve their abilities and qualities. We also provide fair promotion opportunities and reasonable promotion channels. During the reporting period, the proportion of female employees in our middle and senior management is as follows. The gender breakdown of Tibet Everest employees during the reporting period is as follows. During the reporting period, female employees in Tibet Everest's middle and senior management accounted for 22.4%.</v>
      </c>
      <c r="B5612" s="1" t="str">
        <f ca="1">IFERROR(__xludf.DUMMYFUNCTION("GOOGLETRANSLATE(A5612, ""zh"", ""en"")"),"staff")</f>
        <v>staff</v>
      </c>
      <c r="C5612" s="1" t="str">
        <f ca="1">IFERROR(__xludf.DUMMYFUNCTION("GOOGLETRANSLATE(E5612, ""zh"", ""en"")"),"Quantitative Text")</f>
        <v>Quantitative Text</v>
      </c>
    </row>
    <row r="5613" spans="1:3" ht="13" x14ac:dyDescent="0.15">
      <c r="A5613" s="1" t="str">
        <f ca="1">IFERROR(__xludf.DUMMYFUNCTION("GOOGLETRANSLATE(A5613, ""zh"", ""en"")"),"In 2022, Shanghai Electric ignited a creative spark to celebrate its 120th anniversary and meet the strategic development needs of the new era. The company's anniversary logo and promotional video on the spirit of electricity were officially published. Th"&amp;"e Shanghai Industrial Journal's Machinery Industry section was also published after a new round of research and opinion collection. The company's corporate culture concept system was newly released, focusing on leading all electricians to review history w"&amp;"hile revitalizing Shanghai Electric's brand image and continuously enhancing its core value and cultural influence.")</f>
        <v>In 2022, Shanghai Electric ignited a creative spark to celebrate its 120th anniversary and meet the strategic development needs of the new era. The company's anniversary logo and promotional video on the spirit of electricity were officially published. The Shanghai Industrial Journal's Machinery Industry section was also published after a new round of research and opinion collection. The company's corporate culture concept system was newly released, focusing on leading all electricians to review history while revitalizing Shanghai Electric's brand image and continuously enhancing its core value and cultural influence.</v>
      </c>
      <c r="B5613" s="1" t="str">
        <f ca="1">IFERROR(__xludf.DUMMYFUNCTION("GOOGLETRANSLATE(A5613, ""zh"", ""en"")"),"Organizational structure and operations")</f>
        <v>Organizational structure and operations</v>
      </c>
      <c r="C5613" s="1" t="str">
        <f ca="1">IFERROR(__xludf.DUMMYFUNCTION("GOOGLETRANSLATE(E5613, ""zh"", ""en"")"),"Qualitative text")</f>
        <v>Qualitative text</v>
      </c>
    </row>
    <row r="5614" spans="1:3" ht="13" x14ac:dyDescent="0.15">
      <c r="A5614" s="1" t="str">
        <f ca="1">IFERROR(__xludf.DUMMYFUNCTION("GOOGLETRANSLATE(A5614, ""zh"", ""en"")"),"The percentage of employees participating in training at the business manager level and below The percentage of employees participating in training disclosed in China Construction Bank's Social Responsibility Report refers to the proportion of on-line and"&amp;" offline training participated in by the entire China Construction Bank, excluding domestic and overseas subsidiaries. The statistical caliber of the number of online training participants at the business manager level and below is the number of people at"&amp;" level 8 to 15 who participated in online training within the entire China Construction Bank, excluding domestic and overseas subsidiaries.")</f>
        <v>The percentage of employees participating in training at the business manager level and below The percentage of employees participating in training disclosed in China Construction Bank's Social Responsibility Report refers to the proportion of on-line and offline training participated in by the entire China Construction Bank, excluding domestic and overseas subsidiaries. The statistical caliber of the number of online training participants at the business manager level and below is the number of people at level 8 to 15 who participated in online training within the entire China Construction Bank, excluding domestic and overseas subsidiaries.</v>
      </c>
      <c r="B5614" s="1" t="str">
        <f ca="1">IFERROR(__xludf.DUMMYFUNCTION("GOOGLETRANSLATE(A5614, ""zh"", ""en"")"),"staff")</f>
        <v>staff</v>
      </c>
      <c r="C5614" s="1" t="str">
        <f ca="1">IFERROR(__xludf.DUMMYFUNCTION("GOOGLETRANSLATE(E5614, ""zh"", ""en"")"),"Quantitative Text")</f>
        <v>Quantitative Text</v>
      </c>
    </row>
    <row r="5615" spans="1:3" ht="13" x14ac:dyDescent="0.15">
      <c r="A5615" s="1" t="str">
        <f ca="1">IFERROR(__xludf.DUMMYFUNCTION("GOOGLETRANSLATE(A5615, ""zh"", ""en"")"),"By age: 25 years old and below 26 years old 35 years old 36 years old 45 years old 46 years old 54 years old 55 years old and above The overall turnover rate disclosed in the China Construction Bank's Social Responsibility Report refers to the proportion "&amp;"of employees of each age category who voluntarily proposed to terminate their contracts with the company among the labor contract employees of China Construction Bank (excluding overseas institutions, domestic and overseas subsidiaries) at the end of the "&amp;"reporting period, accounting for the average number of employees of each age category in 2021 and 2022.")</f>
        <v>By age: 25 years old and below 26 years old 35 years old 36 years old 45 years old 46 years old 54 years old 55 years old and above The overall turnover rate disclosed in the China Construction Bank's Social Responsibility Report refers to the proportion of employees of each age category who voluntarily proposed to terminate their contracts with the company among the labor contract employees of China Construction Bank (excluding overseas institutions, domestic and overseas subsidiaries) at the end of the reporting period, accounting for the average number of employees of each age category in 2021 and 2022.</v>
      </c>
      <c r="B5615" s="1" t="str">
        <f ca="1">IFERROR(__xludf.DUMMYFUNCTION("GOOGLETRANSLATE(A5615, ""zh"", ""en"")"),"staff")</f>
        <v>staff</v>
      </c>
      <c r="C5615" s="1" t="str">
        <f ca="1">IFERROR(__xludf.DUMMYFUNCTION("GOOGLETRANSLATE(E5615, ""zh"", ""en"")"),"Quantitative Text")</f>
        <v>Quantitative Text</v>
      </c>
    </row>
    <row r="5616" spans="1:3" ht="13" x14ac:dyDescent="0.15">
      <c r="A5616" s="1" t="str">
        <f ca="1">IFERROR(__xludf.DUMMYFUNCTION("GOOGLETRANSLATE(A5616, ""zh"", ""en"")"),"Operational type: By managing their own and other people's teams and businesses, they accumulate industry experience, improve their refined management capabilities, and cultivate the ability to continuously optimize processes and costs. Professional type:"&amp;" By applying professional knowledge and skills to solve professional problems and provide professional solutions, they can achieve in-depth development in a certain profession or develop a combination of multiple professions through professional iteration"&amp;". Lead the competition by grabbing strategic models and stubborn topics, and use professional projects as a carrier to obtain corresponding honors through project competition.")</f>
        <v>Operational type: By managing their own and other people's teams and businesses, they accumulate industry experience, improve their refined management capabilities, and cultivate the ability to continuously optimize processes and costs. Professional type: By applying professional knowledge and skills to solve professional problems and provide professional solutions, they can achieve in-depth development in a certain profession or develop a combination of multiple professions through professional iteration. Lead the competition by grabbing strategic models and stubborn topics, and use professional projects as a carrier to obtain corresponding honors through project competition.</v>
      </c>
      <c r="B5616" s="1" t="str">
        <f ca="1">IFERROR(__xludf.DUMMYFUNCTION("GOOGLETRANSLATE(A5616, ""zh"", ""en"")"),"staff")</f>
        <v>staff</v>
      </c>
      <c r="C5616" s="1" t="str">
        <f ca="1">IFERROR(__xludf.DUMMYFUNCTION("GOOGLETRANSLATE(E5616, ""zh"", ""en"")"),"Qualitative text")</f>
        <v>Qualitative text</v>
      </c>
    </row>
    <row r="5617" spans="1:3" ht="13" x14ac:dyDescent="0.15">
      <c r="A5617" s="1" t="str">
        <f ca="1">IFERROR(__xludf.DUMMYFUNCTION("GOOGLETRANSLATE(A5617, ""zh"", ""en"")"),"To promote the long-term and stable development of the Company, enhance the Company's overall value, and improve the interest-sharing mechanism between the Company's employees and the Company, the Company formulated a draft of the medium- and long-term bu"&amp;"siness partner stock ownership plan at the end of 2019. The incentive targets of the 2019 employee stock ownership plan are senior management personnel serving in the Company, core personnel in R&amp;D, production, sales, and management who have made outstand"&amp;"ing contributions to the performance during the assessment period or have a significant impact on the Company's future performance. The plan is valid from 2019 to 2028.")</f>
        <v>To promote the long-term and stable development of the Company, enhance the Company's overall value, and improve the interest-sharing mechanism between the Company's employees and the Company, the Company formulated a draft of the medium- and long-term business partner stock ownership plan at the end of 2019. The incentive targets of the 2019 employee stock ownership plan are senior management personnel serving in the Company, core personnel in R&amp;D, production, sales, and management who have made outstanding contributions to the performance during the assessment period or have a significant impact on the Company's future performance. The plan is valid from 2019 to 2028.</v>
      </c>
      <c r="B5617" s="1" t="str">
        <f ca="1">IFERROR(__xludf.DUMMYFUNCTION("GOOGLETRANSLATE(A5617, ""zh"", ""en"")"),"staff")</f>
        <v>staff</v>
      </c>
      <c r="C5617" s="1" t="str">
        <f ca="1">IFERROR(__xludf.DUMMYFUNCTION("GOOGLETRANSLATE(E5617, ""zh"", ""en"")"),"Qualitative text")</f>
        <v>Qualitative text</v>
      </c>
    </row>
    <row r="5618" spans="1:3" ht="13" x14ac:dyDescent="0.15">
      <c r="A5618" s="1" t="str">
        <f ca="1">IFERROR(__xludf.DUMMYFUNCTION("GOOGLETRANSLATE(A5618, ""zh"", ""en"")"),"UN Global Compact Ten Principles COSL 2022 Responsibility Initiatives Disclosure Page Human Rights 1. Companies should respect and uphold internationally recognized human rights; QHSE (Quality, Health and Safety) Management; Occupational Health; Employee "&amp;"Health Management and Training; Employee Health Examinations; Emphasis on Employee Mental Health; Protecting Employee Rights; Promoting Equal Employment; Improving Compensation and Benefits; Conducting Employee Training; Localizing and Diversifying Employ"&amp;"ees; Contributing to Rural Revitalization; Voluntary Maritime Rescue Services; and Overseas Responsibilities")</f>
        <v>UN Global Compact Ten Principles COSL 2022 Responsibility Initiatives Disclosure Page Human Rights 1. Companies should respect and uphold internationally recognized human rights; QHSE (Quality, Health and Safety) Management; Occupational Health; Employee Health Management and Training; Employee Health Examinations; Emphasis on Employee Mental Health; Protecting Employee Rights; Promoting Equal Employment; Improving Compensation and Benefits; Conducting Employee Training; Localizing and Diversifying Employees; Contributing to Rural Revitalization; Voluntary Maritime Rescue Services; and Overseas Responsibilities</v>
      </c>
      <c r="B5618" s="1" t="str">
        <f ca="1">IFERROR(__xludf.DUMMYFUNCTION("GOOGLETRANSLATE(A5618, ""zh"", ""en"")"),"staff")</f>
        <v>staff</v>
      </c>
      <c r="C5618" s="1" t="str">
        <f ca="1">IFERROR(__xludf.DUMMYFUNCTION("GOOGLETRANSLATE(E5618, ""zh"", ""en"")"),"Qualitative text")</f>
        <v>Qualitative text</v>
      </c>
    </row>
    <row r="5619" spans="1:3" ht="13" x14ac:dyDescent="0.15">
      <c r="A5619" s="1" t="str">
        <f ca="1">IFERROR(__xludf.DUMMYFUNCTION("GOOGLETRANSLATE(A5619, ""zh"", ""en"")"),"In March 2022, based on the actual situation of the company's industrial layout and the distribution of party members' positions, the party organization was scientifically adjusted and the General Branch Committee of Chongqing Xindongyuan Property Managem"&amp;"ent Co., Ltd. was established. The branch of the Communist Party of China Chongqing Dima Industrial Co., Ltd. officially joined the Comprehensive Party Committee of the Chongqing Nan'an District Federation of Industry and Commerce. The branch of the Commu"&amp;"nist Party of China Chongqing Dima Industrial Co., Ltd. officially joined the Non-public Party Committee of Chongqing Economic and Technological Development Zone. The organizational structure of all party organizations at all levels under Dima Co., Ltd. i"&amp;"n Chongqing has been upgraded to district level.")</f>
        <v>In March 2022, based on the actual situation of the company's industrial layout and the distribution of party members' positions, the party organization was scientifically adjusted and the General Branch Committee of Chongqing Xindongyuan Property Management Co., Ltd. was established. The branch of the Communist Party of China Chongqing Dima Industrial Co., Ltd. officially joined the Comprehensive Party Committee of the Chongqing Nan'an District Federation of Industry and Commerce. The branch of the Communist Party of China Chongqing Dima Industrial Co., Ltd. officially joined the Non-public Party Committee of Chongqing Economic and Technological Development Zone. The organizational structure of all party organizations at all levels under Dima Co., Ltd. in Chongqing has been upgraded to district level.</v>
      </c>
      <c r="B5619" s="1" t="str">
        <f ca="1">IFERROR(__xludf.DUMMYFUNCTION("GOOGLETRANSLATE(A5619, ""zh"", ""en"")"),"Organizational structure and operations")</f>
        <v>Organizational structure and operations</v>
      </c>
      <c r="C5619" s="1" t="str">
        <f ca="1">IFERROR(__xludf.DUMMYFUNCTION("GOOGLETRANSLATE(E5619, ""zh"", ""en"")"),"Qualitative text")</f>
        <v>Qualitative text</v>
      </c>
    </row>
    <row r="5620" spans="1:3" ht="13" x14ac:dyDescent="0.15">
      <c r="A5620" s="1" t="str">
        <f ca="1">IFERROR(__xludf.DUMMYFUNCTION("GOOGLETRANSLATE(A5620, ""zh"", ""en"")"),"The company attaches great importance to the construction of HSE management system. It was the first in the domestic oil industry to release and promote the HSE management system standard QSY08002.1 with Chinese characteristics. This standard fully covers"&amp;" all the requirements of the environmental management system ISO14001 and the occupational health and safety management system ISO45001 in terms of technical content. All affiliated companies have established and implemented HSE management systems based o"&amp;"n QSY08002.1.")</f>
        <v>The company attaches great importance to the construction of HSE management system. It was the first in the domestic oil industry to release and promote the HSE management system standard QSY08002.1 with Chinese characteristics. This standard fully covers all the requirements of the environmental management system ISO14001 and the occupational health and safety management system ISO45001 in terms of technical content. All affiliated companies have established and implemented HSE management systems based on QSY08002.1.</v>
      </c>
      <c r="B5620" s="1" t="str">
        <f ca="1">IFERROR(__xludf.DUMMYFUNCTION("GOOGLETRANSLATE(A5620, ""zh"", ""en"")"),"Environmental Policy")</f>
        <v>Environmental Policy</v>
      </c>
      <c r="C5620" s="1" t="str">
        <f ca="1">IFERROR(__xludf.DUMMYFUNCTION("GOOGLETRANSLATE(E5620, ""zh"", ""en"")"),"Qualitative text")</f>
        <v>Qualitative text</v>
      </c>
    </row>
    <row r="5621" spans="1:3" ht="13" x14ac:dyDescent="0.15">
      <c r="A5621" s="1" t="str">
        <f ca="1">IFERROR(__xludf.DUMMYFUNCTION("GOOGLETRANSLATE(A5621, ""zh"", ""en"")"),"The company aims to help the poor and solve problems, meet needs, serve the people and contribute to the community. It has signed relevant agreements with the street. Through co-construction and pairing, it gathers the strength of community units and effe"&amp;"ctively utilizes the advantages of both community units. In community construction services, it gives full play to the good atmosphere of unit participation and support for community construction, promotes community units to share resources and build scie"&amp;"ntific development. It deeply connects with lonely, single and empty-nest elderly people in their homes to understand their needs and do its best to help residents solve some practical difficulties they encounter in life.")</f>
        <v>The company aims to help the poor and solve problems, meet needs, serve the people and contribute to the community. It has signed relevant agreements with the street. Through co-construction and pairing, it gathers the strength of community units and effectively utilizes the advantages of both community units. In community construction services, it gives full play to the good atmosphere of unit participation and support for community construction, promotes community units to share resources and build scientific development. It deeply connects with lonely, single and empty-nest elderly people in their homes to understand their needs and do its best to help residents solve some practical difficulties they encounter in life.</v>
      </c>
      <c r="B5621" s="1" t="str">
        <f ca="1">IFERROR(__xludf.DUMMYFUNCTION("GOOGLETRANSLATE(A5621, ""zh"", ""en"")"),"Public welfare and volunteer service")</f>
        <v>Public welfare and volunteer service</v>
      </c>
      <c r="C5621" s="1" t="str">
        <f ca="1">IFERROR(__xludf.DUMMYFUNCTION("GOOGLETRANSLATE(E5621, ""zh"", ""en"")"),"Qualitative text")</f>
        <v>Qualitative text</v>
      </c>
    </row>
    <row r="5622" spans="1:3" ht="13" x14ac:dyDescent="0.15">
      <c r="A5622" s="1" t="str">
        <f ca="1">IFERROR(__xludf.DUMMYFUNCTION("GOOGLETRANSLATE(A5622, ""zh"", ""en"")"),"At the same time, the marketing platform continues to explore intelligent utilization of interconnected and compliant operations. Fosun Pharma Group insists on building a sound risk management system and mechanism with compliance as the cornerstone. It co"&amp;"ntinuously improves the internal control and development platform and insists on proactively implementing external compliance requirements to meet internal regulatory requirements. It continuously enriches the basis of compliance operations and continuous"&amp;"ly learns management power. In the past year, it has built a large-scale compliance system, and continuously grown and innovated through learning and sharing, to safeguard the company's high-quality development by combining international standards, indust"&amp;"ry norms and corporate strategies.")</f>
        <v>At the same time, the marketing platform continues to explore intelligent utilization of interconnected and compliant operations. Fosun Pharma Group insists on building a sound risk management system and mechanism with compliance as the cornerstone. It continuously improves the internal control and development platform and insists on proactively implementing external compliance requirements to meet internal regulatory requirements. It continuously enriches the basis of compliance operations and continuously learns management power. In the past year, it has built a large-scale compliance system, and continuously grown and innovated through learning and sharing, to safeguard the company's high-quality development by combining international standards, industry norms and corporate strategies.</v>
      </c>
      <c r="B5622" s="1" t="str">
        <f ca="1">IFERROR(__xludf.DUMMYFUNCTION("GOOGLETRANSLATE(A5622, ""zh"", ""en"")"),"Legal proceedings and external sanctions")</f>
        <v>Legal proceedings and external sanctions</v>
      </c>
      <c r="C5622" s="1" t="str">
        <f ca="1">IFERROR(__xludf.DUMMYFUNCTION("GOOGLETRANSLATE(E5622, ""zh"", ""en"")"),"Qualitative text")</f>
        <v>Qualitative text</v>
      </c>
    </row>
    <row r="5623" spans="1:3" ht="13" x14ac:dyDescent="0.15">
      <c r="A5623" s="1" t="str">
        <f ca="1">IFERROR(__xludf.DUMMYFUNCTION("GOOGLETRANSLATE(A5623, ""zh"", ""en"")"),"Livzon Group actively promotes employee diversity. To strengthen care for women in the workplace, the Group not only provides female employees during childbearing periods with paid marriage leave, maternity leave, and breastfeeding leave as required by na"&amp;"tional laws, but also enriches its care activities for female employees. For example, it provides condolences and generous gift packages to female employees during childbearing periods, builds a caring mother-and-child room for working mothers, offers fre"&amp;"e body shaping courses to all female employees, and organizes Women's Day activities to enhance female employees' sense of happiness and belonging.")</f>
        <v>Livzon Group actively promotes employee diversity. To strengthen care for women in the workplace, the Group not only provides female employees during childbearing periods with paid marriage leave, maternity leave, and breastfeeding leave as required by national laws, but also enriches its care activities for female employees. For example, it provides condolences and generous gift packages to female employees during childbearing periods, builds a caring mother-and-child room for working mothers, offers free body shaping courses to all female employees, and organizes Women's Day activities to enhance female employees' sense of happiness and belonging.</v>
      </c>
      <c r="B5623" s="1" t="str">
        <f ca="1">IFERROR(__xludf.DUMMYFUNCTION("GOOGLETRANSLATE(A5623, ""zh"", ""en"")"),"staff")</f>
        <v>staff</v>
      </c>
      <c r="C5623" s="1" t="str">
        <f ca="1">IFERROR(__xludf.DUMMYFUNCTION("GOOGLETRANSLATE(E5623, ""zh"", ""en"")"),"Qualitative text")</f>
        <v>Qualitative text</v>
      </c>
    </row>
    <row r="5624" spans="1:3" ht="13" x14ac:dyDescent="0.15">
      <c r="A5624" s="1" t="str">
        <f ca="1">IFERROR(__xludf.DUMMYFUNCTION("GOOGLETRANSLATE(A5624, ""zh"", ""en"")"),"The company headquarters has established an ESG office as the ESG overall management and daily office, responsible for implementing the company's ESG work decisions and deployments, establishing and improving the company's ESG organizational system, organ"&amp;"izing the preparation of ESG strategic plans, annual plans and management systems, etc., managing ESG issues, disclosing ESG information, carrying out ESG empowerment training and cultural construction, responding to capital market ESG indices and third-p"&amp;"arty ratings, and promoting the institutionalization, standardization and normalization of ESG work.")</f>
        <v>The company headquarters has established an ESG office as the ESG overall management and daily office, responsible for implementing the company's ESG work decisions and deployments, establishing and improving the company's ESG organizational system, organizing the preparation of ESG strategic plans, annual plans and management systems, etc., managing ESG issues, disclosing ESG information, carrying out ESG empowerment training and cultural construction, responding to capital market ESG indices and third-party ratings, and promoting the institutionalization, standardization and normalization of ESG work.</v>
      </c>
      <c r="B5624" s="1" t="str">
        <f ca="1">IFERROR(__xludf.DUMMYFUNCTION("GOOGLETRANSLATE(A5624, ""zh"", ""en"")"),"Organizational structure and operations")</f>
        <v>Organizational structure and operations</v>
      </c>
      <c r="C5624" s="1" t="str">
        <f ca="1">IFERROR(__xludf.DUMMYFUNCTION("GOOGLETRANSLATE(E5624, ""zh"", ""en"")"),"Qualitative text")</f>
        <v>Qualitative text</v>
      </c>
    </row>
    <row r="5625" spans="1:3" ht="13" x14ac:dyDescent="0.15">
      <c r="A5625" s="1" t="str">
        <f ca="1">IFERROR(__xludf.DUMMYFUNCTION("GOOGLETRANSLATE(A5625, ""zh"", ""en"")"),"To address the occupational disease risk of noise-induced deafness, the company has formulated and implemented implementation guidelines for the management of noise hazards exceeding standards, compiled a guidance manual for the management of noise exceed"&amp;"ing standards in petroleum and petrochemical enterprises, supervised and guided its subsidiaries to conduct inspections of posts and workplaces where noise exceeds standards, effectively managed noise hazards, required the management of noise exceeding st"&amp;"andards as an occupational health hazard, and tracked the progress of noise exceeding standards management in each enterprise. It also shared noise management experiences, promoted advanced management technologies and management measures, and summarized n"&amp;"oise management experiences.")</f>
        <v>To address the occupational disease risk of noise-induced deafness, the company has formulated and implemented implementation guidelines for the management of noise hazards exceeding standards, compiled a guidance manual for the management of noise exceeding standards in petroleum and petrochemical enterprises, supervised and guided its subsidiaries to conduct inspections of posts and workplaces where noise exceeds standards, effectively managed noise hazards, required the management of noise exceeding standards as an occupational health hazard, and tracked the progress of noise exceeding standards management in each enterprise. It also shared noise management experiences, promoted advanced management technologies and management measures, and summarized noise management experiences.</v>
      </c>
      <c r="B5625" s="1" t="str">
        <f ca="1">IFERROR(__xludf.DUMMYFUNCTION("GOOGLETRANSLATE(A5625, ""zh"", ""en"")"),"staff")</f>
        <v>staff</v>
      </c>
      <c r="C5625" s="1" t="str">
        <f ca="1">IFERROR(__xludf.DUMMYFUNCTION("GOOGLETRANSLATE(E5625, ""zh"", ""en"")"),"Qualitative text")</f>
        <v>Qualitative text</v>
      </c>
    </row>
    <row r="5626" spans="1:3" ht="13" x14ac:dyDescent="0.15">
      <c r="A5626" s="1" t="str">
        <f ca="1">IFERROR(__xludf.DUMMYFUNCTION("GOOGLETRANSLATE(A5626, ""zh"", ""en"")"),"The proportion of contractors who have passed the occupational health and safety management system certification is 10020202212022100100. The company focuses on improving the safety awareness and management level of contractors and has formulated the cont"&amp;"ractor safety supervision and management measures, key material supply safety supervision and management measures and other systems to clarify the requirements for contractor safety qualification review, bidding contract signing, subcontracting start-up, "&amp;"on-site construction, special operations, etc. Safety supervision and management inspection and supervision assessment")</f>
        <v>The proportion of contractors who have passed the occupational health and safety management system certification is 10020202212022100100. The company focuses on improving the safety awareness and management level of contractors and has formulated the contractor safety supervision and management measures, key material supply safety supervision and management measures and other systems to clarify the requirements for contractor safety qualification review, bidding contract signing, subcontracting start-up, on-site construction, special operations, etc. Safety supervision and management inspection and supervision assessment</v>
      </c>
      <c r="B5626" s="1" t="str">
        <f ca="1">IFERROR(__xludf.DUMMYFUNCTION("GOOGLETRANSLATE(A5626, ""zh"", ""en"")"),"staff")</f>
        <v>staff</v>
      </c>
      <c r="C5626" s="1" t="str">
        <f ca="1">IFERROR(__xludf.DUMMYFUNCTION("GOOGLETRANSLATE(E5626, ""zh"", ""en"")"),"Qualitative text")</f>
        <v>Qualitative text</v>
      </c>
    </row>
    <row r="5627" spans="1:3" ht="13" x14ac:dyDescent="0.15">
      <c r="A5627" s="1" t="str">
        <f ca="1">IFERROR(__xludf.DUMMYFUNCTION("GOOGLETRANSLATE(A5627, ""zh"", ""en"")"),"China Storage Intelligent Logistics Technology's unmanned truck scales, Hengke China Storage Intelligent Logistics Technology, and Hengke 2122 China Storage Development Co., Ltd.'s 2022 Social Responsibility and ESG Report. China Storage Intelligent Wareh"&amp;"ouse Platform Construction Plan. Analyzing and analyzing the company's warehousing system development status based on the requirements of China Storage's 14th Five-Year Plan for Information Technology, benchmarking against external products, and combining"&amp;" the five elements of China's ""Safe Warehouse"" 2.0 development plan, the initial draft of the China Storage Intelligent Warehouse Platform Construction Plan was completed.")</f>
        <v>China Storage Intelligent Logistics Technology's unmanned truck scales, Hengke China Storage Intelligent Logistics Technology, and Hengke 2122 China Storage Development Co., Ltd.'s 2022 Social Responsibility and ESG Report. China Storage Intelligent Warehouse Platform Construction Plan. Analyzing and analyzing the company's warehousing system development status based on the requirements of China Storage's 14th Five-Year Plan for Information Technology, benchmarking against external products, and combining the five elements of China's "Safe Warehouse" 2.0 development plan, the initial draft of the China Storage Intelligent Warehouse Platform Construction Plan was completed.</v>
      </c>
      <c r="B5627" s="1" t="str">
        <f ca="1">IFERROR(__xludf.DUMMYFUNCTION("GOOGLETRANSLATE(A5627, ""zh"", ""en"")"),"Technological innovation")</f>
        <v>Technological innovation</v>
      </c>
      <c r="C5627" s="1" t="str">
        <f ca="1">IFERROR(__xludf.DUMMYFUNCTION("GOOGLETRANSLATE(E5627, ""zh"", ""en"")"),"Qualitative text")</f>
        <v>Qualitative text</v>
      </c>
    </row>
    <row r="5628" spans="1:3" ht="13" x14ac:dyDescent="0.15">
      <c r="A5628" s="1" t="str">
        <f ca="1">IFERROR(__xludf.DUMMYFUNCTION("GOOGLETRANSLATE(A5628, ""zh"", ""en"")"),"Salary incentive system, labor protection, commercial medical insurance, improved working environment, work meals, afternoon tea, children's education benefits, basic benefits, and additional benefits. After achieving stable and high production, Tazhong M"&amp;"ining began to focus on cultivating local talents and continuously promoted localized management. Priority was given to former mining bureau employees and local residents who promised to learn Chinese and master skills. Tazhong Mining arranged employment."&amp;" It was because of this that Emomali got the opportunity to join Tazhong Mining and met the President of Tajikistan.")</f>
        <v>Salary incentive system, labor protection, commercial medical insurance, improved working environment, work meals, afternoon tea, children's education benefits, basic benefits, and additional benefits. After achieving stable and high production, Tazhong Mining began to focus on cultivating local talents and continuously promoted localized management. Priority was given to former mining bureau employees and local residents who promised to learn Chinese and master skills. Tazhong Mining arranged employment. It was because of this that Emomali got the opportunity to join Tazhong Mining and met the President of Tajikistan.</v>
      </c>
      <c r="B5628" s="1" t="str">
        <f ca="1">IFERROR(__xludf.DUMMYFUNCTION("GOOGLETRANSLATE(A5628, ""zh"", ""en"")"),"staff")</f>
        <v>staff</v>
      </c>
      <c r="C5628" s="1" t="str">
        <f ca="1">IFERROR(__xludf.DUMMYFUNCTION("GOOGLETRANSLATE(E5628, ""zh"", ""en"")"),"Qualitative text")</f>
        <v>Qualitative text</v>
      </c>
    </row>
    <row r="5629" spans="1:3" ht="13" x14ac:dyDescent="0.15">
      <c r="A5629" s="1" t="str">
        <f ca="1">IFERROR(__xludf.DUMMYFUNCTION("GOOGLETRANSLATE(A5629, ""zh"", ""en"")"),"Carbon inventory is based on ISO 140641 (2018), the organizational level specification and guidelines for the quantification and reporting of greenhouse gas emissions and removals, and other applicable laws, regulations, and relevant standards. Emission f"&amp;"actors are derived from the IPCC 2006 Guidelines for National Greenhouse Gas Inventories (2019 Revised Edition), the 2021 China Energy Statistical Yearbook, and other authoritative references.")</f>
        <v>Carbon inventory is based on ISO 140641 (2018), the organizational level specification and guidelines for the quantification and reporting of greenhouse gas emissions and removals, and other applicable laws, regulations, and relevant standards. Emission factors are derived from the IPCC 2006 Guidelines for National Greenhouse Gas Inventories (2019 Revised Edition), the 2021 China Energy Statistical Yearbook, and other authoritative references.</v>
      </c>
      <c r="B5629" s="1" t="str">
        <f ca="1">IFERROR(__xludf.DUMMYFUNCTION("GOOGLETRANSLATE(A5629, ""zh"", ""en"")"),"carbon emissions")</f>
        <v>carbon emissions</v>
      </c>
      <c r="C5629" s="1" t="str">
        <f ca="1">IFERROR(__xludf.DUMMYFUNCTION("GOOGLETRANSLATE(E5629, ""zh"", ""en"")"),"Qualitative text")</f>
        <v>Qualitative text</v>
      </c>
    </row>
    <row r="5630" spans="1:3" ht="13" x14ac:dyDescent="0.15">
      <c r="A5630" s="1" t="str">
        <f ca="1">IFERROR(__xludf.DUMMYFUNCTION("GOOGLETRANSLATE(A5630, ""zh"", ""en"")"),"The MTC Maker Training Camp and GEDP Global Engineering Developing Program adopt a step-by-step learning and training model that combines online and offline learning for new employees. Through face-to-face creative development by experts, mentoring, and e"&amp;"xperience at all value chain nodes, the program provides systematic learning modules to help new employees gain a comprehensive understanding of themselves and find their own stage in the company.")</f>
        <v>The MTC Maker Training Camp and GEDP Global Engineering Developing Program adopt a step-by-step learning and training model that combines online and offline learning for new employees. Through face-to-face creative development by experts, mentoring, and experience at all value chain nodes, the program provides systematic learning modules to help new employees gain a comprehensive understanding of themselves and find their own stage in the company.</v>
      </c>
      <c r="B5630" s="1" t="str">
        <f ca="1">IFERROR(__xludf.DUMMYFUNCTION("GOOGLETRANSLATE(A5630, ""zh"", ""en"")"),"staff")</f>
        <v>staff</v>
      </c>
      <c r="C5630" s="1" t="str">
        <f ca="1">IFERROR(__xludf.DUMMYFUNCTION("GOOGLETRANSLATE(E5630, ""zh"", ""en"")"),"Qualitative text")</f>
        <v>Qualitative text</v>
      </c>
    </row>
    <row r="5631" spans="1:3" ht="13" x14ac:dyDescent="0.15">
      <c r="A5631" s="1" t="str">
        <f ca="1">IFERROR(__xludf.DUMMYFUNCTION("GOOGLETRANSLATE(A5631, ""zh"", ""en"")"),"The company's chairman, president and senior management fully communicated with investors through various means such as on-site surveys of shareholders' meetings, investor visits, SSE E-interactive shareholders' meetings, online investor reception days, r"&amp;"oadshows, and online exchanges, and listened to investors' suggestions. They also communicated with investors on issues of concern to them, such as corporate governance, development strategy, operating conditions, and sustainable development, and explaine"&amp;"d to them the company's strategy, supervisory board policies, and operating performance.")</f>
        <v>The company's chairman, president and senior management fully communicated with investors through various means such as on-site surveys of shareholders' meetings, investor visits, SSE E-interactive shareholders' meetings, online investor reception days, roadshows, and online exchanges, and listened to investors' suggestions. They also communicated with investors on issues of concern to them, such as corporate governance, development strategy, operating conditions, and sustainable development, and explained to them the company's strategy, supervisory board policies, and operating performance.</v>
      </c>
      <c r="B5631" s="1" t="str">
        <f ca="1">IFERROR(__xludf.DUMMYFUNCTION("GOOGLETRANSLATE(A5631, ""zh"", ""en"")"),"Information Disclosure and Investor Communication")</f>
        <v>Information Disclosure and Investor Communication</v>
      </c>
      <c r="C5631" s="1" t="str">
        <f ca="1">IFERROR(__xludf.DUMMYFUNCTION("GOOGLETRANSLATE(E5631, ""zh"", ""en"")"),"Qualitative text")</f>
        <v>Qualitative text</v>
      </c>
    </row>
    <row r="5632" spans="1:3" ht="13" x14ac:dyDescent="0.15">
      <c r="A5632" s="1" t="str">
        <f ca="1">IFERROR(__xludf.DUMMYFUNCTION("GOOGLETRANSLATE(A5632, ""zh"", ""en"")"),"In January 2023, the company established a rotary compressor joint venture with Haili Group, a leading household compressor manufacturer, to support the integrated R&amp;D of household air-conditioning products. The company's air-energy heat pump and solar wa"&amp;"ter heater solutions continue to lead the Chinese market, providing high-efficiency new energy heating solutions for hotels, campuses, hospitals, etc. Since 2006, the company has promoted magnetic levitation central air conditioners in the Chinese market,"&amp;" which have more than doubled the energy efficiency of multi-split systems and have maintained the top market share in the global market segment for five consecutive years.")</f>
        <v>In January 2023, the company established a rotary compressor joint venture with Haili Group, a leading household compressor manufacturer, to support the integrated R&amp;D of household air-conditioning products. The company's air-energy heat pump and solar water heater solutions continue to lead the Chinese market, providing high-efficiency new energy heating solutions for hotels, campuses, hospitals, etc. Since 2006, the company has promoted magnetic levitation central air conditioners in the Chinese market, which have more than doubled the energy efficiency of multi-split systems and have maintained the top market share in the global market segment for five consecutive years.</v>
      </c>
      <c r="B5632" s="1" t="str">
        <f ca="1">IFERROR(__xludf.DUMMYFUNCTION("GOOGLETRANSLATE(A5632, ""zh"", ""en"")"),"Energy and resource consumption")</f>
        <v>Energy and resource consumption</v>
      </c>
      <c r="C5632" s="1" t="str">
        <f ca="1">IFERROR(__xludf.DUMMYFUNCTION("GOOGLETRANSLATE(E5632, ""zh"", ""en"")"),"Quantitative Text")</f>
        <v>Quantitative Text</v>
      </c>
    </row>
    <row r="5633" spans="1:3" ht="13" x14ac:dyDescent="0.15">
      <c r="A5633" s="1" t="str">
        <f ca="1">IFERROR(__xludf.DUMMYFUNCTION("GOOGLETRANSLATE(A5633, ""zh"", ""en"")"),"During the product consultation phase, customers can not only consult products through outlets such as 95533, but also obtain timely product information through product print and video promotional materials. During the product purchase phase, customers ca"&amp;"n not only purchase with bank cards, but also open passbooks and certificates of deposit to fully meet the tangible needs of elderly customers. For product inquiry and expenditure, multiple channels such as counter banking, mobile banking, online banking,"&amp;" and self-service terminals are provided, and customers are reminded to renew their deposits on time via SMS.")</f>
        <v>During the product consultation phase, customers can not only consult products through outlets such as 95533, but also obtain timely product information through product print and video promotional materials. During the product purchase phase, customers can not only purchase with bank cards, but also open passbooks and certificates of deposit to fully meet the tangible needs of elderly customers. For product inquiry and expenditure, multiple channels such as counter banking, mobile banking, online banking, and self-service terminals are provided, and customers are reminded to renew their deposits on time via SMS.</v>
      </c>
      <c r="B5633" s="1" t="str">
        <f ca="1">IFERROR(__xludf.DUMMYFUNCTION("GOOGLETRANSLATE(A5633, ""zh"", ""en"")"),"Customers and Consumers")</f>
        <v>Customers and Consumers</v>
      </c>
      <c r="C5633" s="1" t="str">
        <f ca="1">IFERROR(__xludf.DUMMYFUNCTION("GOOGLETRANSLATE(E5633, ""zh"", ""en"")"),"Qualitative text")</f>
        <v>Qualitative text</v>
      </c>
    </row>
    <row r="5634" spans="1:3" ht="13" x14ac:dyDescent="0.15">
      <c r="A5634" s="1" t="str">
        <f ca="1">IFERROR(__xludf.DUMMYFUNCTION("GOOGLETRANSLATE(A5634, ""zh"", ""en"")"),"The number of working days lost due to work-related injuries disclosed in China Construction Bank's Social Responsibility Report refers to the number of working days lost as of the end of the reporting period within China Construction Bank (excluding dome"&amp;"stic and overseas subsidiaries) in accordance with the Regulations on Work-Related Injury Insurance promulgated by the State Council of the People's Republic of China Order No. 375, the State Council's Decision on Amending the Regulations on Work-Related "&amp;"Injury Insurance No. 586, and relevant regulations of local governments.")</f>
        <v>The number of working days lost due to work-related injuries disclosed in China Construction Bank's Social Responsibility Report refers to the number of working days lost as of the end of the reporting period within China Construction Bank (excluding domestic and overseas subsidiaries) in accordance with the Regulations on Work-Related Injury Insurance promulgated by the State Council of the People's Republic of China Order No. 375, the State Council's Decision on Amending the Regulations on Work-Related Injury Insurance No. 586, and relevant regulations of local governments.</v>
      </c>
      <c r="B5634" s="1" t="str">
        <f ca="1">IFERROR(__xludf.DUMMYFUNCTION("GOOGLETRANSLATE(A5634, ""zh"", ""en"")"),"staff")</f>
        <v>staff</v>
      </c>
      <c r="C5634" s="1" t="str">
        <f ca="1">IFERROR(__xludf.DUMMYFUNCTION("GOOGLETRANSLATE(E5634, ""zh"", ""en"")"),"Qualitative text")</f>
        <v>Qualitative text</v>
      </c>
    </row>
    <row r="5635" spans="1:3" ht="13" x14ac:dyDescent="0.15">
      <c r="A5635" s="1" t="str">
        <f ca="1">IFERROR(__xludf.DUMMYFUNCTION("GOOGLETRANSLATE(A5635, ""zh"", ""en"")"),"Relying on the construction and operation of low-carbon living ecological scene model rooms, in various financial and non-financial low-carbon scenarios, through terminals such as mobile banking APP and CCB Life APP, users' green behaviors in daily low-ca"&amp;"rbon life and financial scenarios are identified. At the same time, authoritative carbon emission measurement rules are introduced. Digital technologies such as big data and artificial intelligence are used to establish a carbon emission reduction measure"&amp;"ment data service that can be shared by the entire bank based on the data middle platform to perform carbon emission reduction calculations and form a personal carbon ledger to record the individual carbon footprint of consumers.")</f>
        <v>Relying on the construction and operation of low-carbon living ecological scene model rooms, in various financial and non-financial low-carbon scenarios, through terminals such as mobile banking APP and CCB Life APP, users' green behaviors in daily low-carbon life and financial scenarios are identified. At the same time, authoritative carbon emission measurement rules are introduced. Digital technologies such as big data and artificial intelligence are used to establish a carbon emission reduction measurement data service that can be shared by the entire bank based on the data middle platform to perform carbon emission reduction calculations and form a personal carbon ledger to record the individual carbon footprint of consumers.</v>
      </c>
      <c r="B5635" s="1" t="str">
        <f ca="1">IFERROR(__xludf.DUMMYFUNCTION("GOOGLETRANSLATE(A5635, ""zh"", ""en"")"),"carbon emissions")</f>
        <v>carbon emissions</v>
      </c>
      <c r="C5635" s="1" t="str">
        <f ca="1">IFERROR(__xludf.DUMMYFUNCTION("GOOGLETRANSLATE(E5635, ""zh"", ""en"")"),"Qualitative text")</f>
        <v>Qualitative text</v>
      </c>
    </row>
    <row r="5636" spans="1:3" ht="13" x14ac:dyDescent="0.15">
      <c r="A5636" s="1" t="str">
        <f ca="1">IFERROR(__xludf.DUMMYFUNCTION("GOOGLETRANSLATE(A5636, ""zh"", ""en"")"),"To support rural revitalization and achieve common prosperity, we will deepen the ""One County, One Chain"" initiative, broaden farmers' income-increasing channels, strengthen educational support, and build schools close to the people. In accordance with "&amp;"Sinopec's 14th Five-Year Plan for Supporting Rural Revitalization, Sinopec's Implementation Plan for Educational Support, and Sinopec's vigorous implementation of consumer support and follow-up implementation plans for rural revitalization, we will accele"&amp;"rate the implementation of industrial support, education support, and consumer support projects to ensure they are effective, making concrete contributions to rural revitalization and achieving common prosperity.")</f>
        <v>To support rural revitalization and achieve common prosperity, we will deepen the "One County, One Chain" initiative, broaden farmers' income-increasing channels, strengthen educational support, and build schools close to the people. In accordance with Sinopec's 14th Five-Year Plan for Supporting Rural Revitalization, Sinopec's Implementation Plan for Educational Support, and Sinopec's vigorous implementation of consumer support and follow-up implementation plans for rural revitalization, we will accelerate the implementation of industrial support, education support, and consumer support projects to ensure they are effective, making concrete contributions to rural revitalization and achieving common prosperity.</v>
      </c>
      <c r="B5636" s="1" t="str">
        <f ca="1">IFERROR(__xludf.DUMMYFUNCTION("GOOGLETRANSLATE(A5636, ""zh"", ""en"")"),"Rural assistance")</f>
        <v>Rural assistance</v>
      </c>
      <c r="C5636" s="1" t="str">
        <f ca="1">IFERROR(__xludf.DUMMYFUNCTION("GOOGLETRANSLATE(E5636, ""zh"", ""en"")"),"Qualitative text")</f>
        <v>Qualitative text</v>
      </c>
    </row>
    <row r="5637" spans="1:3" ht="13" x14ac:dyDescent="0.15">
      <c r="A5637" s="1" t="str">
        <f ca="1">IFERROR(__xludf.DUMMYFUNCTION("GOOGLETRANSLATE(A5637, ""zh"", ""en"")"),"The coal-fired boilers of the subordinate power plants have achieved ultra-low flue gas emissions. They use SNCRSCR coupled denitrification electric bag dust collector to remove dust, limestone gypsum wet desulfurization and other processes. Wet electrost"&amp;"atic precipitators are configured at the outlet of the desulfurization absorption tower to efficiently remove fine smoke and gypsum rain droplets in the flue gas, minimizing the dust emission concentration and ensuring that the treated flue gas emission c"&amp;"oncentration meets the relevant emission standards in the coal-fired power plant air pollutant emission standard DB3321472018.")</f>
        <v>The coal-fired boilers of the subordinate power plants have achieved ultra-low flue gas emissions. They use SNCRSCR coupled denitrification electric bag dust collector to remove dust, limestone gypsum wet desulfurization and other processes. Wet electrostatic precipitators are configured at the outlet of the desulfurization absorption tower to efficiently remove fine smoke and gypsum rain droplets in the flue gas, minimizing the dust emission concentration and ensuring that the treated flue gas emission concentration meets the relevant emission standards in the coal-fired power plant air pollutant emission standard DB3321472018.</v>
      </c>
      <c r="B5637" s="1" t="str">
        <f ca="1">IFERROR(__xludf.DUMMYFUNCTION("GOOGLETRANSLATE(A5637, ""zh"", ""en"")"),"Waste Management")</f>
        <v>Waste Management</v>
      </c>
      <c r="C5637" s="1" t="str">
        <f ca="1">IFERROR(__xludf.DUMMYFUNCTION("GOOGLETRANSLATE(E5637, ""zh"", ""en"")"),"Qualitative text")</f>
        <v>Qualitative text</v>
      </c>
    </row>
    <row r="5638" spans="1:3" ht="13" x14ac:dyDescent="0.15">
      <c r="A5638" s="1" t="str">
        <f ca="1">IFERROR(__xludf.DUMMYFUNCTION("GOOGLETRANSLATE(A5638, ""zh"", ""en"")"),"211 Chairman of the Highest Governance Body Li Huagang 212 Oversight Role of the Highest Governance Body in Managing Impacts P17 213 Delegation of Responsibility for Managing Impacts P18 214 Role of the Highest Governance Body in Sustainability Reporting "&amp;"P18 215 Conflicts of Interest P17 216 Communication of Critical Concerns P6 217 Shared Knowledge of the Highest Governance Body P3 218 Performance Evaluation of the Highest Governance Body Please refer to the 2022 Annual Report.")</f>
        <v>211 Chairman of the Highest Governance Body Li Huagang 212 Oversight Role of the Highest Governance Body in Managing Impacts P17 213 Delegation of Responsibility for Managing Impacts P18 214 Role of the Highest Governance Body in Sustainability Reporting P18 215 Conflicts of Interest P17 216 Communication of Critical Concerns P6 217 Shared Knowledge of the Highest Governance Body P3 218 Performance Evaluation of the Highest Governance Body Please refer to the 2022 Annual Report.</v>
      </c>
      <c r="B5638" s="1" t="str">
        <f ca="1">IFERROR(__xludf.DUMMYFUNCTION("GOOGLETRANSLATE(A5638, ""zh"", ""en"")"),"Organizational structure and operations")</f>
        <v>Organizational structure and operations</v>
      </c>
      <c r="C5638" s="1" t="str">
        <f ca="1">IFERROR(__xludf.DUMMYFUNCTION("GOOGLETRANSLATE(E5638, ""zh"", ""en"")"),"Qualitative text")</f>
        <v>Qualitative text</v>
      </c>
    </row>
    <row r="5639" spans="1:3" ht="13" x14ac:dyDescent="0.15">
      <c r="A5639" s="1" t="str">
        <f ca="1">IFERROR(__xludf.DUMMYFUNCTION("GOOGLETRANSLATE(A5639, ""zh"", ""en"")"),"The QT1600 trencher powered by marine surplus power can reduce CO2 emissions by 10,000 tons annually. The company has initially built the world's largest LNG-powered fleet, promoting a clean, green, and low-carbon transformation of equipment. Energy conse"&amp;"rvation and emission reduction. The company adheres to environmental protection, energy efficiency, and green development environmental protection and energy management policies. The company strictly abides by the energy management regulations and require"&amp;"ments of the countries and regions where it operates, strengthens energy management efforts, and continuously amends and improves the system.")</f>
        <v>The QT1600 trencher powered by marine surplus power can reduce CO2 emissions by 10,000 tons annually. The company has initially built the world's largest LNG-powered fleet, promoting a clean, green, and low-carbon transformation of equipment. Energy conservation and emission reduction. The company adheres to environmental protection, energy efficiency, and green development environmental protection and energy management policies. The company strictly abides by the energy management regulations and requirements of the countries and regions where it operates, strengthens energy management efforts, and continuously amends and improves the system.</v>
      </c>
      <c r="B5639" s="1" t="str">
        <f ca="1">IFERROR(__xludf.DUMMYFUNCTION("GOOGLETRANSLATE(A5639, ""zh"", ""en"")"),"carbon emissions")</f>
        <v>carbon emissions</v>
      </c>
      <c r="C5639" s="1" t="str">
        <f ca="1">IFERROR(__xludf.DUMMYFUNCTION("GOOGLETRANSLATE(E5639, ""zh"", ""en"")"),"Quantitative Text")</f>
        <v>Quantitative Text</v>
      </c>
    </row>
    <row r="5640" spans="1:3" ht="13" x14ac:dyDescent="0.15">
      <c r="A5640" s="1" t="str">
        <f ca="1">IFERROR(__xludf.DUMMYFUNCTION("GOOGLETRANSLATE(A5640, ""zh"", ""en"")"),"ESG Governance by the Board of Directors: As the highest decision-making body for the company's ESG work, the board is responsible for reviewing the company's ESG strategic goals and risk profile, supervising and approving the implementation and progress "&amp;"of ESG plans, and monitoring the company's compliance management, addressing its commitments, actions, and performance on key issues such as climate change. It focuses on ESG matters related to the company's business, reviews the company's ESG report, and"&amp;" collaborates with specialized committees and management departments to incorporate ESG into production and operations, implementing the company's ESG management.")</f>
        <v>ESG Governance by the Board of Directors: As the highest decision-making body for the company's ESG work, the board is responsible for reviewing the company's ESG strategic goals and risk profile, supervising and approving the implementation and progress of ESG plans, and monitoring the company's compliance management, addressing its commitments, actions, and performance on key issues such as climate change. It focuses on ESG matters related to the company's business, reviews the company's ESG report, and collaborates with specialized committees and management departments to incorporate ESG into production and operations, implementing the company's ESG management.</v>
      </c>
      <c r="B5640" s="1" t="str">
        <f ca="1">IFERROR(__xludf.DUMMYFUNCTION("GOOGLETRANSLATE(A5640, ""zh"", ""en"")"),"Organizational structure and operations")</f>
        <v>Organizational structure and operations</v>
      </c>
      <c r="C5640" s="1" t="str">
        <f ca="1">IFERROR(__xludf.DUMMYFUNCTION("GOOGLETRANSLATE(E5640, ""zh"", ""en"")"),"Qualitative text")</f>
        <v>Qualitative text</v>
      </c>
    </row>
    <row r="5641" spans="1:3" ht="13" x14ac:dyDescent="0.15">
      <c r="A5641" s="1" t="str">
        <f ca="1">IFERROR(__xludf.DUMMYFUNCTION("GOOGLETRANSLATE(A5641, ""zh"", ""en"")"),"Haier Smart Home requires suppliers to provide employees with an equal, just, healthy and safe working environment based on the UN Guiding Principles on Business and Human Rights, the OECD Guidelines for Multinational Enterprises, and the International La"&amp;"bor Organization (ILO) Tripartite Declaration of Principles concerning Multinational Enterprises and Social Policy. It also urges suppliers to actively participate in labor rights protection projects conducted by well-known organizations.")</f>
        <v>Haier Smart Home requires suppliers to provide employees with an equal, just, healthy and safe working environment based on the UN Guiding Principles on Business and Human Rights, the OECD Guidelines for Multinational Enterprises, and the International Labor Organization (ILO) Tripartite Declaration of Principles concerning Multinational Enterprises and Social Policy. It also urges suppliers to actively participate in labor rights protection projects conducted by well-known organizations.</v>
      </c>
      <c r="B5641" s="1" t="str">
        <f ca="1">IFERROR(__xludf.DUMMYFUNCTION("GOOGLETRANSLATE(A5641, ""zh"", ""en"")"),"staff")</f>
        <v>staff</v>
      </c>
      <c r="C5641" s="1" t="str">
        <f ca="1">IFERROR(__xludf.DUMMYFUNCTION("GOOGLETRANSLATE(E5641, ""zh"", ""en"")"),"Qualitative text")</f>
        <v>Qualitative text</v>
      </c>
    </row>
    <row r="5642" spans="1:3" ht="13" x14ac:dyDescent="0.15">
      <c r="A5642" s="1" t="str">
        <f ca="1">IFERROR(__xludf.DUMMYFUNCTION("GOOGLETRANSLATE(A5642, ""zh"", ""en"")"),"II. Protection of Shareholders' Rights and Interests 1. Investor Relations Management The Company always adheres to the concept of respecting and rewarding investors, and maximizes the protection of the legitimate rights and interests of all shareholders."&amp;" It conducts multi-level and all-round interactions and exchanges with investors, further improves the investor communication platform by establishing a communication mechanism that combines regularization with dynamic management, enhances investors' awar"&amp;"eness of the Company, effectively disseminates the Company's information and value in the capital market, and establishes a good corporate image in the capital market.")</f>
        <v>II. Protection of Shareholders' Rights and Interests 1. Investor Relations Management The Company always adheres to the concept of respecting and rewarding investors, and maximizes the protection of the legitimate rights and interests of all shareholders. It conducts multi-level and all-round interactions and exchanges with investors, further improves the investor communication platform by establishing a communication mechanism that combines regularization with dynamic management, enhances investors' awareness of the Company, effectively disseminates the Company's information and value in the capital market, and establishes a good corporate image in the capital market.</v>
      </c>
      <c r="B5642" s="1" t="str">
        <f ca="1">IFERROR(__xludf.DUMMYFUNCTION("GOOGLETRANSLATE(A5642, ""zh"", ""en"")"),"Shareholder and creditor rights")</f>
        <v>Shareholder and creditor rights</v>
      </c>
      <c r="C5642" s="1" t="str">
        <f ca="1">IFERROR(__xludf.DUMMYFUNCTION("GOOGLETRANSLATE(E5642, ""zh"", ""en"")"),"Qualitative text")</f>
        <v>Qualitative text</v>
      </c>
    </row>
    <row r="5643" spans="1:3" ht="13" x14ac:dyDescent="0.15">
      <c r="A5643" s="1" t="str">
        <f ca="1">IFERROR(__xludf.DUMMYFUNCTION("GOOGLETRANSLATE(A5643, ""zh"", ""en"")"),"Donate supplies to the anti-epidemic frontline in Tianwen Street, Nan'an District, Chongqing. Starting from August 2022, the Nan'an District Party Committee Organization Department and the Nan'an District Federation of Industry and Commerce Comprehensive "&amp;"Party Committee party members and cadres went to the front line to participate in the anti-epidemic work, reported to the key epidemic-related communities in Nan'an District, participated in community nucleic acid testing information entry, order maintena"&amp;"nce, publicity, investigation, material transportation, etc., fought side by side with the anti-epidemic staff, carried out community breakthroughs one by one, gathered the anti-epidemic forces of unity, and made every effort to ensure the efficient compl"&amp;"etion of the anti-epidemic tasks in Nan'an District.")</f>
        <v>Donate supplies to the anti-epidemic frontline in Tianwen Street, Nan'an District, Chongqing. Starting from August 2022, the Nan'an District Party Committee Organization Department and the Nan'an District Federation of Industry and Commerce Comprehensive Party Committee party members and cadres went to the front line to participate in the anti-epidemic work, reported to the key epidemic-related communities in Nan'an District, participated in community nucleic acid testing information entry, order maintenance, publicity, investigation, material transportation, etc., fought side by side with the anti-epidemic staff, carried out community breakthroughs one by one, gathered the anti-epidemic forces of unity, and made every effort to ensure the efficient completion of the anti-epidemic tasks in Nan'an District.</v>
      </c>
      <c r="B5643" s="1" t="str">
        <f ca="1">IFERROR(__xludf.DUMMYFUNCTION("GOOGLETRANSLATE(A5643, ""zh"", ""en"")"),"Fighting the epidemic")</f>
        <v>Fighting the epidemic</v>
      </c>
      <c r="C5643" s="1" t="str">
        <f ca="1">IFERROR(__xludf.DUMMYFUNCTION("GOOGLETRANSLATE(E5643, ""zh"", ""en"")"),"Qualitative text")</f>
        <v>Qualitative text</v>
      </c>
    </row>
    <row r="5644" spans="1:3" ht="13" x14ac:dyDescent="0.15">
      <c r="A5644" s="1" t="str">
        <f ca="1">IFERROR(__xludf.DUMMYFUNCTION("GOOGLETRANSLATE(A5644, ""zh"", ""en"")"),"15CorporateSocialResponsibilityReport202216Environmental ResponsibilityGreen OperationsEnergy ManagementContinuous ImprovementGreen OfficeHisense VisionEnergy UsageHisense Vision actively responded to the national call for energy conservation and emission"&amp;" reduction, implemented the Energy Conservation Publicity Week within the company, developed and published an energy conservation and consumption reduction manual, resolutely said no to waste, and controlled energy and resource use in multiple aspects to "&amp;"create a green office atmosphere for all employees.")</f>
        <v>15CorporateSocialResponsibilityReport202216Environmental ResponsibilityGreen OperationsEnergy ManagementContinuous ImprovementGreen OfficeHisense VisionEnergy UsageHisense Vision actively responded to the national call for energy conservation and emission reduction, implemented the Energy Conservation Publicity Week within the company, developed and published an energy conservation and consumption reduction manual, resolutely said no to waste, and controlled energy and resource use in multiple aspects to create a green office atmosphere for all employees.</v>
      </c>
      <c r="B5644" s="1" t="str">
        <f ca="1">IFERROR(__xludf.DUMMYFUNCTION("GOOGLETRANSLATE(A5644, ""zh"", ""en"")"),"Energy and resource consumption")</f>
        <v>Energy and resource consumption</v>
      </c>
      <c r="C5644" s="1" t="str">
        <f ca="1">IFERROR(__xludf.DUMMYFUNCTION("GOOGLETRANSLATE(E5644, ""zh"", ""en"")"),"Qualitative text")</f>
        <v>Qualitative text</v>
      </c>
    </row>
    <row r="5645" spans="1:3" ht="13" x14ac:dyDescent="0.15">
      <c r="A5645" s="1" t="str">
        <f ca="1">IFERROR(__xludf.DUMMYFUNCTION("GOOGLETRANSLATE(A5645, ""zh"", ""en"")"),"Daqing Oilfield North I2 Natural Gas Processing Plant Project CCER Project China National Petroleum Corporation 2022 Environmental, Social and Governance Report 46 Carbon Capture, Utilization and Storage (CCUS) The company actively explores and improves t"&amp;"he technical and efficiency paths for carbon capture and storage, continuously increases research and promotion of key technologies for the entire CCUS industry chain, effectively improves the level of carbon capture and utilization, promotes the construc"&amp;"tion of CCUS demonstration projects and commercial applications, and has achieved a series of results.")</f>
        <v>Daqing Oilfield North I2 Natural Gas Processing Plant Project CCER Project China National Petroleum Corporation 2022 Environmental, Social and Governance Report 46 Carbon Capture, Utilization and Storage (CCUS) The company actively explores and improves the technical and efficiency paths for carbon capture and storage, continuously increases research and promotion of key technologies for the entire CCUS industry chain, effectively improves the level of carbon capture and utilization, promotes the construction of CCUS demonstration projects and commercial applications, and has achieved a series of results.</v>
      </c>
      <c r="B5645" s="1" t="str">
        <f ca="1">IFERROR(__xludf.DUMMYFUNCTION("GOOGLETRANSLATE(A5645, ""zh"", ""en"")"),"carbon emissions")</f>
        <v>carbon emissions</v>
      </c>
      <c r="C5645" s="1" t="str">
        <f ca="1">IFERROR(__xludf.DUMMYFUNCTION("GOOGLETRANSLATE(E5645, ""zh"", ""en"")"),"Qualitative text")</f>
        <v>Qualitative text</v>
      </c>
    </row>
    <row r="5646" spans="1:3" ht="13" x14ac:dyDescent="0.15">
      <c r="A5646" s="1" t="str">
        <f ca="1">IFERROR(__xludf.DUMMYFUNCTION("GOOGLETRANSLATE(A5646, ""zh"", ""en"")"),"Office Building Energy Saving and Carbon Reduction Case Study: Achieve clean energy use annually from 2022 to 2024; Achieve clean energy use annually from 2025 to 2029; and Achieve clean energy use annually from 2030 onwards. 305010032 CITIC Securities 20"&amp;"22 Annual Social Responsibility Report. The company's Beijing data center construction adopts national Class A standards, reaching domestic first-class and industry-leading standards. It has won multiple top awards for domestic data center design and cons"&amp;"truction.")</f>
        <v>Office Building Energy Saving and Carbon Reduction Case Study: Achieve clean energy use annually from 2022 to 2024; Achieve clean energy use annually from 2025 to 2029; and Achieve clean energy use annually from 2030 onwards. 305010032 CITIC Securities 2022 Annual Social Responsibility Report. The company's Beijing data center construction adopts national Class A standards, reaching domestic first-class and industry-leading standards. It has won multiple top awards for domestic data center design and construction.</v>
      </c>
      <c r="B5646" s="1" t="str">
        <f ca="1">IFERROR(__xludf.DUMMYFUNCTION("GOOGLETRANSLATE(A5646, ""zh"", ""en"")"),"Energy and resource consumption")</f>
        <v>Energy and resource consumption</v>
      </c>
      <c r="C5646" s="1" t="str">
        <f ca="1">IFERROR(__xludf.DUMMYFUNCTION("GOOGLETRANSLATE(E5646, ""zh"", ""en"")"),"Quantitative Text")</f>
        <v>Quantitative Text</v>
      </c>
    </row>
    <row r="5647" spans="1:3" ht="13" x14ac:dyDescent="0.15">
      <c r="A5647" s="1" t="str">
        <f ca="1">IFERROR(__xludf.DUMMYFUNCTION("GOOGLETRANSLATE(A5647, ""zh"", ""en"")"),"The Remuneration and Appraisal Committee is primarily responsible for reviewing proposals related to the main management responsibilities and remuneration plans or programs of directors and senior management, including cash and equity incentive plans, and"&amp;" submitting them to the Board of Directors for review and decision; reviewing the performance of the company's non-independent directors and senior management, and conducting annual performance appraisals; reviewing the remuneration policies and programs "&amp;"of other employees of the company, excluding directors and senior management, and supervising their implementation; and other matters authorized by the Board of Directors.")</f>
        <v>The Remuneration and Appraisal Committee is primarily responsible for reviewing proposals related to the main management responsibilities and remuneration plans or programs of directors and senior management, including cash and equity incentive plans, and submitting them to the Board of Directors for review and decision; reviewing the performance of the company's non-independent directors and senior management, and conducting annual performance appraisals; reviewing the remuneration policies and programs of other employees of the company, excluding directors and senior management, and supervising their implementation; and other matters authorized by the Board of Directors.</v>
      </c>
      <c r="B5647" s="1" t="str">
        <f ca="1">IFERROR(__xludf.DUMMYFUNCTION("GOOGLETRANSLATE(A5647, ""zh"", ""en"")"),"Organizational structure and operations")</f>
        <v>Organizational structure and operations</v>
      </c>
      <c r="C5647" s="1" t="str">
        <f ca="1">IFERROR(__xludf.DUMMYFUNCTION("GOOGLETRANSLATE(E5647, ""zh"", ""en"")"),"Qualitative text")</f>
        <v>Qualitative text</v>
      </c>
    </row>
    <row r="5648" spans="1:3" ht="13" x14ac:dyDescent="0.15">
      <c r="A5648" s="1" t="str">
        <f ca="1">IFERROR(__xludf.DUMMYFUNCTION("GOOGLETRANSLATE(A5648, ""zh"", ""en"")"),"Shanghai Electric Steam Turbine Factory has overcome numerous difficulties and strictly adhered to the contract delivery period. Shanghai Electric's overseas projects extend to full life cycle services. Customer feedback: We have established a comprehensi"&amp;"ve customer file management system and continuously improved the customer feedback mechanism, complaint handling mechanism and rapid response mechanism. We strive to provide customers with high-quality and efficient operation and maintenance services to e"&amp;"nsure the long-term stable and safe operation of our products. At the same time, we always pay attention to customer needs and feedback, actively respond to customer complaints and promptly handle quality objections.")</f>
        <v>Shanghai Electric Steam Turbine Factory has overcome numerous difficulties and strictly adhered to the contract delivery period. Shanghai Electric's overseas projects extend to full life cycle services. Customer feedback: We have established a comprehensive customer file management system and continuously improved the customer feedback mechanism, complaint handling mechanism and rapid response mechanism. We strive to provide customers with high-quality and efficient operation and maintenance services to ensure the long-term stable and safe operation of our products. At the same time, we always pay attention to customer needs and feedback, actively respond to customer complaints and promptly handle quality objections.</v>
      </c>
      <c r="B5648" s="1" t="str">
        <f ca="1">IFERROR(__xludf.DUMMYFUNCTION("GOOGLETRANSLATE(A5648, ""zh"", ""en"")"),"Customers and Consumers")</f>
        <v>Customers and Consumers</v>
      </c>
      <c r="C5648" s="1" t="str">
        <f ca="1">IFERROR(__xludf.DUMMYFUNCTION("GOOGLETRANSLATE(E5648, ""zh"", ""en"")"),"Qualitative text")</f>
        <v>Qualitative text</v>
      </c>
    </row>
    <row r="5649" spans="1:3" ht="13" x14ac:dyDescent="0.15">
      <c r="A5649" s="1" t="str">
        <f ca="1">IFERROR(__xludf.DUMMYFUNCTION("GOOGLETRANSLATE(A5649, ""zh"", ""en"")"),"The digital transformation project group, independently designed and developed by Digital Science and Technology Co., Ltd. with independent intellectual property rights, has been put into operation. The project group has two ends of the screen, namely the"&amp;" smart brain (large screen), the financial risk control platform (PC), and the operation cockpit (mobile). Through the multi-dimensional integration of multi-source, heterogeneous, multi-modal business data, financial data, and third-party data of the gro"&amp;"up and its member companies, it realizes the multi-cross collaboration of the group's functional management and operation analysis, providing digital support for the group to become a leader in China's smart supply chain integration services.")</f>
        <v>The digital transformation project group, independently designed and developed by Digital Science and Technology Co., Ltd. with independent intellectual property rights, has been put into operation. The project group has two ends of the screen, namely the smart brain (large screen), the financial risk control platform (PC), and the operation cockpit (mobile). Through the multi-dimensional integration of multi-source, heterogeneous, multi-modal business data, financial data, and third-party data of the group and its member companies, it realizes the multi-cross collaboration of the group's functional management and operation analysis, providing digital support for the group to become a leader in China's smart supply chain integration services.</v>
      </c>
      <c r="B5649" s="1" t="str">
        <f ca="1">IFERROR(__xludf.DUMMYFUNCTION("GOOGLETRANSLATE(A5649, ""zh"", ""en"")"),"Technological innovation")</f>
        <v>Technological innovation</v>
      </c>
      <c r="C5649" s="1" t="str">
        <f ca="1">IFERROR(__xludf.DUMMYFUNCTION("GOOGLETRANSLATE(E5649, ""zh"", ""en"")"),"Qualitative text")</f>
        <v>Qualitative text</v>
      </c>
    </row>
    <row r="5650" spans="1:3" ht="13" x14ac:dyDescent="0.15">
      <c r="A5650" s="1" t="str">
        <f ca="1">IFERROR(__xludf.DUMMYFUNCTION("GOOGLETRANSLATE(A5650, ""zh"", ""en"")"),"In 2022, the company adhered to the guidance of Xi Jinping Thought on Socialism with Chinese Characteristics for a New Era and thoroughly studied and implemented the spirit of the Sixth Plenary Session of the 19th CPC Central Committee and the spirit of t"&amp;"he 20th CPC National Congress. It took the study and implementation of the spirit of the 20th CPC National Congress as the primary task at present and in the future, and strengthened ideological and political work to consolidate the ideological foundation"&amp;" of party members and cadres. It repeatedly adopted the form of centralized viewing of leadership team reading clubs and special party lectures to promote the spirit of the party to go deeper and more practical, and further consolidate the centripetal for"&amp;"ce of party members and employees.")</f>
        <v>In 2022, the company adhered to the guidance of Xi Jinping Thought on Socialism with Chinese Characteristics for a New Era and thoroughly studied and implemented the spirit of the Sixth Plenary Session of the 19th CPC Central Committee and the spirit of the 20th CPC National Congress. It took the study and implementation of the spirit of the 20th CPC National Congress as the primary task at present and in the future, and strengthened ideological and political work to consolidate the ideological foundation of party members and cadres. It repeatedly adopted the form of centralized viewing of leadership team reading clubs and special party lectures to promote the spirit of the party to go deeper and more practical, and further consolidate the centripetal force of party members and employees.</v>
      </c>
      <c r="B5650" s="1" t="str">
        <f ca="1">IFERROR(__xludf.DUMMYFUNCTION("GOOGLETRANSLATE(A5650, ""zh"", ""en"")"),"Organizational structure and operations")</f>
        <v>Organizational structure and operations</v>
      </c>
      <c r="C5650" s="1" t="str">
        <f ca="1">IFERROR(__xludf.DUMMYFUNCTION("GOOGLETRANSLATE(E5650, ""zh"", ""en"")"),"Qualitative text")</f>
        <v>Qualitative text</v>
      </c>
    </row>
    <row r="5651" spans="1:3" ht="13" x14ac:dyDescent="0.15">
      <c r="A5651" s="1" t="str">
        <f ca="1">IFERROR(__xludf.DUMMYFUNCTION("GOOGLETRANSLATE(A5651, ""zh"", ""en"")"),"The company focuses on being a leader in China's smart supply chain integration services. It aims to continuously increase its model innovation efforts and rely on its strong resource organization, network channels, brand operations and other professional"&amp;" advantages. Through centralized purchasing, distribution, supply and delivery, value-added services, and integrated platform operation models such as combining large platforms and small front-ends, it links business flows, logistics flows, capital flows "&amp;"and information flows, providing upstream and downstream supply chain partners with efficient smart supply chain integration services such as raw material procurement, processing, distribution, export logistics, financial information, etc.")</f>
        <v>The company focuses on being a leader in China's smart supply chain integration services. It aims to continuously increase its model innovation efforts and rely on its strong resource organization, network channels, brand operations and other professional advantages. Through centralized purchasing, distribution, supply and delivery, value-added services, and integrated platform operation models such as combining large platforms and small front-ends, it links business flows, logistics flows, capital flows and information flows, providing upstream and downstream supply chain partners with efficient smart supply chain integration services such as raw material procurement, processing, distribution, export logistics, financial information, etc.</v>
      </c>
      <c r="B5651" s="1" t="str">
        <f ca="1">IFERROR(__xludf.DUMMYFUNCTION("GOOGLETRANSLATE(A5651, ""zh"", ""en"")"),"supply chain management")</f>
        <v>supply chain management</v>
      </c>
      <c r="C5651" s="1" t="str">
        <f ca="1">IFERROR(__xludf.DUMMYFUNCTION("GOOGLETRANSLATE(E5651, ""zh"", ""en"")"),"Qualitative text")</f>
        <v>Qualitative text</v>
      </c>
    </row>
    <row r="5652" spans="1:3" ht="13" x14ac:dyDescent="0.15">
      <c r="A5652" s="1" t="str">
        <f ca="1">IFERROR(__xludf.DUMMYFUNCTION("GOOGLETRANSLATE(A5652, ""zh"", ""en"")"),"The duty-related death ratio disclosed in China Construction Bank's Social Responsibility Report refers to the proportion of work-related deaths recognized by China Construction Bank (excluding domestic and overseas subsidiaries) as of the end of the repo"&amp;"rting period, in accordance with the Regulations on Work-Related Injury Insurance promulgated by the State Council of the People's Republic of China (Decree No. 375 of the State Council), the Decision of the State Council on Amending the Regulations on Wo"&amp;"rk-Related Injury Insurance (Decree No. 586 of the State Council of the People's Republic of China), and relevant regulations of local governments, to the total number of employees of the Bank.")</f>
        <v>The duty-related death ratio disclosed in China Construction Bank's Social Responsibility Report refers to the proportion of work-related deaths recognized by China Construction Bank (excluding domestic and overseas subsidiaries) as of the end of the reporting period, in accordance with the Regulations on Work-Related Injury Insurance promulgated by the State Council of the People's Republic of China (Decree No. 375 of the State Council), the Decision of the State Council on Amending the Regulations on Work-Related Injury Insurance (Decree No. 586 of the State Council of the People's Republic of China), and relevant regulations of local governments, to the total number of employees of the Bank.</v>
      </c>
      <c r="B5652" s="1" t="str">
        <f ca="1">IFERROR(__xludf.DUMMYFUNCTION("GOOGLETRANSLATE(A5652, ""zh"", ""en"")"),"staff")</f>
        <v>staff</v>
      </c>
      <c r="C5652" s="1" t="str">
        <f ca="1">IFERROR(__xludf.DUMMYFUNCTION("GOOGLETRANSLATE(E5652, ""zh"", ""en"")"),"Qualitative text")</f>
        <v>Qualitative text</v>
      </c>
    </row>
    <row r="5653" spans="1:3" ht="13" x14ac:dyDescent="0.15">
      <c r="A5653" s="1" t="str">
        <f ca="1">IFERROR(__xludf.DUMMYFUNCTION("GOOGLETRANSLATE(A5653, ""zh"", ""en"")"),"More than 100 high-value patent packages have been formed in key technology fields. The national innovation platform ecosystem currently has more than 180 ecosystem members. More than 92,000 patents have been applied for globally, more than 5,000 operatio"&amp;"nal patents have been applied for, and more than 59,000 invention patents have been applied for. 69 standards have been participated in. Casarte Galaxy wall-mounted air conditioner won the China Design Patent Gold Award. Regularly discuss industry innovat"&amp;"ion with ecosystem partners around the world to enhance overseas innovation vitality and realize the sharing of global innovation and R&amp;D results.")</f>
        <v>More than 100 high-value patent packages have been formed in key technology fields. The national innovation platform ecosystem currently has more than 180 ecosystem members. More than 92,000 patents have been applied for globally, more than 5,000 operational patents have been applied for, and more than 59,000 invention patents have been applied for. 69 standards have been participated in. Casarte Galaxy wall-mounted air conditioner won the China Design Patent Gold Award. Regularly discuss industry innovation with ecosystem partners around the world to enhance overseas innovation vitality and realize the sharing of global innovation and R&amp;D results.</v>
      </c>
      <c r="B5653" s="1" t="str">
        <f ca="1">IFERROR(__xludf.DUMMYFUNCTION("GOOGLETRANSLATE(A5653, ""zh"", ""en"")"),"Technological innovation")</f>
        <v>Technological innovation</v>
      </c>
      <c r="C5653" s="1" t="str">
        <f ca="1">IFERROR(__xludf.DUMMYFUNCTION("GOOGLETRANSLATE(E5653, ""zh"", ""en"")"),"Quantitative Text")</f>
        <v>Quantitative Text</v>
      </c>
    </row>
    <row r="5654" spans="1:3" ht="13" x14ac:dyDescent="0.15">
      <c r="A5654" s="1" t="str">
        <f ca="1">IFERROR(__xludf.DUMMYFUNCTION("GOOGLETRANSLATE(A5654, ""zh"", ""en"")"),"In 2022, the Group will continue to deepen the construction of its internal service system, using product operation and maintenance research as a vehicle. It will conduct in-depth interviews with owners and project staff, combine unannounced inspections o"&amp;"f newly delivered projects with professional on-site inspections by the Group, and conduct research on 25 sub-topics across five dimensions, including pedestrian, vehicle, sensory, community, and life scenarios. It will promote real estate renewal and add"&amp;" 36 new design standards, as well as 34 new service standards for properties. It will focus on improving service efficiency from the perspective of customer vision and service radius effectiveness.")</f>
        <v>In 2022, the Group will continue to deepen the construction of its internal service system, using product operation and maintenance research as a vehicle. It will conduct in-depth interviews with owners and project staff, combine unannounced inspections of newly delivered projects with professional on-site inspections by the Group, and conduct research on 25 sub-topics across five dimensions, including pedestrian, vehicle, sensory, community, and life scenarios. It will promote real estate renewal and add 36 new design standards, as well as 34 new service standards for properties. It will focus on improving service efficiency from the perspective of customer vision and service radius effectiveness.</v>
      </c>
      <c r="B5654" s="1" t="str">
        <f ca="1">IFERROR(__xludf.DUMMYFUNCTION("GOOGLETRANSLATE(A5654, ""zh"", ""en"")"),"Customers and Consumers")</f>
        <v>Customers and Consumers</v>
      </c>
      <c r="C5654" s="1" t="str">
        <f ca="1">IFERROR(__xludf.DUMMYFUNCTION("GOOGLETRANSLATE(E5654, ""zh"", ""en"")"),"Qualitative text")</f>
        <v>Qualitative text</v>
      </c>
    </row>
    <row r="5655" spans="1:3" ht="13" x14ac:dyDescent="0.15">
      <c r="A5655" s="1" t="str">
        <f ca="1">IFERROR(__xludf.DUMMYFUNCTION("GOOGLETRANSLATE(A5655, ""zh"", ""en"")"),"We strictly abide by the Production Safety Law of the People's Republic of China, the Occupational Disease Prevention and Control Law of the People's Republic of China, and the Management Measures for Emergency Plans for Production Safety Accidents. We fo"&amp;"llow ISO450012018 Occupational Health and Safety Management System and GBT330002016 Basic Specification for Enterprise Safety Production Standardization and other standards and guidelines, and strive to establish and improve our own health and safety mana"&amp;"gement system, strengthen its implementation and execution, and maximize the prevention and reduction of safety accidents.")</f>
        <v>We strictly abide by the Production Safety Law of the People's Republic of China, the Occupational Disease Prevention and Control Law of the People's Republic of China, and the Management Measures for Emergency Plans for Production Safety Accidents. We follow ISO450012018 Occupational Health and Safety Management System and GBT330002016 Basic Specification for Enterprise Safety Production Standardization and other standards and guidelines, and strive to establish and improve our own health and safety management system, strengthen its implementation and execution, and maximize the prevention and reduction of safety accidents.</v>
      </c>
      <c r="B5655" s="1" t="str">
        <f ca="1">IFERROR(__xludf.DUMMYFUNCTION("GOOGLETRANSLATE(A5655, ""zh"", ""en"")"),"staff")</f>
        <v>staff</v>
      </c>
      <c r="C5655" s="1" t="str">
        <f ca="1">IFERROR(__xludf.DUMMYFUNCTION("GOOGLETRANSLATE(E5655, ""zh"", ""en"")"),"Qualitative text")</f>
        <v>Qualitative text</v>
      </c>
    </row>
    <row r="5656" spans="1:3" ht="13" x14ac:dyDescent="0.15">
      <c r="A5656" s="1" t="str">
        <f ca="1">IFERROR(__xludf.DUMMYFUNCTION("GOOGLETRANSLATE(A5656, ""zh"", ""en"")"),"The number of labor harbor outlets set up as disclosed in the China Construction Bank Social Responsibility Report refers to the number of CCB business outlets set up as of the end of the reporting period, excluding domestic and overseas subsidiaries, tha"&amp;"t have been listed and can provide labor harbor services to the outside world, in accordance with the China Banking Association's initiative on further improving the service quality and efficiency of business outlets in the banking financial structure and"&amp;" the China Construction Bank's Labor Harbor Construction Implementation Plan.")</f>
        <v>The number of labor harbor outlets set up as disclosed in the China Construction Bank Social Responsibility Report refers to the number of CCB business outlets set up as of the end of the reporting period, excluding domestic and overseas subsidiaries, that have been listed and can provide labor harbor services to the outside world, in accordance with the China Banking Association's initiative on further improving the service quality and efficiency of business outlets in the banking financial structure and the China Construction Bank's Labor Harbor Construction Implementation Plan.</v>
      </c>
      <c r="B5656" s="1" t="str">
        <f ca="1">IFERROR(__xludf.DUMMYFUNCTION("GOOGLETRANSLATE(A5656, ""zh"", ""en"")"),"staff")</f>
        <v>staff</v>
      </c>
      <c r="C5656" s="1" t="str">
        <f ca="1">IFERROR(__xludf.DUMMYFUNCTION("GOOGLETRANSLATE(E5656, ""zh"", ""en"")"),"Quantitative Text")</f>
        <v>Quantitative Text</v>
      </c>
    </row>
    <row r="5657" spans="1:3" ht="13" x14ac:dyDescent="0.15">
      <c r="A5657" s="1" t="str">
        <f ca="1">IFERROR(__xludf.DUMMYFUNCTION("GOOGLETRANSLATE(A5657, ""zh"", ""en"")"),"Major issues addressed: Corporate Governance, Information Security and Privacy Protection, Advertising Compliance, and Anti-Corruption. Hong Kong Stock Exchange ESG Indicators B6 Product Responsibility and B7 Anti-Corruption were addressed. Our 13-Year Go"&amp;"als and 2022 Goal Achievement Status. Network Information and Security: Established a Data Privacy Protection Center, Vulnerability Management Platform, Security Monitoring and Incident Management Platform, and Industrial Control Information Security Mana"&amp;"gement Platform. We currently have corresponding processes in place and have procured a vulnerability management platform. We will continue to develop platform mechanisms in the future.")</f>
        <v>Major issues addressed: Corporate Governance, Information Security and Privacy Protection, Advertising Compliance, and Anti-Corruption. Hong Kong Stock Exchange ESG Indicators B6 Product Responsibility and B7 Anti-Corruption were addressed. Our 13-Year Goals and 2022 Goal Achievement Status. Network Information and Security: Established a Data Privacy Protection Center, Vulnerability Management Platform, Security Monitoring and Incident Management Platform, and Industrial Control Information Security Management Platform. We currently have corresponding processes in place and have procured a vulnerability management platform. We will continue to develop platform mechanisms in the future.</v>
      </c>
      <c r="B5657" s="1" t="str">
        <f ca="1">IFERROR(__xludf.DUMMYFUNCTION("GOOGLETRANSLATE(A5657, ""zh"", ""en"")"),"Data security")</f>
        <v>Data security</v>
      </c>
      <c r="C5657" s="1" t="str">
        <f ca="1">IFERROR(__xludf.DUMMYFUNCTION("GOOGLETRANSLATE(E5657, ""zh"", ""en"")"),"Qualitative text")</f>
        <v>Qualitative text</v>
      </c>
    </row>
    <row r="5658" spans="1:3" ht="13" x14ac:dyDescent="0.15">
      <c r="A5658" s="1" t="str">
        <f ca="1">IFERROR(__xludf.DUMMYFUNCTION("GOOGLETRANSLATE(A5658, ""zh"", ""en"")"),"Regarding the controlling shareholder and the listed company, the controlling shareholder of the Company has no right to directly interfere with the decision-making of the Company and the procedures for selecting and appointing the supervisors and the boa"&amp;"rd of supervisors as prescribed by the Company's Articles of Association. The Company's business operations do not harm the interests of the Company and other shareholders. The number and composition of the personnel are in compliance with laws, regulatio"&amp;"ns and the Company's Articles of Association. The Company's information disclosure system, etc.")</f>
        <v>Regarding the controlling shareholder and the listed company, the controlling shareholder of the Company has no right to directly interfere with the decision-making of the Company and the procedures for selecting and appointing the supervisors and the board of supervisors as prescribed by the Company's Articles of Association. The Company's business operations do not harm the interests of the Company and other shareholders. The number and composition of the personnel are in compliance with laws, regulations and the Company's Articles of Association. The Company's information disclosure system, etc.</v>
      </c>
      <c r="B5658" s="1" t="str">
        <f ca="1">IFERROR(__xludf.DUMMYFUNCTION("GOOGLETRANSLATE(A5658, ""zh"", ""en"")"),"Organizational structure and operations")</f>
        <v>Organizational structure and operations</v>
      </c>
      <c r="C5658" s="1" t="str">
        <f ca="1">IFERROR(__xludf.DUMMYFUNCTION("GOOGLETRANSLATE(E5658, ""zh"", ""en"")"),"Qualitative text")</f>
        <v>Qualitative text</v>
      </c>
    </row>
    <row r="5659" spans="1:3" ht="13" x14ac:dyDescent="0.15">
      <c r="A5659" s="1" t="str">
        <f ca="1">IFERROR(__xludf.DUMMYFUNCTION("GOOGLETRANSLATE(A5659, ""zh"", ""en"")"),"Complete data exchanges with regulatory agencies and key partners. The Group continues to implement electronic data management and PV work informationization for key products. On the other hand, it realizes the electronic submission of PV data and impleme"&amp;"nts monitoring requirements for specific pharmaceutical member companies. It also conducts analysis, evaluation and signal detection to form a report to regularly summarize adverse reaction data of key products to meet the needs of international strategie"&amp;"s.")</f>
        <v>Complete data exchanges with regulatory agencies and key partners. The Group continues to implement electronic data management and PV work informationization for key products. On the other hand, it realizes the electronic submission of PV data and implements monitoring requirements for specific pharmaceutical member companies. It also conducts analysis, evaluation and signal detection to form a report to regularly summarize adverse reaction data of key products to meet the needs of international strategies.</v>
      </c>
      <c r="B5659" s="1" t="str">
        <f ca="1">IFERROR(__xludf.DUMMYFUNCTION("GOOGLETRANSLATE(A5659, ""zh"", ""en"")"),"Product quality")</f>
        <v>Product quality</v>
      </c>
      <c r="C5659" s="1" t="str">
        <f ca="1">IFERROR(__xludf.DUMMYFUNCTION("GOOGLETRANSLATE(E5659, ""zh"", ""en"")"),"Qualitative text")</f>
        <v>Qualitative text</v>
      </c>
    </row>
    <row r="5660" spans="1:3" ht="13" x14ac:dyDescent="0.15">
      <c r="A5660" s="1" t="str">
        <f ca="1">IFERROR(__xludf.DUMMYFUNCTION("GOOGLETRANSLATE(A5660, ""zh"", ""en"")"),"To implement the requirements of the Party Central Committee's rural revitalization strategy and rural construction action plan, Fosun Pharma and the Shanghai Soong Ching Ling Foundation have joined hands to launch a strategic cooperation. The two parties"&amp;" focus on women as the main service targets and beneficiaries. The public welfare project is mainly implemented in Xishuangbanna Prefecture, Yunnan Province, one of Shanghai's counterpart assistance areas, to help improve the quality of primary medical ca"&amp;"re. They will continue to work with the Shanghai Fosun Charity Foundation to empower rural doctors and continue to carry out the Hand-in-Hand Rural Medical Talent Revitalization Plan to promote rural health development.")</f>
        <v>To implement the requirements of the Party Central Committee's rural revitalization strategy and rural construction action plan, Fosun Pharma and the Shanghai Soong Ching Ling Foundation have joined hands to launch a strategic cooperation. The two parties focus on women as the main service targets and beneficiaries. The public welfare project is mainly implemented in Xishuangbanna Prefecture, Yunnan Province, one of Shanghai's counterpart assistance areas, to help improve the quality of primary medical care. They will continue to work with the Shanghai Fosun Charity Foundation to empower rural doctors and continue to carry out the Hand-in-Hand Rural Medical Talent Revitalization Plan to promote rural health development.</v>
      </c>
      <c r="B5660" s="1" t="str">
        <f ca="1">IFERROR(__xludf.DUMMYFUNCTION("GOOGLETRANSLATE(A5660, ""zh"", ""en"")"),"Rural assistance")</f>
        <v>Rural assistance</v>
      </c>
      <c r="C5660" s="1" t="str">
        <f ca="1">IFERROR(__xludf.DUMMYFUNCTION("GOOGLETRANSLATE(E5660, ""zh"", ""en"")"),"Qualitative text")</f>
        <v>Qualitative text</v>
      </c>
    </row>
    <row r="5661" spans="1:3" ht="13" x14ac:dyDescent="0.15">
      <c r="A5661" s="1" t="str">
        <f ca="1">IFERROR(__xludf.DUMMYFUNCTION("GOOGLETRANSLATE(A5661, ""zh"", ""en"")"),"The theme of unswervingly following the path of socialist rule of law with Chinese characteristics was unfolded. Shenma Curtain Fabric carried out a series of anti-corruption publicity activities through case studies. Through explanations of publicity boa"&amp;"rds, distribution of publicity materials, and establishment of information desks, we explained relevant contents of the Constitution, the Work Safety Law, the Contract Law, and the Civil Law. Shenma Curtain Fabric carried out a series of activities for th"&amp;"e 14th Anti-Corruption and Integrity Education Month, and collected 15 micro-videos of honest stories around me, as well as other laws and regulations closely related to the production and life of employees.")</f>
        <v>The theme of unswervingly following the path of socialist rule of law with Chinese characteristics was unfolded. Shenma Curtain Fabric carried out a series of anti-corruption publicity activities through case studies. Through explanations of publicity boards, distribution of publicity materials, and establishment of information desks, we explained relevant contents of the Constitution, the Work Safety Law, the Contract Law, and the Civil Law. Shenma Curtain Fabric carried out a series of activities for the 14th Anti-Corruption and Integrity Education Month, and collected 15 micro-videos of honest stories around me, as well as other laws and regulations closely related to the production and life of employees.</v>
      </c>
      <c r="B5661" s="1" t="str">
        <f ca="1">IFERROR(__xludf.DUMMYFUNCTION("GOOGLETRANSLATE(A5661, ""zh"", ""en"")"),"Anti-corruption and anti-money laundering")</f>
        <v>Anti-corruption and anti-money laundering</v>
      </c>
      <c r="C5661" s="1" t="str">
        <f ca="1">IFERROR(__xludf.DUMMYFUNCTION("GOOGLETRANSLATE(E5661, ""zh"", ""en"")"),"Qualitative text")</f>
        <v>Qualitative text</v>
      </c>
    </row>
    <row r="5662" spans="1:3" ht="13" x14ac:dyDescent="0.15">
      <c r="A5662" s="1" t="str">
        <f ca="1">IFERROR(__xludf.DUMMYFUNCTION("GOOGLETRANSLATE(A5662, ""zh"", ""en"")"),"Actively cooperate with enterprises within the industry chain. Jointly establish Wuchan Zhongda Zhejiang Energy Storage Technology Co., Ltd. with Dihe Energy United Engineering and Tefu Multi-energy. Wuchan Huanneng provides comprehensive energy services "&amp;"for low-carbon industrial parks based on molten salt energy storage. Jointly establish Huzhou Juneng Xihe New Energy Technology Co., Ltd. with Huzhou Xihe to jointly develop and promote distributed photovoltaic projects in Huzhou. Jointly establish Tongxi"&amp;"ang Juneng Qitai Energy Storage Technology Co., Ltd. with Tongxiang Urban Investment to invest in and build molten salt energy storage demonstration projects.")</f>
        <v>Actively cooperate with enterprises within the industry chain. Jointly establish Wuchan Zhongda Zhejiang Energy Storage Technology Co., Ltd. with Dihe Energy United Engineering and Tefu Multi-energy. Wuchan Huanneng provides comprehensive energy services for low-carbon industrial parks based on molten salt energy storage. Jointly establish Huzhou Juneng Xihe New Energy Technology Co., Ltd. with Huzhou Xihe to jointly develop and promote distributed photovoltaic projects in Huzhou. Jointly establish Tongxiang Juneng Qitai Energy Storage Technology Co., Ltd. with Tongxiang Urban Investment to invest in and build molten salt energy storage demonstration projects.</v>
      </c>
      <c r="B5662" s="1" t="str">
        <f ca="1">IFERROR(__xludf.DUMMYFUNCTION("GOOGLETRANSLATE(A5662, ""zh"", ""en"")"),"Energy and resource consumption")</f>
        <v>Energy and resource consumption</v>
      </c>
      <c r="C5662" s="1" t="str">
        <f ca="1">IFERROR(__xludf.DUMMYFUNCTION("GOOGLETRANSLATE(E5662, ""zh"", ""en"")"),"Qualitative text")</f>
        <v>Qualitative text</v>
      </c>
    </row>
    <row r="5663" spans="1:3" ht="13" x14ac:dyDescent="0.15">
      <c r="A5663" s="1" t="str">
        <f ca="1">IFERROR(__xludf.DUMMYFUNCTION("GOOGLETRANSLATE(A5663, ""zh"", ""en"")"),"For more information, please visit our official WeChat account: https://mp.weixin.qq.com/sUQM7rvDOfiID7dOM8jucQ. Our safety training achievements demonstrate our prowess in critical moments. We strictly abide by relevant laws, regulations, and safety prec"&amp;"autions standards of our country and the countries where our overseas projects are located. We develop special emergency response plans for security emergencies, conduct regular emergency drills, strengthen security publicity and education, and establish "&amp;"and promote the regular operation of a joint security meeting mechanism.")</f>
        <v>For more information, please visit our official WeChat account: https://mp.weixin.qq.com/sUQM7rvDOfiID7dOM8jucQ. Our safety training achievements demonstrate our prowess in critical moments. We strictly abide by relevant laws, regulations, and safety precautions standards of our country and the countries where our overseas projects are located. We develop special emergency response plans for security emergencies, conduct regular emergency drills, strengthen security publicity and education, and establish and promote the regular operation of a joint security meeting mechanism.</v>
      </c>
      <c r="B5663" s="1" t="str">
        <f ca="1">IFERROR(__xludf.DUMMYFUNCTION("GOOGLETRANSLATE(A5663, ""zh"", ""en"")"),"staff")</f>
        <v>staff</v>
      </c>
      <c r="C5663" s="1" t="str">
        <f ca="1">IFERROR(__xludf.DUMMYFUNCTION("GOOGLETRANSLATE(E5663, ""zh"", ""en"")"),"Qualitative text")</f>
        <v>Qualitative text</v>
      </c>
    </row>
    <row r="5664" spans="1:3" ht="13" x14ac:dyDescent="0.15">
      <c r="A5664" s="1" t="str">
        <f ca="1">IFERROR(__xludf.DUMMYFUNCTION("GOOGLETRANSLATE(A5664, ""zh"", ""en"")"),"Through goal setting, monthly and quarterly reviews, the performance appraisal plan for the hospital director is determined. Performance appraisal indicators include continuous coaching and communication in the performance management cycle. In addition to"&amp;" financial indicators, managers pay more attention to the hospital's strategic and discipline construction. Through evaluation, they provide employees with the most authentic and direct opinions and suggestions on medical quality, safety, medical characte"&amp;"ristics, patient and employee satisfaction, thereby helping employees continuously improve their knowledge, skills and abilities, service processes, talent training, and employee development, providing sustainable career shaping and continuous growth for "&amp;"medical care.")</f>
        <v>Through goal setting, monthly and quarterly reviews, the performance appraisal plan for the hospital director is determined. Performance appraisal indicators include continuous coaching and communication in the performance management cycle. In addition to financial indicators, managers pay more attention to the hospital's strategic and discipline construction. Through evaluation, they provide employees with the most authentic and direct opinions and suggestions on medical quality, safety, medical characteristics, patient and employee satisfaction, thereby helping employees continuously improve their knowledge, skills and abilities, service processes, talent training, and employee development, providing sustainable career shaping and continuous growth for medical care.</v>
      </c>
      <c r="B5664" s="1" t="str">
        <f ca="1">IFERROR(__xludf.DUMMYFUNCTION("GOOGLETRANSLATE(A5664, ""zh"", ""en"")"),"staff")</f>
        <v>staff</v>
      </c>
      <c r="C5664" s="1" t="str">
        <f ca="1">IFERROR(__xludf.DUMMYFUNCTION("GOOGLETRANSLATE(E5664, ""zh"", ""en"")"),"Qualitative text")</f>
        <v>Qualitative text</v>
      </c>
    </row>
    <row r="5665" spans="1:3" ht="13" x14ac:dyDescent="0.15">
      <c r="A5665" s="1" t="str">
        <f ca="1">IFERROR(__xludf.DUMMYFUNCTION("GOOGLETRANSLATE(A5665, ""zh"", ""en"")"),"Table 2022 Kangyuan Environmental Protection Investment Costs Investment Category Investment Amount RMB 10,000 Investment in Environmental Protection Equipment and Technology Transformation 3255.08 Investment in Environmental Protection Operation and Main"&amp;"tenance 9018.408.1.1 Policy and Objectives Kangyuan adheres to the environmental management policy of preventing pollution, abiding by laws and regulations, and continuously improving. Based on the current status and performance of the Group's environment"&amp;"al management, it has formulated a five-year energy conservation and emission reduction work goal from 2021 to 2025 with 2020 as the base year.")</f>
        <v>Table 2022 Kangyuan Environmental Protection Investment Costs Investment Category Investment Amount RMB 10,000 Investment in Environmental Protection Equipment and Technology Transformation 3255.08 Investment in Environmental Protection Operation and Maintenance 9018.408.1.1 Policy and Objectives Kangyuan adheres to the environmental management policy of preventing pollution, abiding by laws and regulations, and continuously improving. Based on the current status and performance of the Group's environmental management, it has formulated a five-year energy conservation and emission reduction work goal from 2021 to 2025 with 2020 as the base year.</v>
      </c>
      <c r="B5665" s="1" t="str">
        <f ca="1">IFERROR(__xludf.DUMMYFUNCTION("GOOGLETRANSLATE(A5665, ""zh"", ""en"")"),"Environmental Policy")</f>
        <v>Environmental Policy</v>
      </c>
      <c r="C5665" s="1" t="str">
        <f ca="1">IFERROR(__xludf.DUMMYFUNCTION("GOOGLETRANSLATE(E5665, ""zh"", ""en"")"),"Quantitative Text")</f>
        <v>Quantitative Text</v>
      </c>
    </row>
    <row r="5666" spans="1:3" ht="13" x14ac:dyDescent="0.15">
      <c r="A5666" s="1" t="str">
        <f ca="1">IFERROR(__xludf.DUMMYFUNCTION("GOOGLETRANSLATE(A5666, ""zh"", ""en"")"),"Best Investor Relations Management Listed Company 19 2022 Social Responsibility Report 4.5 Party Building Leads the 2022 Kangyuan Party Branch. Guided by Xi Jinping Thought on Socialism with Chinese Characteristics for a New Era, the General Party Branch "&amp;"of Kangyuan fully implements the spirit of the 20th National Congress of the Communist Party of China and the Central Economic Work Conference, implements the Party-building work of the enterprise, promotes the coverage of grassroots Party organizations a"&amp;"nd Party work, gives full play to the role of Party members, fully implements the development concept of innovation, coordination, green, openness and sharing, and boosts the company's market competitiveness.")</f>
        <v>Best Investor Relations Management Listed Company 19 2022 Social Responsibility Report 4.5 Party Building Leads the 2022 Kangyuan Party Branch. Guided by Xi Jinping Thought on Socialism with Chinese Characteristics for a New Era, the General Party Branch of Kangyuan fully implements the spirit of the 20th National Congress of the Communist Party of China and the Central Economic Work Conference, implements the Party-building work of the enterprise, promotes the coverage of grassroots Party organizations and Party work, gives full play to the role of Party members, fully implements the development concept of innovation, coordination, green, openness and sharing, and boosts the company's market competitiveness.</v>
      </c>
      <c r="B5666" s="1" t="str">
        <f ca="1">IFERROR(__xludf.DUMMYFUNCTION("GOOGLETRANSLATE(A5666, ""zh"", ""en"")"),"Organizational structure and operations")</f>
        <v>Organizational structure and operations</v>
      </c>
      <c r="C5666" s="1" t="str">
        <f ca="1">IFERROR(__xludf.DUMMYFUNCTION("GOOGLETRANSLATE(E5666, ""zh"", ""en"")"),"Qualitative text")</f>
        <v>Qualitative text</v>
      </c>
    </row>
    <row r="5667" spans="1:3" ht="13" x14ac:dyDescent="0.15">
      <c r="A5667" s="1" t="str">
        <f ca="1">IFERROR(__xludf.DUMMYFUNCTION("GOOGLETRANSLATE(A5667, ""zh"", ""en"")"),"In the lecture, the lecturer combined his own growth experience and recent typical cases to explain the three aspects of EAP, namely, what is EAP, the necessity of carrying out EAP work, and how to carry out EAP work. He also explained the importance of m"&amp;"ental health and the methods and approaches of psychological adjustment, and used EAP work to actively seek effective channels and ways to solve problems, handle work and family and family relationships of female employees of the same age, change people's"&amp;" cognitive behavior patterns, enhance communication and interpersonal skills, and relieve psychological pressure.")</f>
        <v>In the lecture, the lecturer combined his own growth experience and recent typical cases to explain the three aspects of EAP, namely, what is EAP, the necessity of carrying out EAP work, and how to carry out EAP work. He also explained the importance of mental health and the methods and approaches of psychological adjustment, and used EAP work to actively seek effective channels and ways to solve problems, handle work and family and family relationships of female employees of the same age, change people's cognitive behavior patterns, enhance communication and interpersonal skills, and relieve psychological pressure.</v>
      </c>
      <c r="B5667" s="1" t="str">
        <f ca="1">IFERROR(__xludf.DUMMYFUNCTION("GOOGLETRANSLATE(A5667, ""zh"", ""en"")"),"staff")</f>
        <v>staff</v>
      </c>
      <c r="C5667" s="1" t="str">
        <f ca="1">IFERROR(__xludf.DUMMYFUNCTION("GOOGLETRANSLATE(E5667, ""zh"", ""en"")"),"Qualitative text")</f>
        <v>Qualitative text</v>
      </c>
    </row>
    <row r="5668" spans="1:3" ht="13" x14ac:dyDescent="0.15">
      <c r="A5668" s="1" t="str">
        <f ca="1">IFERROR(__xludf.DUMMYFUNCTION("GOOGLETRANSLATE(A5668, ""zh"", ""en"")"),"Young Scientific and Technological Talent Training Program China National Petroleum Corporation 2022 Environmental, Social and Governance Report 82 The company advocates a culture of respect, openness and inclusiveness, insists on the localization, specia"&amp;"lization and marketization of overseas talents, abides by the laws and regulations of the countries where the business is located, formulates management measures for local overseas employees, promotes innovation and practice in overseas employment managem"&amp;"ent, establishes and improves employee recruitment and employment, and establishes a comprehensive job assessment and reward and punishment system. It strives to attract and cultivate outstanding local talents and create a career development platform for "&amp;"them.")</f>
        <v>Young Scientific and Technological Talent Training Program China National Petroleum Corporation 2022 Environmental, Social and Governance Report 82 The company advocates a culture of respect, openness and inclusiveness, insists on the localization, specialization and marketization of overseas talents, abides by the laws and regulations of the countries where the business is located, formulates management measures for local overseas employees, promotes innovation and practice in overseas employment management, establishes and improves employee recruitment and employment, and establishes a comprehensive job assessment and reward and punishment system. It strives to attract and cultivate outstanding local talents and create a career development platform for them.</v>
      </c>
      <c r="B5668" s="1" t="str">
        <f ca="1">IFERROR(__xludf.DUMMYFUNCTION("GOOGLETRANSLATE(A5668, ""zh"", ""en"")"),"staff")</f>
        <v>staff</v>
      </c>
      <c r="C5668" s="1" t="str">
        <f ca="1">IFERROR(__xludf.DUMMYFUNCTION("GOOGLETRANSLATE(E5668, ""zh"", ""en"")"),"Qualitative text")</f>
        <v>Qualitative text</v>
      </c>
    </row>
    <row r="5669" spans="1:3" ht="13" x14ac:dyDescent="0.15">
      <c r="A5669" s="1" t="str">
        <f ca="1">IFERROR(__xludf.DUMMYFUNCTION("GOOGLETRANSLATE(A5669, ""zh"", ""en"")"),"The futures company deeply explores the internal collaboration of the group and provides smart supply chain integration services for the group's core commodity business. During the 14th Five-Year Plan period, the company will adhere to the ""One Body, Two"&amp;" Wings"" development strategy, accelerate the construction of a digital enterprise architecture, continuously improve the closed loop of digital strategic management, and continuously enhance the group's data governance capabilities. It will promote data "&amp;"integration, resource sharing, and business collaboration between upstream and downstream enterprises in the supply chain industry chain, and iteratively upgrade from a leader in China's supply chain integration services to a leader in China's smart suppl"&amp;"y chain integration services.")</f>
        <v>The futures company deeply explores the internal collaboration of the group and provides smart supply chain integration services for the group's core commodity business. During the 14th Five-Year Plan period, the company will adhere to the "One Body, Two Wings" development strategy, accelerate the construction of a digital enterprise architecture, continuously improve the closed loop of digital strategic management, and continuously enhance the group's data governance capabilities. It will promote data integration, resource sharing, and business collaboration between upstream and downstream enterprises in the supply chain industry chain, and iteratively upgrade from a leader in China's supply chain integration services to a leader in China's smart supply chain integration services.</v>
      </c>
      <c r="B5669" s="1" t="str">
        <f ca="1">IFERROR(__xludf.DUMMYFUNCTION("GOOGLETRANSLATE(A5669, ""zh"", ""en"")"),"supply chain management")</f>
        <v>supply chain management</v>
      </c>
      <c r="C5669" s="1" t="str">
        <f ca="1">IFERROR(__xludf.DUMMYFUNCTION("GOOGLETRANSLATE(E5669, ""zh"", ""en"")"),"Qualitative text")</f>
        <v>Qualitative text</v>
      </c>
    </row>
    <row r="5670" spans="1:3" ht="13" x14ac:dyDescent="0.15">
      <c r="A5670" s="1" t="str">
        <f ca="1">IFERROR(__xludf.DUMMYFUNCTION("GOOGLETRANSLATE(A5670, ""zh"", ""en"")"),"A total of eight fundamental anti-corruption documents have been issued to promote anti-corruption training. Nearly 16 anti-corruption training sessions have been provided to Fosun Pharma headquarters and its member companies. A section on the homepage of"&amp;" Fosun Pharma's official website is dedicated to anti-corruption. A portal for the Commission for Discipline Inspection and the Anti-Corruption Supervision Department is established on the OA system and updated weekly with new anti-corruption cases and la"&amp;"ws and regulations. Seven individuals have been subject to criminal coercive measures for violating criminal laws, with a total loss of over 4.07 million yuan recovered for the company through case investigations.")</f>
        <v>A total of eight fundamental anti-corruption documents have been issued to promote anti-corruption training. Nearly 16 anti-corruption training sessions have been provided to Fosun Pharma headquarters and its member companies. A section on the homepage of Fosun Pharma's official website is dedicated to anti-corruption. A portal for the Commission for Discipline Inspection and the Anti-Corruption Supervision Department is established on the OA system and updated weekly with new anti-corruption cases and laws and regulations. Seven individuals have been subject to criminal coercive measures for violating criminal laws, with a total loss of over 4.07 million yuan recovered for the company through case investigations.</v>
      </c>
      <c r="B5670" s="1" t="str">
        <f ca="1">IFERROR(__xludf.DUMMYFUNCTION("GOOGLETRANSLATE(A5670, ""zh"", ""en"")"),"Anti-corruption and anti-money laundering")</f>
        <v>Anti-corruption and anti-money laundering</v>
      </c>
      <c r="C5670" s="1" t="str">
        <f ca="1">IFERROR(__xludf.DUMMYFUNCTION("GOOGLETRANSLATE(E5670, ""zh"", ""en"")"),"Quantitative Text")</f>
        <v>Quantitative Text</v>
      </c>
    </row>
    <row r="5671" spans="1:3" ht="13" x14ac:dyDescent="0.15">
      <c r="A5671" s="1" t="str">
        <f ca="1">IFERROR(__xludf.DUMMYFUNCTION("GOOGLETRANSLATE(A5671, ""zh"", ""en"")"),"Remuneration Policy: Executive directors who concurrently serve as senior management personnel of the Company shall not be solely subject to the guidance of the China Securities Regulatory Commission on establishing an independent director system in liste"&amp;"d companies and the relevant provisions of the system for the remuneration of independent non-executive directors of the Company. Instead, the remuneration of independent non-executive directors of the Company shall be assessed and determined by the Board"&amp;" of Directors based on the role they play in the operation of the Board of Directors and the relevant provisions of the system for the remuneration of independent non-executive directors of the Company.")</f>
        <v>Remuneration Policy: Executive directors who concurrently serve as senior management personnel of the Company shall not be solely subject to the guidance of the China Securities Regulatory Commission on establishing an independent director system in listed companies and the relevant provisions of the system for the remuneration of independent non-executive directors of the Company. Instead, the remuneration of independent non-executive directors of the Company shall be assessed and determined by the Board of Directors based on the role they play in the operation of the Board of Directors and the relevant provisions of the system for the remuneration of independent non-executive directors of the Company.</v>
      </c>
      <c r="B5671" s="1" t="str">
        <f ca="1">IFERROR(__xludf.DUMMYFUNCTION("GOOGLETRANSLATE(A5671, ""zh"", ""en"")"),"Organizational structure and operations")</f>
        <v>Organizational structure and operations</v>
      </c>
      <c r="C5671" s="1" t="str">
        <f ca="1">IFERROR(__xludf.DUMMYFUNCTION("GOOGLETRANSLATE(E5671, ""zh"", ""en"")"),"Qualitative text")</f>
        <v>Qualitative text</v>
      </c>
    </row>
    <row r="5672" spans="1:3" ht="13" x14ac:dyDescent="0.15">
      <c r="A5672" s="1" t="str">
        <f ca="1">IFERROR(__xludf.DUMMYFUNCTION("GOOGLETRANSLATE(A5672, ""zh"", ""en"")"),"During the reporting period, the service users totaled 8.47 million, with an online resolution rate exceeding 80%, and a timely door-to-door service rate of 93.6% within 48 hours for complete installation, an increase of 1.4 percentage points year-on-year"&amp;". In the 2022 user satisfaction rating evaluation released by the China Quality Association, Hisense TV's service, self-inspection bridge, self-care cake, and door-to-door delivery performed well overall, with scores exceeding 8.8 for service during the p"&amp;"urchase process, delivery service, after-sales service, and professional installation service, which were 0.01 points higher than the industry average.")</f>
        <v>During the reporting period, the service users totaled 8.47 million, with an online resolution rate exceeding 80%, and a timely door-to-door service rate of 93.6% within 48 hours for complete installation, an increase of 1.4 percentage points year-on-year. In the 2022 user satisfaction rating evaluation released by the China Quality Association, Hisense TV's service, self-inspection bridge, self-care cake, and door-to-door delivery performed well overall, with scores exceeding 8.8 for service during the purchase process, delivery service, after-sales service, and professional installation service, which were 0.01 points higher than the industry average.</v>
      </c>
      <c r="B5672" s="1" t="str">
        <f ca="1">IFERROR(__xludf.DUMMYFUNCTION("GOOGLETRANSLATE(A5672, ""zh"", ""en"")"),"Customers and Consumers")</f>
        <v>Customers and Consumers</v>
      </c>
      <c r="C5672" s="1" t="str">
        <f ca="1">IFERROR(__xludf.DUMMYFUNCTION("GOOGLETRANSLATE(E5672, ""zh"", ""en"")"),"Quantitative Text")</f>
        <v>Quantitative Text</v>
      </c>
    </row>
    <row r="5673" spans="1:3" ht="13" x14ac:dyDescent="0.15">
      <c r="A5673" s="1" t="str">
        <f ca="1">IFERROR(__xludf.DUMMYFUNCTION("GOOGLETRANSLATE(A5673, ""zh"", ""en"")"),"Adhere to political guidance and deepen learning and education. 51 Shanghai Electric Group Co., Ltd. 2022 Social Responsibility Report: The Outstanding Quality of Digital Craftsmanship. 02 During the 14th Five-Year Plan period, Shanghai Electric will focu"&amp;"s on high-quality development, adhere to scientific and technological innovation as the primary driving force, and high-end talent as the primary resource. It will integrate digital innovation into the Group's DNA, continuously improve technology, and inc"&amp;"rease independent research and development capabilities. It will shoulder the responsibility of the national dual-carbon goals, lead the vigorous development of the low-carbon industry, and make greater contributions to promoting the national sustainable "&amp;"development strategy.")</f>
        <v>Adhere to political guidance and deepen learning and education. 51 Shanghai Electric Group Co., Ltd. 2022 Social Responsibility Report: The Outstanding Quality of Digital Craftsmanship. 02 During the 14th Five-Year Plan period, Shanghai Electric will focus on high-quality development, adhere to scientific and technological innovation as the primary driving force, and high-end talent as the primary resource. It will integrate digital innovation into the Group's DNA, continuously improve technology, and increase independent research and development capabilities. It will shoulder the responsibility of the national dual-carbon goals, lead the vigorous development of the low-carbon industry, and make greater contributions to promoting the national sustainable development strategy.</v>
      </c>
      <c r="B5673" s="1" t="str">
        <f ca="1">IFERROR(__xludf.DUMMYFUNCTION("GOOGLETRANSLATE(A5673, ""zh"", ""en"")"),"Technological innovation")</f>
        <v>Technological innovation</v>
      </c>
      <c r="C5673" s="1" t="str">
        <f ca="1">IFERROR(__xludf.DUMMYFUNCTION("GOOGLETRANSLATE(E5673, ""zh"", ""en"")"),"Qualitative text")</f>
        <v>Qualitative text</v>
      </c>
    </row>
    <row r="5674" spans="1:3" ht="13" x14ac:dyDescent="0.15">
      <c r="A5674" s="1" t="str">
        <f ca="1">IFERROR(__xludf.DUMMYFUNCTION("GOOGLETRANSLATE(A5674, ""zh"", ""en"")"),"Average training hours for business manager level and below The employee training hours disclosed in China Construction Bank's Social Responsibility Report refer to the offline and 87 offline training hours participated by the in-service employees of Chin"&amp;"a Construction Bank as of the end of the reporting period, excluding domestic and overseas subsidiaries. The statistical caliber of the number of online training participants at business manager level and below is the number of people with job grades of 8"&amp;" to 15 who participated in online training within the entire China Construction Bank, excluding domestic and overseas subsidiaries.")</f>
        <v>Average training hours for business manager level and below The employee training hours disclosed in China Construction Bank's Social Responsibility Report refer to the offline and 87 offline training hours participated by the in-service employees of China Construction Bank as of the end of the reporting period, excluding domestic and overseas subsidiaries. The statistical caliber of the number of online training participants at business manager level and below is the number of people with job grades of 8 to 15 who participated in online training within the entire China Construction Bank, excluding domestic and overseas subsidiaries.</v>
      </c>
      <c r="B5674" s="1" t="str">
        <f ca="1">IFERROR(__xludf.DUMMYFUNCTION("GOOGLETRANSLATE(A5674, ""zh"", ""en"")"),"staff")</f>
        <v>staff</v>
      </c>
      <c r="C5674" s="1" t="str">
        <f ca="1">IFERROR(__xludf.DUMMYFUNCTION("GOOGLETRANSLATE(E5674, ""zh"", ""en"")"),"Quantitative Text")</f>
        <v>Quantitative Text</v>
      </c>
    </row>
    <row r="5675" spans="1:3" ht="13" x14ac:dyDescent="0.15">
      <c r="A5675" s="1" t="str">
        <f ca="1">IFERROR(__xludf.DUMMYFUNCTION("GOOGLETRANSLATE(A5675, ""zh"", ""en"")"),"Shanghai Electric hopes that both parties will work together to implement the dual carbon strategy in Shanghai. By leveraging Shanghai Electric's rich real economy and the Shanghai Stock Exchange's comprehensive service platform, a comprehensive, assessab"&amp;"le, measurable, and traceable carbon standard and system will be established for carbon emission reduction. The company will actively expand the professional resources of central enterprises, stimulate central-local cooperation, achieve greater synergy, a"&amp;"nd strengthen cooperation in the field of intellectual property rights. This will help Shanghai Electric secure its core technologies and competitiveness, and give it greater market value and industry competitiveness.")</f>
        <v>Shanghai Electric hopes that both parties will work together to implement the dual carbon strategy in Shanghai. By leveraging Shanghai Electric's rich real economy and the Shanghai Stock Exchange's comprehensive service platform, a comprehensive, assessable, measurable, and traceable carbon standard and system will be established for carbon emission reduction. The company will actively expand the professional resources of central enterprises, stimulate central-local cooperation, achieve greater synergy, and strengthen cooperation in the field of intellectual property rights. This will help Shanghai Electric secure its core technologies and competitiveness, and give it greater market value and industry competitiveness.</v>
      </c>
      <c r="B5675" s="1" t="str">
        <f ca="1">IFERROR(__xludf.DUMMYFUNCTION("GOOGLETRANSLATE(A5675, ""zh"", ""en"")"),"carbon emissions")</f>
        <v>carbon emissions</v>
      </c>
      <c r="C5675" s="1" t="str">
        <f ca="1">IFERROR(__xludf.DUMMYFUNCTION("GOOGLETRANSLATE(E5675, ""zh"", ""en"")"),"Qualitative text")</f>
        <v>Qualitative text</v>
      </c>
    </row>
    <row r="5676" spans="1:3" ht="13" x14ac:dyDescent="0.15">
      <c r="A5676" s="1" t="str">
        <f ca="1">IFERROR(__xludf.DUMMYFUNCTION("GOOGLETRANSLATE(A5676, ""zh"", ""en"")"),"Emphasis on democratic management of employees. The company is committed to building a harmonious corporate culture, strengthening democratic communication and actively responding to employee demands. The company establishes employee representative meetin"&amp;"gs and committees, regularly organizes employee exchange meetings, conducts employee surveys and other mechanisms, and establishes anonymous feedback mechanisms and employee suggestion boxes to provide employees with a channel to freely express their opin"&amp;"ions and suggestions, so as to better understand employee needs and take timely measures to address them, improve employee job satisfaction and loyalty, and thus promote the company's sustainable development.")</f>
        <v>Emphasis on democratic management of employees. The company is committed to building a harmonious corporate culture, strengthening democratic communication and actively responding to employee demands. The company establishes employee representative meetings and committees, regularly organizes employee exchange meetings, conducts employee surveys and other mechanisms, and establishes anonymous feedback mechanisms and employee suggestion boxes to provide employees with a channel to freely express their opinions and suggestions, so as to better understand employee needs and take timely measures to address them, improve employee job satisfaction and loyalty, and thus promote the company's sustainable development.</v>
      </c>
      <c r="B5676" s="1" t="str">
        <f ca="1">IFERROR(__xludf.DUMMYFUNCTION("GOOGLETRANSLATE(A5676, ""zh"", ""en"")"),"staff")</f>
        <v>staff</v>
      </c>
      <c r="C5676" s="1" t="str">
        <f ca="1">IFERROR(__xludf.DUMMYFUNCTION("GOOGLETRANSLATE(E5676, ""zh"", ""en"")"),"Qualitative text")</f>
        <v>Qualitative text</v>
      </c>
    </row>
    <row r="5677" spans="1:3" ht="13" x14ac:dyDescent="0.15">
      <c r="A5677" s="1" t="str">
        <f ca="1">IFERROR(__xludf.DUMMYFUNCTION("GOOGLETRANSLATE(A5677, ""zh"", ""en"")"),"In 2022, in accordance with the Group's overall strategic requirements, Shanghai Electric formulated the Shanghai Electric Science and Technology Development Plan to clarify the Group's science and technology development direction, objectives, tasks, and "&amp;"implementation methods. It also organized various industrial groups to jointly formulate 15 new track science and technology special plan sub-plans. Through a three-up and three-down approach, internal and external experts were brought together to further"&amp;" refine the Group's science and technology development direction, development goals, and innovation system during the 14th Five-Year Plan period, providing a solid foundation for the quantification and assessment of new track scientific and technological "&amp;"innovation.")</f>
        <v>In 2022, in accordance with the Group's overall strategic requirements, Shanghai Electric formulated the Shanghai Electric Science and Technology Development Plan to clarify the Group's science and technology development direction, objectives, tasks, and implementation methods. It also organized various industrial groups to jointly formulate 15 new track science and technology special plan sub-plans. Through a three-up and three-down approach, internal and external experts were brought together to further refine the Group's science and technology development direction, development goals, and innovation system during the 14th Five-Year Plan period, providing a solid foundation for the quantification and assessment of new track scientific and technological innovation.</v>
      </c>
      <c r="B5677" s="1" t="str">
        <f ca="1">IFERROR(__xludf.DUMMYFUNCTION("GOOGLETRANSLATE(A5677, ""zh"", ""en"")"),"Technological innovation")</f>
        <v>Technological innovation</v>
      </c>
      <c r="C5677" s="1" t="str">
        <f ca="1">IFERROR(__xludf.DUMMYFUNCTION("GOOGLETRANSLATE(E5677, ""zh"", ""en"")"),"Qualitative text")</f>
        <v>Qualitative text</v>
      </c>
    </row>
    <row r="5678" spans="1:3" ht="13" x14ac:dyDescent="0.15">
      <c r="A5678" s="1" t="str">
        <f ca="1">IFERROR(__xludf.DUMMYFUNCTION("GOOGLETRANSLATE(A5678, ""zh"", ""en"")"),"Leng Weiqing, Chairman and Party Secretary of the Group, visited Dahua Equipment Co., Ltd. to listen to the work report. Liu Ping, Vice Party Secretary and President of the Group, visited Shanghai Tool Factory Co., Ltd. to inspect the safety and environme"&amp;"ntal protection work before and after the holidays to ensure safety during the National Day. All kinds of production and operation activities of enterprises entered the peak season before and after the National Day. The management of Shanghai Electric Com"&amp;"pany led teams to visit some industrial groups and enterprise production sites to carry out safety inspections to ensure normal production and operation, firmly maintain the basic safety production foundation and remain unshakable.")</f>
        <v>Leng Weiqing, Chairman and Party Secretary of the Group, visited Dahua Equipment Co., Ltd. to listen to the work report. Liu Ping, Vice Party Secretary and President of the Group, visited Shanghai Tool Factory Co., Ltd. to inspect the safety and environmental protection work before and after the holidays to ensure safety during the National Day. All kinds of production and operation activities of enterprises entered the peak season before and after the National Day. The management of Shanghai Electric Company led teams to visit some industrial groups and enterprise production sites to carry out safety inspections to ensure normal production and operation, firmly maintain the basic safety production foundation and remain unshakable.</v>
      </c>
      <c r="B5678" s="1" t="str">
        <f ca="1">IFERROR(__xludf.DUMMYFUNCTION("GOOGLETRANSLATE(A5678, ""zh"", ""en"")"),"staff")</f>
        <v>staff</v>
      </c>
      <c r="C5678" s="1" t="str">
        <f ca="1">IFERROR(__xludf.DUMMYFUNCTION("GOOGLETRANSLATE(E5678, ""zh"", ""en"")"),"Qualitative text")</f>
        <v>Qualitative text</v>
      </c>
    </row>
    <row r="5679" spans="1:3" ht="13" x14ac:dyDescent="0.15">
      <c r="A5679" s="1" t="str">
        <f ca="1">IFERROR(__xludf.DUMMYFUNCTION("GOOGLETRANSLATE(A5679, ""zh"", ""en"")"),"Five Social Responsibilities: One, Caring for Employees. 1. Employee Rights and Interests Guarantee System. 2022 Annual Social Responsibility Report 16. During the reporting period, the Company revised the Compensation Management Measures for the Headquar"&amp;"ters of China Animal Husbandry Industry Co., Ltd., the Attendance and Leave Management Measures for the Headquarters of China Animal Husbandry Industry Co., Ltd., and other systems closely related to employee rights and interests. We established a compens"&amp;"ation and attendance management system that combines effective incentives and controls with a rationally structured management system and standardized supervision. We established a management mechanism that allows for both increase and decrease of income "&amp;"to fully mobilize employee enthusiasm.")</f>
        <v>Five Social Responsibilities: One, Caring for Employees. 1. Employee Rights and Interests Guarantee System. 2022 Annual Social Responsibility Report 16. During the reporting period, the Company revised the Compensation Management Measures for the Headquarters of China Animal Husbandry Industry Co., Ltd., the Attendance and Leave Management Measures for the Headquarters of China Animal Husbandry Industry Co., Ltd., and other systems closely related to employee rights and interests. We established a compensation and attendance management system that combines effective incentives and controls with a rationally structured management system and standardized supervision. We established a management mechanism that allows for both increase and decrease of income to fully mobilize employee enthusiasm.</v>
      </c>
      <c r="B5679" s="1" t="str">
        <f ca="1">IFERROR(__xludf.DUMMYFUNCTION("GOOGLETRANSLATE(A5679, ""zh"", ""en"")"),"staff")</f>
        <v>staff</v>
      </c>
      <c r="C5679" s="1" t="str">
        <f ca="1">IFERROR(__xludf.DUMMYFUNCTION("GOOGLETRANSLATE(E5679, ""zh"", ""en"")"),"Qualitative text")</f>
        <v>Qualitative text</v>
      </c>
    </row>
    <row r="5680" spans="1:3" ht="13" x14ac:dyDescent="0.15">
      <c r="A5680" s="1" t="str">
        <f ca="1">IFERROR(__xludf.DUMMYFUNCTION("GOOGLETRANSLATE(A5680, ""zh"", ""en"")"),"2022CorporateSocialResponsibilityReport89 Responsible Environmental Protection: Building Environmentally Friendly Communities. Fosun Pharma Group adheres to the sustainable development of the environment and society, prevents pollution, actively promotes "&amp;"energy conservation and emission reduction, protects biodiversity, and builds environmentally friendly communities as its environmental protection policy. It continues to increase environmental protection investment, promotes air pollution control, promot"&amp;"es energy conservation and emission reduction, protects biodiversity, and promotes harmonious development of the company, society, and the environment.")</f>
        <v>2022CorporateSocialResponsibilityReport89 Responsible Environmental Protection: Building Environmentally Friendly Communities. Fosun Pharma Group adheres to the sustainable development of the environment and society, prevents pollution, actively promotes energy conservation and emission reduction, protects biodiversity, and builds environmentally friendly communities as its environmental protection policy. It continues to increase environmental protection investment, promotes air pollution control, promotes energy conservation and emission reduction, protects biodiversity, and promotes harmonious development of the company, society, and the environment.</v>
      </c>
      <c r="B5680" s="1" t="str">
        <f ca="1">IFERROR(__xludf.DUMMYFUNCTION("GOOGLETRANSLATE(A5680, ""zh"", ""en"")"),"Environmental Policy")</f>
        <v>Environmental Policy</v>
      </c>
      <c r="C5680" s="1" t="str">
        <f ca="1">IFERROR(__xludf.DUMMYFUNCTION("GOOGLETRANSLATE(E5680, ""zh"", ""en"")"),"Qualitative text")</f>
        <v>Qualitative text</v>
      </c>
    </row>
    <row r="5681" spans="1:3" ht="13" x14ac:dyDescent="0.15">
      <c r="A5681" s="1" t="str">
        <f ca="1">IFERROR(__xludf.DUMMYFUNCTION("GOOGLETRANSLATE(A5681, ""zh"", ""en"")"),"16 Value CMST Business Capabilities Research and Innovation Information Construction Financial Performance 1718 CMST Development Co., Ltd. 2022 Social Responsibility and ESG Report Relying on its warehousing network and nationwide transportation network, "&amp;"the company has established a multi-dimensional, all-weather, all-round, and full-process service system, forming special businesses such as futures and spot delivery logistics, warehousing, supply chain, smart logistics, consumer goods logistics, enginee"&amp;"ring logistics, etc., and can provide integrated full-process logistics solutions to meet the diverse needs of customers.")</f>
        <v>16 Value CMST Business Capabilities Research and Innovation Information Construction Financial Performance 1718 CMST Development Co., Ltd. 2022 Social Responsibility and ESG Report Relying on its warehousing network and nationwide transportation network, the company has established a multi-dimensional, all-weather, all-round, and full-process service system, forming special businesses such as futures and spot delivery logistics, warehousing, supply chain, smart logistics, consumer goods logistics, engineering logistics, etc., and can provide integrated full-process logistics solutions to meet the diverse needs of customers.</v>
      </c>
      <c r="B5681" s="1" t="str">
        <f ca="1">IFERROR(__xludf.DUMMYFUNCTION("GOOGLETRANSLATE(A5681, ""zh"", ""en"")"),"Customers and Consumers")</f>
        <v>Customers and Consumers</v>
      </c>
      <c r="C5681" s="1" t="str">
        <f ca="1">IFERROR(__xludf.DUMMYFUNCTION("GOOGLETRANSLATE(E5681, ""zh"", ""en"")"),"Qualitative text")</f>
        <v>Qualitative text</v>
      </c>
    </row>
    <row r="5682" spans="1:3" ht="13" x14ac:dyDescent="0.15">
      <c r="A5682" s="1" t="str">
        <f ca="1">IFERROR(__xludf.DUMMYFUNCTION("GOOGLETRANSLATE(A5682, ""zh"", ""en"")"),"In order to ensure the implementation of the technology-based enterprise strategy, the company continuously improves the four-level technology innovation system of application basic research platform, professional certification project certification agenc"&amp;"y, product development platform, public support platform and external technology cooperation platform. Through the organizational innovation mechanism innovation construction, starting from the China Compulsory Product Certification (CCC) China Quality Ce"&amp;"rtification Center, the main innovation is the open R&amp;D innovation platform combining industry, academia and research, and is committed to achieving breakthroughs in core industry technologies to drive industrial technology upgrades and industry progress.")</f>
        <v>In order to ensure the implementation of the technology-based enterprise strategy, the company continuously improves the four-level technology innovation system of application basic research platform, professional certification project certification agency, product development platform, public support platform and external technology cooperation platform. Through the organizational innovation mechanism innovation construction, starting from the China Compulsory Product Certification (CCC) China Quality Certification Center, the main innovation is the open R&amp;D innovation platform combining industry, academia and research, and is committed to achieving breakthroughs in core industry technologies to drive industrial technology upgrades and industry progress.</v>
      </c>
      <c r="B5682" s="1" t="str">
        <f ca="1">IFERROR(__xludf.DUMMYFUNCTION("GOOGLETRANSLATE(A5682, ""zh"", ""en"")"),"Technological innovation")</f>
        <v>Technological innovation</v>
      </c>
      <c r="C5682" s="1" t="str">
        <f ca="1">IFERROR(__xludf.DUMMYFUNCTION("GOOGLETRANSLATE(E5682, ""zh"", ""en"")"),"Qualitative text")</f>
        <v>Qualitative text</v>
      </c>
    </row>
    <row r="5683" spans="1:3" ht="13" x14ac:dyDescent="0.15">
      <c r="A5683" s="1" t="str">
        <f ca="1">IFERROR(__xludf.DUMMYFUNCTION("GOOGLETRANSLATE(A5683, ""zh"", ""en"")"),"Regularly arrange occupational health experience for colleagues in positions exposed to occupational disease hazards. Organize pre-job occupational health examinations for those who will be engaged in work exposed to occupational disease hazards. Organize"&amp;" pre-job occupational health examinations for employees who will be engaged in work with special health requirements. Conduct on-the-job occupational health examinations based on the exposure to occupational hazards. Organize on-the-job occupational healt"&amp;"h examinations for employees exposed to occupational hazards. Exit-job occupational health examinations. Employees who are preparing to transfer to or leave their current occupational disease-hazardous positions are required to undergo exit-the-job occupa"&amp;"tional health examinations.")</f>
        <v>Regularly arrange occupational health experience for colleagues in positions exposed to occupational disease hazards. Organize pre-job occupational health examinations for those who will be engaged in work exposed to occupational disease hazards. Organize pre-job occupational health examinations for employees who will be engaged in work with special health requirements. Conduct on-the-job occupational health examinations based on the exposure to occupational hazards. Organize on-the-job occupational health examinations for employees exposed to occupational hazards. Exit-job occupational health examinations. Employees who are preparing to transfer to or leave their current occupational disease-hazardous positions are required to undergo exit-the-job occupational health examinations.</v>
      </c>
      <c r="B5683" s="1" t="str">
        <f ca="1">IFERROR(__xludf.DUMMYFUNCTION("GOOGLETRANSLATE(A5683, ""zh"", ""en"")"),"staff")</f>
        <v>staff</v>
      </c>
      <c r="C5683" s="1" t="str">
        <f ca="1">IFERROR(__xludf.DUMMYFUNCTION("GOOGLETRANSLATE(E5683, ""zh"", ""en"")"),"Qualitative text")</f>
        <v>Qualitative text</v>
      </c>
    </row>
    <row r="5684" spans="1:3" ht="13" x14ac:dyDescent="0.15">
      <c r="A5684" s="1" t="str">
        <f ca="1">IFERROR(__xludf.DUMMYFUNCTION("GOOGLETRANSLATE(A5684, ""zh"", ""en"")"),"Cooperate with partners to develop charging and swapping business. Clean energy substitution for oil and gas field production. 56.58 million kilowatts of new wind and solar power generation capacity. 1154.7 million kilowatts of new wind and solar power ge"&amp;"neration capacity. Year-on-year growth rate. 11.37 million kilowatts of new waste heat power generation capacity. 38.5 million kilowatts of waste heat power generation capacity. Year-on-year growth rate. Climate change and energy transition. 53. Nature is"&amp;" the basic condition for human survival and development. Respecting nature, adapting to nature, protecting nature, and achieving harmonious coexistence with nature are the only way to achieve sustainable development.")</f>
        <v>Cooperate with partners to develop charging and swapping business. Clean energy substitution for oil and gas field production. 56.58 million kilowatts of new wind and solar power generation capacity. 1154.7 million kilowatts of new wind and solar power generation capacity. Year-on-year growth rate. 11.37 million kilowatts of new waste heat power generation capacity. 38.5 million kilowatts of waste heat power generation capacity. Year-on-year growth rate. Climate change and energy transition. 53. Nature is the basic condition for human survival and development. Respecting nature, adapting to nature, protecting nature, and achieving harmonious coexistence with nature are the only way to achieve sustainable development.</v>
      </c>
      <c r="B5684" s="1" t="str">
        <f ca="1">IFERROR(__xludf.DUMMYFUNCTION("GOOGLETRANSLATE(A5684, ""zh"", ""en"")"),"Energy and resource consumption")</f>
        <v>Energy and resource consumption</v>
      </c>
      <c r="C5684" s="1" t="str">
        <f ca="1">IFERROR(__xludf.DUMMYFUNCTION("GOOGLETRANSLATE(E5684, ""zh"", ""en"")"),"Quantitative Text")</f>
        <v>Quantitative Text</v>
      </c>
    </row>
    <row r="5685" spans="1:3" ht="13" x14ac:dyDescent="0.15">
      <c r="A5685" s="1" t="str">
        <f ca="1">IFERROR(__xludf.DUMMYFUNCTION("GOOGLETRANSLATE(A5685, ""zh"", ""en"")"),"A positive work environment encourages a diverse workforce and provides a workplace free of discrimination, retaliation, harassment, and abuse. Any humiliating, intimidating, or hostile behavior will not be tolerated. A respectful, positive, healthy, and "&amp;"bias-free work environment is created, free of harassment and discrimination. Employees are strongly opposed to any form of sexual harassment or sexual assault in interpersonal relationships. Employees are encouraged to proactively report any inappropriat"&amp;"e behavior or bad habits in their daily work to the relevant departments. The company continues to provide necessary support and assistance to employees.")</f>
        <v>A positive work environment encourages a diverse workforce and provides a workplace free of discrimination, retaliation, harassment, and abuse. Any humiliating, intimidating, or hostile behavior will not be tolerated. A respectful, positive, healthy, and bias-free work environment is created, free of harassment and discrimination. Employees are strongly opposed to any form of sexual harassment or sexual assault in interpersonal relationships. Employees are encouraged to proactively report any inappropriate behavior or bad habits in their daily work to the relevant departments. The company continues to provide necessary support and assistance to employees.</v>
      </c>
      <c r="B5685" s="1" t="str">
        <f ca="1">IFERROR(__xludf.DUMMYFUNCTION("GOOGLETRANSLATE(A5685, ""zh"", ""en"")"),"staff")</f>
        <v>staff</v>
      </c>
      <c r="C5685" s="1" t="str">
        <f ca="1">IFERROR(__xludf.DUMMYFUNCTION("GOOGLETRANSLATE(E5685, ""zh"", ""en"")"),"Qualitative text")</f>
        <v>Qualitative text</v>
      </c>
    </row>
    <row r="5686" spans="1:3" ht="13" x14ac:dyDescent="0.15">
      <c r="A5686" s="1" t="str">
        <f ca="1">IFERROR(__xludf.DUMMYFUNCTION("GOOGLETRANSLATE(A5686, ""zh"", ""en"")"),"China Construction Bank Corporation 2022 Social Responsibility Report 64 Level B3 Development and Training Focusing on the strategic priorities and talent team building needs of the 14th Five-Year Plan period, the Bank will continuously enhance the scient"&amp;"ific, institutionalized and standardized level of training by improving training mechanisms, innovating training vehicles, and enriching training resources. It will also explore and utilize training data analysis and management tools, continuously build a"&amp;" scientific and standardized talent grading and classification support system for precise training, and lay a solid foundation for a talent team to achieve high-quality development.")</f>
        <v>China Construction Bank Corporation 2022 Social Responsibility Report 64 Level B3 Development and Training Focusing on the strategic priorities and talent team building needs of the 14th Five-Year Plan period, the Bank will continuously enhance the scientific, institutionalized and standardized level of training by improving training mechanisms, innovating training vehicles, and enriching training resources. It will also explore and utilize training data analysis and management tools, continuously build a scientific and standardized talent grading and classification support system for precise training, and lay a solid foundation for a talent team to achieve high-quality development.</v>
      </c>
      <c r="B5686" s="1" t="str">
        <f ca="1">IFERROR(__xludf.DUMMYFUNCTION("GOOGLETRANSLATE(A5686, ""zh"", ""en"")"),"staff")</f>
        <v>staff</v>
      </c>
      <c r="C5686" s="1" t="str">
        <f ca="1">IFERROR(__xludf.DUMMYFUNCTION("GOOGLETRANSLATE(E5686, ""zh"", ""en"")"),"Qualitative text")</f>
        <v>Qualitative text</v>
      </c>
    </row>
    <row r="5687" spans="1:3" ht="13" x14ac:dyDescent="0.15">
      <c r="A5687" s="1" t="str">
        <f ca="1">IFERROR(__xludf.DUMMYFUNCTION("GOOGLETRANSLATE(A5687, ""zh"", ""en"")"),"2022 Group Occupational Health and Safety Goals: Fire safety goal: No production accidents, including general production safety accidents; Occupational health goal: No new cases of occupational diseases; Lean management goal: Develop the ISO45001 system a"&amp;"t the group level and obtain system certification; Prepare emergency response plans; Complete the review and filing of emergency response plans and conduct emergency drills; Conduct onboarding safety education and training for all new employees; Conduct s"&amp;"pecialized safety training for specific employees.")</f>
        <v>2022 Group Occupational Health and Safety Goals: Fire safety goal: No production accidents, including general production safety accidents; Occupational health goal: No new cases of occupational diseases; Lean management goal: Develop the ISO45001 system at the group level and obtain system certification; Prepare emergency response plans; Complete the review and filing of emergency response plans and conduct emergency drills; Conduct onboarding safety education and training for all new employees; Conduct specialized safety training for specific employees.</v>
      </c>
      <c r="B5687" s="1" t="str">
        <f ca="1">IFERROR(__xludf.DUMMYFUNCTION("GOOGLETRANSLATE(A5687, ""zh"", ""en"")"),"staff")</f>
        <v>staff</v>
      </c>
      <c r="C5687" s="1" t="str">
        <f ca="1">IFERROR(__xludf.DUMMYFUNCTION("GOOGLETRANSLATE(E5687, ""zh"", ""en"")"),"Qualitative text")</f>
        <v>Qualitative text</v>
      </c>
    </row>
    <row r="5688" spans="1:3" ht="13" x14ac:dyDescent="0.15">
      <c r="A5688" s="1" t="str">
        <f ca="1">IFERROR(__xludf.DUMMYFUNCTION("GOOGLETRANSLATE(A5688, ""zh"", ""en"")"),"The 19th Puxianglehui Staff Lecture Hall Liubao Tea Tasting and Sharing Session. National First-Class Actor and Renowned Performing Artist Mr. Chen Shaoze gave a public welfare lecture on art and culture at the staff lecture hall, fostering a positive atm"&amp;"osphere of respecting and cherishing talents. Shanghai Electric Group Co., Ltd. 103103 Overseas Home Brings Warmth. We have established a staff home for our employees going abroad and provide them with a variety of cultural exchanges, learning and enterta"&amp;"inment activities, helping them overcome life difficulties, integrate into local activities, and build a platform for communication.")</f>
        <v>The 19th Puxianglehui Staff Lecture Hall Liubao Tea Tasting and Sharing Session. National First-Class Actor and Renowned Performing Artist Mr. Chen Shaoze gave a public welfare lecture on art and culture at the staff lecture hall, fostering a positive atmosphere of respecting and cherishing talents. Shanghai Electric Group Co., Ltd. 103103 Overseas Home Brings Warmth. We have established a staff home for our employees going abroad and provide them with a variety of cultural exchanges, learning and entertainment activities, helping them overcome life difficulties, integrate into local activities, and build a platform for communication.</v>
      </c>
      <c r="B5688" s="1" t="str">
        <f ca="1">IFERROR(__xludf.DUMMYFUNCTION("GOOGLETRANSLATE(A5688, ""zh"", ""en"")"),"staff")</f>
        <v>staff</v>
      </c>
      <c r="C5688" s="1" t="str">
        <f ca="1">IFERROR(__xludf.DUMMYFUNCTION("GOOGLETRANSLATE(E5688, ""zh"", ""en"")"),"Qualitative text")</f>
        <v>Qualitative text</v>
      </c>
    </row>
    <row r="5689" spans="1:3" ht="13" x14ac:dyDescent="0.15">
      <c r="A5689" s="1" t="str">
        <f ca="1">IFERROR(__xludf.DUMMYFUNCTION("GOOGLETRANSLATE(A5689, ""zh"", ""en"")"),"The Case Leap Project stimulates talent potential, deepens democratic management, and improves decision-making efficiency. Since its launch in 2021, Yichang Renfu has completed three phases of the marketing system grassroots management cadre training camp"&amp;" project. 184 front-line management backbones from various sales departments of the company have conducted special studies and research projects around the pain points in actual business. The curriculum system covers corporate strategy and culture, hospit"&amp;"al and channel access, evidence-based medicine, market analysis and mining, compliance system construction, coaching leadership, execution, and other modules.")</f>
        <v>The Case Leap Project stimulates talent potential, deepens democratic management, and improves decision-making efficiency. Since its launch in 2021, Yichang Renfu has completed three phases of the marketing system grassroots management cadre training camp project. 184 front-line management backbones from various sales departments of the company have conducted special studies and research projects around the pain points in actual business. The curriculum system covers corporate strategy and culture, hospital and channel access, evidence-based medicine, market analysis and mining, compliance system construction, coaching leadership, execution, and other modules.</v>
      </c>
      <c r="B5689" s="1" t="str">
        <f ca="1">IFERROR(__xludf.DUMMYFUNCTION("GOOGLETRANSLATE(A5689, ""zh"", ""en"")"),"staff")</f>
        <v>staff</v>
      </c>
      <c r="C5689" s="1" t="str">
        <f ca="1">IFERROR(__xludf.DUMMYFUNCTION("GOOGLETRANSLATE(E5689, ""zh"", ""en"")"),"Quantitative Text")</f>
        <v>Quantitative Text</v>
      </c>
    </row>
    <row r="5690" spans="1:3" ht="13" x14ac:dyDescent="0.15">
      <c r="A5690" s="1" t="str">
        <f ca="1">IFERROR(__xludf.DUMMYFUNCTION("GOOGLETRANSLATE(A5690, ""zh"", ""en"")"),"In 2022, the company insisted on taking ideological construction as the guiding principle to create a good atmosphere for the successful convening of the 20th National Congress of the Communist Party of China. All party members in the company's organizati"&amp;"on system took a collective oath to organize political benchmarking theme activities to thoroughly implement Xi Jinping Thought on Socialism with Chinese Characteristics for a New Era and earnestly transform the political consciousness of supporting the "&amp;"""two establishments"" into the action consciousness of achieving the ""two safeguards"". When the 20th National Congress of the Communist Party of China was held, more than 3,450 people from the China National Storage Party Committee's organization syste"&amp;"m in different positions and business fronts listened to and watched the opening ceremony.")</f>
        <v>In 2022, the company insisted on taking ideological construction as the guiding principle to create a good atmosphere for the successful convening of the 20th National Congress of the Communist Party of China. All party members in the company's organization system took a collective oath to organize political benchmarking theme activities to thoroughly implement Xi Jinping Thought on Socialism with Chinese Characteristics for a New Era and earnestly transform the political consciousness of supporting the "two establishments" into the action consciousness of achieving the "two safeguards". When the 20th National Congress of the Communist Party of China was held, more than 3,450 people from the China National Storage Party Committee's organization system in different positions and business fronts listened to and watched the opening ceremony.</v>
      </c>
      <c r="B5690" s="1" t="str">
        <f ca="1">IFERROR(__xludf.DUMMYFUNCTION("GOOGLETRANSLATE(A5690, ""zh"", ""en"")"),"Organizational structure and operations")</f>
        <v>Organizational structure and operations</v>
      </c>
      <c r="C5690" s="1" t="str">
        <f ca="1">IFERROR(__xludf.DUMMYFUNCTION("GOOGLETRANSLATE(E5690, ""zh"", ""en"")"),"Quantitative Text")</f>
        <v>Quantitative Text</v>
      </c>
    </row>
    <row r="5691" spans="1:3" ht="13" x14ac:dyDescent="0.15">
      <c r="A5691" s="1" t="str">
        <f ca="1">IFERROR(__xludf.DUMMYFUNCTION("GOOGLETRANSLATE(A5691, ""zh"", ""en"")"),"Fulfilling the solemn promises of Communist Party members and jointly building a solid and stable foundation for development: 2022 Social Responsibility Report 50 Shanghai Electric Group Co., Ltd. 51 The Group's leadership team took the lead in disseminat"&amp;"ing the spirit of the 20th National Congress of the Communist Party of China to the grassroots level. According to the unified deployment of the Shanghai Electric Party Committee, members of the Group's leadership team were arranged to visit various grass"&amp;"roots contact points to conduct dissemination and comprehensively interpret the spirit of the 20th National Congress of the Communist Party of China, and interact with grassroots Party members, cadres and employees to ensure that the spirit of the 20th Na"&amp;"tional Congress of the Communist Party of China takes root and bears fruit at the grassroots level.")</f>
        <v>Fulfilling the solemn promises of Communist Party members and jointly building a solid and stable foundation for development: 2022 Social Responsibility Report 50 Shanghai Electric Group Co., Ltd. 51 The Group's leadership team took the lead in disseminating the spirit of the 20th National Congress of the Communist Party of China to the grassroots level. According to the unified deployment of the Shanghai Electric Party Committee, members of the Group's leadership team were arranged to visit various grassroots contact points to conduct dissemination and comprehensively interpret the spirit of the 20th National Congress of the Communist Party of China, and interact with grassroots Party members, cadres and employees to ensure that the spirit of the 20th National Congress of the Communist Party of China takes root and bears fruit at the grassroots level.</v>
      </c>
      <c r="B5691" s="1" t="str">
        <f ca="1">IFERROR(__xludf.DUMMYFUNCTION("GOOGLETRANSLATE(A5691, ""zh"", ""en"")"),"Organizational structure and operations")</f>
        <v>Organizational structure and operations</v>
      </c>
      <c r="C5691" s="1" t="str">
        <f ca="1">IFERROR(__xludf.DUMMYFUNCTION("GOOGLETRANSLATE(E5691, ""zh"", ""en"")"),"Qualitative text")</f>
        <v>Qualitative text</v>
      </c>
    </row>
    <row r="5692" spans="1:3" ht="13" x14ac:dyDescent="0.15">
      <c r="A5692" s="1" t="str">
        <f ca="1">IFERROR(__xludf.DUMMYFUNCTION("GOOGLETRANSLATE(A5692, ""zh"", ""en"")"),"Facing a complex cybersecurity environment, as an Internet and security service provider, relying on its own 20 years of practice and accumulation in the field of cybersecurity, we have built a new era cybersecurity capability framework system to cope wit"&amp;"h new network threats, with a risk-oriented approach, a security brain and security infrastructure as the underlying structure, and a security operation strategy and combat testing mechanism, security interoperability standards and a team of security expe"&amp;"rts as operational elements. We are committed to building a strong barrier for national digital security and providing strong support for the construction of a cyber power.")</f>
        <v>Facing a complex cybersecurity environment, as an Internet and security service provider, relying on its own 20 years of practice and accumulation in the field of cybersecurity, we have built a new era cybersecurity capability framework system to cope with new network threats, with a risk-oriented approach, a security brain and security infrastructure as the underlying structure, and a security operation strategy and combat testing mechanism, security interoperability standards and a team of security experts as operational elements. We are committed to building a strong barrier for national digital security and providing strong support for the construction of a cyber power.</v>
      </c>
      <c r="B5692" s="1" t="str">
        <f ca="1">IFERROR(__xludf.DUMMYFUNCTION("GOOGLETRANSLATE(A5692, ""zh"", ""en"")"),"Data security")</f>
        <v>Data security</v>
      </c>
      <c r="C5692" s="1" t="str">
        <f ca="1">IFERROR(__xludf.DUMMYFUNCTION("GOOGLETRANSLATE(E5692, ""zh"", ""en"")"),"Qualitative text")</f>
        <v>Qualitative text</v>
      </c>
    </row>
    <row r="5693" spans="1:3" ht="13" x14ac:dyDescent="0.15">
      <c r="A5693" s="1" t="str">
        <f ca="1">IFERROR(__xludf.DUMMYFUNCTION("GOOGLETRANSLATE(A5693, ""zh"", ""en"")"),"Rural revitalization is a steadfast pursuit. In 2022, the company has established a complete and fair corporate governance structure in accordance with the requirements of the Company Law of the People's Republic of China and other relevant laws, administ"&amp;"rative regulations and departmental rules, and has formulated various rules and regulations that meet the company's development requirements. The shareholders' meeting, the board of directors, the board of supervisors and the senior management strictly ex"&amp;"ercise their rights and fulfill their obligations in accordance with the duties conferred by laws, regulations and the company's articles of association, effectively implement corporate governance, safeguard the interests of shareholders and the company, "&amp;"and ensure the company's continued long-term healthy development.")</f>
        <v>Rural revitalization is a steadfast pursuit. In 2022, the company has established a complete and fair corporate governance structure in accordance with the requirements of the Company Law of the People's Republic of China and other relevant laws, administrative regulations and departmental rules, and has formulated various rules and regulations that meet the company's development requirements. The shareholders' meeting, the board of directors, the board of supervisors and the senior management strictly exercise their rights and fulfill their obligations in accordance with the duties conferred by laws, regulations and the company's articles of association, effectively implement corporate governance, safeguard the interests of shareholders and the company, and ensure the company's continued long-term healthy development.</v>
      </c>
      <c r="B5693" s="1" t="str">
        <f ca="1">IFERROR(__xludf.DUMMYFUNCTION("GOOGLETRANSLATE(A5693, ""zh"", ""en"")"),"Organizational structure and operations")</f>
        <v>Organizational structure and operations</v>
      </c>
      <c r="C5693" s="1" t="str">
        <f ca="1">IFERROR(__xludf.DUMMYFUNCTION("GOOGLETRANSLATE(E5693, ""zh"", ""en"")"),"Qualitative text")</f>
        <v>Qualitative text</v>
      </c>
    </row>
    <row r="5694" spans="1:3" ht="13" x14ac:dyDescent="0.15">
      <c r="A5694" s="1" t="str">
        <f ca="1">IFERROR(__xludf.DUMMYFUNCTION("GOOGLETRANSLATE(A5694, ""zh"", ""en"")"),"Reduce operating risks 8. Shareholders and investors: Stable performance growth. Company announcements. Company website. Public media. Online communication. Corporate governance and operations. Emails, letters, telephone receptions, visitors, etc. Basic r"&amp;"ights protection. Leadership review and improvement of results. Occupational health and safety. Workers' congresses. Work meetings. Democratic reception days. Fair career development for employees. Rational suggestion collection. Letters and visits recept"&amp;"ion. Internal corporate media. Online listening. Learning, training, commendations, rewards, etc. Leadership review and confirmation. Significance analysis of identified issues.")</f>
        <v>Reduce operating risks 8. Shareholders and investors: Stable performance growth. Company announcements. Company website. Public media. Online communication. Corporate governance and operations. Emails, letters, telephone receptions, visitors, etc. Basic rights protection. Leadership review and improvement of results. Occupational health and safety. Workers' congresses. Work meetings. Democratic reception days. Fair career development for employees. Rational suggestion collection. Letters and visits reception. Internal corporate media. Online listening. Learning, training, commendations, rewards, etc. Leadership review and confirmation. Significance analysis of identified issues.</v>
      </c>
      <c r="B5694" s="1" t="str">
        <f ca="1">IFERROR(__xludf.DUMMYFUNCTION("GOOGLETRANSLATE(A5694, ""zh"", ""en"")"),"Organizational structure and operations")</f>
        <v>Organizational structure and operations</v>
      </c>
      <c r="C5694" s="1" t="str">
        <f ca="1">IFERROR(__xludf.DUMMYFUNCTION("GOOGLETRANSLATE(E5694, ""zh"", ""en"")"),"Qualitative text")</f>
        <v>Qualitative text</v>
      </c>
    </row>
    <row r="5695" spans="1:3" ht="13" x14ac:dyDescent="0.15">
      <c r="A5695" s="1" t="str">
        <f ca="1">IFERROR(__xludf.DUMMYFUNCTION("GOOGLETRANSLATE(A5695, ""zh"", ""en"")"),"Explore the ESG Management topic and see responsibility, safety first, people-oriented, mutual benefit and win-win. GRI Content Index.. Annual Data: User Service Management, User Satisfaction, User Complaint Handling Rate. Chapter 3: People-oriented High-"&amp;"quality Development. Always adhere to the people-oriented talent concept, firmly safeguard employees' legal rights and interests, care for employees' occupational health, strive to create a fair and harmonious work environment, implement employee benefits"&amp;" and care, help employees develop themselves, focus on talent cultivation, and contribute to the company's high-quality and sustainable development.")</f>
        <v>Explore the ESG Management topic and see responsibility, safety first, people-oriented, mutual benefit and win-win. GRI Content Index.. Annual Data: User Service Management, User Satisfaction, User Complaint Handling Rate. Chapter 3: People-oriented High-quality Development. Always adhere to the people-oriented talent concept, firmly safeguard employees' legal rights and interests, care for employees' occupational health, strive to create a fair and harmonious work environment, implement employee benefits and care, help employees develop themselves, focus on talent cultivation, and contribute to the company's high-quality and sustainable development.</v>
      </c>
      <c r="B5695" s="1" t="str">
        <f ca="1">IFERROR(__xludf.DUMMYFUNCTION("GOOGLETRANSLATE(A5695, ""zh"", ""en"")"),"staff")</f>
        <v>staff</v>
      </c>
      <c r="C5695" s="1" t="str">
        <f ca="1">IFERROR(__xludf.DUMMYFUNCTION("GOOGLETRANSLATE(E5695, ""zh"", ""en"")"),"Qualitative text")</f>
        <v>Qualitative text</v>
      </c>
    </row>
    <row r="5696" spans="1:3" ht="13" x14ac:dyDescent="0.15">
      <c r="A5696" s="1" t="str">
        <f ca="1">IFERROR(__xludf.DUMMYFUNCTION("GOOGLETRANSLATE(A5696, ""zh"", ""en"")"),"Continue to carry out QHSE form analysis and assessment, combine preparation, implementation and results in production operations, improve the HSE monitoring indicator system through the three stages of pre-process and post-process, strengthen the breadth"&amp;" and depth of safety indicator application, organize safety indicator spot checks and verification, identify problems in the indicator implementation process, and continuously improve the effectiveness of safety indicators. At the same time, through accur"&amp;"ate analysis and assessment of safety indicators, take targeted prevention and real-time monitoring measures to improve safety management level.")</f>
        <v>Continue to carry out QHSE form analysis and assessment, combine preparation, implementation and results in production operations, improve the HSE monitoring indicator system through the three stages of pre-process and post-process, strengthen the breadth and depth of safety indicator application, organize safety indicator spot checks and verification, identify problems in the indicator implementation process, and continuously improve the effectiveness of safety indicators. At the same time, through accurate analysis and assessment of safety indicators, take targeted prevention and real-time monitoring measures to improve safety management level.</v>
      </c>
      <c r="B5696" s="1" t="str">
        <f ca="1">IFERROR(__xludf.DUMMYFUNCTION("GOOGLETRANSLATE(A5696, ""zh"", ""en"")"),"staff")</f>
        <v>staff</v>
      </c>
      <c r="C5696" s="1" t="str">
        <f ca="1">IFERROR(__xludf.DUMMYFUNCTION("GOOGLETRANSLATE(E5696, ""zh"", ""en"")"),"Qualitative text")</f>
        <v>Qualitative text</v>
      </c>
    </row>
    <row r="5697" spans="1:3" ht="13" x14ac:dyDescent="0.15">
      <c r="A5697" s="1" t="str">
        <f ca="1">IFERROR(__xludf.DUMMYFUNCTION("GOOGLETRANSLATE(A5697, ""zh"", ""en"")"),"In terms of climate change, SDIC UBS Fund Management is a supporter of the Task Force on Climate-related Financial Disclosures (TCFD) and the first public fund management institution in China to sign the Net Zero Emissions Asset Management Initiative (NZA"&amp;"M). It has pledged to propose a mid-term net zero emissions target in 2023, strive to achieve net zero emissions for all assets under management by 2050, and integrate ESG into the fixed income investment process, fulfilling the social responsibility of a"&amp;"sset managers and sharing long-term sustainable investment benefits with investors.")</f>
        <v>In terms of climate change, SDIC UBS Fund Management is a supporter of the Task Force on Climate-related Financial Disclosures (TCFD) and the first public fund management institution in China to sign the Net Zero Emissions Asset Management Initiative (NZAM). It has pledged to propose a mid-term net zero emissions target in 2023, strive to achieve net zero emissions for all assets under management by 2050, and integrate ESG into the fixed income investment process, fulfilling the social responsibility of asset managers and sharing long-term sustainable investment benefits with investors.</v>
      </c>
      <c r="B5697" s="1" t="str">
        <f ca="1">IFERROR(__xludf.DUMMYFUNCTION("GOOGLETRANSLATE(A5697, ""zh"", ""en"")"),"Addressing climate change")</f>
        <v>Addressing climate change</v>
      </c>
      <c r="C5697" s="1" t="str">
        <f ca="1">IFERROR(__xludf.DUMMYFUNCTION("GOOGLETRANSLATE(E5697, ""zh"", ""en"")"),"Qualitative text")</f>
        <v>Qualitative text</v>
      </c>
    </row>
    <row r="5698" spans="1:3" ht="13" x14ac:dyDescent="0.15">
      <c r="A5698" s="1" t="str">
        <f ca="1">IFERROR(__xludf.DUMMYFUNCTION("GOOGLETRANSLATE(A5698, ""zh"", ""en"")"),"On November 6, 2022, the United Nations held its strategic goal of identifying climate change-related risks and opportunities at the 27th Conference of the Parties to the Convention on Climate Change (COP27) in Sharm el-Sheikh, Egypt, and in light of the "&amp;"recommendations of the Task Force on Climate-related Financial Disclosures (TCFD), the Board of Directors and the ESG Committee of the Company are responsible for discussing and discussing issues related to climate change.")</f>
        <v>On November 6, 2022, the United Nations held its strategic goal of identifying climate change-related risks and opportunities at the 27th Conference of the Parties to the Convention on Climate Change (COP27) in Sharm el-Sheikh, Egypt, and in light of the recommendations of the Task Force on Climate-related Financial Disclosures (TCFD), the Board of Directors and the ESG Committee of the Company are responsible for discussing and discussing issues related to climate change.</v>
      </c>
      <c r="B5698" s="1" t="str">
        <f ca="1">IFERROR(__xludf.DUMMYFUNCTION("GOOGLETRANSLATE(A5698, ""zh"", ""en"")"),"Addressing climate change")</f>
        <v>Addressing climate change</v>
      </c>
      <c r="C5698" s="1" t="str">
        <f ca="1">IFERROR(__xludf.DUMMYFUNCTION("GOOGLETRANSLATE(E5698, ""zh"", ""en"")"),"Qualitative text")</f>
        <v>Qualitative text</v>
      </c>
    </row>
    <row r="5699" spans="1:3" ht="13" x14ac:dyDescent="0.15">
      <c r="A5699" s="1" t="str">
        <f ca="1">IFERROR(__xludf.DUMMYFUNCTION("GOOGLETRANSLATE(A5699, ""zh"", ""en"")"),"2022 Social Responsibility Report 5 China Animal Husbandry Group is committed to providing safe and efficient solutions for the green and healthy development of the industry. It has established the China Animal Husbandry Research Institute and the Animal "&amp;"Disease Diagnosis and Testing Center. It has a nationally recognized enterprise technology center, the Beijing Engineering Technology Research Center, a key laboratory of the Ministry of Agriculture and Rural Affairs, and a postdoctoral workstation. It ha"&amp;"s established close strategic partnerships with authoritative scientific research institutions and leading companies in the industry, carried out all-round innovative cooperation, and has repeatedly undertaken and completed major national scientific resea"&amp;"rch tasks.")</f>
        <v>2022 Social Responsibility Report 5 China Animal Husbandry Group is committed to providing safe and efficient solutions for the green and healthy development of the industry. It has established the China Animal Husbandry Research Institute and the Animal Disease Diagnosis and Testing Center. It has a nationally recognized enterprise technology center, the Beijing Engineering Technology Research Center, a key laboratory of the Ministry of Agriculture and Rural Affairs, and a postdoctoral workstation. It has established close strategic partnerships with authoritative scientific research institutions and leading companies in the industry, carried out all-round innovative cooperation, and has repeatedly undertaken and completed major national scientific research tasks.</v>
      </c>
      <c r="B5699" s="1" t="str">
        <f ca="1">IFERROR(__xludf.DUMMYFUNCTION("GOOGLETRANSLATE(A5699, ""zh"", ""en"")"),"Technological innovation")</f>
        <v>Technological innovation</v>
      </c>
      <c r="C5699" s="1" t="str">
        <f ca="1">IFERROR(__xludf.DUMMYFUNCTION("GOOGLETRANSLATE(E5699, ""zh"", ""en"")"),"Qualitative text")</f>
        <v>Qualitative text</v>
      </c>
    </row>
    <row r="5700" spans="1:3" ht="13" x14ac:dyDescent="0.15">
      <c r="A5700" s="1" t="str">
        <f ca="1">IFERROR(__xludf.DUMMYFUNCTION("GOOGLETRANSLATE(A5700, ""zh"", ""en"")"),"We conducted in-depth investigations into the problems discovered during the audit and dealt with 45 individuals accordingly based on the findings. We provided guidance and assistance to member companies in conducting internal control evaluations and cont"&amp;"inuously improved the quality of internal control self-assessments. The Group regularly tracked the rectification of issues discovered during the audits and ensured good rectification results. We promoted the audit function to better perform its important"&amp;" internal supervision duties by exporting talents to member companies as audit leaders and extending the audit alliance to sectors.")</f>
        <v>We conducted in-depth investigations into the problems discovered during the audit and dealt with 45 individuals accordingly based on the findings. We provided guidance and assistance to member companies in conducting internal control evaluations and continuously improved the quality of internal control self-assessments. The Group regularly tracked the rectification of issues discovered during the audits and ensured good rectification results. We promoted the audit function to better perform its important internal supervision duties by exporting talents to member companies as audit leaders and extending the audit alliance to sectors.</v>
      </c>
      <c r="B5700" s="1" t="str">
        <f ca="1">IFERROR(__xludf.DUMMYFUNCTION("GOOGLETRANSLATE(A5700, ""zh"", ""en"")"),"Audit work")</f>
        <v>Audit work</v>
      </c>
      <c r="C5700" s="1" t="str">
        <f ca="1">IFERROR(__xludf.DUMMYFUNCTION("GOOGLETRANSLATE(E5700, ""zh"", ""en"")"),"Qualitative text")</f>
        <v>Qualitative text</v>
      </c>
    </row>
    <row r="5701" spans="1:3" ht="13" x14ac:dyDescent="0.15">
      <c r="A5701" s="1" t="str">
        <f ca="1">IFERROR(__xludf.DUMMYFUNCTION("GOOGLETRANSLATE(A5701, ""zh"", ""en"")"),"In 2022, Dima Industry was awarded three new quality certifications: ① ISO9001 Quality Management System Certification ② GBT27922 After-sales Service System Perfection Certification ③ GBT22080 Information Security Management System Certification. We have "&amp;"implemented quality improvement initiatives and obtained new quality certifications. During the reporting period, the demand for escort transportation declined, but the company still maintained its leading market share. With the increase in demand for eme"&amp;"rgency medical vehicles, orders for emergency medical vehicles increased by approximately 77% year-on-year.")</f>
        <v>In 2022, Dima Industry was awarded three new quality certifications: ① ISO9001 Quality Management System Certification ② GBT27922 After-sales Service System Perfection Certification ③ GBT22080 Information Security Management System Certification. We have implemented quality improvement initiatives and obtained new quality certifications. During the reporting period, the demand for escort transportation declined, but the company still maintained its leading market share. With the increase in demand for emergency medical vehicles, orders for emergency medical vehicles increased by approximately 77% year-on-year.</v>
      </c>
      <c r="B5701" s="1" t="str">
        <f ca="1">IFERROR(__xludf.DUMMYFUNCTION("GOOGLETRANSLATE(A5701, ""zh"", ""en"")"),"Product quality")</f>
        <v>Product quality</v>
      </c>
      <c r="C5701" s="1" t="str">
        <f ca="1">IFERROR(__xludf.DUMMYFUNCTION("GOOGLETRANSLATE(E5701, ""zh"", ""en"")"),"Quantitative Text")</f>
        <v>Quantitative Text</v>
      </c>
    </row>
    <row r="5702" spans="1:3" ht="13" x14ac:dyDescent="0.15">
      <c r="A5702" s="1" t="str">
        <f ca="1">IFERROR(__xludf.DUMMYFUNCTION("GOOGLETRANSLATE(A5702, ""zh"", ""en"")"),"In 2022, the subsidiary CITIC Securities Investment will closely follow the development of the capital market and the domestic and international macroeconomic situation, taking serving the real economy as its fundamental measure. New investments will be m"&amp;"ainly made in new energy, semiconductors, new materials, advanced intelligent manufacturing, information technology innovation, pharmaceuticals, and new devices. We will focus on strategic, global, and forward-looking projects, actively invest in high-qua"&amp;"lity real enterprises related to independent innovation and cutting-edge technologies, further increase support for the real economy, and continue to provide support for high-quality social and economic development.")</f>
        <v>In 2022, the subsidiary CITIC Securities Investment will closely follow the development of the capital market and the domestic and international macroeconomic situation, taking serving the real economy as its fundamental measure. New investments will be mainly made in new energy, semiconductors, new materials, advanced intelligent manufacturing, information technology innovation, pharmaceuticals, and new devices. We will focus on strategic, global, and forward-looking projects, actively invest in high-quality real enterprises related to independent innovation and cutting-edge technologies, further increase support for the real economy, and continue to provide support for high-quality social and economic development.</v>
      </c>
      <c r="B5702" s="1" t="str">
        <f ca="1">IFERROR(__xludf.DUMMYFUNCTION("GOOGLETRANSLATE(A5702, ""zh"", ""en"")"),"Technological innovation")</f>
        <v>Technological innovation</v>
      </c>
      <c r="C5702" s="1" t="str">
        <f ca="1">IFERROR(__xludf.DUMMYFUNCTION("GOOGLETRANSLATE(E5702, ""zh"", ""en"")"),"Qualitative text")</f>
        <v>Qualitative text</v>
      </c>
    </row>
    <row r="5703" spans="1:3" ht="13" x14ac:dyDescent="0.15">
      <c r="A5703" s="1" t="str">
        <f ca="1">IFERROR(__xludf.DUMMYFUNCTION("GOOGLETRANSLATE(A5703, ""zh"", ""en"")"),"Strictly investigate reported information to ensure its authenticity. Once violations are confirmed, the case will be handed over to the judicial authorities for handling. The whistleblower's information will be kept strictly confidential. Report acceptan"&amp;"ce process: Report suggestion box, Report hotline, Report acceptance email, Report channel. Anti-corruption: In accordance with China's Interim Provisions on Prohibition of Commercial Bribery, the company has established an anti-fraud and reporting system"&amp;". This system clarifies the key areas and key links of anti-fraud work. Public opinions are widely solicited through the distribution of opinion forms and questionnaires.")</f>
        <v>Strictly investigate reported information to ensure its authenticity. Once violations are confirmed, the case will be handed over to the judicial authorities for handling. The whistleblower's information will be kept strictly confidential. Report acceptance process: Report suggestion box, Report hotline, Report acceptance email, Report channel. Anti-corruption: In accordance with China's Interim Provisions on Prohibition of Commercial Bribery, the company has established an anti-fraud and reporting system. This system clarifies the key areas and key links of anti-fraud work. Public opinions are widely solicited through the distribution of opinion forms and questionnaires.</v>
      </c>
      <c r="B5703" s="1" t="str">
        <f ca="1">IFERROR(__xludf.DUMMYFUNCTION("GOOGLETRANSLATE(A5703, ""zh"", ""en"")"),"Reporting System")</f>
        <v>Reporting System</v>
      </c>
      <c r="C5703" s="1" t="str">
        <f ca="1">IFERROR(__xludf.DUMMYFUNCTION("GOOGLETRANSLATE(E5703, ""zh"", ""en"")"),"Qualitative text")</f>
        <v>Qualitative text</v>
      </c>
    </row>
    <row r="5704" spans="1:3" ht="13" x14ac:dyDescent="0.15">
      <c r="A5704" s="1" t="str">
        <f ca="1">IFERROR(__xludf.DUMMYFUNCTION("GOOGLETRANSLATE(A5704, ""zh"", ""en"")"),"0203040506 Protecting the Planet, Exploring a Green and Low-Carbon Future, Integrating People and Goals, Promoting Diversified and Inclusive Development, Responsible Procurement, Building a Sustainable Supply Chain, Intelligent Experiences, Leading a Bett"&amp;"er Life, Uniting Hearts and Souls, and Promoting Equitable Development. 01 Global Collaboration, Sustainable Governance Ecosystem. 5958 Haier Smart Home Co., Ltd. Environmental, Social and Governance Report. In 2022, we held induction training and cultura"&amp;"l experience activities for over 1,400 employees who joined the company through campus recruitment, and organized diversified training.")</f>
        <v>0203040506 Protecting the Planet, Exploring a Green and Low-Carbon Future, Integrating People and Goals, Promoting Diversified and Inclusive Development, Responsible Procurement, Building a Sustainable Supply Chain, Intelligent Experiences, Leading a Better Life, Uniting Hearts and Souls, and Promoting Equitable Development. 01 Global Collaboration, Sustainable Governance Ecosystem. 5958 Haier Smart Home Co., Ltd. Environmental, Social and Governance Report. In 2022, we held induction training and cultural experience activities for over 1,400 employees who joined the company through campus recruitment, and organized diversified training.</v>
      </c>
      <c r="B5704" s="1" t="str">
        <f ca="1">IFERROR(__xludf.DUMMYFUNCTION("GOOGLETRANSLATE(A5704, ""zh"", ""en"")"),"staff")</f>
        <v>staff</v>
      </c>
      <c r="C5704" s="1" t="str">
        <f ca="1">IFERROR(__xludf.DUMMYFUNCTION("GOOGLETRANSLATE(E5704, ""zh"", ""en"")"),"Quantitative Text")</f>
        <v>Quantitative Text</v>
      </c>
    </row>
    <row r="5705" spans="1:3" ht="13" x14ac:dyDescent="0.15">
      <c r="A5705" s="1" t="str">
        <f ca="1">IFERROR(__xludf.DUMMYFUNCTION("GOOGLETRANSLATE(A5705, ""zh"", ""en"")"),"Kangyuan's Internationalization Process Case 45 2022 Social Responsibility Report During the overseas COVID-19 pandemic, our subsidiary Livzon Bio-Pharmaceuticals Avitai obtained Special Access Drug Import Approval (SAS) from the Indonesian Food and Drug "&amp;"Administration (BPOM) in July 2021. In October of the same year, it obtained Emergency Use Authorization (DEU) from the Philippine Food and Drug Administration (FDA), providing strong support for the treatment of severe COVID-19 patients in some Southeast"&amp;" Asian countries.")</f>
        <v>Kangyuan's Internationalization Process Case 45 2022 Social Responsibility Report During the overseas COVID-19 pandemic, our subsidiary Livzon Bio-Pharmaceuticals Avitai obtained Special Access Drug Import Approval (SAS) from the Indonesian Food and Drug Administration (BPOM) in July 2021. In October of the same year, it obtained Emergency Use Authorization (DEU) from the Philippine Food and Drug Administration (FDA), providing strong support for the treatment of severe COVID-19 patients in some Southeast Asian countries.</v>
      </c>
      <c r="B5705" s="1" t="str">
        <f ca="1">IFERROR(__xludf.DUMMYFUNCTION("GOOGLETRANSLATE(A5705, ""zh"", ""en"")"),"Fighting the epidemic")</f>
        <v>Fighting the epidemic</v>
      </c>
      <c r="C5705" s="1" t="str">
        <f ca="1">IFERROR(__xludf.DUMMYFUNCTION("GOOGLETRANSLATE(E5705, ""zh"", ""en"")"),"Qualitative text")</f>
        <v>Qualitative text</v>
      </c>
    </row>
    <row r="5706" spans="1:3" ht="13" x14ac:dyDescent="0.15">
      <c r="A5706" s="1" t="str">
        <f ca="1">IFERROR(__xludf.DUMMYFUNCTION("GOOGLETRANSLATE(A5706, ""zh"", ""en"")"),"Figure 15: Growing with small and micro enterprises and prospering with the real economy. CCB Huidongni App 3.0 was released in Beijing. China Construction Bank Corporation 2022 Social Responsibility Report. Figure 15: Guizhou Branch account managers guid"&amp;"e individual business owners to apply for merchant cloud loans through the CCB Huidongni App. Specialized and innovative service cases. Guangdong Branch pioneered a dedicated evaluation system and service model for technology flow for technology enterpris"&amp;"es, effectively solving the pain points and problems that have long plagued small and medium-sized technology enterprises, such as difficulty in financing, high financing costs, and slow financing.")</f>
        <v>Figure 15: Growing with small and micro enterprises and prospering with the real economy. CCB Huidongni App 3.0 was released in Beijing. China Construction Bank Corporation 2022 Social Responsibility Report. Figure 15: Guizhou Branch account managers guide individual business owners to apply for merchant cloud loans through the CCB Huidongni App. Specialized and innovative service cases. Guangdong Branch pioneered a dedicated evaluation system and service model for technology flow for technology enterprises, effectively solving the pain points and problems that have long plagued small and medium-sized technology enterprises, such as difficulty in financing, high financing costs, and slow financing.</v>
      </c>
      <c r="B5706" s="1" t="str">
        <f ca="1">IFERROR(__xludf.DUMMYFUNCTION("GOOGLETRANSLATE(A5706, ""zh"", ""en"")"),"Customers and Consumers")</f>
        <v>Customers and Consumers</v>
      </c>
      <c r="C5706" s="1" t="str">
        <f ca="1">IFERROR(__xludf.DUMMYFUNCTION("GOOGLETRANSLATE(E5706, ""zh"", ""en"")"),"Qualitative text")</f>
        <v>Qualitative text</v>
      </c>
    </row>
    <row r="5707" spans="1:3" ht="13" x14ac:dyDescent="0.15">
      <c r="A5707" s="1" t="str">
        <f ca="1">IFERROR(__xludf.DUMMYFUNCTION("GOOGLETRANSLATE(A5707, ""zh"", ""en"")"),"CCB further promoted green bond underwriting services. As a member of the China Green Bond Standards Committee, CCB participated in the drafting and publication of the first edition of the China Green Bond Principles, propelling China's green bond market "&amp;"to a new stage of standardization, standardization, and internationalization. The 2021 Annual Operation Report of the CCB Wind Green ESG Bond Issuance Index was released to the market. The China-Europe Green ESG Bond Market Connectivity Forum was held, in"&amp;"troducing CCB's diversified green capital market service system to domestic and international green investment and financing institutions.")</f>
        <v>CCB further promoted green bond underwriting services. As a member of the China Green Bond Standards Committee, CCB participated in the drafting and publication of the first edition of the China Green Bond Principles, propelling China's green bond market to a new stage of standardization, standardization, and internationalization. The 2021 Annual Operation Report of the CCB Wind Green ESG Bond Issuance Index was released to the market. The China-Europe Green ESG Bond Market Connectivity Forum was held, introducing CCB's diversified green capital market service system to domestic and international green investment and financing institutions.</v>
      </c>
      <c r="B5707" s="1" t="str">
        <f ca="1">IFERROR(__xludf.DUMMYFUNCTION("GOOGLETRANSLATE(A5707, ""zh"", ""en"")"),"Green Finance")</f>
        <v>Green Finance</v>
      </c>
      <c r="C5707" s="1" t="str">
        <f ca="1">IFERROR(__xludf.DUMMYFUNCTION("GOOGLETRANSLATE(E5707, ""zh"", ""en"")"),"Qualitative text")</f>
        <v>Qualitative text</v>
      </c>
    </row>
    <row r="5708" spans="1:3" ht="13" x14ac:dyDescent="0.15">
      <c r="A5708" s="1" t="str">
        <f ca="1">IFERROR(__xludf.DUMMYFUNCTION("GOOGLETRANSLATE(A5708, ""zh"", ""en"")"),"Invested RMB 18 million in medical examinations and RMB 14.11 million in insurance premiums. 2022 ESG Report of SDIC Capital: Working Together to Build a Better Society 6465 Optimizing Assessment and Incentive Mechanisms SDIC Capital has continuously impr"&amp;"oved its market-oriented operation and management mechanisms, formulated and issued measures for the remuneration of company leaders, and implemented performance appraisal measures for company executives. Strengthened the term system and contractual manag"&amp;"ement of the management team, comprehensively promoted the market-oriented reform of operation and management, and steadily achieved results through the continuous optimization of incentive mechanisms.")</f>
        <v>Invested RMB 18 million in medical examinations and RMB 14.11 million in insurance premiums. 2022 ESG Report of SDIC Capital: Working Together to Build a Better Society 6465 Optimizing Assessment and Incentive Mechanisms SDIC Capital has continuously improved its market-oriented operation and management mechanisms, formulated and issued measures for the remuneration of company leaders, and implemented performance appraisal measures for company executives. Strengthened the term system and contractual management of the management team, comprehensively promoted the market-oriented reform of operation and management, and steadily achieved results through the continuous optimization of incentive mechanisms.</v>
      </c>
      <c r="B5708" s="1" t="str">
        <f ca="1">IFERROR(__xludf.DUMMYFUNCTION("GOOGLETRANSLATE(A5708, ""zh"", ""en"")"),"Organizational structure and operations")</f>
        <v>Organizational structure and operations</v>
      </c>
      <c r="C5708" s="1" t="str">
        <f ca="1">IFERROR(__xludf.DUMMYFUNCTION("GOOGLETRANSLATE(E5708, ""zh"", ""en"")"),"Quantitative Text")</f>
        <v>Quantitative Text</v>
      </c>
    </row>
    <row r="5709" spans="1:3" ht="13" x14ac:dyDescent="0.15">
      <c r="A5709" s="1" t="str">
        <f ca="1">IFERROR(__xludf.DUMMYFUNCTION("GOOGLETRANSLATE(A5709, ""zh"", ""en"")"),"EHS Management Structure Chart: Each production subsidiary of the Group has also established a standardized EHS management system, namely, the general manager of a subsidiary is the first person in charge of EHS and has overall responsibility for the envi"&amp;"ronmental protection work of the subsidiary. The supervisor or department manager of the subsidiary is the direct person in charge of EHS, responsible for formulating EHS measures, reviewing and filing them with the Group's EHS Department, and supervising"&amp;" the implementation of specific measures. Employees of each subsidiary must actively respond to the Group's EHS policies and cooperate with the EHS person in charge to implement EHS management work.")</f>
        <v>EHS Management Structure Chart: Each production subsidiary of the Group has also established a standardized EHS management system, namely, the general manager of a subsidiary is the first person in charge of EHS and has overall responsibility for the environmental protection work of the subsidiary. The supervisor or department manager of the subsidiary is the direct person in charge of EHS, responsible for formulating EHS measures, reviewing and filing them with the Group's EHS Department, and supervising the implementation of specific measures. Employees of each subsidiary must actively respond to the Group's EHS policies and cooperate with the EHS person in charge to implement EHS management work.</v>
      </c>
      <c r="B5709" s="1" t="str">
        <f ca="1">IFERROR(__xludf.DUMMYFUNCTION("GOOGLETRANSLATE(A5709, ""zh"", ""en"")"),"Organizational structure and operations")</f>
        <v>Organizational structure and operations</v>
      </c>
      <c r="C5709" s="1" t="str">
        <f ca="1">IFERROR(__xludf.DUMMYFUNCTION("GOOGLETRANSLATE(E5709, ""zh"", ""en"")"),"Qualitative text")</f>
        <v>Qualitative text</v>
      </c>
    </row>
    <row r="5710" spans="1:3" ht="13" x14ac:dyDescent="0.15">
      <c r="A5710" s="1" t="str">
        <f ca="1">IFERROR(__xludf.DUMMYFUNCTION("GOOGLETRANSLATE(A5710, ""zh"", ""en"")"),"The Environmental, Social and Governance Committee reviewed the Group's 2021 ESG report and 2022 ESG strategy and framework, evaluated the implementation of ESG work, and released the 2023 ESG work plan. The Committee also consulted with internal and exte"&amp;"rnal advisors on related risk management, including but not limited to ESG risks and climate change, and provided feedback to directors or experts on ESG work. The Committee reviewed relevant achievements and provided strategic recommendations.")</f>
        <v>The Environmental, Social and Governance Committee reviewed the Group's 2021 ESG report and 2022 ESG strategy and framework, evaluated the implementation of ESG work, and released the 2023 ESG work plan. The Committee also consulted with internal and external advisors on related risk management, including but not limited to ESG risks and climate change, and provided feedback to directors or experts on ESG work. The Committee reviewed relevant achievements and provided strategic recommendations.</v>
      </c>
      <c r="B5710" s="1" t="str">
        <f ca="1">IFERROR(__xludf.DUMMYFUNCTION("GOOGLETRANSLATE(A5710, ""zh"", ""en"")"),"Organizational structure and operations")</f>
        <v>Organizational structure and operations</v>
      </c>
      <c r="C5710" s="1" t="str">
        <f ca="1">IFERROR(__xludf.DUMMYFUNCTION("GOOGLETRANSLATE(E5710, ""zh"", ""en"")"),"Qualitative text")</f>
        <v>Qualitative text</v>
      </c>
    </row>
    <row r="5711" spans="1:3" ht="13" x14ac:dyDescent="0.15">
      <c r="A5711" s="1" t="str">
        <f ca="1">IFERROR(__xludf.DUMMYFUNCTION("GOOGLETRANSLATE(A5711, ""zh"", ""en"")"),"The total green area of ​​the company in 2022, the greening rate of the company's built-up area, the completion of compulsory tree planting throughout the year, the green area newly built or renovated within the year, and the green coverage rate. On the e"&amp;"ve of Arbor Day in March 2022, Sinopec and the China Green Foundation jointly established the Sinopec Saihanba Ecological Demonstration Forest Internet National Voluntary Tree Planting Project on the official website of the National Voluntary Tree Plantin"&amp;"g Network. The project received enthusiastic responses from the company's cadres, employees and the public. A total of more than 154,000 people participated in the donation and raised a total of approximately RMB 6.75 million.")</f>
        <v>The total green area of ​​the company in 2022, the greening rate of the company's built-up area, the completion of compulsory tree planting throughout the year, the green area newly built or renovated within the year, and the green coverage rate. On the eve of Arbor Day in March 2022, Sinopec and the China Green Foundation jointly established the Sinopec Saihanba Ecological Demonstration Forest Internet National Voluntary Tree Planting Project on the official website of the National Voluntary Tree Planting Network. The project received enthusiastic responses from the company's cadres, employees and the public. A total of more than 154,000 people participated in the donation and raised a total of approximately RMB 6.75 million.</v>
      </c>
      <c r="B5711" s="1" t="str">
        <f ca="1">IFERROR(__xludf.DUMMYFUNCTION("GOOGLETRANSLATE(A5711, ""zh"", ""en"")"),"biodiversity")</f>
        <v>biodiversity</v>
      </c>
      <c r="C5711" s="1" t="str">
        <f ca="1">IFERROR(__xludf.DUMMYFUNCTION("GOOGLETRANSLATE(E5711, ""zh"", ""en"")"),"Quantitative Text")</f>
        <v>Quantitative Text</v>
      </c>
    </row>
    <row r="5712" spans="1:3" ht="13" x14ac:dyDescent="0.15">
      <c r="A5712" s="1" t="str">
        <f ca="1">IFERROR(__xludf.DUMMYFUNCTION("GOOGLETRANSLATE(A5712, ""zh"", ""en"")"),"We have established a mechanism for the classification and management of various types of talents. By setting up different functional positions such as management sequence and non-management sequence, we have further broadened the career development chann"&amp;"els of employees. For employees with professional expertise, we have designed a non-management sequence channel based on evaluation. Through a rigorous and reasonable competition process, we have created a fair, just and open competition environment for t"&amp;"he company's employees, created a clean and upright atmosphere for selecting and employing people, and created opportunities and platforms for outstanding talents who want to do things, can do things and can get things done to stand out.")</f>
        <v>We have established a mechanism for the classification and management of various types of talents. By setting up different functional positions such as management sequence and non-management sequence, we have further broadened the career development channels of employees. For employees with professional expertise, we have designed a non-management sequence channel based on evaluation. Through a rigorous and reasonable competition process, we have created a fair, just and open competition environment for the company's employees, created a clean and upright atmosphere for selecting and employing people, and created opportunities and platforms for outstanding talents who want to do things, can do things and can get things done to stand out.</v>
      </c>
      <c r="B5712" s="1" t="str">
        <f ca="1">IFERROR(__xludf.DUMMYFUNCTION("GOOGLETRANSLATE(A5712, ""zh"", ""en"")"),"staff")</f>
        <v>staff</v>
      </c>
      <c r="C5712" s="1" t="str">
        <f ca="1">IFERROR(__xludf.DUMMYFUNCTION("GOOGLETRANSLATE(E5712, ""zh"", ""en"")"),"Qualitative text")</f>
        <v>Qualitative text</v>
      </c>
    </row>
    <row r="5713" spans="1:3" ht="13" x14ac:dyDescent="0.15">
      <c r="A5713" s="1" t="str">
        <f ca="1">IFERROR(__xludf.DUMMYFUNCTION("GOOGLETRANSLATE(A5713, ""zh"", ""en"")"),"2022 Annual Social Responsibility Report China Animal Husbandry Industry Co., Ltd. 2022 Annual Social Responsibility Report April 2023 2022 Annual Social Responsibility Report 1. Introduction China Animal Husbandry Industry Co., Ltd. (hereinafter referred"&amp;" to as China Animal Husbandry) or the Company has prepared this report in accordance with the Corporate Governance Guidelines for Publicly Issued Securities, the Content and Format of Information Disclosure by Companies Publicly Issuing Securities, and th"&amp;"e provisions of the Standard No. 2 on the Content and Format of Annual Reports, taking into account the specific circumstances of the Company's fulfillment of its social responsibilities and issues of concern to stakeholders.")</f>
        <v>2022 Annual Social Responsibility Report China Animal Husbandry Industry Co., Ltd. 2022 Annual Social Responsibility Report April 2023 2022 Annual Social Responsibility Report 1. Introduction China Animal Husbandry Industry Co., Ltd. (hereinafter referred to as China Animal Husbandry) or the Company has prepared this report in accordance with the Corporate Governance Guidelines for Publicly Issued Securities, the Content and Format of Information Disclosure by Companies Publicly Issuing Securities, and the provisions of the Standard No. 2 on the Content and Format of Annual Reports, taking into account the specific circumstances of the Company's fulfillment of its social responsibilities and issues of concern to stakeholders.</v>
      </c>
      <c r="B5713" s="1" t="str">
        <f ca="1">IFERROR(__xludf.DUMMYFUNCTION("GOOGLETRANSLATE(A5713, ""zh"", ""en"")"),"irrelevant text")</f>
        <v>irrelevant text</v>
      </c>
      <c r="C5713" s="1" t="str">
        <f ca="1">IFERROR(__xludf.DUMMYFUNCTION("GOOGLETRANSLATE(E5713, ""zh"", ""en"")"),"irrelevant text")</f>
        <v>irrelevant text</v>
      </c>
    </row>
    <row r="5714" spans="1:3" ht="13" x14ac:dyDescent="0.15">
      <c r="A5714" s="1" t="str">
        <f ca="1">IFERROR(__xludf.DUMMYFUNCTION("GOOGLETRANSLATE(A5714, ""zh"", ""en"")"),"You can contact us through the following methods: Address: 10th Floor, CITIC Securities Building, 48 Liangmaqiao Road, Chaoyang District, Beijing Tel: 00861060836030 Email: ircitics.com Fax: 00861060836031 CITIC Securities Co., Ltd. March 2023 Please indi"&amp;"cate whether you agree with the following statements on a scale of 1 to 5 (1 = strongly disagree, 5 = strongly agree). 1 This report reflects the company's impact on the environment and society.")</f>
        <v>You can contact us through the following methods: Address: 10th Floor, CITIC Securities Building, 48 Liangmaqiao Road, Chaoyang District, Beijing Tel: 00861060836030 Email: ircitics.com Fax: 00861060836031 CITIC Securities Co., Ltd. March 2023 Please indicate whether you agree with the following statements on a scale of 1 to 5 (1 = strongly disagree, 5 = strongly agree). 1 This report reflects the company's impact on the environment and society.</v>
      </c>
      <c r="B5714" s="1" t="str">
        <f ca="1">IFERROR(__xludf.DUMMYFUNCTION("GOOGLETRANSLATE(A5714, ""zh"", ""en"")"),"irrelevant text")</f>
        <v>irrelevant text</v>
      </c>
      <c r="C5714" s="1" t="str">
        <f ca="1">IFERROR(__xludf.DUMMYFUNCTION("GOOGLETRANSLATE(E5714, ""zh"", ""en"")"),"irrelevant text")</f>
        <v>irrelevant text</v>
      </c>
    </row>
    <row r="5715" spans="1:3" ht="13" x14ac:dyDescent="0.15">
      <c r="A5715" s="1" t="str">
        <f ca="1">IFERROR(__xludf.DUMMYFUNCTION("GOOGLETRANSLATE(A5715, ""zh"", ""en"")"),"1122022CorporateSocialResponsibilityReport131Environmental, Social and Governance GuidelinesIndicator IndexMain AreaLevelGeneralRequirements and Key Performance IndicatorsPage 8. SocialEmployment and Labor PracticesDisclosure of relevant information on re"&amp;"muneration and dismissal, recruitment and promotion, working hours, equal opportunities, vacations, diversity, reflection and other key performance indicators by gender, age group and regionB1.1Total number of qualified employees by age group and region")</f>
        <v>1122022CorporateSocialResponsibilityReport131Environmental, Social and Governance GuidelinesIndicator IndexMain AreaLevelGeneralRequirements and Key Performance IndicatorsPage 8. SocialEmployment and Labor PracticesDisclosure of relevant information on remuneration and dismissal, recruitment and promotion, working hours, equal opportunities, vacations, diversity, reflection and other key performance indicators by gender, age group and regionB1.1Total number of qualified employees by age group and region</v>
      </c>
      <c r="B5715" s="1" t="str">
        <f ca="1">IFERROR(__xludf.DUMMYFUNCTION("GOOGLETRANSLATE(A5715, ""zh"", ""en"")"),"staff")</f>
        <v>staff</v>
      </c>
      <c r="C5715" s="1" t="str">
        <f ca="1">IFERROR(__xludf.DUMMYFUNCTION("GOOGLETRANSLATE(E5715, ""zh"", ""en"")"),"Quantitative Text")</f>
        <v>Quantitative Text</v>
      </c>
    </row>
    <row r="5716" spans="1:3" ht="13" x14ac:dyDescent="0.15">
      <c r="A5716" s="1" t="str">
        <f ca="1">IFERROR(__xludf.DUMMYFUNCTION("GOOGLETRANSLATE(A5716, ""zh"", ""en"")"),"Focusing on the three major goals of promoting high-quality development of coal-fired power, creating a new state-owned asset brand, and expanding and strengthening the energy equipment industry, the two parties have joined forces to promote high-temperat"&amp;"ure subcritical technology and fully leverage Shanghai's electrical industry manufacturing advantages, Shenneng Group's proprietary technology integration and innovation capabilities, and Shanghai's technological advantages in energy utilization. They wil"&amp;"l actively cooperate with five major central power generation enterprises, including State Power Investment Corporation and Huaneng Group, to form Shanghai standards, build Shanghai brands, and continuously amplify the spillover effects of Shanghai soluti"&amp;"ons to serve the technological upgrades and green transformation of coal-fired power companies across the country.")</f>
        <v>Focusing on the three major goals of promoting high-quality development of coal-fired power, creating a new state-owned asset brand, and expanding and strengthening the energy equipment industry, the two parties have joined forces to promote high-temperature subcritical technology and fully leverage Shanghai's electrical industry manufacturing advantages, Shenneng Group's proprietary technology integration and innovation capabilities, and Shanghai's technological advantages in energy utilization. They will actively cooperate with five major central power generation enterprises, including State Power Investment Corporation and Huaneng Group, to form Shanghai standards, build Shanghai brands, and continuously amplify the spillover effects of Shanghai solutions to serve the technological upgrades and green transformation of coal-fired power companies across the country.</v>
      </c>
      <c r="B5716" s="1" t="str">
        <f ca="1">IFERROR(__xludf.DUMMYFUNCTION("GOOGLETRANSLATE(A5716, ""zh"", ""en"")"),"Energy and resource consumption")</f>
        <v>Energy and resource consumption</v>
      </c>
      <c r="C5716" s="1" t="str">
        <f ca="1">IFERROR(__xludf.DUMMYFUNCTION("GOOGLETRANSLATE(E5716, ""zh"", ""en"")"),"Qualitative text")</f>
        <v>Qualitative text</v>
      </c>
    </row>
    <row r="5717" spans="1:3" ht="13" x14ac:dyDescent="0.15">
      <c r="A5717" s="1" t="str">
        <f ca="1">IFERROR(__xludf.DUMMYFUNCTION("GOOGLETRANSLATE(A5717, ""zh"", ""en"")"),"The cadres on secondment introduced various central enterprises' industrial support and charitable donations totaling over RMB 1.04 million to the local area, precisely addressed the relative poverty of women in Tibetan-related areas, assisted in the deve"&amp;"lopment of local agricultural industries, provided policy justification and other intellectual support for optimizing the local talent introduction and training mechanism, promoted the listing of agricultural and sideline products from Tibetan-related are"&amp;"as on central enterprises' online sales platforms, promoted the signing of co-construction agreements between the party organizations of the company's holding investment institutions and the party organizations in Tibetan-related areas, and enhanced the a"&amp;"ccumulation of research results in the field of ethnic issues in the party building of cadre training colleges in Tibetan-related areas.")</f>
        <v>The cadres on secondment introduced various central enterprises' industrial support and charitable donations totaling over RMB 1.04 million to the local area, precisely addressed the relative poverty of women in Tibetan-related areas, assisted in the development of local agricultural industries, provided policy justification and other intellectual support for optimizing the local talent introduction and training mechanism, promoted the listing of agricultural and sideline products from Tibetan-related areas on central enterprises' online sales platforms, promoted the signing of co-construction agreements between the party organizations of the company's holding investment institutions and the party organizations in Tibetan-related areas, and enhanced the accumulation of research results in the field of ethnic issues in the party building of cadre training colleges in Tibetan-related areas.</v>
      </c>
      <c r="B5717" s="1" t="str">
        <f ca="1">IFERROR(__xludf.DUMMYFUNCTION("GOOGLETRANSLATE(A5717, ""zh"", ""en"")"),"Rural assistance")</f>
        <v>Rural assistance</v>
      </c>
      <c r="C5717" s="1" t="str">
        <f ca="1">IFERROR(__xludf.DUMMYFUNCTION("GOOGLETRANSLATE(E5717, ""zh"", ""en"")"),"Quantitative Text")</f>
        <v>Quantitative Text</v>
      </c>
    </row>
    <row r="5718" spans="1:3" ht="13" x14ac:dyDescent="0.15">
      <c r="A5718" s="1" t="str">
        <f ca="1">IFERROR(__xludf.DUMMYFUNCTION("GOOGLETRANSLATE(A5718, ""zh"", ""en"")"),"In 2022, the company issued a notice on strengthening noise pollution prevention and control. It will strengthen noise pollution prevention and control in new projects, manage noise pollution in existing enterprises, strictly control noise pollution at co"&amp;"nstruction sites, carry out noise monitoring and information disclosure, increase research and development of noise pollution prevention and control technologies, and train personnel. It will carry out risk investigations, include comprehensive noise poll"&amp;"ution control work in the company's special environmental protection compliance inspection and rectification scope, compile a noise pollution prevention and control compliance inspection form, and incorporate it into the environmental protection informati"&amp;"on system for real-time monitoring.")</f>
        <v>In 2022, the company issued a notice on strengthening noise pollution prevention and control. It will strengthen noise pollution prevention and control in new projects, manage noise pollution in existing enterprises, strictly control noise pollution at construction sites, carry out noise monitoring and information disclosure, increase research and development of noise pollution prevention and control technologies, and train personnel. It will carry out risk investigations, include comprehensive noise pollution control work in the company's special environmental protection compliance inspection and rectification scope, compile a noise pollution prevention and control compliance inspection form, and incorporate it into the environmental protection information system for real-time monitoring.</v>
      </c>
      <c r="B5718" s="1" t="str">
        <f ca="1">IFERROR(__xludf.DUMMYFUNCTION("GOOGLETRANSLATE(A5718, ""zh"", ""en"")"),"Waste Management")</f>
        <v>Waste Management</v>
      </c>
      <c r="C5718" s="1" t="str">
        <f ca="1">IFERROR(__xludf.DUMMYFUNCTION("GOOGLETRANSLATE(E5718, ""zh"", ""en"")"),"Qualitative text")</f>
        <v>Qualitative text</v>
      </c>
    </row>
    <row r="5719" spans="1:3" ht="13" x14ac:dyDescent="0.15">
      <c r="A5719" s="1" t="str">
        <f ca="1">IFERROR(__xludf.DUMMYFUNCTION("GOOGLETRANSLATE(A5719, ""zh"", ""en"")"),"Sinopec attaches great importance to human resource risk management. It implements a control system for identified talent loss risks, comprehensively monitors talent loss, conducts focused analysis and research on enterprises with prominent talent loss is"&amp;"sues, summarizes the characteristics of loss, and promotes the implementation of the talent-driven enterprise strategy, deepens the reform of talent development systems and mechanisms, and comprehensively addresses talent loss issues through measures such"&amp;" as expanding talent development space, implementing precise and effective incentives, and creating a high-quality environment that respects and values ​​talent.")</f>
        <v>Sinopec attaches great importance to human resource risk management. It implements a control system for identified talent loss risks, comprehensively monitors talent loss, conducts focused analysis and research on enterprises with prominent talent loss issues, summarizes the characteristics of loss, and promotes the implementation of the talent-driven enterprise strategy, deepens the reform of talent development systems and mechanisms, and comprehensively addresses talent loss issues through measures such as expanding talent development space, implementing precise and effective incentives, and creating a high-quality environment that respects and values ​​talent.</v>
      </c>
      <c r="B5719" s="1" t="str">
        <f ca="1">IFERROR(__xludf.DUMMYFUNCTION("GOOGLETRANSLATE(A5719, ""zh"", ""en"")"),"staff")</f>
        <v>staff</v>
      </c>
      <c r="C5719" s="1" t="str">
        <f ca="1">IFERROR(__xludf.DUMMYFUNCTION("GOOGLETRANSLATE(E5719, ""zh"", ""en"")"),"Qualitative text")</f>
        <v>Qualitative text</v>
      </c>
    </row>
    <row r="5720" spans="1:3" ht="13" x14ac:dyDescent="0.15">
      <c r="A5720" s="1" t="str">
        <f ca="1">IFERROR(__xludf.DUMMYFUNCTION("GOOGLETRANSLATE(A5720, ""zh"", ""en"")"),"The percentage of employees participating in training at the first-tier branch level and the head office department level and above The percentage of employees participating in training disclosed in the China Construction Bank's Social Responsibility Repo"&amp;"rt refers to the proportion of on-line and offline training participated in by the entire China Construction Bank, excluding domestic and overseas subsidiaries. The statistical caliber of the number of people participating in online training at the first-"&amp;"tier branch level and the head office department level is the number of people with job grades 3 and 5 participating in online training within the entire China Construction Bank, excluding domestic and overseas subsidiaries.")</f>
        <v>The percentage of employees participating in training at the first-tier branch level and the head office department level and above The percentage of employees participating in training disclosed in the China Construction Bank's Social Responsibility Report refers to the proportion of on-line and offline training participated in by the entire China Construction Bank, excluding domestic and overseas subsidiaries. The statistical caliber of the number of people participating in online training at the first-tier branch level and the head office department level is the number of people with job grades 3 and 5 participating in online training within the entire China Construction Bank, excluding domestic and overseas subsidiaries.</v>
      </c>
      <c r="B5720" s="1" t="str">
        <f ca="1">IFERROR(__xludf.DUMMYFUNCTION("GOOGLETRANSLATE(A5720, ""zh"", ""en"")"),"staff")</f>
        <v>staff</v>
      </c>
      <c r="C5720" s="1" t="str">
        <f ca="1">IFERROR(__xludf.DUMMYFUNCTION("GOOGLETRANSLATE(E5720, ""zh"", ""en"")"),"Quantitative Text")</f>
        <v>Quantitative Text</v>
      </c>
    </row>
    <row r="5721" spans="1:3" ht="13" x14ac:dyDescent="0.15">
      <c r="A5721" s="1" t="str">
        <f ca="1">IFERROR(__xludf.DUMMYFUNCTION("GOOGLETRANSLATE(A5721, ""zh"", ""en"")"),"We continued to deepen our care and concern for our employees and carried out the bank-wide New Year's Day and Spring Festival warmth-giving campaign in 2022. We visited 11,328 institutions and outlets, and provided condolences to 13,116 families in need,"&amp;" including employees in need, single-parent employees in need, female employees in need, and model workers in need. We distributed 40.7729 million yuan in condolences and materials, provided living assistance to 6,451 employees in need, provided medical a"&amp;"ssistance to 4,402 people, and provided cultural services to 200,619 people.")</f>
        <v>We continued to deepen our care and concern for our employees and carried out the bank-wide New Year's Day and Spring Festival warmth-giving campaign in 2022. We visited 11,328 institutions and outlets, and provided condolences to 13,116 families in need, including employees in need, single-parent employees in need, female employees in need, and model workers in need. We distributed 40.7729 million yuan in condolences and materials, provided living assistance to 6,451 employees in need, provided medical assistance to 4,402 people, and provided cultural services to 200,619 people.</v>
      </c>
      <c r="B5721" s="1" t="str">
        <f ca="1">IFERROR(__xludf.DUMMYFUNCTION("GOOGLETRANSLATE(A5721, ""zh"", ""en"")"),"staff")</f>
        <v>staff</v>
      </c>
      <c r="C5721" s="1" t="str">
        <f ca="1">IFERROR(__xludf.DUMMYFUNCTION("GOOGLETRANSLATE(E5721, ""zh"", ""en"")"),"Quantitative Text")</f>
        <v>Quantitative Text</v>
      </c>
    </row>
    <row r="5722" spans="1:3" ht="13" x14ac:dyDescent="0.15">
      <c r="A5722" s="1" t="str">
        <f ca="1">IFERROR(__xludf.DUMMYFUNCTION("GOOGLETRANSLATE(A5722, ""zh"", ""en"")"),"As a world-class comprehensive high-end equipment manufacturer, Shanghai Electric is fully committed to serving the country's dual carbon goals. By leveraging its three core competitive advantages, namely manufacturing capacity, integrated service capabil"&amp;"ities, and talent competitiveness, it is actively building a core equipment integration system, integrating three key linkage platforms of industry and capital to provide energy efficiency improvement, energy substitution, resource recycling, and three ma"&amp;"in carbon reduction paths. It is creating a comprehensive new power system and a three-dimensional zero-carbon industrial park with overall solutions, striving to be a leader in achieving the dual carbon goals and helping industry customers achieve green "&amp;"and low-carbon transformation and development.")</f>
        <v>As a world-class comprehensive high-end equipment manufacturer, Shanghai Electric is fully committed to serving the country's dual carbon goals. By leveraging its three core competitive advantages, namely manufacturing capacity, integrated service capabilities, and talent competitiveness, it is actively building a core equipment integration system, integrating three key linkage platforms of industry and capital to provide energy efficiency improvement, energy substitution, resource recycling, and three main carbon reduction paths. It is creating a comprehensive new power system and a three-dimensional zero-carbon industrial park with overall solutions, striving to be a leader in achieving the dual carbon goals and helping industry customers achieve green and low-carbon transformation and development.</v>
      </c>
      <c r="B5722" s="1" t="str">
        <f ca="1">IFERROR(__xludf.DUMMYFUNCTION("GOOGLETRANSLATE(A5722, ""zh"", ""en"")"),"carbon emissions")</f>
        <v>carbon emissions</v>
      </c>
      <c r="C5722" s="1" t="str">
        <f ca="1">IFERROR(__xludf.DUMMYFUNCTION("GOOGLETRANSLATE(E5722, ""zh"", ""en"")"),"Qualitative text")</f>
        <v>Qualitative text</v>
      </c>
    </row>
    <row r="5723" spans="1:3" ht="13" x14ac:dyDescent="0.15">
      <c r="A5723" s="1" t="str">
        <f ca="1">IFERROR(__xludf.DUMMYFUNCTION("GOOGLETRANSLATE(A5723, ""zh"", ""en"")"),"Case Study: Employee Mental Health Lecture. Xinjiang Uygur Medicine Trade Union Committee fully utilizes its organizational functions to unite and gather the strength of employees, build a staff home and empower them. The staff home has successively built"&amp;" a Uygur Medicine library, a fitness venue, a table tennis room, a mother-and-child room and other places. By organizing a series of activities such as the celebration of the Little New Year, theme gatherings, hiking, spring outings, volunteer tree planti"&amp;"ng, etc., it enriches spare time and focuses on humanistic care. It takes employees in need as the key assistance targets, actively helps them solve difficulties in life, does practical things and good things, and improves employees' sense of gain, satisf"&amp;"action and happiness.")</f>
        <v>Case Study: Employee Mental Health Lecture. Xinjiang Uygur Medicine Trade Union Committee fully utilizes its organizational functions to unite and gather the strength of employees, build a staff home and empower them. The staff home has successively built a Uygur Medicine library, a fitness venue, a table tennis room, a mother-and-child room and other places. By organizing a series of activities such as the celebration of the Little New Year, theme gatherings, hiking, spring outings, volunteer tree planting, etc., it enriches spare time and focuses on humanistic care. It takes employees in need as the key assistance targets, actively helps them solve difficulties in life, does practical things and good things, and improves employees' sense of gain, satisfaction and happiness.</v>
      </c>
      <c r="B5723" s="1" t="str">
        <f ca="1">IFERROR(__xludf.DUMMYFUNCTION("GOOGLETRANSLATE(A5723, ""zh"", ""en"")"),"staff")</f>
        <v>staff</v>
      </c>
      <c r="C5723" s="1" t="str">
        <f ca="1">IFERROR(__xludf.DUMMYFUNCTION("GOOGLETRANSLATE(E5723, ""zh"", ""en"")"),"Qualitative text")</f>
        <v>Qualitative text</v>
      </c>
    </row>
    <row r="5724" spans="1:3" ht="13" x14ac:dyDescent="0.15">
      <c r="A5724" s="1" t="str">
        <f ca="1">IFERROR(__xludf.DUMMYFUNCTION("GOOGLETRANSLATE(A5724, ""zh"", ""en"")"),"Since 2008, Fosun Pharma Group has been committed to serving the company's strategic corporate culture and building a resource strategy that always matches the development direction of the Group. By helping employees improve their work efficiency and pers"&amp;"onal abilities, it has promoted the common growth of employees and the company through the establishment and improvement of human resource management systems in terms of selection, training, and retention. It has also actively promoted the combination of "&amp;"external introduction and internal training, such as partner cadre management, and has played a positive role in the accumulation of hierarchical organizations and global organizational guarantees.")</f>
        <v>Since 2008, Fosun Pharma Group has been committed to serving the company's strategic corporate culture and building a resource strategy that always matches the development direction of the Group. By helping employees improve their work efficiency and personal abilities, it has promoted the common growth of employees and the company through the establishment and improvement of human resource management systems in terms of selection, training, and retention. It has also actively promoted the combination of external introduction and internal training, such as partner cadre management, and has played a positive role in the accumulation of hierarchical organizations and global organizational guarantees.</v>
      </c>
      <c r="B5724" s="1" t="str">
        <f ca="1">IFERROR(__xludf.DUMMYFUNCTION("GOOGLETRANSLATE(A5724, ""zh"", ""en"")"),"staff")</f>
        <v>staff</v>
      </c>
      <c r="C5724" s="1" t="str">
        <f ca="1">IFERROR(__xludf.DUMMYFUNCTION("GOOGLETRANSLATE(E5724, ""zh"", ""en"")"),"Qualitative text")</f>
        <v>Qualitative text</v>
      </c>
    </row>
    <row r="5725" spans="1:3" ht="13" x14ac:dyDescent="0.15">
      <c r="A5725" s="1" t="str">
        <f ca="1">IFERROR(__xludf.DUMMYFUNCTION("GOOGLETRANSLATE(A5725, ""zh"", ""en"")"),"2022 Corporate Social Responsibility Report 17: Further strengthen Fosun Pharma's procurement management of material services from the perspectives of compliance, efficiency, and quality, particularly by establishing a procurement management system for R&amp;"&amp;"D services. This includes establishing a framework for centralized procurement to reduce costs and enhance efficiency, as well as implementing procurement risk management standards. The Group also released the R&amp;D Procurement Management Measures for Globa"&amp;"l R&amp;D Centers to standardize R&amp;D procurement practices. In 2022, the Group handled 41 supplier violations.")</f>
        <v>2022 Corporate Social Responsibility Report 17: Further strengthen Fosun Pharma's procurement management of material services from the perspectives of compliance, efficiency, and quality, particularly by establishing a procurement management system for R&amp;D services. This includes establishing a framework for centralized procurement to reduce costs and enhance efficiency, as well as implementing procurement risk management standards. The Group also released the R&amp;D Procurement Management Measures for Global R&amp;D Centers to standardize R&amp;D procurement practices. In 2022, the Group handled 41 supplier violations.</v>
      </c>
      <c r="B5725" s="1" t="str">
        <f ca="1">IFERROR(__xludf.DUMMYFUNCTION("GOOGLETRANSLATE(A5725, ""zh"", ""en"")"),"supply chain management")</f>
        <v>supply chain management</v>
      </c>
      <c r="C5725" s="1" t="str">
        <f ca="1">IFERROR(__xludf.DUMMYFUNCTION("GOOGLETRANSLATE(E5725, ""zh"", ""en"")"),"Quantitative Text")</f>
        <v>Quantitative Text</v>
      </c>
    </row>
    <row r="5726" spans="1:3" ht="13" x14ac:dyDescent="0.15">
      <c r="A5726" s="1" t="str">
        <f ca="1">IFERROR(__xludf.DUMMYFUNCTION("GOOGLETRANSLATE(A5726, ""zh"", ""en"")"),"In addition, we have added advanced service functions based on the drug traceability information system code, including key product traceability verification and traceability data analysis. Through information technology, drug traceability is implemented "&amp;"in a timely and accurate manner, and drug traceability data is recorded and saved, and traceability information is provided to the drug traceability collaborative service platform. Ensure that one item has one code and the same item and code are traced to"&amp;"gether, and realize the real-time presentation of drug traceability data throughout the entire process. Help staff to optimize weak links in a timely manner and check data omissions, which greatly improves the efficiency of drug traceability.")</f>
        <v>In addition, we have added advanced service functions based on the drug traceability information system code, including key product traceability verification and traceability data analysis. Through information technology, drug traceability is implemented in a timely and accurate manner, and drug traceability data is recorded and saved, and traceability information is provided to the drug traceability collaborative service platform. Ensure that one item has one code and the same item and code are traced together, and realize the real-time presentation of drug traceability data throughout the entire process. Help staff to optimize weak links in a timely manner and check data omissions, which greatly improves the efficiency of drug traceability.</v>
      </c>
      <c r="B5726" s="1" t="str">
        <f ca="1">IFERROR(__xludf.DUMMYFUNCTION("GOOGLETRANSLATE(A5726, ""zh"", ""en"")"),"Product quality")</f>
        <v>Product quality</v>
      </c>
      <c r="C5726" s="1" t="str">
        <f ca="1">IFERROR(__xludf.DUMMYFUNCTION("GOOGLETRANSLATE(E5726, ""zh"", ""en"")"),"Qualitative text")</f>
        <v>Qualitative text</v>
      </c>
    </row>
    <row r="5727" spans="1:3" ht="13" x14ac:dyDescent="0.15">
      <c r="A5727" s="1" t="str">
        <f ca="1">IFERROR(__xludf.DUMMYFUNCTION("GOOGLETRANSLATE(A5727, ""zh"", ""en"")"),"Furniture selection and material selection; Office supplies; Providing electronic meeting materials; Promoting online meetings to reduce travel; Developing online training platforms; Providing electronic training materials; Reducing the use of disposable "&amp;"paper cups and lunch boxes; Electronic internal documents; Electronic employee payrolls; Paperless meetings; Paperless training; Paperless living; Key paperless issues; Employee rights; Talent attraction and retention; Employee health and safety; Employee"&amp;" training and development; Employee communication; A diverse and inclusive workplace; A broad development platform; Talent is the fundamental driving force for corporate development.")</f>
        <v>Furniture selection and material selection; Office supplies; Providing electronic meeting materials; Promoting online meetings to reduce travel; Developing online training platforms; Providing electronic training materials; Reducing the use of disposable paper cups and lunch boxes; Electronic internal documents; Electronic employee payrolls; Paperless meetings; Paperless training; Paperless living; Key paperless issues; Employee rights; Talent attraction and retention; Employee health and safety; Employee training and development; Employee communication; A diverse and inclusive workplace; A broad development platform; Talent is the fundamental driving force for corporate development.</v>
      </c>
      <c r="B5727" s="1" t="str">
        <f ca="1">IFERROR(__xludf.DUMMYFUNCTION("GOOGLETRANSLATE(A5727, ""zh"", ""en"")"),"staff")</f>
        <v>staff</v>
      </c>
      <c r="C5727" s="1" t="str">
        <f ca="1">IFERROR(__xludf.DUMMYFUNCTION("GOOGLETRANSLATE(E5727, ""zh"", ""en"")"),"Qualitative text")</f>
        <v>Qualitative text</v>
      </c>
    </row>
    <row r="5728" spans="1:3" ht="13" x14ac:dyDescent="0.15">
      <c r="A5728" s="1" t="str">
        <f ca="1">IFERROR(__xludf.DUMMYFUNCTION("GOOGLETRANSLATE(A5728, ""zh"", ""en"")"),"Gender Female Male Employee Category Senior-level Middle-level Ordinary Employees Senior-level Middle-level Ordinary Employees Training Percentage 100 98.70 97.17 100 98.36 97.10 Average Training Days 4.8 2.9 2.7 4.8 2.9 2.7 To meet the needs of model wor"&amp;"kers and advanced technical staff in terms of academic qualifications and comprehensive quality improvement, Shanghai Electric and Shanghai Second Polytechnic University signed a school-enterprise cooperation agreement to jointly promote the integration o"&amp;"f industry and education and establish a high-skilled talent training model that integrates school and enterprise.")</f>
        <v>Gender Female Male Employee Category Senior-level Middle-level Ordinary Employees Senior-level Middle-level Ordinary Employees Training Percentage 100 98.70 97.17 100 98.36 97.10 Average Training Days 4.8 2.9 2.7 4.8 2.9 2.7 To meet the needs of model workers and advanced technical staff in terms of academic qualifications and comprehensive quality improvement, Shanghai Electric and Shanghai Second Polytechnic University signed a school-enterprise cooperation agreement to jointly promote the integration of industry and education and establish a high-skilled talent training model that integrates school and enterprise.</v>
      </c>
      <c r="B5728" s="1" t="str">
        <f ca="1">IFERROR(__xludf.DUMMYFUNCTION("GOOGLETRANSLATE(A5728, ""zh"", ""en"")"),"staff")</f>
        <v>staff</v>
      </c>
      <c r="C5728" s="1" t="str">
        <f ca="1">IFERROR(__xludf.DUMMYFUNCTION("GOOGLETRANSLATE(E5728, ""zh"", ""en"")"),"Quantitative Text")</f>
        <v>Quantitative Text</v>
      </c>
    </row>
    <row r="5729" spans="1:3" ht="13" x14ac:dyDescent="0.15">
      <c r="A5729" s="1" t="str">
        <f ca="1">IFERROR(__xludf.DUMMYFUNCTION("GOOGLETRANSLATE(A5729, ""zh"", ""en"")"),"The company continues to deepen exchanges and cooperation with internationally renowned research institutions. By the end of 2022, the company has successively joined the International Association of Synthetic Rubber Producers (IISRP), the International U"&amp;"nion of Pure and Applied Chemistry (IUP), the Chemical and Industrial Committee (IUP), and the Society of Petroleum Engineers (SPE), the American Society of Exploration Geophysical (SEG), the American Association of Fuel and Petrochemical Manufacturers (A"&amp;"FPM), and other international academic organizations and institutions, and actively participated in various seminars and exchange activities to provide support for the construction of a technology-leading company.")</f>
        <v>The company continues to deepen exchanges and cooperation with internationally renowned research institutions. By the end of 2022, the company has successively joined the International Association of Synthetic Rubber Producers (IISRP), the International Union of Pure and Applied Chemistry (IUP), the Chemical and Industrial Committee (IUP), and the Society of Petroleum Engineers (SPE), the American Society of Exploration Geophysical (SEG), the American Association of Fuel and Petrochemical Manufacturers (AFPM), and other international academic organizations and institutions, and actively participated in various seminars and exchange activities to provide support for the construction of a technology-leading company.</v>
      </c>
      <c r="B5729" s="1" t="str">
        <f ca="1">IFERROR(__xludf.DUMMYFUNCTION("GOOGLETRANSLATE(A5729, ""zh"", ""en"")"),"Technological innovation")</f>
        <v>Technological innovation</v>
      </c>
      <c r="C5729" s="1" t="str">
        <f ca="1">IFERROR(__xludf.DUMMYFUNCTION("GOOGLETRANSLATE(E5729, ""zh"", ""en"")"),"Qualitative text")</f>
        <v>Qualitative text</v>
      </c>
    </row>
    <row r="5730" spans="1:3" ht="13" x14ac:dyDescent="0.15">
      <c r="A5730" s="1" t="str">
        <f ca="1">IFERROR(__xludf.DUMMYFUNCTION("GOOGLETRANSLATE(A5730, ""zh"", ""en"")"),"Research and application of key technologies for artificial intelligence voice platforms for smart home appliances; Second Prize of Qingdao Science and Technology Progress Award; Research and industrialization of ultra-high-definition full-color laser dis"&amp;"play technology; Second Prize of China Electronics Society Science and Technology Award; National Society Award for Innovative Technology; Pixel-level backlight control; Design of stacked display chips and multi-terminal application development; Third Pri"&amp;"ze of China Electronics Society Science and Technology Award; The company continues to strengthen its R&amp;D and innovation capabilities and has achieved a series of major technological innovations in the fields of new display integrated circuits, artificial"&amp;" intelligence, and other areas.")</f>
        <v>Research and application of key technologies for artificial intelligence voice platforms for smart home appliances; Second Prize of Qingdao Science and Technology Progress Award; Research and industrialization of ultra-high-definition full-color laser display technology; Second Prize of China Electronics Society Science and Technology Award; National Society Award for Innovative Technology; Pixel-level backlight control; Design of stacked display chips and multi-terminal application development; Third Prize of China Electronics Society Science and Technology Award; The company continues to strengthen its R&amp;D and innovation capabilities and has achieved a series of major technological innovations in the fields of new display integrated circuits, artificial intelligence, and other areas.</v>
      </c>
      <c r="B5730" s="1" t="str">
        <f ca="1">IFERROR(__xludf.DUMMYFUNCTION("GOOGLETRANSLATE(A5730, ""zh"", ""en"")"),"Technological innovation")</f>
        <v>Technological innovation</v>
      </c>
      <c r="C5730" s="1" t="str">
        <f ca="1">IFERROR(__xludf.DUMMYFUNCTION("GOOGLETRANSLATE(E5730, ""zh"", ""en"")"),"Qualitative text")</f>
        <v>Qualitative text</v>
      </c>
    </row>
    <row r="5731" spans="1:3" ht="13" x14ac:dyDescent="0.15">
      <c r="A5731" s="1" t="str">
        <f ca="1">IFERROR(__xludf.DUMMYFUNCTION("GOOGLETRANSLATE(A5731, ""zh"", ""en"")"),"Environmental Management: We have gradually improved our modern environmental management system and introduced a series of corporate environmental management systems. We have consulted relevant laws and regulations in each operating area, including the En"&amp;"vironmental Protection Law of the People's Republic of China, Argentina Law No. 25675, Argentina Law No. 24585, the Environmental Protection Law of the Mining Industry, and the Environmental Protection Law of the Republic of Tajikistan. We have developed "&amp;"a safety and environmental management system as a guiding policy document for environmental management work to guide the company's daily environmental management work.")</f>
        <v>Environmental Management: We have gradually improved our modern environmental management system and introduced a series of corporate environmental management systems. We have consulted relevant laws and regulations in each operating area, including the Environmental Protection Law of the People's Republic of China, Argentina Law No. 25675, Argentina Law No. 24585, the Environmental Protection Law of the Mining Industry, and the Environmental Protection Law of the Republic of Tajikistan. We have developed a safety and environmental management system as a guiding policy document for environmental management work to guide the company's daily environmental management work.</v>
      </c>
      <c r="B5731" s="1" t="str">
        <f ca="1">IFERROR(__xludf.DUMMYFUNCTION("GOOGLETRANSLATE(A5731, ""zh"", ""en"")"),"Environmental Policy")</f>
        <v>Environmental Policy</v>
      </c>
      <c r="C5731" s="1" t="str">
        <f ca="1">IFERROR(__xludf.DUMMYFUNCTION("GOOGLETRANSLATE(E5731, ""zh"", ""en"")"),"Qualitative text")</f>
        <v>Qualitative text</v>
      </c>
    </row>
    <row r="5732" spans="1:3" ht="13" x14ac:dyDescent="0.15">
      <c r="A5732" s="1" t="str">
        <f ca="1">IFERROR(__xludf.DUMMYFUNCTION("GOOGLETRANSLATE(A5732, ""zh"", ""en"")"),"In 2022, we will visit employees for childbirth, illness, and immediate family members to develop better services. The needs of employees are constantly expanding, and the number of deaths among union members is 40. Mei will continue to apply for medical "&amp;"mutual aid insurance plans for retired employees at the headquarters. We will also include the Group's Shanghai innovation incubation platform companies, such as Xinghao Qibo, Xingsheng, Xinhui, Xingwei, and newly established member companies such as Jieb"&amp;"ei'an, which have not yet applied for the plan, under the unified management of the headquarters joint union. Nearly 300 members of Lingka will apply for the Shanghai plan in a unified manner to further enhance the influence of the union organization.")</f>
        <v>In 2022, we will visit employees for childbirth, illness, and immediate family members to develop better services. The needs of employees are constantly expanding, and the number of deaths among union members is 40. Mei will continue to apply for medical mutual aid insurance plans for retired employees at the headquarters. We will also include the Group's Shanghai innovation incubation platform companies, such as Xinghao Qibo, Xingsheng, Xinhui, Xingwei, and newly established member companies such as Jiebei'an, which have not yet applied for the plan, under the unified management of the headquarters joint union. Nearly 300 members of Lingka will apply for the Shanghai plan in a unified manner to further enhance the influence of the union organization.</v>
      </c>
      <c r="B5732" s="1" t="str">
        <f ca="1">IFERROR(__xludf.DUMMYFUNCTION("GOOGLETRANSLATE(A5732, ""zh"", ""en"")"),"staff")</f>
        <v>staff</v>
      </c>
      <c r="C5732" s="1" t="str">
        <f ca="1">IFERROR(__xludf.DUMMYFUNCTION("GOOGLETRANSLATE(E5732, ""zh"", ""en"")"),"Quantitative Text")</f>
        <v>Quantitative Text</v>
      </c>
    </row>
    <row r="5733" spans="1:3" ht="13" x14ac:dyDescent="0.15">
      <c r="A5733" s="1" t="str">
        <f ca="1">IFERROR(__xludf.DUMMYFUNCTION("GOOGLETRANSLATE(A5733, ""zh"", ""en"")"),"As a subsidiary body of the Technology and Economic Assessment Panel (TEAP), MCTOC works with other Technical Options Committees (TOCs) to conduct scientific and technical assessments on substances that deplete the ozone layer and their substitutes, and p"&amp;"rovides recommendations to the parties to the Montreal Protocol, contributing to the implementation of the Montreal Protocol by countries around the world.")</f>
        <v>As a subsidiary body of the Technology and Economic Assessment Panel (TEAP), MCTOC works with other Technical Options Committees (TOCs) to conduct scientific and technical assessments on substances that deplete the ozone layer and their substitutes, and provides recommendations to the parties to the Montreal Protocol, contributing to the implementation of the Montreal Protocol by countries around the world.</v>
      </c>
      <c r="B5733" s="1" t="str">
        <f ca="1">IFERROR(__xludf.DUMMYFUNCTION("GOOGLETRANSLATE(A5733, ""zh"", ""en"")"),"Environmental Policy")</f>
        <v>Environmental Policy</v>
      </c>
      <c r="C5733" s="1" t="str">
        <f ca="1">IFERROR(__xludf.DUMMYFUNCTION("GOOGLETRANSLATE(E5733, ""zh"", ""en"")"),"Qualitative text")</f>
        <v>Qualitative text</v>
      </c>
    </row>
    <row r="5734" spans="1:3" ht="13" x14ac:dyDescent="0.15">
      <c r="A5734" s="1" t="str">
        <f ca="1">IFERROR(__xludf.DUMMYFUNCTION("GOOGLETRANSLATE(A5734, ""zh"", ""en"")"),"Anti-Corruption Policy Statement Sinopec Sinopec 2122 Corporate Governance: Strengthening Safety Lines, Addressing Climate Change, Respecting Human Rights, Talent Cultivation, Environmental Protection, and Fulfilling Social Responsibilities. Key Tasks for"&amp;" 2022: Organizing and carrying out the Anti-Corruption Education Month, utilizing typical internal company cases for warning education, establishing a special column in the company's internal media, strengthening publicity and education, guiding all emplo"&amp;"yees to consciously practice integrity, and creating a strong atmosphere of comprehensive, strict, and honest work practices.")</f>
        <v>Anti-Corruption Policy Statement Sinopec Sinopec 2122 Corporate Governance: Strengthening Safety Lines, Addressing Climate Change, Respecting Human Rights, Talent Cultivation, Environmental Protection, and Fulfilling Social Responsibilities. Key Tasks for 2022: Organizing and carrying out the Anti-Corruption Education Month, utilizing typical internal company cases for warning education, establishing a special column in the company's internal media, strengthening publicity and education, guiding all employees to consciously practice integrity, and creating a strong atmosphere of comprehensive, strict, and honest work practices.</v>
      </c>
      <c r="B5734" s="1" t="str">
        <f ca="1">IFERROR(__xludf.DUMMYFUNCTION("GOOGLETRANSLATE(A5734, ""zh"", ""en"")"),"Anti-corruption and anti-money laundering")</f>
        <v>Anti-corruption and anti-money laundering</v>
      </c>
      <c r="C5734" s="1" t="str">
        <f ca="1">IFERROR(__xludf.DUMMYFUNCTION("GOOGLETRANSLATE(E5734, ""zh"", ""en"")"),"Qualitative text")</f>
        <v>Qualitative text</v>
      </c>
    </row>
    <row r="5735" spans="1:3" ht="13" x14ac:dyDescent="0.15">
      <c r="A5735" s="1" t="str">
        <f ca="1">IFERROR(__xludf.DUMMYFUNCTION("GOOGLETRANSLATE(A5735, ""zh"", ""en"")"),"862022 Social Responsibility Report 86: Forging a New Landscape of Openness and Collaboration. Shanghai Electric and China Electric will work together to expand growth in new sectors. Electric and Shenneng are jointly entering Hainan's offshore wind power"&amp;" market. Construction of a zero-carbon equipment industry project has begun in Danzhou. Shanghai Electric and the Shanghai Stock Exchange are working together to promote green and low-carbon development. In January 2022, China National Electric Equipment "&amp;"Group visited Shanghai Electric. Both parties firmly believe that China Electric and Shanghai Electric have numerous overlapping businesses in the energy sector, and their competition and cooperation will inevitably resonate with each other.")</f>
        <v>862022 Social Responsibility Report 86: Forging a New Landscape of Openness and Collaboration. Shanghai Electric and China Electric will work together to expand growth in new sectors. Electric and Shenneng are jointly entering Hainan's offshore wind power market. Construction of a zero-carbon equipment industry project has begun in Danzhou. Shanghai Electric and the Shanghai Stock Exchange are working together to promote green and low-carbon development. In January 2022, China National Electric Equipment Group visited Shanghai Electric. Both parties firmly believe that China Electric and Shanghai Electric have numerous overlapping businesses in the energy sector, and their competition and cooperation will inevitably resonate with each other.</v>
      </c>
      <c r="B5735" s="1" t="str">
        <f ca="1">IFERROR(__xludf.DUMMYFUNCTION("GOOGLETRANSLATE(A5735, ""zh"", ""en"")"),"carbon emissions")</f>
        <v>carbon emissions</v>
      </c>
      <c r="C5735" s="1" t="str">
        <f ca="1">IFERROR(__xludf.DUMMYFUNCTION("GOOGLETRANSLATE(E5735, ""zh"", ""en"")"),"Qualitative text")</f>
        <v>Qualitative text</v>
      </c>
    </row>
    <row r="5736" spans="1:3" ht="13" x14ac:dyDescent="0.15">
      <c r="A5736" s="1" t="str">
        <f ca="1">IFERROR(__xludf.DUMMYFUNCTION("GOOGLETRANSLATE(A5736, ""zh"", ""en"")"),"In the future, under the trend of domestic industrial upgrading and supply chain reconstruction, we will explore and deploy key regional facilities in Southeast Asia around the global production, circulation and trade needs of bulk commodities, connect wi"&amp;"th international railway and maritime resources such as the China-Europe Express, and actively build a global logistics and supply chain management service system to better serve the production and operation of domestic and foreign enterprises, achieve de"&amp;"ep integration with the global supply chain, participate more deeply in the international market, integrate into the international circulation, and promote the smooth circulation and optimal allocation of commodities and resources on a global scale to lay"&amp;" a solid foundation for development.")</f>
        <v>In the future, under the trend of domestic industrial upgrading and supply chain reconstruction, we will explore and deploy key regional facilities in Southeast Asia around the global production, circulation and trade needs of bulk commodities, connect with international railway and maritime resources such as the China-Europe Express, and actively build a global logistics and supply chain management service system to better serve the production and operation of domestic and foreign enterprises, achieve deep integration with the global supply chain, participate more deeply in the international market, integrate into the international circulation, and promote the smooth circulation and optimal allocation of commodities and resources on a global scale to lay a solid foundation for development.</v>
      </c>
      <c r="B5736" s="1" t="str">
        <f ca="1">IFERROR(__xludf.DUMMYFUNCTION("GOOGLETRANSLATE(A5736, ""zh"", ""en"")"),"supply chain management")</f>
        <v>supply chain management</v>
      </c>
      <c r="C5736" s="1" t="str">
        <f ca="1">IFERROR(__xludf.DUMMYFUNCTION("GOOGLETRANSLATE(E5736, ""zh"", ""en"")"),"Qualitative text")</f>
        <v>Qualitative text</v>
      </c>
    </row>
    <row r="5737" spans="1:3" ht="13" x14ac:dyDescent="0.15">
      <c r="A5737" s="1" t="str">
        <f ca="1">IFERROR(__xludf.DUMMYFUNCTION("GOOGLETRANSLATE(A5737, ""zh"", ""en"")"),"Thank you again to all shareholders for their trust and support. Together we embrace a sustainable future. 0302 Appendix About This Report Chairman's Statement Statement of the Board About This Report Chairman's Statement Statement of the Board About Haie"&amp;"r Smart Home Appendix Haier Smart Home Co., Ltd. Environmental, Social and Governance Report About Haier Smart Home The predecessor of our company, Qingdao Refrigerator Factory, was established in 1984 and is headquartered in Qingdao, China. In June 2019,"&amp;" it was officially renamed Haier Smart Home Co., Ltd. (hereinafter referred to as Haier Smart Home).")</f>
        <v>Thank you again to all shareholders for their trust and support. Together we embrace a sustainable future. 0302 Appendix About This Report Chairman's Statement Statement of the Board About This Report Chairman's Statement Statement of the Board About Haier Smart Home Appendix Haier Smart Home Co., Ltd. Environmental, Social and Governance Report About Haier Smart Home The predecessor of our company, Qingdao Refrigerator Factory, was established in 1984 and is headquartered in Qingdao, China. In June 2019, it was officially renamed Haier Smart Home Co., Ltd. (hereinafter referred to as Haier Smart Home).</v>
      </c>
      <c r="B5737" s="1" t="str">
        <f ca="1">IFERROR(__xludf.DUMMYFUNCTION("GOOGLETRANSLATE(A5737, ""zh"", ""en"")"),"Organizational structure and operations")</f>
        <v>Organizational structure and operations</v>
      </c>
      <c r="C5737" s="1" t="str">
        <f ca="1">IFERROR(__xludf.DUMMYFUNCTION("GOOGLETRANSLATE(E5737, ""zh"", ""en"")"),"Qualitative text")</f>
        <v>Qualitative text</v>
      </c>
    </row>
    <row r="5738" spans="1:3" ht="13" x14ac:dyDescent="0.15">
      <c r="A5738" s="1" t="str">
        <f ca="1">IFERROR(__xludf.DUMMYFUNCTION("GOOGLETRANSLATE(A5738, ""zh"", ""en"")"),"32. Joincare Pharmaceutical Group Co., Ltd. Joincare Supplier Audit Dimensions Supplier Audit Product Transportation EHS Management Production Management Quality Management Plant Facilities and Equipment Material Management Supplier Qualifications Personn"&amp;"el Organization and Training Joincare's subsidiary, Livzon Group, has incorporated EHS audits of suppliers into the audit plan that meets the system requirements. The audit covers conventional environmental safety indicators such as energy conservation an"&amp;"d emission reduction, pollutant emission compliance, solid waste collection and disposal compliance, ISO system certification, etc.")</f>
        <v>32. Joincare Pharmaceutical Group Co., Ltd. Joincare Supplier Audit Dimensions Supplier Audit Product Transportation EHS Management Production Management Quality Management Plant Facilities and Equipment Material Management Supplier Qualifications Personnel Organization and Training Joincare's subsidiary, Livzon Group, has incorporated EHS audits of suppliers into the audit plan that meets the system requirements. The audit covers conventional environmental safety indicators such as energy conservation and emission reduction, pollutant emission compliance, solid waste collection and disposal compliance, ISO system certification, etc.</v>
      </c>
      <c r="B5738" s="1" t="str">
        <f ca="1">IFERROR(__xludf.DUMMYFUNCTION("GOOGLETRANSLATE(A5738, ""zh"", ""en"")"),"Audit work")</f>
        <v>Audit work</v>
      </c>
      <c r="C5738" s="1" t="str">
        <f ca="1">IFERROR(__xludf.DUMMYFUNCTION("GOOGLETRANSLATE(E5738, ""zh"", ""en"")"),"Qualitative text")</f>
        <v>Qualitative text</v>
      </c>
    </row>
    <row r="5739" spans="1:3" ht="13" x14ac:dyDescent="0.15">
      <c r="A5739" s="1" t="str">
        <f ca="1">IFERROR(__xludf.DUMMYFUNCTION("GOOGLETRANSLATE(A5739, ""zh"", ""en"")"),"Ernst &amp; Young Hua Ming LLP Beijing, China March 29, 2023 79 Appendix Key Data Basis for Compilation Global Business Institutions The global business institutions disclosed in the China Construction Bank's Social Responsibility Report refer to the number o"&amp;"f domestic and overseas institutions of China Construction Bank as of the end of the reporting period. Domestic institutions are the total number of China Construction Bank's domestic and overseas subsidiaries, excluding domestic and overseas branches and"&amp;" subsidiaries. The total number of overseas institutions is the total number of China Construction Bank's overseas commercial banking branches and subsidiaries.")</f>
        <v>Ernst &amp; Young Hua Ming LLP Beijing, China March 29, 2023 79 Appendix Key Data Basis for Compilation Global Business Institutions The global business institutions disclosed in the China Construction Bank's Social Responsibility Report refer to the number of domestic and overseas institutions of China Construction Bank as of the end of the reporting period. Domestic institutions are the total number of China Construction Bank's domestic and overseas subsidiaries, excluding domestic and overseas branches and subsidiaries. The total number of overseas institutions is the total number of China Construction Bank's overseas commercial banking branches and subsidiaries.</v>
      </c>
      <c r="B5739" s="1" t="str">
        <f ca="1">IFERROR(__xludf.DUMMYFUNCTION("GOOGLETRANSLATE(A5739, ""zh"", ""en"")"),"irrelevant text")</f>
        <v>irrelevant text</v>
      </c>
      <c r="C5739" s="1" t="str">
        <f ca="1">IFERROR(__xludf.DUMMYFUNCTION("GOOGLETRANSLATE(E5739, ""zh"", ""en"")"),"irrelevant text")</f>
        <v>irrelevant text</v>
      </c>
    </row>
    <row r="5740" spans="1:3" ht="13" x14ac:dyDescent="0.15">
      <c r="A5740" s="1" t="str">
        <f ca="1">IFERROR(__xludf.DUMMYFUNCTION("GOOGLETRANSLATE(A5740, ""zh"", ""en"")"),"Average training hours for first-tier branch-level and head office department-level and above training hours. The employee training hours disclosed in China Construction Bank's Social Responsibility Report refer to the number of hours of on-line and offli"&amp;"ne training participated by employees of China Construction Bank as of the end of the reporting period, excluding domestic and overseas subsidiaries and subsidiaries. The statistical caliber of the number of online training participants at first-tier bran"&amp;"ch-level and head office department-level is the number of people with job grades 3 and 5 who participated in online training within China Construction Bank, excluding domestic and overseas subsidiaries and subsidiaries.")</f>
        <v>Average training hours for first-tier branch-level and head office department-level and above training hours. The employee training hours disclosed in China Construction Bank's Social Responsibility Report refer to the number of hours of on-line and offline training participated by employees of China Construction Bank as of the end of the reporting period, excluding domestic and overseas subsidiaries and subsidiaries. The statistical caliber of the number of online training participants at first-tier branch-level and head office department-level is the number of people with job grades 3 and 5 who participated in online training within China Construction Bank, excluding domestic and overseas subsidiaries and subsidiaries.</v>
      </c>
      <c r="B5740" s="1" t="str">
        <f ca="1">IFERROR(__xludf.DUMMYFUNCTION("GOOGLETRANSLATE(A5740, ""zh"", ""en"")"),"staff")</f>
        <v>staff</v>
      </c>
      <c r="C5740" s="1" t="str">
        <f ca="1">IFERROR(__xludf.DUMMYFUNCTION("GOOGLETRANSLATE(E5740, ""zh"", ""en"")"),"Quantitative Text")</f>
        <v>Quantitative Text</v>
      </c>
    </row>
    <row r="5741" spans="1:3" ht="13" x14ac:dyDescent="0.15">
      <c r="A5741" s="1" t="str">
        <f ca="1">IFERROR(__xludf.DUMMYFUNCTION("GOOGLETRANSLATE(A5741, ""zh"", ""en"")"),"3. Based on the nature of the Group's business, greenhouse gas emissions are primarily derived from purchased electricity and fossil fuel combustion. Greenhouse gas emissions are calculated in accordance with the pilot version of ISO 140641, Greenhouse Ga"&amp;"ses, Part I, Standards and Guidelines for the Quantification and Reporting of Greenhouse Gas Emissions and Removals at the Organizational Level, and the relevant requirements for activity-level data emission factors in the average CO2 emission factors for"&amp;" regional power grids in China in 2011 and 2012.")</f>
        <v>3. Based on the nature of the Group's business, greenhouse gas emissions are primarily derived from purchased electricity and fossil fuel combustion. Greenhouse gas emissions are calculated in accordance with the pilot version of ISO 140641, Greenhouse Gases, Part I, Standards and Guidelines for the Quantification and Reporting of Greenhouse Gas Emissions and Removals at the Organizational Level, and the relevant requirements for activity-level data emission factors in the average CO2 emission factors for regional power grids in China in 2011 and 2012.</v>
      </c>
      <c r="B5741" s="1" t="str">
        <f ca="1">IFERROR(__xludf.DUMMYFUNCTION("GOOGLETRANSLATE(A5741, ""zh"", ""en"")"),"carbon emissions")</f>
        <v>carbon emissions</v>
      </c>
      <c r="C5741" s="1" t="str">
        <f ca="1">IFERROR(__xludf.DUMMYFUNCTION("GOOGLETRANSLATE(E5741, ""zh"", ""en"")"),"Qualitative text")</f>
        <v>Qualitative text</v>
      </c>
    </row>
    <row r="5742" spans="1:3" ht="13" x14ac:dyDescent="0.15">
      <c r="A5742" s="1" t="str">
        <f ca="1">IFERROR(__xludf.DUMMYFUNCTION("GOOGLETRANSLATE(A5742, ""zh"", ""en"")"),"During the training, we communicated, shared, helped and guided each other, which inspired the team spirit of the company's employees, strengthened the interaction between employees, and made us grow together to improve the overall work efficiency. During"&amp;" the training process, we targeted and planned to improve the literacy of the company's employees, so that employees can improve their own cultural quality, improve their personal literacy and exercise their teamwork ability. The company hired professiona"&amp;"l external teachers to train on the industry development, future prospects, and the use of new technologies, so that everyone can have a deeper understanding and more comprehensive grasp of the new technologies.")</f>
        <v>During the training, we communicated, shared, helped and guided each other, which inspired the team spirit of the company's employees, strengthened the interaction between employees, and made us grow together to improve the overall work efficiency. During the training process, we targeted and planned to improve the literacy of the company's employees, so that employees can improve their own cultural quality, improve their personal literacy and exercise their teamwork ability. The company hired professional external teachers to train on the industry development, future prospects, and the use of new technologies, so that everyone can have a deeper understanding and more comprehensive grasp of the new technologies.</v>
      </c>
      <c r="B5742" s="1" t="str">
        <f ca="1">IFERROR(__xludf.DUMMYFUNCTION("GOOGLETRANSLATE(A5742, ""zh"", ""en"")"),"staff")</f>
        <v>staff</v>
      </c>
      <c r="C5742" s="1" t="str">
        <f ca="1">IFERROR(__xludf.DUMMYFUNCTION("GOOGLETRANSLATE(E5742, ""zh"", ""en"")"),"Qualitative text")</f>
        <v>Qualitative text</v>
      </c>
    </row>
    <row r="5743" spans="1:3" ht="13" x14ac:dyDescent="0.15">
      <c r="A5743" s="1" t="str">
        <f ca="1">IFERROR(__xludf.DUMMYFUNCTION("GOOGLETRANSLATE(A5743, ""zh"", ""en"")"),"25 CITIC Securities 2022 Annual Social Responsibility Report IV Supporting the Development of the Carbon Trading Market CITIC Securities was the first in the securities industry to establish a professional team for carbon trading and investment. Since its"&amp;" launch, it has completed the first carbon emission rights transaction in the domestic industry, the first carbon emission quota repurchase transaction in the country, and the first carbon emission rights over-the-counter swap transaction. It has also ach"&amp;"ieved regular trading in various regional carbon markets approved by the state, helping to realize and improve the price discovery function of the carbon market and continuing to actively participate in the development of the national carbon asset spot an"&amp;"d futures markets.")</f>
        <v>25 CITIC Securities 2022 Annual Social Responsibility Report IV Supporting the Development of the Carbon Trading Market CITIC Securities was the first in the securities industry to establish a professional team for carbon trading and investment. Since its launch, it has completed the first carbon emission rights transaction in the domestic industry, the first carbon emission quota repurchase transaction in the country, and the first carbon emission rights over-the-counter swap transaction. It has also achieved regular trading in various regional carbon markets approved by the state, helping to realize and improve the price discovery function of the carbon market and continuing to actively participate in the development of the national carbon asset spot and futures markets.</v>
      </c>
      <c r="B5743" s="1" t="str">
        <f ca="1">IFERROR(__xludf.DUMMYFUNCTION("GOOGLETRANSLATE(A5743, ""zh"", ""en"")"),"carbon emissions")</f>
        <v>carbon emissions</v>
      </c>
      <c r="C5743" s="1" t="str">
        <f ca="1">IFERROR(__xludf.DUMMYFUNCTION("GOOGLETRANSLATE(E5743, ""zh"", ""en"")"),"Qualitative text")</f>
        <v>Qualitative text</v>
      </c>
    </row>
    <row r="5744" spans="1:3" ht="13" x14ac:dyDescent="0.15">
      <c r="A5744" s="1" t="str">
        <f ca="1">IFERROR(__xludf.DUMMYFUNCTION("GOOGLETRANSLATE(A5744, ""zh"", ""en"")"),"Prepare emergency plans for environmental emergencies in accordance with the National Emergency Response Law, the Measures for the Administration of Emergency Plans for Environmental Emergencies, and the Henan Province Guidelines for the Preparation of En"&amp;"vironmental Emergency Plans for Environmental Risk Sources and Enterprises. Revise them promptly and file them as required. Conduct emergency drills annually to promptly identify and resolve problems through drills. Fully and dynamically grasp environment"&amp;"al safety risk points, strictly control safety hazards, and continuously improve the construction of emergency response systems to ensure that emergency plans can be implemented smoothly and effectively resolve pollution problems caused by possible sudden"&amp;" environmental events.")</f>
        <v>Prepare emergency plans for environmental emergencies in accordance with the National Emergency Response Law, the Measures for the Administration of Emergency Plans for Environmental Emergencies, and the Henan Province Guidelines for the Preparation of Environmental Emergency Plans for Environmental Risk Sources and Enterprises. Revise them promptly and file them as required. Conduct emergency drills annually to promptly identify and resolve problems through drills. Fully and dynamically grasp environmental safety risk points, strictly control safety hazards, and continuously improve the construction of emergency response systems to ensure that emergency plans can be implemented smoothly and effectively resolve pollution problems caused by possible sudden environmental events.</v>
      </c>
      <c r="B5744" s="1" t="str">
        <f ca="1">IFERROR(__xludf.DUMMYFUNCTION("GOOGLETRANSLATE(A5744, ""zh"", ""en"")"),"Environmental Policy")</f>
        <v>Environmental Policy</v>
      </c>
      <c r="C5744" s="1" t="str">
        <f ca="1">IFERROR(__xludf.DUMMYFUNCTION("GOOGLETRANSLATE(E5744, ""zh"", ""en"")"),"Qualitative text")</f>
        <v>Qualitative text</v>
      </c>
    </row>
    <row r="5745" spans="1:3" ht="13" x14ac:dyDescent="0.15">
      <c r="A5745" s="1" t="str">
        <f ca="1">IFERROR(__xludf.DUMMYFUNCTION("GOOGLETRANSLATE(A5745, ""zh"", ""en"")"),"Listen to her talk at a public welfare science event at 40, a respiratory expert explains. Public welfare science posters are available. List of public welfare science events: 84. Kangyuan Pharmaceutical Group Co., Ltd. Zhaoshang Subdistrict Office visits"&amp;" to the Epidemic Investigation Center for anti-epidemic condolences. Nanyou Community visits to the Songpingshan Community for anti-epidemic condolences. On July 14, 2022, Kangyuan actively participated in the ""Caring for People's Congress Representative"&amp;"s and Local Enterprises"" theme event organized by the Songpingshan People's Congress Representative Community Liaison Station. Visiting Songping Hut and the Anxin Station provided care for people with mental disorders.")</f>
        <v>Listen to her talk at a public welfare science event at 40, a respiratory expert explains. Public welfare science posters are available. List of public welfare science events: 84. Kangyuan Pharmaceutical Group Co., Ltd. Zhaoshang Subdistrict Office visits to the Epidemic Investigation Center for anti-epidemic condolences. Nanyou Community visits to the Songpingshan Community for anti-epidemic condolences. On July 14, 2022, Kangyuan actively participated in the "Caring for People's Congress Representatives and Local Enterprises" theme event organized by the Songpingshan People's Congress Representative Community Liaison Station. Visiting Songping Hut and the Anxin Station provided care for people with mental disorders.</v>
      </c>
      <c r="B5745" s="1" t="str">
        <f ca="1">IFERROR(__xludf.DUMMYFUNCTION("GOOGLETRANSLATE(A5745, ""zh"", ""en"")"),"Fighting the epidemic")</f>
        <v>Fighting the epidemic</v>
      </c>
      <c r="C5745" s="1" t="str">
        <f ca="1">IFERROR(__xludf.DUMMYFUNCTION("GOOGLETRANSLATE(E5745, ""zh"", ""en"")"),"Qualitative text")</f>
        <v>Qualitative text</v>
      </c>
    </row>
    <row r="5746" spans="1:3" ht="13" x14ac:dyDescent="0.15">
      <c r="A5746" s="1" t="str">
        <f ca="1">IFERROR(__xludf.DUMMYFUNCTION("GOOGLETRANSLATE(A5746, ""zh"", ""en"")"),"Sinopec Corporation Sinopec Corporation 7172 Corporate Governance: Strengthening Safety Lines, Addressing Climate Change, Respecting Human Rights, Talent Cultivation, Environmental Protection, and Fulfilling Social Responsibilities. Occupational Health an"&amp;"d Safety are key components of Sinopec's safety line. Sinopec strictly abides by the Work Safety Law of the People's Republic of China, the Law of the People's Republic of China on the Prevention and Control of Occupational Diseases, and other relevant la"&amp;"ws and regulations. We comprehensively strengthen employee occupational disease prevention and health management, and promote healthy physical and mental health in the workplace and in everyday life.")</f>
        <v>Sinopec Corporation Sinopec Corporation 7172 Corporate Governance: Strengthening Safety Lines, Addressing Climate Change, Respecting Human Rights, Talent Cultivation, Environmental Protection, and Fulfilling Social Responsibilities. Occupational Health and Safety are key components of Sinopec's safety line. Sinopec strictly abides by the Work Safety Law of the People's Republic of China, the Law of the People's Republic of China on the Prevention and Control of Occupational Diseases, and other relevant laws and regulations. We comprehensively strengthen employee occupational disease prevention and health management, and promote healthy physical and mental health in the workplace and in everyday life.</v>
      </c>
      <c r="B5746" s="1" t="str">
        <f ca="1">IFERROR(__xludf.DUMMYFUNCTION("GOOGLETRANSLATE(A5746, ""zh"", ""en"")"),"staff")</f>
        <v>staff</v>
      </c>
      <c r="C5746" s="1" t="str">
        <f ca="1">IFERROR(__xludf.DUMMYFUNCTION("GOOGLETRANSLATE(E5746, ""zh"", ""en"")"),"Qualitative text")</f>
        <v>Qualitative text</v>
      </c>
    </row>
    <row r="5747" spans="1:3" ht="13" x14ac:dyDescent="0.15">
      <c r="A5747" s="1" t="str">
        <f ca="1">IFERROR(__xludf.DUMMYFUNCTION("GOOGLETRANSLATE(A5747, ""zh"", ""en"")"),"Localized Employment: The localization rate of Renfu Africa employees is 10095. The localization rate of grassroots management positions is 6768. Renfu Africa's employee training system includes on-the-job training, skills training, and language training."&amp;" In February 2022, Renfu Africa hosted the 4th Renfu Africa Cup of Nations Football Friendly Match to celebrate the Chinese Lantern Festival. This event has become an annual sports event for the surrounding residents. It helps local employees quickly inte"&amp;"grate into the company and also conveys Chinese traditional culture and corporate culture to local residents, achieving a two-way integration with local culture.")</f>
        <v>Localized Employment: The localization rate of Renfu Africa employees is 10095. The localization rate of grassroots management positions is 6768. Renfu Africa's employee training system includes on-the-job training, skills training, and language training. In February 2022, Renfu Africa hosted the 4th Renfu Africa Cup of Nations Football Friendly Match to celebrate the Chinese Lantern Festival. This event has become an annual sports event for the surrounding residents. It helps local employees quickly integrate into the company and also conveys Chinese traditional culture and corporate culture to local residents, achieving a two-way integration with local culture.</v>
      </c>
      <c r="B5747" s="1" t="str">
        <f ca="1">IFERROR(__xludf.DUMMYFUNCTION("GOOGLETRANSLATE(A5747, ""zh"", ""en"")"),"Promoting employment")</f>
        <v>Promoting employment</v>
      </c>
      <c r="C5747" s="1" t="str">
        <f ca="1">IFERROR(__xludf.DUMMYFUNCTION("GOOGLETRANSLATE(E5747, ""zh"", ""en"")"),"Qualitative text")</f>
        <v>Qualitative text</v>
      </c>
    </row>
    <row r="5748" spans="1:3" ht="13" x14ac:dyDescent="0.15">
      <c r="A5748" s="1" t="str">
        <f ca="1">IFERROR(__xludf.DUMMYFUNCTION("GOOGLETRANSLATE(A5748, ""zh"", ""en"")"),"2022CorporateSocialResponsibilityReport57 Cases Scientific Diagnosis and Treatment: No Fear of Parkinson's Disease, Healthy Community Creation, Face-to-Face with Famous Doctors, Large-Scale Joint Free Clinics, Member Hospitals' Free Clinics to Strengthen "&amp;"the Grassroots Healthcare Network. While continuously strengthening its internal disciplines, Fosun Health Chengling Hospital has conducted over 200 free clinics, serving over 700,000 people. These clinics have been well-received by residents in Beijing, "&amp;"Tianjin, the Yangtze River Delta, the Greater Bay Area, Central China, Sichuan, and Chongqing.")</f>
        <v>2022CorporateSocialResponsibilityReport57 Cases Scientific Diagnosis and Treatment: No Fear of Parkinson's Disease, Healthy Community Creation, Face-to-Face with Famous Doctors, Large-Scale Joint Free Clinics, Member Hospitals' Free Clinics to Strengthen the Grassroots Healthcare Network. While continuously strengthening its internal disciplines, Fosun Health Chengling Hospital has conducted over 200 free clinics, serving over 700,000 people. These clinics have been well-received by residents in Beijing, Tianjin, the Yangtze River Delta, the Greater Bay Area, Central China, Sichuan, and Chongqing.</v>
      </c>
      <c r="B5748" s="1" t="str">
        <f ca="1">IFERROR(__xludf.DUMMYFUNCTION("GOOGLETRANSLATE(A5748, ""zh"", ""en"")"),"Public welfare and volunteer service")</f>
        <v>Public welfare and volunteer service</v>
      </c>
      <c r="C5748" s="1" t="str">
        <f ca="1">IFERROR(__xludf.DUMMYFUNCTION("GOOGLETRANSLATE(E5748, ""zh"", ""en"")"),"Quantitative Text")</f>
        <v>Quantitative Text</v>
      </c>
    </row>
    <row r="5749" spans="1:3" ht="13" x14ac:dyDescent="0.15">
      <c r="A5749" s="1" t="str">
        <f ca="1">IFERROR(__xludf.DUMMYFUNCTION("GOOGLETRANSLATE(A5749, ""zh"", ""en"")"),"Participated in the network security classification and grading inspection of industrial Internet enterprises organized by the Ministry of Industry and Information Technology under the leadership of the Economic and Technological Promotion Commission and "&amp;"was rated as a second-level enterprise. Introduced third-party security service providers for 24-hour direct monitoring of information security equipment and system status. Improved and improved the information security system. Passed the I5027001 review."&amp;" Optimized 28 management systems and 19 work guidelines. Released the data security management guidelines based on the core laws and regulations in the information security field and its own data management requirements.")</f>
        <v>Participated in the network security classification and grading inspection of industrial Internet enterprises organized by the Ministry of Industry and Information Technology under the leadership of the Economic and Technological Promotion Commission and was rated as a second-level enterprise. Introduced third-party security service providers for 24-hour direct monitoring of information security equipment and system status. Improved and improved the information security system. Passed the I5027001 review. Optimized 28 management systems and 19 work guidelines. Released the data security management guidelines based on the core laws and regulations in the information security field and its own data management requirements.</v>
      </c>
      <c r="B5749" s="1" t="str">
        <f ca="1">IFERROR(__xludf.DUMMYFUNCTION("GOOGLETRANSLATE(A5749, ""zh"", ""en"")"),"Data security")</f>
        <v>Data security</v>
      </c>
      <c r="C5749" s="1" t="str">
        <f ca="1">IFERROR(__xludf.DUMMYFUNCTION("GOOGLETRANSLATE(E5749, ""zh"", ""en"")"),"Qualitative text")</f>
        <v>Qualitative text</v>
      </c>
    </row>
    <row r="5750" spans="1:3" ht="13" x14ac:dyDescent="0.15">
      <c r="A5750" s="1" t="str">
        <f ca="1">IFERROR(__xludf.DUMMYFUNCTION("GOOGLETRANSLATE(A5750, ""zh"", ""en"")"),"Celebrate Goddess Day and empower her health series of activities. 3,844 men, 3,515 women, 1,844 under 30 years old, 5,099 over 50 years old, 376 over 50 years old, 2,315 postgraduates and above, 4,476 undergraduates, 568 associate degrees and below. Tota"&amp;"l number of employees: 7,359. Guotu Capital and its major investment enterprises have established various relief and protection mechanisms, including providing condolence money, to address employee difficulties, for employees and their families who are fa"&amp;"cing difficulties due to serious illness, accidents, children's education, etc.")</f>
        <v>Celebrate Goddess Day and empower her health series of activities. 3,844 men, 3,515 women, 1,844 under 30 years old, 5,099 over 50 years old, 376 over 50 years old, 2,315 postgraduates and above, 4,476 undergraduates, 568 associate degrees and below. Total number of employees: 7,359. Guotu Capital and its major investment enterprises have established various relief and protection mechanisms, including providing condolence money, to address employee difficulties, for employees and their families who are facing difficulties due to serious illness, accidents, children's education, etc.</v>
      </c>
      <c r="B5750" s="1" t="str">
        <f ca="1">IFERROR(__xludf.DUMMYFUNCTION("GOOGLETRANSLATE(A5750, ""zh"", ""en"")"),"staff")</f>
        <v>staff</v>
      </c>
      <c r="C5750" s="1" t="str">
        <f ca="1">IFERROR(__xludf.DUMMYFUNCTION("GOOGLETRANSLATE(E5750, ""zh"", ""en"")"),"Quantitative Text")</f>
        <v>Quantitative Text</v>
      </c>
    </row>
    <row r="5751" spans="1:3" ht="13" x14ac:dyDescent="0.15">
      <c r="A5751" s="1" t="str">
        <f ca="1">IFERROR(__xludf.DUMMYFUNCTION("GOOGLETRANSLATE(A5751, ""zh"", ""en"")"),"Regarding performance evaluation and incentive and constraint mechanisms, the Company has established and implemented the following relevant requirements: 1. In accordance with the Shanghai Stock Exchange's Self-Regulatory Guidelines No. 9, regarding dire"&amp;"ctors and the Board of Directors, the Company has strictly followed the performance evaluation standards and procedures for senior management personnel of Shanghai Fuli Pharmaceutical Group Co., Ltd. and continuously improved the incentive mechanism for s"&amp;"enior management personnel and key personnel. As of the end of the reporting period, the Company has been awarded an A-level rating for its information disclosure work in accordance with the Shanghai Stock Exchange's Self-Regulatory Guidelines No. 9.")</f>
        <v>Regarding performance evaluation and incentive and constraint mechanisms, the Company has established and implemented the following relevant requirements: 1. In accordance with the Shanghai Stock Exchange's Self-Regulatory Guidelines No. 9, regarding directors and the Board of Directors, the Company has strictly followed the performance evaluation standards and procedures for senior management personnel of Shanghai Fuli Pharmaceutical Group Co., Ltd. and continuously improved the incentive mechanism for senior management personnel and key personnel. As of the end of the reporting period, the Company has been awarded an A-level rating for its information disclosure work in accordance with the Shanghai Stock Exchange's Self-Regulatory Guidelines No. 9.</v>
      </c>
      <c r="B5751" s="1" t="str">
        <f ca="1">IFERROR(__xludf.DUMMYFUNCTION("GOOGLETRANSLATE(A5751, ""zh"", ""en"")"),"Organizational structure and operations")</f>
        <v>Organizational structure and operations</v>
      </c>
      <c r="C5751" s="1" t="str">
        <f ca="1">IFERROR(__xludf.DUMMYFUNCTION("GOOGLETRANSLATE(E5751, ""zh"", ""en"")"),"Quantitative Text")</f>
        <v>Quantitative Text</v>
      </c>
    </row>
    <row r="5752" spans="1:3" ht="13" x14ac:dyDescent="0.15">
      <c r="A5752" s="1" t="str">
        <f ca="1">IFERROR(__xludf.DUMMYFUNCTION("GOOGLETRANSLATE(A5752, ""zh"", ""en"")"),"At the same time, SDIC Anxin Futures and the People's Government of Yanchang County continued to deepen their cooperation and reached an intention to sign a strategic cooperation agreement on rural revitalization, realizing the docking and assistance of g"&amp;"rassroots party organizations. They also took this opportunity to innovate financial assistance methods, give full play to the price discovery and risk management functions of the futures market, explore new ways for the futures market to serve the develo"&amp;"pment of the agricultural industry, provide farmers and agricultural enterprises with efficient and convenient comprehensive risk management services, promote the high-quality development of the apple industry in Yanchang County, and truly serve the purpo"&amp;"se of serving agriculture, rural areas and farmers to help rural revitalization and contribute the power of futures.")</f>
        <v>At the same time, SDIC Anxin Futures and the People's Government of Yanchang County continued to deepen their cooperation and reached an intention to sign a strategic cooperation agreement on rural revitalization, realizing the docking and assistance of grassroots party organizations. They also took this opportunity to innovate financial assistance methods, give full play to the price discovery and risk management functions of the futures market, explore new ways for the futures market to serve the development of the agricultural industry, provide farmers and agricultural enterprises with efficient and convenient comprehensive risk management services, promote the high-quality development of the apple industry in Yanchang County, and truly serve the purpose of serving agriculture, rural areas and farmers to help rural revitalization and contribute the power of futures.</v>
      </c>
      <c r="B5752" s="1" t="str">
        <f ca="1">IFERROR(__xludf.DUMMYFUNCTION("GOOGLETRANSLATE(A5752, ""zh"", ""en"")"),"Rural assistance")</f>
        <v>Rural assistance</v>
      </c>
      <c r="C5752" s="1" t="str">
        <f ca="1">IFERROR(__xludf.DUMMYFUNCTION("GOOGLETRANSLATE(E5752, ""zh"", ""en"")"),"Qualitative text")</f>
        <v>Qualitative text</v>
      </c>
    </row>
    <row r="5753" spans="1:3" ht="13" x14ac:dyDescent="0.15">
      <c r="A5753" s="1" t="str">
        <f ca="1">IFERROR(__xludf.DUMMYFUNCTION("GOOGLETRANSLATE(A5753, ""zh"", ""en"")"),"Board Construction: 11 board members; 14 board meetings in 2022 to review 97 topics; 1314 China Storage Development Co., Ltd. 2022 Social Responsibility and ESG Report; Audit and Risk Management Committee held 5 meetings; Nomination Committee held 5 meeti"&amp;"ngs; Remuneration and Appraisal Committee held 3 meetings; Strategy and Investment Management Committee held 1 meeting; The company's board of directors has established four special committees: Strategy and Investment Management Committee, Remuneration an"&amp;"d Appraisal Committee, Audit and Risk Management Committee, and Nomination Committee.")</f>
        <v>Board Construction: 11 board members; 14 board meetings in 2022 to review 97 topics; 1314 China Storage Development Co., Ltd. 2022 Social Responsibility and ESG Report; Audit and Risk Management Committee held 5 meetings; Nomination Committee held 5 meetings; Remuneration and Appraisal Committee held 3 meetings; Strategy and Investment Management Committee held 1 meeting; The company's board of directors has established four special committees: Strategy and Investment Management Committee, Remuneration and Appraisal Committee, Audit and Risk Management Committee, and Nomination Committee.</v>
      </c>
      <c r="B5753" s="1" t="str">
        <f ca="1">IFERROR(__xludf.DUMMYFUNCTION("GOOGLETRANSLATE(A5753, ""zh"", ""en"")"),"Organizational structure and operations")</f>
        <v>Organizational structure and operations</v>
      </c>
      <c r="C5753" s="1" t="str">
        <f ca="1">IFERROR(__xludf.DUMMYFUNCTION("GOOGLETRANSLATE(E5753, ""zh"", ""en"")"),"Quantitative Text")</f>
        <v>Quantitative Text</v>
      </c>
    </row>
    <row r="5754" spans="1:3" ht="13" x14ac:dyDescent="0.15">
      <c r="A5754" s="1" t="str">
        <f ca="1">IFERROR(__xludf.DUMMYFUNCTION("GOOGLETRANSLATE(A5754, ""zh"", ""en"")"),"Figure 22: Chinese honey bee breeding base in Cailiang Community, Hanbin District, Ankang City. China Construction Bank Corporation 2022 Social Responsibility Report. Figure 22: Helping improve the ecological environment in Lancao Village, Ziyang County, "&amp;"and helping locals improve their food planting techniques. China Construction Bank Corporation 2022 Social Responsibility Report. Figure 23: Protecting the ecology and actively responding to climate change. China Construction Bank adheres to its vision of"&amp;" becoming a leading global bank for sustainable development and is building green finance into a new pillar of the bank's high-quality development and a new competitive advantage in the market.")</f>
        <v>Figure 22: Chinese honey bee breeding base in Cailiang Community, Hanbin District, Ankang City. China Construction Bank Corporation 2022 Social Responsibility Report. Figure 22: Helping improve the ecological environment in Lancao Village, Ziyang County, and helping locals improve their food planting techniques. China Construction Bank Corporation 2022 Social Responsibility Report. Figure 23: Protecting the ecology and actively responding to climate change. China Construction Bank adheres to its vision of becoming a leading global bank for sustainable development and is building green finance into a new pillar of the bank's high-quality development and a new competitive advantage in the market.</v>
      </c>
      <c r="B5754" s="1" t="str">
        <f ca="1">IFERROR(__xludf.DUMMYFUNCTION("GOOGLETRANSLATE(A5754, ""zh"", ""en"")"),"Addressing climate change")</f>
        <v>Addressing climate change</v>
      </c>
      <c r="C5754" s="1" t="str">
        <f ca="1">IFERROR(__xludf.DUMMYFUNCTION("GOOGLETRANSLATE(E5754, ""zh"", ""en"")"),"Qualitative text")</f>
        <v>Qualitative text</v>
      </c>
    </row>
    <row r="5755" spans="1:3" ht="13" x14ac:dyDescent="0.15">
      <c r="A5755" s="1" t="str">
        <f ca="1">IFERROR(__xludf.DUMMYFUNCTION("GOOGLETRANSLATE(A5755, ""zh"", ""en"")"),"The company strictly abides by the Trademark Law of the People's Republic of China, the Copyright Law of the People's Republic of China, the Patent Law of the People's Republic of China and other laws and regulations. It focuses on the construction of int"&amp;"ellectual property systems such as intellectual property application, intellectual property protection, R&amp;D confidentiality, intellectual property risk management, etc., increases R&amp;D investment and protects its own intellectual property rights. It uses v"&amp;"arious customer service types, such as voice customer service, new media customer service, video customer service, voice and text robots, etc. to accurately identify users' differentiated needs and fully respect the intellectual property rights of partner"&amp;"s, customers and third parties.")</f>
        <v>The company strictly abides by the Trademark Law of the People's Republic of China, the Copyright Law of the People's Republic of China, the Patent Law of the People's Republic of China and other laws and regulations. It focuses on the construction of intellectual property systems such as intellectual property application, intellectual property protection, R&amp;D confidentiality, intellectual property risk management, etc., increases R&amp;D investment and protects its own intellectual property rights. It uses various customer service types, such as voice customer service, new media customer service, video customer service, voice and text robots, etc. to accurately identify users' differentiated needs and fully respect the intellectual property rights of partners, customers and third parties.</v>
      </c>
      <c r="B5755" s="1" t="str">
        <f ca="1">IFERROR(__xludf.DUMMYFUNCTION("GOOGLETRANSLATE(A5755, ""zh"", ""en"")"),"Intellectual Property Protection")</f>
        <v>Intellectual Property Protection</v>
      </c>
      <c r="C5755" s="1" t="str">
        <f ca="1">IFERROR(__xludf.DUMMYFUNCTION("GOOGLETRANSLATE(E5755, ""zh"", ""en"")"),"Qualitative text")</f>
        <v>Qualitative text</v>
      </c>
    </row>
    <row r="5756" spans="1:3" ht="13" x14ac:dyDescent="0.15">
      <c r="A5756" s="1" t="str">
        <f ca="1">IFERROR(__xludf.DUMMYFUNCTION("GOOGLETRANSLATE(A5756, ""zh"", ""en"")"),"Faced with the large scale, wide business scope and diverse product categories of the group, Shanghai Electric further improved its supply chain planning during the reporting period. Based on the principle of relying on core enterprises to enhance supply "&amp;"chain dominance, leverage scale advantages and maximize supply chain value, it focused on online operations, bulk material procurement, industry matching and centralized procurement. By upgrading the supply chain operation platform and integrating hierarc"&amp;"hical demand, it established a new supply chain management model, further achieved supply chain cost reduction and efficiency improvement, and focused on improving supply chain collaboration capabilities while strictly controlling risks.")</f>
        <v>Faced with the large scale, wide business scope and diverse product categories of the group, Shanghai Electric further improved its supply chain planning during the reporting period. Based on the principle of relying on core enterprises to enhance supply chain dominance, leverage scale advantages and maximize supply chain value, it focused on online operations, bulk material procurement, industry matching and centralized procurement. By upgrading the supply chain operation platform and integrating hierarchical demand, it established a new supply chain management model, further achieved supply chain cost reduction and efficiency improvement, and focused on improving supply chain collaboration capabilities while strictly controlling risks.</v>
      </c>
      <c r="B5756" s="1" t="str">
        <f ca="1">IFERROR(__xludf.DUMMYFUNCTION("GOOGLETRANSLATE(A5756, ""zh"", ""en"")"),"supply chain management")</f>
        <v>supply chain management</v>
      </c>
      <c r="C5756" s="1" t="str">
        <f ca="1">IFERROR(__xludf.DUMMYFUNCTION("GOOGLETRANSLATE(E5756, ""zh"", ""en"")"),"Qualitative text")</f>
        <v>Qualitative text</v>
      </c>
    </row>
    <row r="5757" spans="1:3" ht="13" x14ac:dyDescent="0.15">
      <c r="A5757" s="1" t="str">
        <f ca="1">IFERROR(__xludf.DUMMYFUNCTION("GOOGLETRANSLATE(A5757, ""zh"", ""en"")"),"Relying on professional forces such as the East China Training Institute and the South China Training Institute, we have organized financial empowerment training programs for leading talents of small and medium-sized enterprises for three consecutive year"&amp;"s. We have designed modules such as innovation empowerment strategy, integrated financial empowerment, and co-generation and growth based on the business management needs of enterprises. We have selected and trained more than 100 outstanding small and med"&amp;"ium-sized entrepreneurs and senior managers in Inner Mongolia, Gansu, Shaanxi, Chongqing, Shenzhen, Shanghai, Xinjiang, Guangdong and other regions, promoted the improvement of the modern business management level and corporate competitiveness of small an"&amp;"d medium-sized enterprises, and explored long-term mechanisms to help finance empower the innovative development of small and medium-sized enterprises.")</f>
        <v>Relying on professional forces such as the East China Training Institute and the South China Training Institute, we have organized financial empowerment training programs for leading talents of small and medium-sized enterprises for three consecutive years. We have designed modules such as innovation empowerment strategy, integrated financial empowerment, and co-generation and growth based on the business management needs of enterprises. We have selected and trained more than 100 outstanding small and medium-sized entrepreneurs and senior managers in Inner Mongolia, Gansu, Shaanxi, Chongqing, Shenzhen, Shanghai, Xinjiang, Guangdong and other regions, promoted the improvement of the modern business management level and corporate competitiveness of small and medium-sized enterprises, and explored long-term mechanisms to help finance empower the innovative development of small and medium-sized enterprises.</v>
      </c>
      <c r="B5757" s="1" t="str">
        <f ca="1">IFERROR(__xludf.DUMMYFUNCTION("GOOGLETRANSLATE(A5757, ""zh"", ""en"")"),"staff")</f>
        <v>staff</v>
      </c>
      <c r="C5757" s="1" t="str">
        <f ca="1">IFERROR(__xludf.DUMMYFUNCTION("GOOGLETRANSLATE(E5757, ""zh"", ""en"")"),"Quantitative Text")</f>
        <v>Quantitative Text</v>
      </c>
    </row>
    <row r="5758" spans="1:3" ht="13" x14ac:dyDescent="0.15">
      <c r="A5758" s="1" t="str">
        <f ca="1">IFERROR(__xludf.DUMMYFUNCTION("GOOGLETRANSLATE(A5758, ""zh"", ""en"")"),"The company takes the implementation of the responsibility system as the starting point for its work on building a clean government. It has established a leadership group for the responsibility system for building a clean government and a coordination gro"&amp;"up for building a clean government and combating corruption. It has also formulated a series of implementation rules and work mechanism documents, continuously improving the verification and handling work. It attaches great importance to the rights and in"&amp;"terests of party members and strives to build an effective mechanism to support, protect and motivate party members and cadres to reform, innovate and take responsibility. It has held special meetings on party conduct and clean government, themed publicit"&amp;"y activities, etc., to strengthen the effectiveness of clean government construction work and enhance the integrity awareness, rules awareness and responsibility awareness of all employees.")</f>
        <v>The company takes the implementation of the responsibility system as the starting point for its work on building a clean government. It has established a leadership group for the responsibility system for building a clean government and a coordination group for building a clean government and combating corruption. It has also formulated a series of implementation rules and work mechanism documents, continuously improving the verification and handling work. It attaches great importance to the rights and interests of party members and strives to build an effective mechanism to support, protect and motivate party members and cadres to reform, innovate and take responsibility. It has held special meetings on party conduct and clean government, themed publicity activities, etc., to strengthen the effectiveness of clean government construction work and enhance the integrity awareness, rules awareness and responsibility awareness of all employees.</v>
      </c>
      <c r="B5758" s="1" t="str">
        <f ca="1">IFERROR(__xludf.DUMMYFUNCTION("GOOGLETRANSLATE(A5758, ""zh"", ""en"")"),"Anti-corruption and anti-money laundering")</f>
        <v>Anti-corruption and anti-money laundering</v>
      </c>
      <c r="C5758" s="1" t="str">
        <f ca="1">IFERROR(__xludf.DUMMYFUNCTION("GOOGLETRANSLATE(E5758, ""zh"", ""en"")"),"Qualitative text")</f>
        <v>Qualitative text</v>
      </c>
    </row>
    <row r="5759" spans="1:3" ht="13" x14ac:dyDescent="0.15">
      <c r="A5759" s="1" t="str">
        <f ca="1">IFERROR(__xludf.DUMMYFUNCTION("GOOGLETRANSLATE(A5759, ""zh"", ""en"")"),"In 2022, the company organized more than 5,000 training courses covering corporate culture, office management, professional skills, management skills, etc., achieving a domestic full TFL training program and employee training coverage of 10043 Corporate S"&amp;"ocial Responsibility Report 202244 Social Responsibility Training from front-line production employees to master craftsmen. The company established a Skilled Talent Training Committee. The company's management personally took the lead in guiding all produ"&amp;"ction bases at home and abroad.")</f>
        <v>In 2022, the company organized more than 5,000 training courses covering corporate culture, office management, professional skills, management skills, etc., achieving a domestic full TFL training program and employee training coverage of 10043 Corporate Social Responsibility Report 202244 Social Responsibility Training from front-line production employees to master craftsmen. The company established a Skilled Talent Training Committee. The company's management personally took the lead in guiding all production bases at home and abroad.</v>
      </c>
      <c r="B5759" s="1" t="str">
        <f ca="1">IFERROR(__xludf.DUMMYFUNCTION("GOOGLETRANSLATE(A5759, ""zh"", ""en"")"),"staff")</f>
        <v>staff</v>
      </c>
      <c r="C5759" s="1" t="str">
        <f ca="1">IFERROR(__xludf.DUMMYFUNCTION("GOOGLETRANSLATE(E5759, ""zh"", ""en"")"),"Quantitative Text")</f>
        <v>Quantitative Text</v>
      </c>
    </row>
    <row r="5760" spans="1:3" ht="13" x14ac:dyDescent="0.15">
      <c r="A5760" s="1" t="str">
        <f ca="1">IFERROR(__xludf.DUMMYFUNCTION("GOOGLETRANSLATE(A5760, ""zh"", ""en"")"),"In addition, Haier Smart Home has obtained dual accreditation from the world's top accreditation bodies, the United Kingdom Accreditation Service UKAS and the China National Accreditation Service for Conformity Assessment (CNAS), for the first time, indic"&amp;"ating that the company's information security management level has reached an internationally leading level.")</f>
        <v>In addition, Haier Smart Home has obtained dual accreditation from the world's top accreditation bodies, the United Kingdom Accreditation Service UKAS and the China National Accreditation Service for Conformity Assessment (CNAS), for the first time, indicating that the company's information security management level has reached an internationally leading level.</v>
      </c>
      <c r="B5760" s="1" t="str">
        <f ca="1">IFERROR(__xludf.DUMMYFUNCTION("GOOGLETRANSLATE(A5760, ""zh"", ""en"")"),"Data security")</f>
        <v>Data security</v>
      </c>
      <c r="C5760" s="1" t="str">
        <f ca="1">IFERROR(__xludf.DUMMYFUNCTION("GOOGLETRANSLATE(E5760, ""zh"", ""en"")"),"Qualitative text")</f>
        <v>Qualitative text</v>
      </c>
    </row>
    <row r="5761" spans="1:3" ht="13" x14ac:dyDescent="0.15">
      <c r="A5761" s="1" t="str">
        <f ca="1">IFERROR(__xludf.DUMMYFUNCTION("GOOGLETRANSLATE(A5761, ""zh"", ""en"")"),"Localization and Diversification Statistics on the Localization of Overseas Employees 2020-2022 Indicators 2022 2021 2020 Number of local employees employed by the company 1954 1913 1698 Percentage of local employees 716 969 COSL 2022 ESG Report 52 Caring"&amp;" for Employees COSL attaches great importance to the needs of employees in their work and life, thinks about what employees think and what employees are concerned about, carries out diversified humanistic care activities, continuously improves and enhance"&amp;"s the quality of life of employees and enhances their sense of happiness.")</f>
        <v>Localization and Diversification Statistics on the Localization of Overseas Employees 2020-2022 Indicators 2022 2021 2020 Number of local employees employed by the company 1954 1913 1698 Percentage of local employees 716 969 COSL 2022 ESG Report 52 Caring for Employees COSL attaches great importance to the needs of employees in their work and life, thinks about what employees think and what employees are concerned about, carries out diversified humanistic care activities, continuously improves and enhances the quality of life of employees and enhances their sense of happiness.</v>
      </c>
      <c r="B5761" s="1" t="str">
        <f ca="1">IFERROR(__xludf.DUMMYFUNCTION("GOOGLETRANSLATE(A5761, ""zh"", ""en"")"),"staff")</f>
        <v>staff</v>
      </c>
      <c r="C5761" s="1" t="str">
        <f ca="1">IFERROR(__xludf.DUMMYFUNCTION("GOOGLETRANSLATE(E5761, ""zh"", ""en"")"),"Quantitative Text")</f>
        <v>Quantitative Text</v>
      </c>
    </row>
    <row r="5762" spans="1:3" ht="13" x14ac:dyDescent="0.15">
      <c r="A5762" s="1" t="str">
        <f ca="1">IFERROR(__xludf.DUMMYFUNCTION("GOOGLETRANSLATE(A5762, ""zh"", ""en"")"),"We will adhere to the guidance of Xi Jinping Thought on Socialism with Chinese Characteristics for a New Era, focus on the established strategic direction, and focus on the transformation tasks of digitalization, networking, and platformization. We will c"&amp;"losely rely on all the company's cadres and employees to adhere to the general working principle of seeking progress while maintaining stability, work hard and make solid progress, and systematically promote the creation of a new situation in business ref"&amp;"orm and innovation from a new starting point, so as to achieve win-win development with our shareholders and society. Chairman's Speech: 2022 marks the beginning of a new historical stage for CMST (China Logistics Group Co., Ltd., hereinafter referred to "&amp;"as the Group).")</f>
        <v>We will adhere to the guidance of Xi Jinping Thought on Socialism with Chinese Characteristics for a New Era, focus on the established strategic direction, and focus on the transformation tasks of digitalization, networking, and platformization. We will closely rely on all the company's cadres and employees to adhere to the general working principle of seeking progress while maintaining stability, work hard and make solid progress, and systematically promote the creation of a new situation in business reform and innovation from a new starting point, so as to achieve win-win development with our shareholders and society. Chairman's Speech: 2022 marks the beginning of a new historical stage for CMST (China Logistics Group Co., Ltd., hereinafter referred to as the Group).</v>
      </c>
      <c r="B5762" s="1" t="str">
        <f ca="1">IFERROR(__xludf.DUMMYFUNCTION("GOOGLETRANSLATE(A5762, ""zh"", ""en"")"),"Organizational structure and operations")</f>
        <v>Organizational structure and operations</v>
      </c>
      <c r="C5762" s="1" t="str">
        <f ca="1">IFERROR(__xludf.DUMMYFUNCTION("GOOGLETRANSLATE(E5762, ""zh"", ""en"")"),"Qualitative text")</f>
        <v>Qualitative text</v>
      </c>
    </row>
    <row r="5763" spans="1:3" ht="13" x14ac:dyDescent="0.15">
      <c r="A5763" s="1" t="str">
        <f ca="1">IFERROR(__xludf.DUMMYFUNCTION("GOOGLETRANSLATE(A5763, ""zh"", ""en"")"),"The company strictly abides by local laws and regulations, and conducts biodiversity conservation and land use assessments in accordance with relevant requirements at every stage from project design to operation. (Cord Fabric Development Company 289.8894."&amp;"75425167814701426) Reduce the impact of production operations on the ecological environment, strengthen ecological protection, and take practical actions to promote the sustainable use of land resources. (Nylon Chemical Company 82.6498.44148.4041701776020"&amp;"8794)")</f>
        <v>The company strictly abides by local laws and regulations, and conducts biodiversity conservation and land use assessments in accordance with relevant requirements at every stage from project design to operation. (Cord Fabric Development Company 289.8894.75425167814701426) Reduce the impact of production operations on the ecological environment, strengthen ecological protection, and take practical actions to promote the sustainable use of land resources. (Nylon Chemical Company 82.6498.44148.40417017760208794)</v>
      </c>
      <c r="B5763" s="1" t="str">
        <f ca="1">IFERROR(__xludf.DUMMYFUNCTION("GOOGLETRANSLATE(A5763, ""zh"", ""en"")"),"Land use")</f>
        <v>Land use</v>
      </c>
      <c r="C5763" s="1" t="str">
        <f ca="1">IFERROR(__xludf.DUMMYFUNCTION("GOOGLETRANSLATE(E5763, ""zh"", ""en"")"),"Quantitative Text")</f>
        <v>Quantitative Text</v>
      </c>
    </row>
    <row r="5764" spans="1:3" ht="13" x14ac:dyDescent="0.15">
      <c r="A5764" s="1" t="str">
        <f ca="1">IFERROR(__xludf.DUMMYFUNCTION("GOOGLETRANSLATE(A5764, ""zh"", ""en"")"),"The Board of Directors of the Company has established strategic and stakeholder committees, including but not limited to the Audit Committee, the Nomination Committee, the Remuneration and Appraisal Committee, and the Environmental, Social and Governance "&amp;"Committee. The Company is able to fully respect the interests of shareholders, employees, customers and consumers, suppliers, and the community, and actively cooperate with them in various special training forums, professional development courses, interna"&amp;"l training, and reading of regulatory communications issued by the Exchange, as well as implementation briefs of the Listing Rules. The terms of reference and implementation rules of each professional committee have been formulated.")</f>
        <v>The Board of Directors of the Company has established strategic and stakeholder committees, including but not limited to the Audit Committee, the Nomination Committee, the Remuneration and Appraisal Committee, and the Environmental, Social and Governance Committee. The Company is able to fully respect the interests of shareholders, employees, customers and consumers, suppliers, and the community, and actively cooperate with them in various special training forums, professional development courses, internal training, and reading of regulatory communications issued by the Exchange, as well as implementation briefs of the Listing Rules. The terms of reference and implementation rules of each professional committee have been formulated.</v>
      </c>
      <c r="B5764" s="1" t="str">
        <f ca="1">IFERROR(__xludf.DUMMYFUNCTION("GOOGLETRANSLATE(A5764, ""zh"", ""en"")"),"Organizational structure and operations")</f>
        <v>Organizational structure and operations</v>
      </c>
      <c r="C5764" s="1" t="str">
        <f ca="1">IFERROR(__xludf.DUMMYFUNCTION("GOOGLETRANSLATE(E5764, ""zh"", ""en"")"),"Qualitative text")</f>
        <v>Qualitative text</v>
      </c>
    </row>
    <row r="5765" spans="1:3" ht="13" x14ac:dyDescent="0.15">
      <c r="A5765" s="1" t="str">
        <f ca="1">IFERROR(__xludf.DUMMYFUNCTION("GOOGLETRANSLATE(A5765, ""zh"", ""en"")"),"Case: Essence Qianhong is actively investing in the new energy sector. Guoqian Shijiazhuang Equity Investment Fund Center Limited Partnership, managed by Essence Securities' subsidiary Essence Qianhong, invested RMB 35 million in Shenzhen Haodian Technolo"&amp;"gy Co., Ltd., a company whose main business is the research, development, production, sales and management of binder materials for new energy vehicle lithium batteries. Guangdong Hongxin Equity Investment Partnership Limited Partnership invested RMB 20 mi"&amp;"llion in the GAC Aion project. This company has effectively facilitated the integrated development of transportation and energy for new energy vehicle manufacturers under the dual-carbon era.")</f>
        <v>Case: Essence Qianhong is actively investing in the new energy sector. Guoqian Shijiazhuang Equity Investment Fund Center Limited Partnership, managed by Essence Securities' subsidiary Essence Qianhong, invested RMB 35 million in Shenzhen Haodian Technology Co., Ltd., a company whose main business is the research, development, production, sales and management of binder materials for new energy vehicle lithium batteries. Guangdong Hongxin Equity Investment Partnership Limited Partnership invested RMB 20 million in the GAC Aion project. This company has effectively facilitated the integrated development of transportation and energy for new energy vehicle manufacturers under the dual-carbon era.</v>
      </c>
      <c r="B5765" s="1" t="str">
        <f ca="1">IFERROR(__xludf.DUMMYFUNCTION("GOOGLETRANSLATE(A5765, ""zh"", ""en"")"),"Energy and resource consumption")</f>
        <v>Energy and resource consumption</v>
      </c>
      <c r="C5765" s="1" t="str">
        <f ca="1">IFERROR(__xludf.DUMMYFUNCTION("GOOGLETRANSLATE(E5765, ""zh"", ""en"")"),"Quantitative Text")</f>
        <v>Quantitative Text</v>
      </c>
    </row>
    <row r="5766" spans="1:3" ht="13" x14ac:dyDescent="0.15">
      <c r="A5766" s="1" t="str">
        <f ca="1">IFERROR(__xludf.DUMMYFUNCTION("GOOGLETRANSLATE(A5766, ""zh"", ""en"")"),"In terms of production process quality control, we continue to carry out process 5M1E stability research and management, use tools such as MSAPPAP to implement supplier parts introduction and process capability analysis and improvement, monitor key proces"&amp;"s quality fluctuations in real time through SPC, discover quality risks in the process through special inspection, self-inspection and mutual inspection, and record quality defects in the production process in real time through the MES information system,"&amp;" implement quality improvement with the help of SDCA methods, strictly implement the quality problem alarm and shutdown system to ensure that no flow, no transmission, and no outflow")</f>
        <v>In terms of production process quality control, we continue to carry out process 5M1E stability research and management, use tools such as MSAPPAP to implement supplier parts introduction and process capability analysis and improvement, monitor key process quality fluctuations in real time through SPC, discover quality risks in the process through special inspection, self-inspection and mutual inspection, and record quality defects in the production process in real time through the MES information system, implement quality improvement with the help of SDCA methods, strictly implement the quality problem alarm and shutdown system to ensure that no flow, no transmission, and no outflow</v>
      </c>
      <c r="B5766" s="1" t="str">
        <f ca="1">IFERROR(__xludf.DUMMYFUNCTION("GOOGLETRANSLATE(A5766, ""zh"", ""en"")"),"Product quality")</f>
        <v>Product quality</v>
      </c>
      <c r="C5766" s="1" t="str">
        <f ca="1">IFERROR(__xludf.DUMMYFUNCTION("GOOGLETRANSLATE(E5766, ""zh"", ""en"")"),"Qualitative text")</f>
        <v>Qualitative text</v>
      </c>
    </row>
    <row r="5767" spans="1:3" ht="13" x14ac:dyDescent="0.15">
      <c r="A5767" s="1" t="str">
        <f ca="1">IFERROR(__xludf.DUMMYFUNCTION("GOOGLETRANSLATE(A5767, ""zh"", ""en"")"),"Organize employees to study the relevant contents of the Occupational Disease Prevention and Control Law. The company's health and safety activities in 2022 have been carried out. More than 9,000 theme propaganda activities have been carried out. More tha"&amp;"n 30,000 propaganda slogans have been produced. More than 6,000 consultation activities have been carried out. More than 30,000 propaganda personnel have been dispatched and 500,000 people have been reached. Improve the system audit rules, strengthen the "&amp;"audit qualification training, promote the digital management of occupational health, and implement occupational health publicity and training. Set two indicators of new occupational disease and non-productive death as the company's HSE committee monitorin"&amp;"g indicators.")</f>
        <v>Organize employees to study the relevant contents of the Occupational Disease Prevention and Control Law. The company's health and safety activities in 2022 have been carried out. More than 9,000 theme propaganda activities have been carried out. More than 30,000 propaganda slogans have been produced. More than 6,000 consultation activities have been carried out. More than 30,000 propaganda personnel have been dispatched and 500,000 people have been reached. Improve the system audit rules, strengthen the audit qualification training, promote the digital management of occupational health, and implement occupational health publicity and training. Set two indicators of new occupational disease and non-productive death as the company's HSE committee monitoring indicators.</v>
      </c>
      <c r="B5767" s="1" t="str">
        <f ca="1">IFERROR(__xludf.DUMMYFUNCTION("GOOGLETRANSLATE(A5767, ""zh"", ""en"")"),"staff")</f>
        <v>staff</v>
      </c>
      <c r="C5767" s="1" t="str">
        <f ca="1">IFERROR(__xludf.DUMMYFUNCTION("GOOGLETRANSLATE(E5767, ""zh"", ""en"")"),"Quantitative Text")</f>
        <v>Quantitative Text</v>
      </c>
    </row>
    <row r="5768" spans="1:3" ht="13" x14ac:dyDescent="0.15">
      <c r="A5768" s="1" t="str">
        <f ca="1">IFERROR(__xludf.DUMMYFUNCTION("GOOGLETRANSLATE(A5768, ""zh"", ""en"")"),"0203040506 Protecting the Planet, Exploring a Green and Low-Carbon Future, Integrating People and Goals, Promoting Diversified and Inclusive Development, Responsible Procurement, Building a Sustainable Supply Chain, Intelligent Experiences, Leading a Bett"&amp;"er Life, Uniting Hearts and Souls, and Promoting Equitable Development. 01 Global Collaboration, Sustainable Governance Ecosystem 6160 Haier Smart Home Co., Ltd. Environmental, Social and Governance Report We focus on the safety of stakeholders within the"&amp;" park. We have established a management system with 9 mandatory construction safety controls and 18 construction safety control items, clarifying the responsibilities of the construction unit, factory, interface department, and safety department.")</f>
        <v>0203040506 Protecting the Planet, Exploring a Green and Low-Carbon Future, Integrating People and Goals, Promoting Diversified and Inclusive Development, Responsible Procurement, Building a Sustainable Supply Chain, Intelligent Experiences, Leading a Better Life, Uniting Hearts and Souls, and Promoting Equitable Development. 01 Global Collaboration, Sustainable Governance Ecosystem 6160 Haier Smart Home Co., Ltd. Environmental, Social and Governance Report We focus on the safety of stakeholders within the park. We have established a management system with 9 mandatory construction safety controls and 18 construction safety control items, clarifying the responsibilities of the construction unit, factory, interface department, and safety department.</v>
      </c>
      <c r="B5768" s="1" t="str">
        <f ca="1">IFERROR(__xludf.DUMMYFUNCTION("GOOGLETRANSLATE(A5768, ""zh"", ""en"")"),"staff")</f>
        <v>staff</v>
      </c>
      <c r="C5768" s="1" t="str">
        <f ca="1">IFERROR(__xludf.DUMMYFUNCTION("GOOGLETRANSLATE(E5768, ""zh"", ""en"")"),"Qualitative text")</f>
        <v>Qualitative text</v>
      </c>
    </row>
    <row r="5769" spans="1:3" ht="13" x14ac:dyDescent="0.15">
      <c r="A5769" s="1" t="str">
        <f ca="1">IFERROR(__xludf.DUMMYFUNCTION("GOOGLETRANSLATE(A5769, ""zh"", ""en"")"),"Environmental Responsibility, Social Responsibility, and Corporate Governance - Managing Key ESG Risks in Business Activities 1. ESG Risk Management 2. ESG Due Diligence CITIC Securities has gradually incorporated ESG factors into its comprehensive risk m"&amp;"anagement system. Based on this comprehensive risk management framework, through assessment, measurement, monitoring, response, and reporting, we continuously strengthen the proactive, in-process, and post-event control and management of ESG-related risks"&amp;" at both the corporate and business levels, thereby further improving the effectiveness of the company's non-financial risk control and promoting its long-term sustainable development.")</f>
        <v>Environmental Responsibility, Social Responsibility, and Corporate Governance - Managing Key ESG Risks in Business Activities 1. ESG Risk Management 2. ESG Due Diligence CITIC Securities has gradually incorporated ESG factors into its comprehensive risk management system. Based on this comprehensive risk management framework, through assessment, measurement, monitoring, response, and reporting, we continuously strengthen the proactive, in-process, and post-event control and management of ESG-related risks at both the corporate and business levels, thereby further improving the effectiveness of the company's non-financial risk control and promoting its long-term sustainable development.</v>
      </c>
      <c r="B5769" s="1" t="str">
        <f ca="1">IFERROR(__xludf.DUMMYFUNCTION("GOOGLETRANSLATE(A5769, ""zh"", ""en"")"),"Organizational structure and operations")</f>
        <v>Organizational structure and operations</v>
      </c>
      <c r="C5769" s="1" t="str">
        <f ca="1">IFERROR(__xludf.DUMMYFUNCTION("GOOGLETRANSLATE(E5769, ""zh"", ""en"")"),"Qualitative text")</f>
        <v>Qualitative text</v>
      </c>
    </row>
    <row r="5770" spans="1:3" ht="13" x14ac:dyDescent="0.15">
      <c r="A5770" s="1" t="str">
        <f ca="1">IFERROR(__xludf.DUMMYFUNCTION("GOOGLETRANSLATE(A5770, ""zh"", ""en"")"),"5. Stakeholder Engagement 229 Stakeholder Engagement Methods P6230 Collective Bargaining Agreement Union Coverage 100 About This Report Chairman's Statement Statement of the Board About Haier Smart Home Appendix 9392 Haier Smart Home Co., Ltd. Environment"&amp;"al, Social and Governance Report Disclosure Item Content Index GRI 201 Economic Performance 2016 2011 Directly Generated and Distributed Economic Value For operation-related financial information, please refer to the 2022 Annual Report. Other information "&amp;"is subject to confidentiality requirements and we will not report it.")</f>
        <v>5. Stakeholder Engagement 229 Stakeholder Engagement Methods P6230 Collective Bargaining Agreement Union Coverage 100 About This Report Chairman's Statement Statement of the Board About Haier Smart Home Appendix 9392 Haier Smart Home Co., Ltd. Environmental, Social and Governance Report Disclosure Item Content Index GRI 201 Economic Performance 2016 2011 Directly Generated and Distributed Economic Value For operation-related financial information, please refer to the 2022 Annual Report. Other information is subject to confidentiality requirements and we will not report it.</v>
      </c>
      <c r="B5770" s="1" t="str">
        <f ca="1">IFERROR(__xludf.DUMMYFUNCTION("GOOGLETRANSLATE(A5770, ""zh"", ""en"")"),"Organizational structure and operations")</f>
        <v>Organizational structure and operations</v>
      </c>
      <c r="C5770" s="1" t="str">
        <f ca="1">IFERROR(__xludf.DUMMYFUNCTION("GOOGLETRANSLATE(E5770, ""zh"", ""en"")"),"Quantitative Text")</f>
        <v>Quantitative Text</v>
      </c>
    </row>
    <row r="5771" spans="1:3" ht="13" x14ac:dyDescent="0.15">
      <c r="A5771" s="1" t="str">
        <f ca="1">IFERROR(__xludf.DUMMYFUNCTION("GOOGLETRANSLATE(A5771, ""zh"", ""en"")"),"The disciplinary committee should also play its corrective and disciplinary role. In 2022, due to violations of relevant anti-corruption regulations, 5 companies have been punished by terminating the labor contracts of 6 employees suspected of crime. 6 em"&amp;"ployees were mishandled and the main leaders directly responsible were punished with warnings and other disciplinary sanctions. 7 people were held accountable for violating criminal laws. The anti-corruption force has been strengthened. At the same time, "&amp;"criminal enforcement measures have been taken against them. Through case investigations, potential risks have been effectively prevented and major losses to the company have been avoided.")</f>
        <v>The disciplinary committee should also play its corrective and disciplinary role. In 2022, due to violations of relevant anti-corruption regulations, 5 companies have been punished by terminating the labor contracts of 6 employees suspected of crime. 6 employees were mishandled and the main leaders directly responsible were punished with warnings and other disciplinary sanctions. 7 people were held accountable for violating criminal laws. The anti-corruption force has been strengthened. At the same time, criminal enforcement measures have been taken against them. Through case investigations, potential risks have been effectively prevented and major losses to the company have been avoided.</v>
      </c>
      <c r="B5771" s="1" t="str">
        <f ca="1">IFERROR(__xludf.DUMMYFUNCTION("GOOGLETRANSLATE(A5771, ""zh"", ""en"")"),"Anti-corruption and anti-money laundering")</f>
        <v>Anti-corruption and anti-money laundering</v>
      </c>
      <c r="C5771" s="1" t="str">
        <f ca="1">IFERROR(__xludf.DUMMYFUNCTION("GOOGLETRANSLATE(E5771, ""zh"", ""en"")"),"Quantitative Text")</f>
        <v>Quantitative Text</v>
      </c>
    </row>
    <row r="5772" spans="1:3" ht="13" x14ac:dyDescent="0.15">
      <c r="A5772" s="1" t="str">
        <f ca="1">IFERROR(__xludf.DUMMYFUNCTION("GOOGLETRANSLATE(A5772, ""zh"", ""en"")"),"FOSUNPHARMA 2022 Corporate Social Responsibility Report Key Performance In 2022 R&amp;D investment in 2022: RMB 5.885 billion, a year-on-year increase of 18.22% Operating revenue in 2022: RMB 43.952 billion, a year-on-year increase of 12.66% Innovative drugs "&amp;"under development by the end of 2022")</f>
        <v>FOSUNPHARMA 2022 Corporate Social Responsibility Report Key Performance In 2022 R&amp;D investment in 2022: RMB 5.885 billion, a year-on-year increase of 18.22% Operating revenue in 2022: RMB 43.952 billion, a year-on-year increase of 12.66% Innovative drugs under development by the end of 2022</v>
      </c>
      <c r="B5772" s="1" t="str">
        <f ca="1">IFERROR(__xludf.DUMMYFUNCTION("GOOGLETRANSLATE(A5772, ""zh"", ""en"")"),"Technological innovation")</f>
        <v>Technological innovation</v>
      </c>
      <c r="C5772" s="1" t="str">
        <f ca="1">IFERROR(__xludf.DUMMYFUNCTION("GOOGLETRANSLATE(E5772, ""zh"", ""en"")"),"Quantitative Text")</f>
        <v>Quantitative Text</v>
      </c>
    </row>
    <row r="5773" spans="1:3" ht="13" x14ac:dyDescent="0.15">
      <c r="A5773" s="1" t="str">
        <f ca="1">IFERROR(__xludf.DUMMYFUNCTION("GOOGLETRANSLATE(A5773, ""zh"", ""en"")"),"Strengthen Party building, ESG management, risk management, compliance, and anti-fraud efforts; technological innovation, quality management, and high-quality services; oil and gas reserve and production growth; safe production and occupational health; ad"&amp;"dress climate change; energy conservation and emission reduction; supply chain management; employee rights protection; professional development; employee care; biodiversity protection; rural revitalization; maritime rescue and volunteer services; and over"&amp;"seas responsibilities. The company actively identifies, evaluates, and screens ESG issues through questionnaires, identifies responsibility issues of high concern to the company and stakeholders, and highlights and addresses them in the report.")</f>
        <v>Strengthen Party building, ESG management, risk management, compliance, and anti-fraud efforts; technological innovation, quality management, and high-quality services; oil and gas reserve and production growth; safe production and occupational health; address climate change; energy conservation and emission reduction; supply chain management; employee rights protection; professional development; employee care; biodiversity protection; rural revitalization; maritime rescue and volunteer services; and overseas responsibilities. The company actively identifies, evaluates, and screens ESG issues through questionnaires, identifies responsibility issues of high concern to the company and stakeholders, and highlights and addresses them in the report.</v>
      </c>
      <c r="B5773" s="1" t="str">
        <f ca="1">IFERROR(__xludf.DUMMYFUNCTION("GOOGLETRANSLATE(A5773, ""zh"", ""en"")"),"Information Disclosure and Investor Communication")</f>
        <v>Information Disclosure and Investor Communication</v>
      </c>
      <c r="C5773" s="1" t="str">
        <f ca="1">IFERROR(__xludf.DUMMYFUNCTION("GOOGLETRANSLATE(E5773, ""zh"", ""en"")"),"Qualitative text")</f>
        <v>Qualitative text</v>
      </c>
    </row>
    <row r="5774" spans="1:3" ht="13" x14ac:dyDescent="0.15">
      <c r="A5774" s="1" t="str">
        <f ca="1">IFERROR(__xludf.DUMMYFUNCTION("GOOGLETRANSLATE(A5774, ""zh"", ""en"")"),"The company continuously deepens its working mechanism of pre-emptive prevention, in-process supervision and post-event inspection. When reviewing commercial contracts, it refuses to include clauses that violate fair competition and opposes price monopoly"&amp;" clauses. After signing a contract, the company conducts a comprehensive inspection to investigate any violations of the company's principles. The company always adopts a zero-tolerance attitude and resolutely punishes corruption strictly. It continues to"&amp;" maintain a high-pressure anti-corruption stance and strictly prohibits employees from asking for or accepting any benefits or advantages from customers, suppliers, competitors, subsidiaries, colleagues or other business partners in any name or form durin"&amp;"g the performance of their duties.")</f>
        <v>The company continuously deepens its working mechanism of pre-emptive prevention, in-process supervision and post-event inspection. When reviewing commercial contracts, it refuses to include clauses that violate fair competition and opposes price monopoly clauses. After signing a contract, the company conducts a comprehensive inspection to investigate any violations of the company's principles. The company always adopts a zero-tolerance attitude and resolutely punishes corruption strictly. It continues to maintain a high-pressure anti-corruption stance and strictly prohibits employees from asking for or accepting any benefits or advantages from customers, suppliers, competitors, subsidiaries, colleagues or other business partners in any name or form during the performance of their duties.</v>
      </c>
      <c r="B5774" s="1" t="str">
        <f ca="1">IFERROR(__xludf.DUMMYFUNCTION("GOOGLETRANSLATE(A5774, ""zh"", ""en"")"),"Anti-corruption and anti-money laundering")</f>
        <v>Anti-corruption and anti-money laundering</v>
      </c>
      <c r="C5774" s="1" t="str">
        <f ca="1">IFERROR(__xludf.DUMMYFUNCTION("GOOGLETRANSLATE(E5774, ""zh"", ""en"")"),"Qualitative text")</f>
        <v>Qualitative text</v>
      </c>
    </row>
    <row r="5775" spans="1:3" ht="13" x14ac:dyDescent="0.15">
      <c r="A5775" s="1" t="str">
        <f ca="1">IFERROR(__xludf.DUMMYFUNCTION("GOOGLETRANSLATE(A5775, ""zh"", ""en"")"),"Creating a positive atmosphere of respecting and cherishing talents, Shanghai Electric Group Co., Ltd. was commended for its 117 Ankang Cup Competition. In recent years, all relevant units of Shanghai Electric have implemented various decisions and deploy"&amp;"ments of the state and Shanghai on production safety, closely focusing on the theme of strengthening awareness, investigating hidden dangers, promoting development, and ensuring safety. They have earnestly organized employees to carry out mass hazard inve"&amp;"stigation, occupational health protection, and safety culture education activities, continuously enriching the content and forms of competition activities, and continuously promoting the company's production safety and the labor protection work of the tra"&amp;"de union, achieving continuous innovation and development.")</f>
        <v>Creating a positive atmosphere of respecting and cherishing talents, Shanghai Electric Group Co., Ltd. was commended for its 117 Ankang Cup Competition. In recent years, all relevant units of Shanghai Electric have implemented various decisions and deployments of the state and Shanghai on production safety, closely focusing on the theme of strengthening awareness, investigating hidden dangers, promoting development, and ensuring safety. They have earnestly organized employees to carry out mass hazard investigation, occupational health protection, and safety culture education activities, continuously enriching the content and forms of competition activities, and continuously promoting the company's production safety and the labor protection work of the trade union, achieving continuous innovation and development.</v>
      </c>
      <c r="B5775" s="1" t="str">
        <f ca="1">IFERROR(__xludf.DUMMYFUNCTION("GOOGLETRANSLATE(A5775, ""zh"", ""en"")"),"staff")</f>
        <v>staff</v>
      </c>
      <c r="C5775" s="1" t="str">
        <f ca="1">IFERROR(__xludf.DUMMYFUNCTION("GOOGLETRANSLATE(E5775, ""zh"", ""en"")"),"Qualitative text")</f>
        <v>Qualitative text</v>
      </c>
    </row>
    <row r="5776" spans="1:3" ht="13" x14ac:dyDescent="0.15">
      <c r="A5776" s="1" t="str">
        <f ca="1">IFERROR(__xludf.DUMMYFUNCTION("GOOGLETRANSLATE(A5776, ""zh"", ""en"")"),"35CorporateSocialResponsibityReport202236Social ResponsibilityEmployee Development and SafetyEmployee Diversity IndicatorsRespecting people is the core of Hisense's corporate spirit. We adhere to the people-oriented philosophy and continuously focus on th"&amp;"e growth and development of our employees. We are committed to creating an equal and respectful workplace environment that is inclusive and diverse, providing more opportunities for employees and stimulating their vitality, striving to achieve the unity o"&amp;"f company development and employee self-worth.")</f>
        <v>35CorporateSocialResponsibityReport202236Social ResponsibilityEmployee Development and SafetyEmployee Diversity IndicatorsRespecting people is the core of Hisense's corporate spirit. We adhere to the people-oriented philosophy and continuously focus on the growth and development of our employees. We are committed to creating an equal and respectful workplace environment that is inclusive and diverse, providing more opportunities for employees and stimulating their vitality, striving to achieve the unity of company development and employee self-worth.</v>
      </c>
      <c r="B5776" s="1" t="str">
        <f ca="1">IFERROR(__xludf.DUMMYFUNCTION("GOOGLETRANSLATE(A5776, ""zh"", ""en"")"),"staff")</f>
        <v>staff</v>
      </c>
      <c r="C5776" s="1" t="str">
        <f ca="1">IFERROR(__xludf.DUMMYFUNCTION("GOOGLETRANSLATE(E5776, ""zh"", ""en"")"),"Qualitative text")</f>
        <v>Qualitative text</v>
      </c>
    </row>
    <row r="5777" spans="1:3" ht="13" x14ac:dyDescent="0.15">
      <c r="A5777" s="1" t="str">
        <f ca="1">IFERROR(__xludf.DUMMYFUNCTION("GOOGLETRANSLATE(A5777, ""zh"", ""en"")"),"During the reporting period, the company further improved its supplier compliance management by revising its procurement management system, actively promoted supplier standardization and regularization to promote the standardization of the company's manag"&amp;"ement process, and continued to promote lean management of suppliers to reduce costs and improve efficiency through lean design, lean production and lean quality management. It supervised the management and review of suppliers and required suppliers to im"&amp;"prove their quality management systems in accordance with the Veterinary Pharmacopoeia and Veterinary Drug Quality Management System. It promoted suppliers to implement full-staff quality management and full-staff equipment management to ensure continuous"&amp;" improvement of overall quality.")</f>
        <v>During the reporting period, the company further improved its supplier compliance management by revising its procurement management system, actively promoted supplier standardization and regularization to promote the standardization of the company's management process, and continued to promote lean management of suppliers to reduce costs and improve efficiency through lean design, lean production and lean quality management. It supervised the management and review of suppliers and required suppliers to improve their quality management systems in accordance with the Veterinary Pharmacopoeia and Veterinary Drug Quality Management System. It promoted suppliers to implement full-staff quality management and full-staff equipment management to ensure continuous improvement of overall quality.</v>
      </c>
      <c r="B5777" s="1" t="str">
        <f ca="1">IFERROR(__xludf.DUMMYFUNCTION("GOOGLETRANSLATE(A5777, ""zh"", ""en"")"),"supply chain management")</f>
        <v>supply chain management</v>
      </c>
      <c r="C5777" s="1" t="str">
        <f ca="1">IFERROR(__xludf.DUMMYFUNCTION("GOOGLETRANSLATE(E5777, ""zh"", ""en"")"),"Qualitative text")</f>
        <v>Qualitative text</v>
      </c>
    </row>
    <row r="5778" spans="1:3" ht="13" x14ac:dyDescent="0.15">
      <c r="A5778" s="1" t="str">
        <f ca="1">IFERROR(__xludf.DUMMYFUNCTION("GOOGLETRANSLATE(A5778, ""zh"", ""en"")"),"Actively implement the requirements of the atmospheric pollutant emission standards for oil storage depots to conduct hidden danger inspections on oil depots. In 2022, a total of 86 oil depots completed the environmental protection hidden danger treatment"&amp;" of railway closed loading and unloading. In accordance with the requirements of the volatile organic compound unorganized emission standards, LDAR inspections were carried out on 137 oil depots. All leak points were detected and repaired in 2022. Statist"&amp;"ical analysis was conducted on the operation of key equipment such as the vacuum pump, refueling gun, and oil and gas recovery and processing device of the oil and gas recovery system. Optimize equipment selection and improve the stable compliance capabil"&amp;"ity of the oil and gas recovery system of gas stations.")</f>
        <v>Actively implement the requirements of the atmospheric pollutant emission standards for oil storage depots to conduct hidden danger inspections on oil depots. In 2022, a total of 86 oil depots completed the environmental protection hidden danger treatment of railway closed loading and unloading. In accordance with the requirements of the volatile organic compound unorganized emission standards, LDAR inspections were carried out on 137 oil depots. All leak points were detected and repaired in 2022. Statistical analysis was conducted on the operation of key equipment such as the vacuum pump, refueling gun, and oil and gas recovery and processing device of the oil and gas recovery system. Optimize equipment selection and improve the stable compliance capability of the oil and gas recovery system of gas stations.</v>
      </c>
      <c r="B5778" s="1" t="str">
        <f ca="1">IFERROR(__xludf.DUMMYFUNCTION("GOOGLETRANSLATE(A5778, ""zh"", ""en"")"),"Waste Management")</f>
        <v>Waste Management</v>
      </c>
      <c r="C5778" s="1" t="str">
        <f ca="1">IFERROR(__xludf.DUMMYFUNCTION("GOOGLETRANSLATE(E5778, ""zh"", ""en"")"),"Quantitative Text")</f>
        <v>Quantitative Text</v>
      </c>
    </row>
    <row r="5779" spans="1:3" ht="13" x14ac:dyDescent="0.15">
      <c r="A5779" s="1" t="str">
        <f ca="1">IFERROR(__xludf.DUMMYFUNCTION("GOOGLETRANSLATE(A5779, ""zh"", ""en"")"),"Number of employee deaths due to work-related causes in 2020 Number of employee deaths due to work-related causes in 2021 Number of employee deaths due to work-related causes in 2022 Work-related fatality ratio in 2020 Work-related fatality ratio in 2021 "&amp;"Work-related fatality ratio in 2022 Number of workdays lost due to work-related injuries by gender Percentage of male employees trained Percentage of female employees trained Note 1: Employee turnover rate refers to the rate of voluntary employee resignat"&amp;"ions, excluding terminations of employment due to dismissal, retirement, or death.")</f>
        <v>Number of employee deaths due to work-related causes in 2020 Number of employee deaths due to work-related causes in 2021 Number of employee deaths due to work-related causes in 2022 Work-related fatality ratio in 2020 Work-related fatality ratio in 2021 Work-related fatality ratio in 2022 Number of workdays lost due to work-related injuries by gender Percentage of male employees trained Percentage of female employees trained Note 1: Employee turnover rate refers to the rate of voluntary employee resignations, excluding terminations of employment due to dismissal, retirement, or death.</v>
      </c>
      <c r="B5779" s="1" t="str">
        <f ca="1">IFERROR(__xludf.DUMMYFUNCTION("GOOGLETRANSLATE(A5779, ""zh"", ""en"")"),"staff")</f>
        <v>staff</v>
      </c>
      <c r="C5779" s="1" t="str">
        <f ca="1">IFERROR(__xludf.DUMMYFUNCTION("GOOGLETRANSLATE(E5779, ""zh"", ""en"")"),"Qualitative text")</f>
        <v>Qualitative text</v>
      </c>
    </row>
    <row r="5780" spans="1:3" ht="13" x14ac:dyDescent="0.15">
      <c r="A5780" s="1" t="str">
        <f ca="1">IFERROR(__xludf.DUMMYFUNCTION("GOOGLETRANSLATE(A5780, ""zh"", ""en"")"),"The percentage of employees participating in training at the second-tier branch level, bank level, first-tier branch level, and head office level is disclosed in the CCB Social Responsibility Report. It refers to the percentage of employees participating "&amp;"in online and offline training across the entire CCB, excluding domestic and overseas subsidiaries. The statistical scope of the number of participants in online training at the second-tier branch level, bank level, first-tier branch level, and head offic"&amp;"e level is the number of employees at level 6 and 7 who participated in online training across the entire CCB, excluding domestic and overseas subsidiaries.")</f>
        <v>The percentage of employees participating in training at the second-tier branch level, bank level, first-tier branch level, and head office level is disclosed in the CCB Social Responsibility Report. It refers to the percentage of employees participating in online and offline training across the entire CCB, excluding domestic and overseas subsidiaries. The statistical scope of the number of participants in online training at the second-tier branch level, bank level, first-tier branch level, and head office level is the number of employees at level 6 and 7 who participated in online training across the entire CCB, excluding domestic and overseas subsidiaries.</v>
      </c>
      <c r="B5780" s="1" t="str">
        <f ca="1">IFERROR(__xludf.DUMMYFUNCTION("GOOGLETRANSLATE(A5780, ""zh"", ""en"")"),"staff")</f>
        <v>staff</v>
      </c>
      <c r="C5780" s="1" t="str">
        <f ca="1">IFERROR(__xludf.DUMMYFUNCTION("GOOGLETRANSLATE(E5780, ""zh"", ""en"")"),"Quantitative Text")</f>
        <v>Quantitative Text</v>
      </c>
    </row>
    <row r="5781" spans="1:3" ht="13" x14ac:dyDescent="0.15">
      <c r="A5781" s="1" t="str">
        <f ca="1">IFERROR(__xludf.DUMMYFUNCTION("GOOGLETRANSLATE(A5781, ""zh"", ""en"")"),"The Product Management Committee, Procurement Management Committee and Supply Chain Management Committee were established to promote management changes. At the same time, in order to implement management and support the realization of independent products"&amp;" and independent markets, the company has built up the organizational structure and management capabilities of the middle and back-end. The focus includes the establishment of an integrated product development process (IPD), an integrated supply chain man"&amp;"agement process (ISCM), the transformation of the manufacturing system into a cost center, a flexible customized production model (ETO), strategic suppliers and strategic procurement management processes, and an intelligent manufacturing center including "&amp;"industrialization technology and digital workshops.")</f>
        <v>The Product Management Committee, Procurement Management Committee and Supply Chain Management Committee were established to promote management changes. At the same time, in order to implement management and support the realization of independent products and independent markets, the company has built up the organizational structure and management capabilities of the middle and back-end. The focus includes the establishment of an integrated product development process (IPD), an integrated supply chain management process (ISCM), the transformation of the manufacturing system into a cost center, a flexible customized production model (ETO), strategic suppliers and strategic procurement management processes, and an intelligent manufacturing center including industrialization technology and digital workshops.</v>
      </c>
      <c r="B5781" s="1" t="str">
        <f ca="1">IFERROR(__xludf.DUMMYFUNCTION("GOOGLETRANSLATE(A5781, ""zh"", ""en"")"),"Organizational structure and operations")</f>
        <v>Organizational structure and operations</v>
      </c>
      <c r="C5781" s="1" t="str">
        <f ca="1">IFERROR(__xludf.DUMMYFUNCTION("GOOGLETRANSLATE(E5781, ""zh"", ""en"")"),"Qualitative text")</f>
        <v>Qualitative text</v>
      </c>
    </row>
    <row r="5782" spans="1:3" ht="13" x14ac:dyDescent="0.15">
      <c r="A5782" s="1" t="str">
        <f ca="1">IFERROR(__xludf.DUMMYFUNCTION("GOOGLETRANSLATE(A5782, ""zh"", ""en"")"),"Minority employees: 640 Employee composition indicators: Compliance employment indicators: Name: Classification: Unit: 2022 The company strictly abides by the Universal Declaration of Human Rights, International Labor Organization Conventions, Labor Contr"&amp;"act Law of the People's Republic of China and other international conventions on labor rights and interests. Total number of employees: 16,043 Documents: During the reporting period, the Labor Contract Management Measures, Leave Management Measures, Socia"&amp;"l Recruitment Management Measures, Frontline Employee Recruitment Management Office, Male Employees: 9,280 Laws: Respect and protect the legitimate rights and interests of employees and build harmonious labor relations.")</f>
        <v>Minority employees: 640 Employee composition indicators: Compliance employment indicators: Name: Classification: Unit: 2022 The company strictly abides by the Universal Declaration of Human Rights, International Labor Organization Conventions, Labor Contract Law of the People's Republic of China and other international conventions on labor rights and interests. Total number of employees: 16,043 Documents: During the reporting period, the Labor Contract Management Measures, Leave Management Measures, Social Recruitment Management Measures, Frontline Employee Recruitment Management Office, Male Employees: 9,280 Laws: Respect and protect the legitimate rights and interests of employees and build harmonious labor relations.</v>
      </c>
      <c r="B5782" s="1" t="str">
        <f ca="1">IFERROR(__xludf.DUMMYFUNCTION("GOOGLETRANSLATE(A5782, ""zh"", ""en"")"),"staff")</f>
        <v>staff</v>
      </c>
      <c r="C5782" s="1" t="str">
        <f ca="1">IFERROR(__xludf.DUMMYFUNCTION("GOOGLETRANSLATE(E5782, ""zh"", ""en"")"),"Quantitative Text")</f>
        <v>Quantitative Text</v>
      </c>
    </row>
    <row r="5783" spans="1:3" ht="13" x14ac:dyDescent="0.15">
      <c r="A5783" s="1" t="str">
        <f ca="1">IFERROR(__xludf.DUMMYFUNCTION("GOOGLETRANSLATE(A5783, ""zh"", ""en"")"),"In terms of quality control (QC) management, Keben Pharmaceuticals has increased the statistics of daily test data, effectively reduced the number of tests, improved test efficiency, strengthened test planning, increased equipment utilization efficiency, "&amp;"and strengthened QC compliance management. They completed the submission of TAF registration materials, obtained production license Class B certificates, and performed on-site audit tracking of the entrusted party as the MAH. They also implemented registr"&amp;"ation inspection and submission, etc. They also issued a supplementary application for the domestic registration of sofosbuvir, conducted re-process validation for the registration process extension, replaced the air conditioning system, efficiently reval"&amp;"idated the cleaning validation, and conducted registration inspection and submission, etc.")</f>
        <v>In terms of quality control (QC) management, Keben Pharmaceuticals has increased the statistics of daily test data, effectively reduced the number of tests, improved test efficiency, strengthened test planning, increased equipment utilization efficiency, and strengthened QC compliance management. They completed the submission of TAF registration materials, obtained production license Class B certificates, and performed on-site audit tracking of the entrusted party as the MAH. They also implemented registration inspection and submission, etc. They also issued a supplementary application for the domestic registration of sofosbuvir, conducted re-process validation for the registration process extension, replaced the air conditioning system, efficiently revalidated the cleaning validation, and conducted registration inspection and submission, etc.</v>
      </c>
      <c r="B5783" s="1" t="str">
        <f ca="1">IFERROR(__xludf.DUMMYFUNCTION("GOOGLETRANSLATE(A5783, ""zh"", ""en"")"),"Product quality")</f>
        <v>Product quality</v>
      </c>
      <c r="C5783" s="1" t="str">
        <f ca="1">IFERROR(__xludf.DUMMYFUNCTION("GOOGLETRANSLATE(E5783, ""zh"", ""en"")"),"Qualitative text")</f>
        <v>Qualitative text</v>
      </c>
    </row>
    <row r="5784" spans="1:3" ht="13" x14ac:dyDescent="0.15">
      <c r="A5784" s="1" t="str">
        <f ca="1">IFERROR(__xludf.DUMMYFUNCTION("GOOGLETRANSLATE(A5784, ""zh"", ""en"")"),"Case Study: Establishing an environmental reporting reward system; Henan Oilfield launching a safety education campaign on campus; Yangzi Petrochemical launching a green chemical science campaign for primary school students; Sinopec Corporation; Sinopec C"&amp;"orporation 9798; Corporate Governance: Strengthening Safety Lines; Addressing Climate Change; Respecting Human Rights; Talent Development; Environmental Protection; Fulfilling Social Responsibility; Community Participation Program; The Company upholds the"&amp;" belief of giving back to the local community and contributing to the prosperity of the local economy, actively participating in community development support work, and driving local community construction and economic development.")</f>
        <v>Case Study: Establishing an environmental reporting reward system; Henan Oilfield launching a safety education campaign on campus; Yangzi Petrochemical launching a green chemical science campaign for primary school students; Sinopec Corporation; Sinopec Corporation 9798; Corporate Governance: Strengthening Safety Lines; Addressing Climate Change; Respecting Human Rights; Talent Development; Environmental Protection; Fulfilling Social Responsibility; Community Participation Program; The Company upholds the belief of giving back to the local community and contributing to the prosperity of the local economy, actively participating in community development support work, and driving local community construction and economic development.</v>
      </c>
      <c r="B5784" s="1" t="str">
        <f ca="1">IFERROR(__xludf.DUMMYFUNCTION("GOOGLETRANSLATE(A5784, ""zh"", ""en"")"),"Public welfare and volunteer service")</f>
        <v>Public welfare and volunteer service</v>
      </c>
      <c r="C5784" s="1" t="str">
        <f ca="1">IFERROR(__xludf.DUMMYFUNCTION("GOOGLETRANSLATE(E5784, ""zh"", ""en"")"),"Qualitative text")</f>
        <v>Qualitative text</v>
      </c>
    </row>
    <row r="5785" spans="1:3" ht="13" x14ac:dyDescent="0.15">
      <c r="A5785" s="1" t="str">
        <f ca="1">IFERROR(__xludf.DUMMYFUNCTION("GOOGLETRANSLATE(A5785, ""zh"", ""en"")"),"The reporting scope, unless otherwise stated, covers the following entities: CITIC Securities, CITIC Securities Shandong Co., Ltd. (hereinafter referred to as CITIC Securities Shandong), CITIC Securities International Co., Ltd. (hereinafter referred to as"&amp;" CITIC Securities International), Goldstone Investment Co., Ltd. (hereinafter referred to as Goldstone Investment), CITIC Securities Investment Co., Ltd. (hereinafter referred to as CITIC Securities Investment), CITIC Futures Co., Ltd. (hereinafter referr"&amp;"ed to as CITIC Futures), CITIC Securities South China Co., Ltd. (hereinafter referred to as CITIC Securities South China), and China Asset Management Co., Ltd. (hereinafter referred to as China Asset Management).")</f>
        <v>The reporting scope, unless otherwise stated, covers the following entities: CITIC Securities, CITIC Securities Shandong Co., Ltd. (hereinafter referred to as CITIC Securities Shandong), CITIC Securities International Co., Ltd. (hereinafter referred to as CITIC Securities International), Goldstone Investment Co., Ltd. (hereinafter referred to as Goldstone Investment), CITIC Securities Investment Co., Ltd. (hereinafter referred to as CITIC Securities Investment), CITIC Futures Co., Ltd. (hereinafter referred to as CITIC Futures), CITIC Securities South China Co., Ltd. (hereinafter referred to as CITIC Securities South China), and China Asset Management Co., Ltd. (hereinafter referred to as China Asset Management).</v>
      </c>
      <c r="B5785" s="1" t="str">
        <f ca="1">IFERROR(__xludf.DUMMYFUNCTION("GOOGLETRANSLATE(A5785, ""zh"", ""en"")"),"irrelevant text")</f>
        <v>irrelevant text</v>
      </c>
      <c r="C5785" s="1" t="str">
        <f ca="1">IFERROR(__xludf.DUMMYFUNCTION("GOOGLETRANSLATE(E5785, ""zh"", ""en"")"),"irrelevant text")</f>
        <v>irrelevant text</v>
      </c>
    </row>
    <row r="5786" spans="1:3" ht="13" x14ac:dyDescent="0.15">
      <c r="A5786" s="1" t="str">
        <f ca="1">IFERROR(__xludf.DUMMYFUNCTION("GOOGLETRANSLATE(A5786, ""zh"", ""en"")"),"Since 2022, in order to better respond to the relevant decision-making arrangements on ensuring the smooth supply of logistics, ensure the security and stability of the industrial chain and supply chain, help to clear the key bottlenecks that restrict the"&amp;" circulation of the national economy, and work hard to solve the urgent problems of the people, Guotou Taikang Trust has conducted in-depth research on the financing difficulties and operating capital shortages of small and micro enterprises in the transp"&amp;"ortation and logistics industry. It has launched the auto insurance installment business for the insurance scenario of operating vehicles and, on this basis, timely launched the country's first auto insurance installment ABS product to increase financial "&amp;"support for small and micro enterprises in the transportation and logistics industry.")</f>
        <v>Since 2022, in order to better respond to the relevant decision-making arrangements on ensuring the smooth supply of logistics, ensure the security and stability of the industrial chain and supply chain, help to clear the key bottlenecks that restrict the circulation of the national economy, and work hard to solve the urgent problems of the people, Guotou Taikang Trust has conducted in-depth research on the financing difficulties and operating capital shortages of small and micro enterprises in the transportation and logistics industry. It has launched the auto insurance installment business for the insurance scenario of operating vehicles and, on this basis, timely launched the country's first auto insurance installment ABS product to increase financial support for small and micro enterprises in the transportation and logistics industry.</v>
      </c>
      <c r="B5786" s="1" t="str">
        <f ca="1">IFERROR(__xludf.DUMMYFUNCTION("GOOGLETRANSLATE(A5786, ""zh"", ""en"")"),"supply chain management")</f>
        <v>supply chain management</v>
      </c>
      <c r="C5786" s="1" t="str">
        <f ca="1">IFERROR(__xludf.DUMMYFUNCTION("GOOGLETRANSLATE(E5786, ""zh"", ""en"")"),"Qualitative text")</f>
        <v>Qualitative text</v>
      </c>
    </row>
    <row r="5787" spans="1:3" ht="13" x14ac:dyDescent="0.15">
      <c r="A5787" s="1" t="str">
        <f ca="1">IFERROR(__xludf.DUMMYFUNCTION("GOOGLETRANSLATE(A5787, ""zh"", ""en"")"),"Talent Management 0752 Joincare Pharmaceutical Group Co., Ltd. 7.1 Safeguarding Employee Rights and Interests The Group strictly abides by the Labor Law of the People's Republic of China, the Labor Contract Law of the People's Republic of China, the prohi"&amp;"bition of child labor, and other national and local laws and regulations. It formulates a code of conduct and ethics for labor employment and discloses it on the Group's official website. It manages and regulates the employment of all employees, including"&amp;" full-time, part-time, and temporary employees, of the Group and its subsidiaries, as well as all suppliers, contractors, service providers, clients, and other partners with whom the Group has business dealings.")</f>
        <v>Talent Management 0752 Joincare Pharmaceutical Group Co., Ltd. 7.1 Safeguarding Employee Rights and Interests The Group strictly abides by the Labor Law of the People's Republic of China, the Labor Contract Law of the People's Republic of China, the prohibition of child labor, and other national and local laws and regulations. It formulates a code of conduct and ethics for labor employment and discloses it on the Group's official website. It manages and regulates the employment of all employees, including full-time, part-time, and temporary employees, of the Group and its subsidiaries, as well as all suppliers, contractors, service providers, clients, and other partners with whom the Group has business dealings.</v>
      </c>
      <c r="B5787" s="1" t="str">
        <f ca="1">IFERROR(__xludf.DUMMYFUNCTION("GOOGLETRANSLATE(A5787, ""zh"", ""en"")"),"staff")</f>
        <v>staff</v>
      </c>
      <c r="C5787" s="1" t="str">
        <f ca="1">IFERROR(__xludf.DUMMYFUNCTION("GOOGLETRANSLATE(E5787, ""zh"", ""en"")"),"Qualitative text")</f>
        <v>Qualitative text</v>
      </c>
    </row>
    <row r="5788" spans="1:3" ht="13" x14ac:dyDescent="0.15">
      <c r="A5788" s="1" t="str">
        <f ca="1">IFERROR(__xludf.DUMMYFUNCTION("GOOGLETRANSLATE(A5788, ""zh"", ""en"")"),"Shanghai Electric and multiple parties signed a strategic cooperation agreement on the research and application of coal-fired power and liquid solar coupling engineering. Shanghai Electric Group Central Research Institute and EDF Research Institute signed"&amp;" a strategic cooperation agreement. Shanghai Electric and Ideal Wanlihui Semiconductor signed an innovation cooperation agreement. On March 10, 2022, the academic seminar on sustainable development of coal-fired power under the dual carbon goals and the p"&amp;"roject signing ceremony were held in Shanghai, hosted by the Shanghai Low Carbon Technology Innovation Functional Platform and co-organized by Shanghai Electric and Shanghai Lanze Energy Technology Co., Ltd.")</f>
        <v>Shanghai Electric and multiple parties signed a strategic cooperation agreement on the research and application of coal-fired power and liquid solar coupling engineering. Shanghai Electric Group Central Research Institute and EDF Research Institute signed a strategic cooperation agreement. Shanghai Electric and Ideal Wanlihui Semiconductor signed an innovation cooperation agreement. On March 10, 2022, the academic seminar on sustainable development of coal-fired power under the dual carbon goals and the project signing ceremony were held in Shanghai, hosted by the Shanghai Low Carbon Technology Innovation Functional Platform and co-organized by Shanghai Electric and Shanghai Lanze Energy Technology Co., Ltd.</v>
      </c>
      <c r="B5788" s="1" t="str">
        <f ca="1">IFERROR(__xludf.DUMMYFUNCTION("GOOGLETRANSLATE(A5788, ""zh"", ""en"")"),"Technological innovation")</f>
        <v>Technological innovation</v>
      </c>
      <c r="C5788" s="1" t="str">
        <f ca="1">IFERROR(__xludf.DUMMYFUNCTION("GOOGLETRANSLATE(E5788, ""zh"", ""en"")"),"Qualitative text")</f>
        <v>Qualitative text</v>
      </c>
    </row>
    <row r="5789" spans="1:3" ht="13" x14ac:dyDescent="0.15">
      <c r="A5789" s="1" t="str">
        <f ca="1">IFERROR(__xludf.DUMMYFUNCTION("GOOGLETRANSLATE(A5789, ""zh"", ""en"")"),"Yichang Renfu was awarded the title of Hubei Province's Red Flag Unit for Work Safety. Safety is our top priority, prevention is our priority, environmental protection and health are improved, and all employees participate in comprehensive management. Env"&amp;"ironmental management system, safety management system, and emergency response system for sudden environmental incidents are in place. 3738 Renfu Pharmaceutical adheres to compliance with laws and regulations, scientific innovation, energy conservation an"&amp;"d efficiency improvement, and a green development energy policy. Addressing climate change, energy conservation, consumption reduction, and pollution prevention, we vigorously introduce and upgrade green processes and equipment, implement green production"&amp;", accelerate the formation of a green and low-carbon development strategy, and build an environmentally friendly green pharmaceutical company.")</f>
        <v>Yichang Renfu was awarded the title of Hubei Province's Red Flag Unit for Work Safety. Safety is our top priority, prevention is our priority, environmental protection and health are improved, and all employees participate in comprehensive management. Environmental management system, safety management system, and emergency response system for sudden environmental incidents are in place. 3738 Renfu Pharmaceutical adheres to compliance with laws and regulations, scientific innovation, energy conservation and efficiency improvement, and a green development energy policy. Addressing climate change, energy conservation, consumption reduction, and pollution prevention, we vigorously introduce and upgrade green processes and equipment, implement green production, accelerate the formation of a green and low-carbon development strategy, and build an environmentally friendly green pharmaceutical company.</v>
      </c>
      <c r="B5789" s="1" t="str">
        <f ca="1">IFERROR(__xludf.DUMMYFUNCTION("GOOGLETRANSLATE(A5789, ""zh"", ""en"")"),"Environmental Policy")</f>
        <v>Environmental Policy</v>
      </c>
      <c r="C5789" s="1" t="str">
        <f ca="1">IFERROR(__xludf.DUMMYFUNCTION("GOOGLETRANSLATE(E5789, ""zh"", ""en"")"),"Qualitative text")</f>
        <v>Qualitative text</v>
      </c>
    </row>
    <row r="5790" spans="1:3" ht="13" x14ac:dyDescent="0.15">
      <c r="A5790" s="1" t="str">
        <f ca="1">IFERROR(__xludf.DUMMYFUNCTION("GOOGLETRANSLATE(A5790, ""zh"", ""en"")"),"One-on-one pairing, group-based assistance, and three-dimensional assistance to Sinopec. Sinopec 9192's corporate governance strengthens security, addresses climate change, respects human rights, cultivates talent, protects the environment, and fulfills s"&amp;"ocial responsibilities. Qiandongnan Petroleum launched the ""Beginning of Winter Warm Dumplings: Sharing the Taste of Home"" public welfare initiative. Sinopec has been actively giving back to society by carrying out a series of public welfare and charity"&amp;" projects for many years, such as the Sinopec Guangming Health Express, the Love Station, the Sanitation Station, the Truck Driver's Home, and the Spring Bud Girls Project.")</f>
        <v>One-on-one pairing, group-based assistance, and three-dimensional assistance to Sinopec. Sinopec 9192's corporate governance strengthens security, addresses climate change, respects human rights, cultivates talent, protects the environment, and fulfills social responsibilities. Qiandongnan Petroleum launched the "Beginning of Winter Warm Dumplings: Sharing the Taste of Home" public welfare initiative. Sinopec has been actively giving back to society by carrying out a series of public welfare and charity projects for many years, such as the Sinopec Guangming Health Express, the Love Station, the Sanitation Station, the Truck Driver's Home, and the Spring Bud Girls Project.</v>
      </c>
      <c r="B5790" s="1" t="str">
        <f ca="1">IFERROR(__xludf.DUMMYFUNCTION("GOOGLETRANSLATE(A5790, ""zh"", ""en"")"),"Public welfare and volunteer service")</f>
        <v>Public welfare and volunteer service</v>
      </c>
      <c r="C5790" s="1" t="str">
        <f ca="1">IFERROR(__xludf.DUMMYFUNCTION("GOOGLETRANSLATE(E5790, ""zh"", ""en"")"),"Qualitative text")</f>
        <v>Qualitative text</v>
      </c>
    </row>
    <row r="5791" spans="1:3" ht="13" x14ac:dyDescent="0.15">
      <c r="A5791" s="1" t="str">
        <f ca="1">IFERROR(__xludf.DUMMYFUNCTION("GOOGLETRANSLATE(A5791, ""zh"", ""en"")"),"Corporate Governance Strategy Committee Nomination Committee Audit Committee Management Remuneration Committee Shanghai Electric's Corporate Governance Structure Supervisory Board General Meeting of Shareholders Board of Directors Shanghai Electric Group "&amp;"Co., Ltd. 29302022 Social Responsibility Report Build a Solid and Stable Foundation for Development 30 Shanghai Electric's Board of Directors includes 3 female directors, 3 executive directors, 2 non-executive directors, and 3 independent non-executive di"&amp;"rectors. Currently, Shanghai Electric has a total of 8 board members, including 3 executive directors, 2 non-executive directors, and 3 independent non-executive directors.")</f>
        <v>Corporate Governance Strategy Committee Nomination Committee Audit Committee Management Remuneration Committee Shanghai Electric's Corporate Governance Structure Supervisory Board General Meeting of Shareholders Board of Directors Shanghai Electric Group Co., Ltd. 29302022 Social Responsibility Report Build a Solid and Stable Foundation for Development 30 Shanghai Electric's Board of Directors includes 3 female directors, 3 executive directors, 2 non-executive directors, and 3 independent non-executive directors. Currently, Shanghai Electric has a total of 8 board members, including 3 executive directors, 2 non-executive directors, and 3 independent non-executive directors.</v>
      </c>
      <c r="B5791" s="1" t="str">
        <f ca="1">IFERROR(__xludf.DUMMYFUNCTION("GOOGLETRANSLATE(A5791, ""zh"", ""en"")"),"Organizational structure and operations")</f>
        <v>Organizational structure and operations</v>
      </c>
      <c r="C5791" s="1" t="str">
        <f ca="1">IFERROR(__xludf.DUMMYFUNCTION("GOOGLETRANSLATE(E5791, ""zh"", ""en"")"),"Quantitative Text")</f>
        <v>Quantitative Text</v>
      </c>
    </row>
    <row r="5792" spans="1:3" ht="13" x14ac:dyDescent="0.15">
      <c r="A5792" s="1" t="str">
        <f ca="1">IFERROR(__xludf.DUMMYFUNCTION("GOOGLETRANSLATE(A5792, ""zh"", ""en"")"),"Group Vice President Yang Hong inspected Shanghai Automation Instrument Co., Ltd. Group Executive Vice President and Party Committee Member Dong Jianhua inspected 709 Media Park Year 2020 2021 2022 Number of Work-Related Fatalities 0101142022 Social Respo"&amp;"nsibility Report Shanghai Electric effectively ensures the health and safety of its employees. Through management system and technological transformation, it continuously improves occupational disease prevention management and corresponding measures, furt"&amp;"her strengthens the effectiveness of occupational disease source control, effectively controls occupational disease hazards in the workplace, and effectively protects the health rights and interests of employees.")</f>
        <v>Group Vice President Yang Hong inspected Shanghai Automation Instrument Co., Ltd. Group Executive Vice President and Party Committee Member Dong Jianhua inspected 709 Media Park Year 2020 2021 2022 Number of Work-Related Fatalities 0101142022 Social Responsibility Report Shanghai Electric effectively ensures the health and safety of its employees. Through management system and technological transformation, it continuously improves occupational disease prevention management and corresponding measures, further strengthens the effectiveness of occupational disease source control, effectively controls occupational disease hazards in the workplace, and effectively protects the health rights and interests of employees.</v>
      </c>
      <c r="B5792" s="1" t="str">
        <f ca="1">IFERROR(__xludf.DUMMYFUNCTION("GOOGLETRANSLATE(A5792, ""zh"", ""en"")"),"staff")</f>
        <v>staff</v>
      </c>
      <c r="C5792" s="1" t="str">
        <f ca="1">IFERROR(__xludf.DUMMYFUNCTION("GOOGLETRANSLATE(E5792, ""zh"", ""en"")"),"Quantitative Text")</f>
        <v>Quantitative Text</v>
      </c>
    </row>
    <row r="5793" spans="1:3" ht="13" x14ac:dyDescent="0.15">
      <c r="A5793" s="1" t="str">
        <f ca="1">IFERROR(__xludf.DUMMYFUNCTION("GOOGLETRANSLATE(A5793, ""zh"", ""en"")"),"COSL's offshore adjustment well new and improved express project: Case study on quality and efficiency improvement COSL 2022 ESG Report 24 The company continues to strengthen customer communication, establishes a regular communication mechanism for senior"&amp;" customer management, and adopts high-level communication meetings and other methods to achieve timely communication and interaction between the company and customers. It attaches great importance to customer privacy protection and strictly implements the"&amp;" requirements of relevant system documents. It does not involve customer-related privacy information. It establishes and improves customer files. It collects and implements customer demands in a timely manner. It uses customer demands as a guide to solve "&amp;"customer problems in the first time and has won wide recognition and praise from customers.")</f>
        <v>COSL's offshore adjustment well new and improved express project: Case study on quality and efficiency improvement COSL 2022 ESG Report 24 The company continues to strengthen customer communication, establishes a regular communication mechanism for senior customer management, and adopts high-level communication meetings and other methods to achieve timely communication and interaction between the company and customers. It attaches great importance to customer privacy protection and strictly implements the requirements of relevant system documents. It does not involve customer-related privacy information. It establishes and improves customer files. It collects and implements customer demands in a timely manner. It uses customer demands as a guide to solve customer problems in the first time and has won wide recognition and praise from customers.</v>
      </c>
      <c r="B5793" s="1" t="str">
        <f ca="1">IFERROR(__xludf.DUMMYFUNCTION("GOOGLETRANSLATE(A5793, ""zh"", ""en"")"),"Customers and Consumers")</f>
        <v>Customers and Consumers</v>
      </c>
      <c r="C5793" s="1" t="str">
        <f ca="1">IFERROR(__xludf.DUMMYFUNCTION("GOOGLETRANSLATE(E5793, ""zh"", ""en"")"),"Qualitative text")</f>
        <v>Qualitative text</v>
      </c>
    </row>
    <row r="5794" spans="1:3" ht="13" x14ac:dyDescent="0.15">
      <c r="A5794" s="1" t="str">
        <f ca="1">IFERROR(__xludf.DUMMYFUNCTION("GOOGLETRANSLATE(A5794, ""zh"", ""en"")"),"The project has been implemented since January 2021. Public bidding was conducted and construction contracts were signed. The main equipment and supporting facilities were customized and installed. The airbag yarn company strictly controlled the on-site w"&amp;"ire suction gun and waste wire suction system. According to production needs, the number of air compressors used was reduced. A total investment of RMB 713,000 was made. It was put into trial operation in July 2021. The outflow of compressed air saved abo"&amp;"ut 2.14 million kWh of electricity throughout the year. The valves of the freezer were adjusted according to the temperature and actual production conditions to balance water resources. It passed the acceptance in September 2021.")</f>
        <v>The project has been implemented since January 2021. Public bidding was conducted and construction contracts were signed. The main equipment and supporting facilities were customized and installed. The airbag yarn company strictly controlled the on-site wire suction gun and waste wire suction system. According to production needs, the number of air compressors used was reduced. A total investment of RMB 713,000 was made. It was put into trial operation in July 2021. The outflow of compressed air saved about 2.14 million kWh of electricity throughout the year. The valves of the freezer were adjusted according to the temperature and actual production conditions to balance water resources. It passed the acceptance in September 2021.</v>
      </c>
      <c r="B5794" s="1" t="str">
        <f ca="1">IFERROR(__xludf.DUMMYFUNCTION("GOOGLETRANSLATE(A5794, ""zh"", ""en"")"),"Waste Management")</f>
        <v>Waste Management</v>
      </c>
      <c r="C5794" s="1" t="str">
        <f ca="1">IFERROR(__xludf.DUMMYFUNCTION("GOOGLETRANSLATE(E5794, ""zh"", ""en"")"),"Quantitative Text")</f>
        <v>Quantitative Text</v>
      </c>
    </row>
    <row r="5795" spans="1:3" ht="13" x14ac:dyDescent="0.15">
      <c r="A5795" s="1" t="str">
        <f ca="1">IFERROR(__xludf.DUMMYFUNCTION("GOOGLETRANSLATE(A5795, ""zh"", ""en"")"),"The quality system construction and evaluation links mainly include management manuals, management review control procedures, internal audit control procedures, etc. The product development and manufacturing process and supplier quality management links m"&amp;"ainly include production process control procedures, procurement control procedures, production process control procedures, incoming material inspection management system, finished product warehousing inspection management system, product factory inspecti"&amp;"on management system, non-conforming product control procedures, etc. The quality assessment and post-evaluation links have established quality assessment management system, quality information management procedures, data analysis and evaluation control p"&amp;"rocedures and other control documents.")</f>
        <v>The quality system construction and evaluation links mainly include management manuals, management review control procedures, internal audit control procedures, etc. The product development and manufacturing process and supplier quality management links mainly include production process control procedures, procurement control procedures, production process control procedures, incoming material inspection management system, finished product warehousing inspection management system, product factory inspection management system, non-conforming product control procedures, etc. The quality assessment and post-evaluation links have established quality assessment management system, quality information management procedures, data analysis and evaluation control procedures and other control documents.</v>
      </c>
      <c r="B5795" s="1" t="str">
        <f ca="1">IFERROR(__xludf.DUMMYFUNCTION("GOOGLETRANSLATE(A5795, ""zh"", ""en"")"),"Product quality")</f>
        <v>Product quality</v>
      </c>
      <c r="C5795" s="1" t="str">
        <f ca="1">IFERROR(__xludf.DUMMYFUNCTION("GOOGLETRANSLATE(E5795, ""zh"", ""en"")"),"Qualitative text")</f>
        <v>Qualitative text</v>
      </c>
    </row>
    <row r="5796" spans="1:3" ht="13" x14ac:dyDescent="0.15">
      <c r="A5796" s="1" t="str">
        <f ca="1">IFERROR(__xludf.DUMMYFUNCTION("GOOGLETRANSLATE(A5796, ""zh"", ""en"")"),"Actively organize and carry out EHS management throughout the company, which has promoted the success of various enterprises. In the past month, the Group insisted that middle and senior management lead the team to participate in the investigation and rec"&amp;"tification of safety hazards in energy conservation, emission reduction, green carbon reduction and risk management. It insisted on full participation in EHS training, sharing and communication, created a harmonious and integrated training environment for"&amp;" the Group, insisted on expanding green and low-carbon and energy conservation and emission reduction projects, deepened the EHS cultural atmosphere, accelerated the EHS management and responsibility of the group to the level of the edge, and achieved com"&amp;"mon improvement and progress through communication and collision.")</f>
        <v>Actively organize and carry out EHS management throughout the company, which has promoted the success of various enterprises. In the past month, the Group insisted that middle and senior management lead the team to participate in the investigation and rectification of safety hazards in energy conservation, emission reduction, green carbon reduction and risk management. It insisted on full participation in EHS training, sharing and communication, created a harmonious and integrated training environment for the Group, insisted on expanding green and low-carbon and energy conservation and emission reduction projects, deepened the EHS cultural atmosphere, accelerated the EHS management and responsibility of the group to the level of the edge, and achieved common improvement and progress through communication and collision.</v>
      </c>
      <c r="B5796" s="1" t="str">
        <f ca="1">IFERROR(__xludf.DUMMYFUNCTION("GOOGLETRANSLATE(A5796, ""zh"", ""en"")"),"Environmental Policy")</f>
        <v>Environmental Policy</v>
      </c>
      <c r="C5796" s="1" t="str">
        <f ca="1">IFERROR(__xludf.DUMMYFUNCTION("GOOGLETRANSLATE(E5796, ""zh"", ""en"")"),"Qualitative text")</f>
        <v>Qualitative text</v>
      </c>
    </row>
    <row r="5797" spans="1:3" ht="13" x14ac:dyDescent="0.15">
      <c r="A5797" s="1" t="str">
        <f ca="1">IFERROR(__xludf.DUMMYFUNCTION("GOOGLETRANSLATE(A5797, ""zh"", ""en"")"),"Technical training for information management department employees, internal data security training, Shanghai Operation Rock Offensive and Defensive Drills, 2022 Social Responsibility Report, 2022 Social Responsibility Report, Steady and Long-Term Green C"&amp;"oncept 03. Shanghai Electric actively responds to the national call for low-carbon environmental protection and integrates green concepts into all aspects of its operations and management. Through the construction of a strong system and comprehensive and "&amp;"pragmatic safety and environmental management measures, it continuously iterates its unique safety and environmental management model to ensure that the company always stays at the forefront of the industry in terms of environmental compliance and environ"&amp;"mental risk management.")</f>
        <v>Technical training for information management department employees, internal data security training, Shanghai Operation Rock Offensive and Defensive Drills, 2022 Social Responsibility Report, 2022 Social Responsibility Report, Steady and Long-Term Green Concept 03. Shanghai Electric actively responds to the national call for low-carbon environmental protection and integrates green concepts into all aspects of its operations and management. Through the construction of a strong system and comprehensive and pragmatic safety and environmental management measures, it continuously iterates its unique safety and environmental management model to ensure that the company always stays at the forefront of the industry in terms of environmental compliance and environmental risk management.</v>
      </c>
      <c r="B5797" s="1" t="str">
        <f ca="1">IFERROR(__xludf.DUMMYFUNCTION("GOOGLETRANSLATE(A5797, ""zh"", ""en"")"),"Data security")</f>
        <v>Data security</v>
      </c>
      <c r="C5797" s="1" t="str">
        <f ca="1">IFERROR(__xludf.DUMMYFUNCTION("GOOGLETRANSLATE(E5797, ""zh"", ""en"")"),"Qualitative text")</f>
        <v>Qualitative text</v>
      </c>
    </row>
    <row r="5798" spans="1:3" ht="13" x14ac:dyDescent="0.15">
      <c r="A5798" s="1" t="str">
        <f ca="1">IFERROR(__xludf.DUMMYFUNCTION("GOOGLETRANSLATE(A5798, ""zh"", ""en"")"),"..Enter the ESG management topic and see responsibility, safety first, people-oriented, mutual benefit and win-win. GRI content index www..cn carried out special training activities. In each training course, strategic consensus, goal consensus, team integ"&amp;"ration, business training course development and capacity improvement were carried out according to the needs of the group and business. The special training demonstrated the company's customized development capabilities in training. In response to specia"&amp;"l circumstances, the company moved the training courses online and added more than 10 video courses to ensure employees' independent learning while at home.")</f>
        <v>..Enter the ESG management topic and see responsibility, safety first, people-oriented, mutual benefit and win-win. GRI content index www..cn carried out special training activities. In each training course, strategic consensus, goal consensus, team integration, business training course development and capacity improvement were carried out according to the needs of the group and business. The special training demonstrated the company's customized development capabilities in training. In response to special circumstances, the company moved the training courses online and added more than 10 video courses to ensure employees' independent learning while at home.</v>
      </c>
      <c r="B5798" s="1" t="str">
        <f ca="1">IFERROR(__xludf.DUMMYFUNCTION("GOOGLETRANSLATE(A5798, ""zh"", ""en"")"),"staff")</f>
        <v>staff</v>
      </c>
      <c r="C5798" s="1" t="str">
        <f ca="1">IFERROR(__xludf.DUMMYFUNCTION("GOOGLETRANSLATE(E5798, ""zh"", ""en"")"),"Quantitative Text")</f>
        <v>Quantitative Text</v>
      </c>
    </row>
    <row r="5799" spans="1:3" ht="13" x14ac:dyDescent="0.15">
      <c r="A5799" s="1" t="str">
        <f ca="1">IFERROR(__xludf.DUMMYFUNCTION("GOOGLETRANSLATE(A5799, ""zh"", ""en"")"),"Strengthen and improve the corporate governance system, strengthen in-process and post-process management, and ensure full compliance during the reporting period. No violations of product and service environmental compliance, legal risk list 1.0, anti-mon"&amp;"opoly, financial and tax compliance, and medical compliance occurred. The Group did not have any incidents related to marketing communications, including pharmaceutical advertising information security templates, and formed a marketing operation model bas"&amp;"ed on self-operated advertising and promotion and fee-based regulations and/or voluntary CSO retail e-commerce.")</f>
        <v>Strengthen and improve the corporate governance system, strengthen in-process and post-process management, and ensure full compliance during the reporting period. No violations of product and service environmental compliance, legal risk list 1.0, anti-monopoly, financial and tax compliance, and medical compliance occurred. The Group did not have any incidents related to marketing communications, including pharmaceutical advertising information security templates, and formed a marketing operation model based on self-operated advertising and promotion and fee-based regulations and/or voluntary CSO retail e-commerce.</v>
      </c>
      <c r="B5799" s="1" t="str">
        <f ca="1">IFERROR(__xludf.DUMMYFUNCTION("GOOGLETRANSLATE(A5799, ""zh"", ""en"")"),"Anti-unfair competition")</f>
        <v>Anti-unfair competition</v>
      </c>
      <c r="C5799" s="1" t="str">
        <f ca="1">IFERROR(__xludf.DUMMYFUNCTION("GOOGLETRANSLATE(E5799, ""zh"", ""en"")"),"Quantitative Text")</f>
        <v>Quantitative Text</v>
      </c>
    </row>
    <row r="5800" spans="1:3" ht="13" x14ac:dyDescent="0.15">
      <c r="A5800" s="1" t="str">
        <f ca="1">IFERROR(__xludf.DUMMYFUNCTION("GOOGLETRANSLATE(A5800, ""zh"", ""en"")"),"Complaints mainly involved debit cards (64,462 cases, accounting for 28.75%), credit cards (58,676 cases, accounting for 26.17%), loans (21,064 cases, accounting for 9.39%), etc. Complaints were mainly concentrated in the middle and back-end channels (89,"&amp;"169 cases, accounting for 39.77%), business sites (59,415 cases, accounting for 26.50%), electronic channels (55,297 cases, accounting for 24.66%), etc. Complaints were mainly distributed in the western region (51,724 cases, accounting for 23.07%) and the"&amp;" central region (47,310 cases, accounting for 21.10%).")</f>
        <v>Complaints mainly involved debit cards (64,462 cases, accounting for 28.75%), credit cards (58,676 cases, accounting for 26.17%), loans (21,064 cases, accounting for 9.39%), etc. Complaints were mainly concentrated in the middle and back-end channels (89,169 cases, accounting for 39.77%), business sites (59,415 cases, accounting for 26.50%), electronic channels (55,297 cases, accounting for 24.66%), etc. Complaints were mainly distributed in the western region (51,724 cases, accounting for 23.07%) and the central region (47,310 cases, accounting for 21.10%).</v>
      </c>
      <c r="B5800" s="1" t="str">
        <f ca="1">IFERROR(__xludf.DUMMYFUNCTION("GOOGLETRANSLATE(A5800, ""zh"", ""en"")"),"Reporting System")</f>
        <v>Reporting System</v>
      </c>
      <c r="C5800" s="1" t="str">
        <f ca="1">IFERROR(__xludf.DUMMYFUNCTION("GOOGLETRANSLATE(E5800, ""zh"", ""en"")"),"Quantitative Text")</f>
        <v>Quantitative Text</v>
      </c>
    </row>
    <row r="5801" spans="1:3" ht="13" x14ac:dyDescent="0.15">
      <c r="A5801" s="1" t="str">
        <f ca="1">IFERROR(__xludf.DUMMYFUNCTION("GOOGLETRANSLATE(A5801, ""zh"", ""en"")"),"For example, we organized a PK competition for high-end sales personnel at the customer contact center, provided business training for JD.com and Tmall online staff to ensure Double Eleven and Double Ten sales. The company has always adhered to the concep"&amp;"t of sustainable development throughout the procurement management process, emphasizing compliance management, environmental protection, employee health and safety, and rights protection. Business stability and improvement at two important nodes, 100 ques"&amp;"tions and 100 answers, formed a customer contact center service case library, and conducted more than 60 peak season training sessions to ensure service quality, ethics, standards, and supervision, and establish corresponding sustainable procurement proce"&amp;"sses and capabilities.")</f>
        <v>For example, we organized a PK competition for high-end sales personnel at the customer contact center, provided business training for JD.com and Tmall online staff to ensure Double Eleven and Double Ten sales. The company has always adhered to the concept of sustainable development throughout the procurement management process, emphasizing compliance management, environmental protection, employee health and safety, and rights protection. Business stability and improvement at two important nodes, 100 questions and 100 answers, formed a customer contact center service case library, and conducted more than 60 peak season training sessions to ensure service quality, ethics, standards, and supervision, and establish corresponding sustainable procurement processes and capabilities.</v>
      </c>
      <c r="B5801" s="1" t="str">
        <f ca="1">IFERROR(__xludf.DUMMYFUNCTION("GOOGLETRANSLATE(A5801, ""zh"", ""en"")"),"Customers and Consumers")</f>
        <v>Customers and Consumers</v>
      </c>
      <c r="C5801" s="1" t="str">
        <f ca="1">IFERROR(__xludf.DUMMYFUNCTION("GOOGLETRANSLATE(E5801, ""zh"", ""en"")"),"Quantitative Text")</f>
        <v>Quantitative Text</v>
      </c>
    </row>
    <row r="5802" spans="1:3" ht="13" x14ac:dyDescent="0.15">
      <c r="A5802" s="1" t="str">
        <f ca="1">IFERROR(__xludf.DUMMYFUNCTION("GOOGLETRANSLATE(A5802, ""zh"", ""en"")"),"To further standardize business dealings, resolutely resist commercial bribery, advance the first phase of corruption prevention with a weekly case, effectively curb violations of discipline and law, and create a development environment of honest business"&amp;" operations and win-win cooperation. The company's Discipline Inspection Commission has taken the lead in compiling integrity training materials for partners on integrity and self-discipline, win-win cooperation, and the joint construction of the Hisense "&amp;"Integrity Community. All newly introduced partners must undergo integrity training, learning, and assessment. Only those who pass the training and assessment can sign a business cooperation contract with Hisense Visual, ensuring a strict entry control.")</f>
        <v>To further standardize business dealings, resolutely resist commercial bribery, advance the first phase of corruption prevention with a weekly case, effectively curb violations of discipline and law, and create a development environment of honest business operations and win-win cooperation. The company's Discipline Inspection Commission has taken the lead in compiling integrity training materials for partners on integrity and self-discipline, win-win cooperation, and the joint construction of the Hisense Integrity Community. All newly introduced partners must undergo integrity training, learning, and assessment. Only those who pass the training and assessment can sign a business cooperation contract with Hisense Visual, ensuring a strict entry control.</v>
      </c>
      <c r="B5802" s="1" t="str">
        <f ca="1">IFERROR(__xludf.DUMMYFUNCTION("GOOGLETRANSLATE(A5802, ""zh"", ""en"")"),"Anti-corruption and anti-money laundering")</f>
        <v>Anti-corruption and anti-money laundering</v>
      </c>
      <c r="C5802" s="1" t="str">
        <f ca="1">IFERROR(__xludf.DUMMYFUNCTION("GOOGLETRANSLATE(E5802, ""zh"", ""en"")"),"Qualitative text")</f>
        <v>Qualitative text</v>
      </c>
    </row>
    <row r="5803" spans="1:3" ht="13" x14ac:dyDescent="0.15">
      <c r="A5803" s="1" t="str">
        <f ca="1">IFERROR(__xludf.DUMMYFUNCTION("GOOGLETRANSLATE(A5803, ""zh"", ""en"")"),"03CorporateSocialResponsibilityReport202204About Hisense VisualCompany StrategyAnnual Major HonorsThe company is committed to technological innovation and is committed to providing happiness to hundreds of millions of families with high-quality products a"&amp;"nd services, making display ubiquitous, service ubiquitous, and connectivity ubiquitous.Won the Green Leading Enterprise Award from the China Environmental Joint Certification Center. With its technological leadership in realizing multi-scenario display c"&amp;"entered on user needs, Hisense has become a world-class smart display technology company in the digital economy era.")</f>
        <v>03CorporateSocialResponsibilityReport202204About Hisense VisualCompany StrategyAnnual Major HonorsThe company is committed to technological innovation and is committed to providing happiness to hundreds of millions of families with high-quality products and services, making display ubiquitous, service ubiquitous, and connectivity ubiquitous.Won the Green Leading Enterprise Award from the China Environmental Joint Certification Center. With its technological leadership in realizing multi-scenario display centered on user needs, Hisense has become a world-class smart display technology company in the digital economy era.</v>
      </c>
      <c r="B5803" s="1" t="str">
        <f ca="1">IFERROR(__xludf.DUMMYFUNCTION("GOOGLETRANSLATE(A5803, ""zh"", ""en"")"),"Technological innovation")</f>
        <v>Technological innovation</v>
      </c>
      <c r="C5803" s="1" t="str">
        <f ca="1">IFERROR(__xludf.DUMMYFUNCTION("GOOGLETRANSLATE(E5803, ""zh"", ""en"")"),"Qualitative text")</f>
        <v>Qualitative text</v>
      </c>
    </row>
    <row r="5804" spans="1:3" ht="13" x14ac:dyDescent="0.15">
      <c r="A5804" s="1" t="str">
        <f ca="1">IFERROR(__xludf.DUMMYFUNCTION("GOOGLETRANSLATE(A5804, ""zh"", ""en"")"),"Focusing on upgrading traditional industries and building new ones, Hisense Visual takes high-end, intelligent and green development as its key focus. By establishing joint laboratories with industry chain partners, such as the first prize of Qingdao Scie"&amp;"nce and Technology Progress Award for Ultra-High Definition Full-Color Light Source Laser Display Technology Research and Industrialization, and cooperating with strategic suppliers to carry out joint technical research, Hisense achieves technology comple"&amp;"mentarity among enterprises in the chain, driving the increase in the number of industry chain partners. The second prize of Qingdao Science and Technology Progress Award for R&amp;D and application of touch algorithm technology for large-size intelligent int"&amp;"eractive devices is added to the scale.")</f>
        <v>Focusing on upgrading traditional industries and building new ones, Hisense Visual takes high-end, intelligent and green development as its key focus. By establishing joint laboratories with industry chain partners, such as the first prize of Qingdao Science and Technology Progress Award for Ultra-High Definition Full-Color Light Source Laser Display Technology Research and Industrialization, and cooperating with strategic suppliers to carry out joint technical research, Hisense achieves technology complementarity among enterprises in the chain, driving the increase in the number of industry chain partners. The second prize of Qingdao Science and Technology Progress Award for R&amp;D and application of touch algorithm technology for large-size intelligent interactive devices is added to the scale.</v>
      </c>
      <c r="B5804" s="1" t="str">
        <f ca="1">IFERROR(__xludf.DUMMYFUNCTION("GOOGLETRANSLATE(A5804, ""zh"", ""en"")"),"Technological innovation")</f>
        <v>Technological innovation</v>
      </c>
      <c r="C5804" s="1" t="str">
        <f ca="1">IFERROR(__xludf.DUMMYFUNCTION("GOOGLETRANSLATE(E5804, ""zh"", ""en"")"),"Quantitative Text")</f>
        <v>Quantitative Text</v>
      </c>
    </row>
    <row r="5805" spans="1:3" ht="13" x14ac:dyDescent="0.15">
      <c r="A5805" s="1" t="str">
        <f ca="1">IFERROR(__xludf.DUMMYFUNCTION("GOOGLETRANSLATE(A5805, ""zh"", ""en"")"),"During the reporting period, the Group did not have any environmental pollution incidents; 19 member companies passed the third-party assessment of national safety production standardization; and no major safety or fire accidents occurred. No production s"&amp;"afety accidents resulting in the death of employees and/or contractors occurred. 9 member companies received commendations and awards from local environmental protection, safety supervision, and/or fire departments.")</f>
        <v>During the reporting period, the Group did not have any environmental pollution incidents; 19 member companies passed the third-party assessment of national safety production standardization; and no major safety or fire accidents occurred. No production safety accidents resulting in the death of employees and/or contractors occurred. 9 member companies received commendations and awards from local environmental protection, safety supervision, and/or fire departments.</v>
      </c>
      <c r="B5805" s="1" t="str">
        <f ca="1">IFERROR(__xludf.DUMMYFUNCTION("GOOGLETRANSLATE(A5805, ""zh"", ""en"")"),"Environmental penalties")</f>
        <v>Environmental penalties</v>
      </c>
      <c r="C5805" s="1" t="str">
        <f ca="1">IFERROR(__xludf.DUMMYFUNCTION("GOOGLETRANSLATE(E5805, ""zh"", ""en"")"),"Quantitative Text")</f>
        <v>Quantitative Text</v>
      </c>
    </row>
    <row r="5806" spans="1:3" ht="13" x14ac:dyDescent="0.15">
      <c r="A5806" s="1" t="str">
        <f ca="1">IFERROR(__xludf.DUMMYFUNCTION("GOOGLETRANSLATE(A5806, ""zh"", ""en"")"),"The average training hours for second-tier branches, bank-level branches, department-level branches and head office division-level training are as follows: The employee training hours disclosed in China Construction Bank's Social Responsibility Report ref"&amp;"er to the number of hours of on-line and offline training participated by employees of China Construction Bank as of the end of the reporting period, excluding domestic and overseas subsidiaries and subsidiaries. The statistical caliber of the number of p"&amp;"articipants in online training for second-tier branches, bank-level branches, department-level branches and head office division-level training is the number of people with job grades 6 and 7 who participated in online training within China Construction B"&amp;"ank as of the end of the reporting period, excluding domestic and overseas subsidiaries and subsidiaries.")</f>
        <v>The average training hours for second-tier branches, bank-level branches, department-level branches and head office division-level training are as follows: The employee training hours disclosed in China Construction Bank's Social Responsibility Report refer to the number of hours of on-line and offline training participated by employees of China Construction Bank as of the end of the reporting period, excluding domestic and overseas subsidiaries and subsidiaries. The statistical caliber of the number of participants in online training for second-tier branches, bank-level branches, department-level branches and head office division-level training is the number of people with job grades 6 and 7 who participated in online training within China Construction Bank as of the end of the reporting period, excluding domestic and overseas subsidiaries and subsidiaries.</v>
      </c>
      <c r="B5806" s="1" t="str">
        <f ca="1">IFERROR(__xludf.DUMMYFUNCTION("GOOGLETRANSLATE(A5806, ""zh"", ""en"")"),"staff")</f>
        <v>staff</v>
      </c>
      <c r="C5806" s="1" t="str">
        <f ca="1">IFERROR(__xludf.DUMMYFUNCTION("GOOGLETRANSLATE(E5806, ""zh"", ""en"")"),"Quantitative Text")</f>
        <v>Quantitative Text</v>
      </c>
    </row>
    <row r="5807" spans="1:3" ht="13" x14ac:dyDescent="0.15">
      <c r="A5807" s="1" t="str">
        <f ca="1">IFERROR(__xludf.DUMMYFUNCTION("GOOGLETRANSLATE(A5807, ""zh"", ""en"")"),"352022 Social Responsibility Report 5.6 Responsible Marketing Joincare strictly abides by the Advertising Law of the People's Republic of China, the Anti-Unfair Competition Law of the People's Republic of China, the Personal Information Protection Law of "&amp;"the People's Republic of China, and relevant laws and regulations in the locations where our business is operated. We are committed to providing accurate and actual product information during market promotion and marketing. We have formulated a responsibl"&amp;"e marketing policy and disclosed it on the Group's official website to manage and regulate the marketing activities conducted by all employees of the Group and its subsidiaries, including full-time, part-time, and temporary employees.")</f>
        <v>352022 Social Responsibility Report 5.6 Responsible Marketing Joincare strictly abides by the Advertising Law of the People's Republic of China, the Anti-Unfair Competition Law of the People's Republic of China, the Personal Information Protection Law of the People's Republic of China, and relevant laws and regulations in the locations where our business is operated. We are committed to providing accurate and actual product information during market promotion and marketing. We have formulated a responsible marketing policy and disclosed it on the Group's official website to manage and regulate the marketing activities conducted by all employees of the Group and its subsidiaries, including full-time, part-time, and temporary employees.</v>
      </c>
      <c r="B5807" s="1" t="str">
        <f ca="1">IFERROR(__xludf.DUMMYFUNCTION("GOOGLETRANSLATE(A5807, ""zh"", ""en"")"),"Anti-unfair competition")</f>
        <v>Anti-unfair competition</v>
      </c>
      <c r="C5807" s="1" t="str">
        <f ca="1">IFERROR(__xludf.DUMMYFUNCTION("GOOGLETRANSLATE(E5807, ""zh"", ""en"")"),"Qualitative text")</f>
        <v>Qualitative text</v>
      </c>
    </row>
    <row r="5808" spans="1:3" ht="13" x14ac:dyDescent="0.15">
      <c r="A5808" s="1" t="str">
        <f ca="1">IFERROR(__xludf.DUMMYFUNCTION("GOOGLETRANSLATE(A5808, ""zh"", ""en"")"),"Green Technology Company uses ISO14001 standards as a basis to properly and continuously control all processes and uses manual management methods and operating procedures to record level 4 documents. Hisense Vision uses green intelligence as its innovatio"&amp;"n engine, adopts advanced processes and materials, digital power control technology, high-efficiency system design to improve the green structure of products, and makes detailed requirements and descriptions for various work processes. During the reportin"&amp;"g period, the company has improved the environmental protection management methods of construction projects, environmental operation monitoring and protection levels, and has formed comprehensive technical advantages in high-definition smart display.")</f>
        <v>Green Technology Company uses ISO14001 standards as a basis to properly and continuously control all processes and uses manual management methods and operating procedures to record level 4 documents. Hisense Vision uses green intelligence as its innovation engine, adopts advanced processes and materials, digital power control technology, high-efficiency system design to improve the green structure of products, and makes detailed requirements and descriptions for various work processes. During the reporting period, the company has improved the environmental protection management methods of construction projects, environmental operation monitoring and protection levels, and has formed comprehensive technical advantages in high-definition smart display.</v>
      </c>
      <c r="B5808" s="1" t="str">
        <f ca="1">IFERROR(__xludf.DUMMYFUNCTION("GOOGLETRANSLATE(A5808, ""zh"", ""en"")"),"Clean Technology")</f>
        <v>Clean Technology</v>
      </c>
      <c r="C5808" s="1" t="str">
        <f ca="1">IFERROR(__xludf.DUMMYFUNCTION("GOOGLETRANSLATE(E5808, ""zh"", ""en"")"),"Qualitative text")</f>
        <v>Qualitative text</v>
      </c>
    </row>
    <row r="5809" spans="1:3" ht="13" x14ac:dyDescent="0.15">
      <c r="A5809" s="1" t="str">
        <f ca="1">IFERROR(__xludf.DUMMYFUNCTION("GOOGLETRANSLATE(A5809, ""zh"", ""en"")"),"3 persons were elected as members of the Chemical Industry and Engineering Society of China; 2 persons were awarded the China Skills Award; 1 person was recognized as an individual with outstanding contributions to the cultivation of national skilled pers"&amp;"onnel; 7 persons were recognized as national technical experts; By the end of 2022, the company has 9,228 skill expert studios, including national-level skill master studios; 23 academicians of the Chinese Academy of Sciences and the Chinese Academy of En"&amp;"gineering; 360 in-service experts who enjoy special government subsidies; 297 senior experts in the company; In May 2022, the company issued an implementation plan to fully implement the youth science and technology talent training plan.")</f>
        <v>3 persons were elected as members of the Chemical Industry and Engineering Society of China; 2 persons were awarded the China Skills Award; 1 person was recognized as an individual with outstanding contributions to the cultivation of national skilled personnel; 7 persons were recognized as national technical experts; By the end of 2022, the company has 9,228 skill expert studios, including national-level skill master studios; 23 academicians of the Chinese Academy of Sciences and the Chinese Academy of Engineering; 360 in-service experts who enjoy special government subsidies; 297 senior experts in the company; In May 2022, the company issued an implementation plan to fully implement the youth science and technology talent training plan.</v>
      </c>
      <c r="B5809" s="1" t="str">
        <f ca="1">IFERROR(__xludf.DUMMYFUNCTION("GOOGLETRANSLATE(A5809, ""zh"", ""en"")"),"Technological innovation")</f>
        <v>Technological innovation</v>
      </c>
      <c r="C5809" s="1" t="str">
        <f ca="1">IFERROR(__xludf.DUMMYFUNCTION("GOOGLETRANSLATE(E5809, ""zh"", ""en"")"),"Quantitative Text")</f>
        <v>Quantitative Text</v>
      </c>
    </row>
    <row r="5810" spans="1:3" ht="13" x14ac:dyDescent="0.15">
      <c r="A5810" s="1" t="str">
        <f ca="1">IFERROR(__xludf.DUMMYFUNCTION("GOOGLETRANSLATE(A5810, ""zh"", ""en"")"),"Hanlikang Rituximab Injection, the first domestically produced biosimilar, has benefited over 130,000 people. Hanlikang Rituximab Injection, independently developed by Fosun Pharma Group, is China's first biosimilar and officially received marketing appro"&amp;"val from the National Medical Products Administration in February 2019. It became the first drug developed and approved for marketing in China under national biosimilar guidelines for the treatment of non-Hodgkin's lymphoma and chronic lymphocytic leukemi"&amp;"a, filling a gap in the domestic biosimilar market and making the dream of accessible treatment possible for more Chinese patients.")</f>
        <v>Hanlikang Rituximab Injection, the first domestically produced biosimilar, has benefited over 130,000 people. Hanlikang Rituximab Injection, independently developed by Fosun Pharma Group, is China's first biosimilar and officially received marketing approval from the National Medical Products Administration in February 2019. It became the first drug developed and approved for marketing in China under national biosimilar guidelines for the treatment of non-Hodgkin's lymphoma and chronic lymphocytic leukemia, filling a gap in the domestic biosimilar market and making the dream of accessible treatment possible for more Chinese patients.</v>
      </c>
      <c r="B5810" s="1" t="str">
        <f ca="1">IFERROR(__xludf.DUMMYFUNCTION("GOOGLETRANSLATE(A5810, ""zh"", ""en"")"),"Technological innovation")</f>
        <v>Technological innovation</v>
      </c>
      <c r="C5810" s="1" t="str">
        <f ca="1">IFERROR(__xludf.DUMMYFUNCTION("GOOGLETRANSLATE(E5810, ""zh"", ""en"")"),"Qualitative text")</f>
        <v>Qualitative text</v>
      </c>
    </row>
    <row r="5811" spans="1:3" ht="13" x14ac:dyDescent="0.15">
      <c r="A5811" s="1" t="str">
        <f ca="1">IFERROR(__xludf.DUMMYFUNCTION("GOOGLETRANSLATE(A5811, ""zh"", ""en"")"),"Emission reduction equivalent to 10,000 tons of standard coal, CO2 equivalent emission reduction, 10,000 tons of COD emission reduction, 10,000 tons of ammonia nitrogen emission reduction, 10,000 tons of sulfur dioxide emission reduction, 10,000 tons of n"&amp;"itrogen oxide emission reduction, 10,000 tons of water saving. The emission reduction equivalent to standard coal, CO2 equivalent emission reduction, COD emission reduction, ammonia nitrogen emission reduction, sulfur dioxide emission reduction, nitrogen "&amp;"oxide emission reduction, and water saving disclosed in China Construction Bank's social responsibility report refer to the summary of green credit energy conservation and emission reduction calculated by China Construction Bank as of the end of the repor"&amp;"ting period in accordance with the statistical requirements of the Notice of the General Office of the China Banking and Insurance Regulatory Commission on the Green Financing Statistical System.")</f>
        <v>Emission reduction equivalent to 10,000 tons of standard coal, CO2 equivalent emission reduction, 10,000 tons of COD emission reduction, 10,000 tons of ammonia nitrogen emission reduction, 10,000 tons of sulfur dioxide emission reduction, 10,000 tons of nitrogen oxide emission reduction, 10,000 tons of water saving. The emission reduction equivalent to standard coal, CO2 equivalent emission reduction, COD emission reduction, ammonia nitrogen emission reduction, sulfur dioxide emission reduction, nitrogen oxide emission reduction, and water saving disclosed in China Construction Bank's social responsibility report refer to the summary of green credit energy conservation and emission reduction calculated by China Construction Bank as of the end of the reporting period in accordance with the statistical requirements of the Notice of the General Office of the China Banking and Insurance Regulatory Commission on the Green Financing Statistical System.</v>
      </c>
      <c r="B5811" s="1" t="str">
        <f ca="1">IFERROR(__xludf.DUMMYFUNCTION("GOOGLETRANSLATE(A5811, ""zh"", ""en"")"),"carbon emissions")</f>
        <v>carbon emissions</v>
      </c>
      <c r="C5811" s="1" t="str">
        <f ca="1">IFERROR(__xludf.DUMMYFUNCTION("GOOGLETRANSLATE(E5811, ""zh"", ""en"")"),"Quantitative Text")</f>
        <v>Quantitative Text</v>
      </c>
    </row>
    <row r="5812" spans="1:3" ht="13" x14ac:dyDescent="0.15">
      <c r="A5812" s="1" t="str">
        <f ca="1">IFERROR(__xludf.DUMMYFUNCTION("GOOGLETRANSLATE(A5812, ""zh"", ""en"")"),"Promoting a Steady and Long-Term Green Concept 2022 Social Responsibility Report Shanghai Electric Group Co., Ltd. 75 Shanghai Electric's water consumption in 2022 is shown in the table below. Water Consumption and Density 2021 2022 Unit Water Usage 70957"&amp;"806111246.79 Tons Water Consumption per Unit of Output 0.54010.5196 Tons RMB 10,000 Operating Revenue Water resources are the lifeline of manufacturing enterprises. Shanghai Electric has always prioritized water resource management in its production and o"&amp;"perations management.")</f>
        <v>Promoting a Steady and Long-Term Green Concept 2022 Social Responsibility Report Shanghai Electric Group Co., Ltd. 75 Shanghai Electric's water consumption in 2022 is shown in the table below. Water Consumption and Density 2021 2022 Unit Water Usage 70957806111246.79 Tons Water Consumption per Unit of Output 0.54010.5196 Tons RMB 10,000 Operating Revenue Water resources are the lifeline of manufacturing enterprises. Shanghai Electric has always prioritized water resource management in its production and operations management.</v>
      </c>
      <c r="B5812" s="1" t="str">
        <f ca="1">IFERROR(__xludf.DUMMYFUNCTION("GOOGLETRANSLATE(A5812, ""zh"", ""en"")"),"Water resources")</f>
        <v>Water resources</v>
      </c>
      <c r="C5812" s="1" t="str">
        <f ca="1">IFERROR(__xludf.DUMMYFUNCTION("GOOGLETRANSLATE(E5812, ""zh"", ""en"")"),"Quantitative Text")</f>
        <v>Quantitative Text</v>
      </c>
    </row>
    <row r="5813" spans="1:3" ht="13" x14ac:dyDescent="0.15">
      <c r="A5813" s="1" t="str">
        <f ca="1">IFERROR(__xludf.DUMMYFUNCTION("GOOGLETRANSLATE(A5813, ""zh"", ""en"")"),"www..cn Contribute to the United Nations Sustainable Development Goals (SDGs). Protect employee rights and interests. Male employees (65%), female employees (65%), employees aged 18 and below (65%), employees aged 18 and above (65%), employees with a coll"&amp;"ege degree or below (65%), employees with a bachelor's degree (65%), employees with a postgraduate degree (65%), employees with a doctorate or above (65%). Strictly abide by the Labor Law of the People's Republic of China, the Labor Contract Law of the Pe"&amp;"ople's Republic of China, and other relevant laws and regulations. It is strictly prohibited to employ child labor, force labor, restrict employee freedom, and any form of discrimination based on race, gender, religion, age, social background, etc.")</f>
        <v>www..cn Contribute to the United Nations Sustainable Development Goals (SDGs). Protect employee rights and interests. Male employees (65%), female employees (65%), employees aged 18 and below (65%), employees aged 18 and above (65%), employees with a college degree or below (65%), employees with a bachelor's degree (65%), employees with a postgraduate degree (65%), employees with a doctorate or above (65%). Strictly abide by the Labor Law of the People's Republic of China, the Labor Contract Law of the People's Republic of China, and other relevant laws and regulations. It is strictly prohibited to employ child labor, force labor, restrict employee freedom, and any form of discrimination based on race, gender, religion, age, social background, etc.</v>
      </c>
      <c r="B5813" s="1" t="str">
        <f ca="1">IFERROR(__xludf.DUMMYFUNCTION("GOOGLETRANSLATE(A5813, ""zh"", ""en"")"),"staff")</f>
        <v>staff</v>
      </c>
      <c r="C5813" s="1" t="str">
        <f ca="1">IFERROR(__xludf.DUMMYFUNCTION("GOOGLETRANSLATE(E5813, ""zh"", ""en"")"),"Quantitative Text")</f>
        <v>Quantitative Text</v>
      </c>
    </row>
    <row r="5814" spans="1:3" ht="13" x14ac:dyDescent="0.15">
      <c r="A5814" s="1" t="str">
        <f ca="1">IFERROR(__xludf.DUMMYFUNCTION("GOOGLETRANSLATE(A5814, ""zh"", ""en"")"),"Create a brand public welfare project. International company employees participated in voluntary blood donation. On June 29, 2022, the Wuchan Zhongda Group ""Light Up Micro Wishes and Join Hands for Common Prosperity"" theme public welfare activity donati"&amp;"on ceremony was held at the Chatian Town Central Primary School. 03 International Company 35 In June 2022, the Labor Union and Youth League Committee of Yuantong Automobile Group jointly organized the Wuchan Zhongda ""Light Up Micro Wishes and Join Hands "&amp;"for Common Prosperity"" theme public welfare activity. By donating books, stationery and sports equipment, etc., the micro wishes of 237 students in the Chatian Town Central Primary School in Longquan, Lishui were illuminated, successfully helping the chi"&amp;"ldren realize their dreams and conveying love and warmth.")</f>
        <v>Create a brand public welfare project. International company employees participated in voluntary blood donation. On June 29, 2022, the Wuchan Zhongda Group "Light Up Micro Wishes and Join Hands for Common Prosperity" theme public welfare activity donation ceremony was held at the Chatian Town Central Primary School. 03 International Company 35 In June 2022, the Labor Union and Youth League Committee of Yuantong Automobile Group jointly organized the Wuchan Zhongda "Light Up Micro Wishes and Join Hands for Common Prosperity" theme public welfare activity. By donating books, stationery and sports equipment, etc., the micro wishes of 237 students in the Chatian Town Central Primary School in Longquan, Lishui were illuminated, successfully helping the children realize their dreams and conveying love and warmth.</v>
      </c>
      <c r="B5814" s="1" t="str">
        <f ca="1">IFERROR(__xludf.DUMMYFUNCTION("GOOGLETRANSLATE(A5814, ""zh"", ""en"")"),"Public welfare and volunteer service")</f>
        <v>Public welfare and volunteer service</v>
      </c>
      <c r="C5814" s="1" t="str">
        <f ca="1">IFERROR(__xludf.DUMMYFUNCTION("GOOGLETRANSLATE(E5814, ""zh"", ""en"")"),"Quantitative Text")</f>
        <v>Quantitative Text</v>
      </c>
    </row>
    <row r="5815" spans="1:3" ht="13" x14ac:dyDescent="0.15">
      <c r="A5815" s="1" t="str">
        <f ca="1">IFERROR(__xludf.DUMMYFUNCTION("GOOGLETRANSLATE(A5815, ""zh"", ""en"")"),"The event was attended by various member companies of Fosun Pharma, including its pharmaceutical and diagnostic device divisions. The event also featured a series of exciting quality activities, including quality sharing sessions, quality compliance gap a"&amp;"nalysis, and quality culture promotion activities, such as a staff-wide quality knowledge contest, quality culture slogans for each member company, and related activities, including a launch ceremony, poster display, and a series of related activities, in"&amp;"cluding the Quality Star selection organized by the Group. The event featured innovative employee participation, a summit forum, FDA and WHO audit training, and I and VR, which generated high enthusiasm.")</f>
        <v>The event was attended by various member companies of Fosun Pharma, including its pharmaceutical and diagnostic device divisions. The event also featured a series of exciting quality activities, including quality sharing sessions, quality compliance gap analysis, and quality culture promotion activities, such as a staff-wide quality knowledge contest, quality culture slogans for each member company, and related activities, including a launch ceremony, poster display, and a series of related activities, including the Quality Star selection organized by the Group. The event featured innovative employee participation, a summit forum, FDA and WHO audit training, and I and VR, which generated high enthusiasm.</v>
      </c>
      <c r="B5815" s="1" t="str">
        <f ca="1">IFERROR(__xludf.DUMMYFUNCTION("GOOGLETRANSLATE(A5815, ""zh"", ""en"")"),"Product quality")</f>
        <v>Product quality</v>
      </c>
      <c r="C5815" s="1" t="str">
        <f ca="1">IFERROR(__xludf.DUMMYFUNCTION("GOOGLETRANSLATE(E5815, ""zh"", ""en"")"),"Qualitative text")</f>
        <v>Qualitative text</v>
      </c>
    </row>
    <row r="5816" spans="1:3" ht="13" x14ac:dyDescent="0.15">
      <c r="A5816" s="1" t="str">
        <f ca="1">IFERROR(__xludf.DUMMYFUNCTION("GOOGLETRANSLATE(A5816, ""zh"", ""en"")"),"Our Future Plan 83820203040506 Protecting the Planet Exploring a Green and Low-Carbon Future Promoting Diversified and Inclusive Development Responsible Procurement Creating a Sustainable Supply Chain Intelligent Experience Leading a Better Life Uniting H"&amp;"earts and Minds to Promote Equitable Development 01 Global Collaboration Sustainable Governance Ecosystem Uniting Hearts and Minds to Promote Equitable Development Haier Smart Home actively participates in community public welfare programs such as health "&amp;"education, rural construction, and volunteer services, striving to create social value and fulfilling social responsibilities, gathering sincerity and honesty to contribute to building a fairer and better society Haier Energy")</f>
        <v>Our Future Plan 83820203040506 Protecting the Planet Exploring a Green and Low-Carbon Future Promoting Diversified and Inclusive Development Responsible Procurement Creating a Sustainable Supply Chain Intelligent Experience Leading a Better Life Uniting Hearts and Minds to Promote Equitable Development 01 Global Collaboration Sustainable Governance Ecosystem Uniting Hearts and Minds to Promote Equitable Development Haier Smart Home actively participates in community public welfare programs such as health education, rural construction, and volunteer services, striving to create social value and fulfilling social responsibilities, gathering sincerity and honesty to contribute to building a fairer and better society Haier Energy</v>
      </c>
      <c r="B5816" s="1" t="str">
        <f ca="1">IFERROR(__xludf.DUMMYFUNCTION("GOOGLETRANSLATE(A5816, ""zh"", ""en"")"),"Public welfare and volunteer service")</f>
        <v>Public welfare and volunteer service</v>
      </c>
      <c r="C5816" s="1" t="str">
        <f ca="1">IFERROR(__xludf.DUMMYFUNCTION("GOOGLETRANSLATE(E5816, ""zh"", ""en"")"),"Qualitative text")</f>
        <v>Qualitative text</v>
      </c>
    </row>
    <row r="5817" spans="1:3" ht="13" x14ac:dyDescent="0.15">
      <c r="A5817" s="1" t="str">
        <f ca="1">IFERROR(__xludf.DUMMYFUNCTION("GOOGLETRANSLATE(A5817, ""zh"", ""en"")"),"In the afternoon, the company provided free haircuts and calligraphy works to employees at the factory. 19 Youth League branches and youth working groups implemented the 100-responsibility strategy. Shenma Co., Ltd. identified and assessed key factors suc"&amp;"h as risks and opportunities, business development strategies, laws and regulations, stakeholders' needs and expectations, and combined them with the national social responsibility development direction. Based on scientific assessment, in-depth research a"&amp;"nd thorough analysis, more than 100 volunteers participated in volunteer services such as beautifying the factory and supporting production lines, creating a strong atmosphere throughout the company where everyone contributes their best, emulates Lei Feng"&amp;", and strives to be a dedicated screw.")</f>
        <v>In the afternoon, the company provided free haircuts and calligraphy works to employees at the factory. 19 Youth League branches and youth working groups implemented the 100-responsibility strategy. Shenma Co., Ltd. identified and assessed key factors such as risks and opportunities, business development strategies, laws and regulations, stakeholders' needs and expectations, and combined them with the national social responsibility development direction. Based on scientific assessment, in-depth research and thorough analysis, more than 100 volunteers participated in volunteer services such as beautifying the factory and supporting production lines, creating a strong atmosphere throughout the company where everyone contributes their best, emulates Lei Feng, and strives to be a dedicated screw.</v>
      </c>
      <c r="B5817" s="1" t="str">
        <f ca="1">IFERROR(__xludf.DUMMYFUNCTION("GOOGLETRANSLATE(A5817, ""zh"", ""en"")"),"Public welfare and volunteer service")</f>
        <v>Public welfare and volunteer service</v>
      </c>
      <c r="C5817" s="1" t="str">
        <f ca="1">IFERROR(__xludf.DUMMYFUNCTION("GOOGLETRANSLATE(E5817, ""zh"", ""en"")"),"Qualitative text")</f>
        <v>Qualitative text</v>
      </c>
    </row>
    <row r="5818" spans="1:3" ht="13" x14ac:dyDescent="0.15">
      <c r="A5818" s="1" t="str">
        <f ca="1">IFERROR(__xludf.DUMMYFUNCTION("GOOGLETRANSLATE(A5818, ""zh"", ""en"")"),"5 employees were punished with termination of their labor contracts, and 6 employees were punished. The external audit firm, Ernst &amp; Young, conducted internal control audits on the Group's 2022 internal control audit scope, including 19 comprehensive audi"&amp;"t scope companies and 6 specific audit scope companies. Targeting at different business types with different characteristics, the audits were conducted on business modules such as direct control investment business, weak sales business, procurement busine"&amp;"ss, inventory management, financial activities, R&amp;D activities, asset management, financial reporting, external performance evaluation, human resources, tax management, and information systems. There were no major or important deficiencies in this year.")</f>
        <v>5 employees were punished with termination of their labor contracts, and 6 employees were punished. The external audit firm, Ernst &amp; Young, conducted internal control audits on the Group's 2022 internal control audit scope, including 19 comprehensive audit scope companies and 6 specific audit scope companies. Targeting at different business types with different characteristics, the audits were conducted on business modules such as direct control investment business, weak sales business, procurement business, inventory management, financial activities, R&amp;D activities, asset management, financial reporting, external performance evaluation, human resources, tax management, and information systems. There were no major or important deficiencies in this year.</v>
      </c>
      <c r="B5818" s="1" t="str">
        <f ca="1">IFERROR(__xludf.DUMMYFUNCTION("GOOGLETRANSLATE(A5818, ""zh"", ""en"")"),"Audit work")</f>
        <v>Audit work</v>
      </c>
      <c r="C5818" s="1" t="str">
        <f ca="1">IFERROR(__xludf.DUMMYFUNCTION("GOOGLETRANSLATE(E5818, ""zh"", ""en"")"),"Quantitative Text")</f>
        <v>Quantitative Text</v>
      </c>
    </row>
    <row r="5819" spans="1:3" ht="13" x14ac:dyDescent="0.15">
      <c r="A5819" s="1" t="str">
        <f ca="1">IFERROR(__xludf.DUMMYFUNCTION("GOOGLETRANSLATE(A5819, ""zh"", ""en"")"),"Cases involve the field of rare diseases to meet the needs of vulnerable groups. Six major technology R&amp;D platforms: innovative small molecule drug technology platform, oral sustained-release technology platform, special drug abuse prevention platform, lo"&amp;"ng-acting microsphere and liposome technology platform, transdermal drug delivery technology platform, oral mucosal drug delivery technology platform, 1,758 R&amp;D personnel, 1.134 billion yuan, R&amp;D investment, 280 patent applications, 147 new authorized pat"&amp;"ents, 2,728. The company attaches great importance to the construction of R&amp;D talent team and has established a talent echelon of the four-in-one R&amp;D system through introduction and training.")</f>
        <v>Cases involve the field of rare diseases to meet the needs of vulnerable groups. Six major technology R&amp;D platforms: innovative small molecule drug technology platform, oral sustained-release technology platform, special drug abuse prevention platform, long-acting microsphere and liposome technology platform, transdermal drug delivery technology platform, oral mucosal drug delivery technology platform, 1,758 R&amp;D personnel, 1.134 billion yuan, R&amp;D investment, 280 patent applications, 147 new authorized patents, 2,728. The company attaches great importance to the construction of R&amp;D talent team and has established a talent echelon of the four-in-one R&amp;D system through introduction and training.</v>
      </c>
      <c r="B5819" s="1" t="str">
        <f ca="1">IFERROR(__xludf.DUMMYFUNCTION("GOOGLETRANSLATE(A5819, ""zh"", ""en"")"),"Technological innovation")</f>
        <v>Technological innovation</v>
      </c>
      <c r="C5819" s="1" t="str">
        <f ca="1">IFERROR(__xludf.DUMMYFUNCTION("GOOGLETRANSLATE(E5819, ""zh"", ""en"")"),"Quantitative Text")</f>
        <v>Quantitative Text</v>
      </c>
    </row>
    <row r="5820" spans="1:3" ht="13" x14ac:dyDescent="0.15">
      <c r="A5820" s="1" t="str">
        <f ca="1">IFERROR(__xludf.DUMMYFUNCTION("GOOGLETRANSLATE(A5820, ""zh"", ""en"")"),"In the future, COSL will take safeguarding national energy security as its own responsibility, firmly adhere to the path of sustainable development, and persevere in its efforts to build a world-class energy services company with Chinese characteristics. "&amp;"Future Outlook: COSL 2022 ESG Report 61 Appendix Indicator Index Key Areas General Disclosure and Key Performance Indicator Disclosure Page A Environment A1 Emissions General Disclosure Information on policies and compliance with relevant laws and regulat"&amp;"ions that have a significant impact on the issuer, including waste gas and greenhouse gas emissions, discharges to water and land, and the generation of hazardous and non-hazardous wastes.")</f>
        <v>In the future, COSL will take safeguarding national energy security as its own responsibility, firmly adhere to the path of sustainable development, and persevere in its efforts to build a world-class energy services company with Chinese characteristics. Future Outlook: COSL 2022 ESG Report 61 Appendix Indicator Index Key Areas General Disclosure and Key Performance Indicator Disclosure Page A Environment A1 Emissions General Disclosure Information on policies and compliance with relevant laws and regulations that have a significant impact on the issuer, including waste gas and greenhouse gas emissions, discharges to water and land, and the generation of hazardous and non-hazardous wastes.</v>
      </c>
      <c r="B5820" s="1" t="str">
        <f ca="1">IFERROR(__xludf.DUMMYFUNCTION("GOOGLETRANSLATE(A5820, ""zh"", ""en"")"),"Environmental Policy")</f>
        <v>Environmental Policy</v>
      </c>
      <c r="C5820" s="1" t="str">
        <f ca="1">IFERROR(__xludf.DUMMYFUNCTION("GOOGLETRANSLATE(E5820, ""zh"", ""en"")"),"Qualitative text")</f>
        <v>Qualitative text</v>
      </c>
    </row>
    <row r="5821" spans="1:3" ht="13" x14ac:dyDescent="0.15">
      <c r="A5821" s="1" t="str">
        <f ca="1">IFERROR(__xludf.DUMMYFUNCTION("GOOGLETRANSLATE(A5821, ""zh"", ""en"")"),"Safety awareness and training: Yuantong Company's 2022 annual safety production event. Employees practiced cardiopulmonary resuscitation on-site. The group held an all-staff online and offline knowledge competition on safety production. 03 Yuantong Indust"&amp;"rial Company fully completed the various safety production target management responsibility system assessment indicators and work tasks issued in the 2023 safety production and fire protection work target management responsibility letter signed between th"&amp;"e company and the group. 2022 safety production, fire safety and emergency management work deployed by the Party Central Committee, State Council, Provincial Party Committee, Provincial Government, Provincial Safety Committee, various special committees a"&amp;"nd the group company.")</f>
        <v>Safety awareness and training: Yuantong Company's 2022 annual safety production event. Employees practiced cardiopulmonary resuscitation on-site. The group held an all-staff online and offline knowledge competition on safety production. 03 Yuantong Industrial Company fully completed the various safety production target management responsibility system assessment indicators and work tasks issued in the 2023 safety production and fire protection work target management responsibility letter signed between the company and the group. 2022 safety production, fire safety and emergency management work deployed by the Party Central Committee, State Council, Provincial Party Committee, Provincial Government, Provincial Safety Committee, various special committees and the group company.</v>
      </c>
      <c r="B5821" s="1" t="str">
        <f ca="1">IFERROR(__xludf.DUMMYFUNCTION("GOOGLETRANSLATE(A5821, ""zh"", ""en"")"),"staff")</f>
        <v>staff</v>
      </c>
      <c r="C5821" s="1" t="str">
        <f ca="1">IFERROR(__xludf.DUMMYFUNCTION("GOOGLETRANSLATE(E5821, ""zh"", ""en"")"),"Qualitative text")</f>
        <v>Qualitative text</v>
      </c>
    </row>
    <row r="5822" spans="1:3" ht="13" x14ac:dyDescent="0.15">
      <c r="A5822" s="1" t="str">
        <f ca="1">IFERROR(__xludf.DUMMYFUNCTION("GOOGLETRANSLATE(A5822, ""zh"", ""en"")"),"Emission level indicators of major pollutants in wastewater of the Company and its major subsidiaries Total amount Total weight of hazardous waste in tons Total weight of non-hazardous waste in tons Unit 2019 2020 2021 2019 2020 2021 Protecting biodiversi"&amp;"ty Shenma Co., Ltd. 621.944 18.949 21.19 1172 48 1179 845 210 69 0.5 Shenma Dizi Cloth 202.618 1.645 242.546 OE 2323 Biodiversity is the foundation of human survival and development")</f>
        <v>Emission level indicators of major pollutants in wastewater of the Company and its major subsidiaries Total amount Total weight of hazardous waste in tons Total weight of non-hazardous waste in tons Unit 2019 2020 2021 2019 2020 2021 Protecting biodiversity Shenma Co., Ltd. 621.944 18.949 21.19 1172 48 1179 845 210 69 0.5 Shenma Dizi Cloth 202.618 1.645 242.546 OE 2323 Biodiversity is the foundation of human survival and development</v>
      </c>
      <c r="B5822" s="1" t="str">
        <f ca="1">IFERROR(__xludf.DUMMYFUNCTION("GOOGLETRANSLATE(A5822, ""zh"", ""en"")"),"Waste Management")</f>
        <v>Waste Management</v>
      </c>
      <c r="C5822" s="1" t="str">
        <f ca="1">IFERROR(__xludf.DUMMYFUNCTION("GOOGLETRANSLATE(E5822, ""zh"", ""en"")"),"Quantitative Text")</f>
        <v>Quantitative Text</v>
      </c>
    </row>
    <row r="5823" spans="1:3" ht="13" x14ac:dyDescent="0.15">
      <c r="A5823" s="1" t="str">
        <f ca="1">IFERROR(__xludf.DUMMYFUNCTION("GOOGLETRANSLATE(A5823, ""zh"", ""en"")"),"Under the premise of preventing other industrial wastes including storage and disposal to cause pollution to the environment, we strengthen the resource recovery of 45.476.2 tons of wastes in the waste, and entrust third-party qualified units to carry out"&amp;" compliant disposal and management of wastes, reduce the amount of wastes, and safely and compliantly treat and reuse such industrial wastes for resource recovery. We actively improve employees' understanding of biochemical waste, including recycled waste"&amp;" packaging materials and animal pancreatic residues, to achieve sustainable resource utilization of wastes.")</f>
        <v>Under the premise of preventing other industrial wastes including storage and disposal to cause pollution to the environment, we strengthen the resource recovery of 45.476.2 tons of wastes in the waste, and entrust third-party qualified units to carry out compliant disposal and management of wastes, reduce the amount of wastes, and safely and compliantly treat and reuse such industrial wastes for resource recovery. We actively improve employees' understanding of biochemical waste, including recycled waste packaging materials and animal pancreatic residues, to achieve sustainable resource utilization of wastes.</v>
      </c>
      <c r="B5823" s="1" t="str">
        <f ca="1">IFERROR(__xludf.DUMMYFUNCTION("GOOGLETRANSLATE(A5823, ""zh"", ""en"")"),"Waste Management")</f>
        <v>Waste Management</v>
      </c>
      <c r="C5823" s="1" t="str">
        <f ca="1">IFERROR(__xludf.DUMMYFUNCTION("GOOGLETRANSLATE(E5823, ""zh"", ""en"")"),"Quantitative Text")</f>
        <v>Quantitative Text</v>
      </c>
    </row>
    <row r="5824" spans="1:3" ht="13" x14ac:dyDescent="0.15">
      <c r="A5824" s="1" t="str">
        <f ca="1">IFERROR(__xludf.DUMMYFUNCTION("GOOGLETRANSLATE(A5824, ""zh"", ""en"")"),"Sinopec Corp., a 99100 registered company, strengthens its corporate governance, addresses climate change, respects human rights and talent development, protects the environment, and fulfills social responsibilities. It implements multiple measures to cre"&amp;"ate safe and high-quality products. It proposes the concept of inherent safety in refined oil product quality. It pioneered research in China on the harmful effects of illegally added components in oil products and established an innovative refined oil in"&amp;"ternal control indicator system encompassing 21 indicators and seven testing methods, covering gasoline, diesel, and denatured fuel ethanol. This system addresses gaps in national standards and fills a domestic gap.")</f>
        <v>Sinopec Corp., a 99100 registered company, strengthens its corporate governance, addresses climate change, respects human rights and talent development, protects the environment, and fulfills social responsibilities. It implements multiple measures to create safe and high-quality products. It proposes the concept of inherent safety in refined oil product quality. It pioneered research in China on the harmful effects of illegally added components in oil products and established an innovative refined oil internal control indicator system encompassing 21 indicators and seven testing methods, covering gasoline, diesel, and denatured fuel ethanol. This system addresses gaps in national standards and fills a domestic gap.</v>
      </c>
      <c r="B5824" s="1" t="str">
        <f ca="1">IFERROR(__xludf.DUMMYFUNCTION("GOOGLETRANSLATE(A5824, ""zh"", ""en"")"),"Product quality")</f>
        <v>Product quality</v>
      </c>
      <c r="C5824" s="1" t="str">
        <f ca="1">IFERROR(__xludf.DUMMYFUNCTION("GOOGLETRANSLATE(E5824, ""zh"", ""en"")"),"Qualitative text")</f>
        <v>Qualitative text</v>
      </c>
    </row>
    <row r="5825" spans="1:3" ht="13" x14ac:dyDescent="0.15">
      <c r="A5825" s="1" t="str">
        <f ca="1">IFERROR(__xludf.DUMMYFUNCTION("GOOGLETRANSLATE(A5825, ""zh"", ""en"")"),"The platform includes four modules: database, micro-site selection, wind farm design, and post-evaluation. It integrates a complete wind resource assessment workflow, collects, cleans, analyzes, utilizes, and manages the massive amount of information gene"&amp;"rated throughout the wind farm's life cycle. At the same time, it leverages cloud service technology to enable refined data processing, specifically addressing the lack of a refined, full-process standard methodology and a unified management platform in t"&amp;"raditional wind resource assessments. It also provides an overall optimal solution from the owner's perspective, ensuring safety, power generation, and cost per kilowatt-hour.")</f>
        <v>The platform includes four modules: database, micro-site selection, wind farm design, and post-evaluation. It integrates a complete wind resource assessment workflow, collects, cleans, analyzes, utilizes, and manages the massive amount of information generated throughout the wind farm's life cycle. At the same time, it leverages cloud service technology to enable refined data processing, specifically addressing the lack of a refined, full-process standard methodology and a unified management platform in traditional wind resource assessments. It also provides an overall optimal solution from the owner's perspective, ensuring safety, power generation, and cost per kilowatt-hour.</v>
      </c>
      <c r="B5825" s="1" t="str">
        <f ca="1">IFERROR(__xludf.DUMMYFUNCTION("GOOGLETRANSLATE(A5825, ""zh"", ""en"")"),"Technological innovation")</f>
        <v>Technological innovation</v>
      </c>
      <c r="C5825" s="1" t="str">
        <f ca="1">IFERROR(__xludf.DUMMYFUNCTION("GOOGLETRANSLATE(E5825, ""zh"", ""en"")"),"Qualitative text")</f>
        <v>Qualitative text</v>
      </c>
    </row>
    <row r="5826" spans="1:3" ht="13" x14ac:dyDescent="0.15">
      <c r="A5826" s="1" t="str">
        <f ca="1">IFERROR(__xludf.DUMMYFUNCTION("GOOGLETRANSLATE(A5826, ""zh"", ""en"")"),"At the same time, each member and artificial intelligence and professional medical research in various fields support the company to carry out various customer satisfaction surveys, and realize auxiliary diagnosis and treatment through questionnaires, acc"&amp;"urate matching of doctors and patients, etc. By searching the customer image user database through the form of sea surveys and customer interviews, the diagnosis and treatment records of similar diseases in the past are accumulated to analyze the needs of"&amp;" customers, identify customer needs and expectations, and make better suggestions for the patient's condition through comparison and analysis. Differentiated services and higher quality and more effective diagnosis solutions are provided according to the "&amp;"needs of different customers. Leading diagnosis and treatment methods are introduced to provide multiple health solutions.")</f>
        <v>At the same time, each member and artificial intelligence and professional medical research in various fields support the company to carry out various customer satisfaction surveys, and realize auxiliary diagnosis and treatment through questionnaires, accurate matching of doctors and patients, etc. By searching the customer image user database through the form of sea surveys and customer interviews, the diagnosis and treatment records of similar diseases in the past are accumulated to analyze the needs of customers, identify customer needs and expectations, and make better suggestions for the patient's condition through comparison and analysis. Differentiated services and higher quality and more effective diagnosis solutions are provided according to the needs of different customers. Leading diagnosis and treatment methods are introduced to provide multiple health solutions.</v>
      </c>
      <c r="B5826" s="1" t="str">
        <f ca="1">IFERROR(__xludf.DUMMYFUNCTION("GOOGLETRANSLATE(A5826, ""zh"", ""en"")"),"Customers and Consumers")</f>
        <v>Customers and Consumers</v>
      </c>
      <c r="C5826" s="1" t="str">
        <f ca="1">IFERROR(__xludf.DUMMYFUNCTION("GOOGLETRANSLATE(E5826, ""zh"", ""en"")"),"Qualitative text")</f>
        <v>Qualitative text</v>
      </c>
    </row>
    <row r="5827" spans="1:3" ht="13" x14ac:dyDescent="0.15">
      <c r="A5827" s="1" t="str">
        <f ca="1">IFERROR(__xludf.DUMMYFUNCTION("GOOGLETRANSLATE(A5827, ""zh"", ""en"")"),"4. Build an employee training system and development channels. To meet the company's strategic development and job requirements, and to meet the personalized development and professional quality improvement of employees, establish a talent echelon trainin"&amp;"g system for the company to provide talent guarantee for the realization of the company's strategic goals. In 2022, the company organized and carried out two training systems: the Strong Talent Plan Specialist Training and the China Animal Husbandry Lectu"&amp;"re Series. The training content covers a number of topics such as financial management, corporate investment, human resources management, information technology, intelligent manufacturing, safe production, and compliance management, which effectively impr"&amp;"oved the professional capabilities and comprehensive management level of the majority of cadres and employees.")</f>
        <v>4. Build an employee training system and development channels. To meet the company's strategic development and job requirements, and to meet the personalized development and professional quality improvement of employees, establish a talent echelon training system for the company to provide talent guarantee for the realization of the company's strategic goals. In 2022, the company organized and carried out two training systems: the Strong Talent Plan Specialist Training and the China Animal Husbandry Lecture Series. The training content covers a number of topics such as financial management, corporate investment, human resources management, information technology, intelligent manufacturing, safe production, and compliance management, which effectively improved the professional capabilities and comprehensive management level of the majority of cadres and employees.</v>
      </c>
      <c r="B5827" s="1" t="str">
        <f ca="1">IFERROR(__xludf.DUMMYFUNCTION("GOOGLETRANSLATE(A5827, ""zh"", ""en"")"),"staff")</f>
        <v>staff</v>
      </c>
      <c r="C5827" s="1" t="str">
        <f ca="1">IFERROR(__xludf.DUMMYFUNCTION("GOOGLETRANSLATE(E5827, ""zh"", ""en"")"),"Qualitative text")</f>
        <v>Qualitative text</v>
      </c>
    </row>
    <row r="5828" spans="1:3" ht="13" x14ac:dyDescent="0.15">
      <c r="A5828" s="1" t="str">
        <f ca="1">IFERROR(__xludf.DUMMYFUNCTION("GOOGLETRANSLATE(A5828, ""zh"", ""en"")"),"24 CITIC Securities 2022 Annual Social Responsibility Report The company actively participated in the underwriting of ESG-related interest rate products. In 2022, it underwrote 11 green policy bank financial bonds with a total issuance amount of 71.77 bil"&amp;"lion yuan and a total underwriting amount of 5.98 billion yuan. It also ranked among the top underwriters in many bond issues. The relevant bonds were widely invested in the construction of low-carbon transportation systems, clean energy equipment manufac"&amp;"turing, protection and restoration of the Yangtze River Basin ecosystem, green infrastructure upgrades, and support for the construction of high-standard farmland in national reserve forests, and other key areas of the national dual carbon strategy.")</f>
        <v>24 CITIC Securities 2022 Annual Social Responsibility Report The company actively participated in the underwriting of ESG-related interest rate products. In 2022, it underwrote 11 green policy bank financial bonds with a total issuance amount of 71.77 billion yuan and a total underwriting amount of 5.98 billion yuan. It also ranked among the top underwriters in many bond issues. The relevant bonds were widely invested in the construction of low-carbon transportation systems, clean energy equipment manufacturing, protection and restoration of the Yangtze River Basin ecosystem, green infrastructure upgrades, and support for the construction of high-standard farmland in national reserve forests, and other key areas of the national dual carbon strategy.</v>
      </c>
      <c r="B5828" s="1" t="str">
        <f ca="1">IFERROR(__xludf.DUMMYFUNCTION("GOOGLETRANSLATE(A5828, ""zh"", ""en"")"),"Green Finance")</f>
        <v>Green Finance</v>
      </c>
      <c r="C5828" s="1" t="str">
        <f ca="1">IFERROR(__xludf.DUMMYFUNCTION("GOOGLETRANSLATE(E5828, ""zh"", ""en"")"),"Quantitative Text")</f>
        <v>Quantitative Text</v>
      </c>
    </row>
    <row r="5829" spans="1:3" ht="13" x14ac:dyDescent="0.15">
      <c r="A5829" s="1" t="str">
        <f ca="1">IFERROR(__xludf.DUMMYFUNCTION("GOOGLETRANSLATE(A5829, ""zh"", ""en"")"),"This year, 2,511 domestic factory special operations personnel completed certification training, 7,699 people were trained in 146 types of dangerous equipment and dangerous jobs, and the Safety Production Month activities covered 66 organizations. A total"&amp;" of 59,887 people participated, and 205 of the most beautiful safety makers were selected. We will adhere to the core concept of people-oriented, always protect the rights and interests of employees, care about their physical and mental health, expand emp"&amp;"loyee promotion channels, motivate employee development, create a diverse and harmonious working atmosphere for employees, thereby stimulating their potential, unleashing their value, and achieving a win-win situation for employee happiness and corporate "&amp;"development.")</f>
        <v>This year, 2,511 domestic factory special operations personnel completed certification training, 7,699 people were trained in 146 types of dangerous equipment and dangerous jobs, and the Safety Production Month activities covered 66 organizations. A total of 59,887 people participated, and 205 of the most beautiful safety makers were selected. We will adhere to the core concept of people-oriented, always protect the rights and interests of employees, care about their physical and mental health, expand employee promotion channels, motivate employee development, create a diverse and harmonious working atmosphere for employees, thereby stimulating their potential, unleashing their value, and achieving a win-win situation for employee happiness and corporate development.</v>
      </c>
      <c r="B5829" s="1" t="str">
        <f ca="1">IFERROR(__xludf.DUMMYFUNCTION("GOOGLETRANSLATE(A5829, ""zh"", ""en"")"),"staff")</f>
        <v>staff</v>
      </c>
      <c r="C5829" s="1" t="str">
        <f ca="1">IFERROR(__xludf.DUMMYFUNCTION("GOOGLETRANSLATE(E5829, ""zh"", ""en"")"),"Quantitative Text")</f>
        <v>Quantitative Text</v>
      </c>
    </row>
    <row r="5830" spans="1:3" ht="13" x14ac:dyDescent="0.15">
      <c r="A5830" s="1" t="str">
        <f ca="1">IFERROR(__xludf.DUMMYFUNCTION("GOOGLETRANSLATE(A5830, ""zh"", ""en"")"),"As of the end of 2022, a total of 513 FOSUNPHARMA Green Belts, 20 Xi Belts, and 17 FES Senior Experts have been trained. As of the end of 2022, the production lines of the Group's pharmaceutical business member companies that have passed GMP compliance in"&amp;"spections include 37 sterile preparation production lines, 32 oral preparation production lines, and 89 APIs. More than 20 APIs of the Group's domestic pharmaceutical member companies have passed GMP certifications from national health departments such as"&amp;" the U.S. FDA, the European Union, and the Japanese Ministry of Health, Labor and Welfare.")</f>
        <v>As of the end of 2022, a total of 513 FOSUNPHARMA Green Belts, 20 Xi Belts, and 17 FES Senior Experts have been trained. As of the end of 2022, the production lines of the Group's pharmaceutical business member companies that have passed GMP compliance inspections include 37 sterile preparation production lines, 32 oral preparation production lines, and 89 APIs. More than 20 APIs of the Group's domestic pharmaceutical member companies have passed GMP certifications from national health departments such as the U.S. FDA, the European Union, and the Japanese Ministry of Health, Labor and Welfare.</v>
      </c>
      <c r="B5830" s="1" t="str">
        <f ca="1">IFERROR(__xludf.DUMMYFUNCTION("GOOGLETRANSLATE(A5830, ""zh"", ""en"")"),"Product quality")</f>
        <v>Product quality</v>
      </c>
      <c r="C5830" s="1" t="str">
        <f ca="1">IFERROR(__xludf.DUMMYFUNCTION("GOOGLETRANSLATE(E5830, ""zh"", ""en"")"),"Quantitative Text")</f>
        <v>Quantitative Text</v>
      </c>
    </row>
    <row r="5831" spans="1:3" ht="13" x14ac:dyDescent="0.15">
      <c r="A5831" s="1" t="str">
        <f ca="1">IFERROR(__xludf.DUMMYFUNCTION("GOOGLETRANSLATE(A5831, ""zh"", ""en"")"),"In response to the relevant national regulations on software legalization, we have ensured the computer network security of all departments and employees of our company. We have completed the full coverage of software legalization for the Wuchan Environme"&amp;"ntal Energy headquarters and its secondary subsidiaries. We have responded to the group's requirements for safe, economical and efficient management of the Wuchan Cloud Platform 2.0. We have coordinated with platform suppliers to take the lead in completi"&amp;"ng the migration and upgrade of system platforms such as the EAS system, logistics system, capital system, OA system, security digital platform, training system, EAM system, and smart environmental protection cloud. Through the migration of the platform, "&amp;"we have standardized the management of servers and improved the security of the system.")</f>
        <v>In response to the relevant national regulations on software legalization, we have ensured the computer network security of all departments and employees of our company. We have completed the full coverage of software legalization for the Wuchan Environmental Energy headquarters and its secondary subsidiaries. We have responded to the group's requirements for safe, economical and efficient management of the Wuchan Cloud Platform 2.0. We have coordinated with platform suppliers to take the lead in completing the migration and upgrade of system platforms such as the EAS system, logistics system, capital system, OA system, security digital platform, training system, EAM system, and smart environmental protection cloud. Through the migration of the platform, we have standardized the management of servers and improved the security of the system.</v>
      </c>
      <c r="B5831" s="1" t="str">
        <f ca="1">IFERROR(__xludf.DUMMYFUNCTION("GOOGLETRANSLATE(A5831, ""zh"", ""en"")"),"Data security")</f>
        <v>Data security</v>
      </c>
      <c r="C5831" s="1" t="str">
        <f ca="1">IFERROR(__xludf.DUMMYFUNCTION("GOOGLETRANSLATE(E5831, ""zh"", ""en"")"),"Qualitative text")</f>
        <v>Qualitative text</v>
      </c>
    </row>
    <row r="5832" spans="1:3" ht="13" x14ac:dyDescent="0.15">
      <c r="A5832" s="1" t="str">
        <f ca="1">IFERROR(__xludf.DUMMYFUNCTION("GOOGLETRANSLATE(A5832, ""zh"", ""en"")"),"Intern integration program, new employee training, executive A- and B-level party and government training, on-the-job training for all ranks, promotion training, product specialists, trading specialists, executive specialists, mandatory supervisory traini"&amp;"ng, business skills lectures, business group leaders, key personnel, new employee professional sequences, professional talent, new employee full-staff management sequence, pilot program, long-distance sailing program, sailing program, and departure progra"&amp;"m for management talent. 40 CITIC Securities 2022 Annual Social Responsibility Report, full-staff training, new employee training, and management talent training. The company develops targeted online training plans based on the weak links in each employee"&amp;"'s quality and ability requirements.")</f>
        <v>Intern integration program, new employee training, executive A- and B-level party and government training, on-the-job training for all ranks, promotion training, product specialists, trading specialists, executive specialists, mandatory supervisory training, business skills lectures, business group leaders, key personnel, new employee professional sequences, professional talent, new employee full-staff management sequence, pilot program, long-distance sailing program, sailing program, and departure program for management talent. 40 CITIC Securities 2022 Annual Social Responsibility Report, full-staff training, new employee training, and management talent training. The company develops targeted online training plans based on the weak links in each employee's quality and ability requirements.</v>
      </c>
      <c r="B5832" s="1" t="str">
        <f ca="1">IFERROR(__xludf.DUMMYFUNCTION("GOOGLETRANSLATE(A5832, ""zh"", ""en"")"),"staff")</f>
        <v>staff</v>
      </c>
      <c r="C5832" s="1" t="str">
        <f ca="1">IFERROR(__xludf.DUMMYFUNCTION("GOOGLETRANSLATE(E5832, ""zh"", ""en"")"),"Qualitative text")</f>
        <v>Qualitative text</v>
      </c>
    </row>
    <row r="5833" spans="1:3" ht="13" x14ac:dyDescent="0.15">
      <c r="A5833" s="1" t="str">
        <f ca="1">IFERROR(__xludf.DUMMYFUNCTION("GOOGLETRANSLATE(A5833, ""zh"", ""en"")"),"Leng Weiqing, with the theme of ""Deeply Study and Implement the Spirit of the 20th CPC National Congress and Stand at a New Historical Starting Point to Strive to Create a New Situation for High-Quality Development of Shanghai Electric,"" gave a thorough"&amp;" interpretation of the main contents of the 20th CPC National Congress, including the work of the past five years and the great changes of the past ten years in the new era, the mission and tasks of the Communist Party of China in the new era and the new "&amp;"journey, as well as the acceleration of building a new development pattern and focusing on promoting high-quality development. He arranged and deployed the group's study, publicity and implementation work, and put forward clear requirements for Shanghai M"&amp;"itsubishi Elevator to fully complete the goals of the second phase of the 2025 Action Plan.")</f>
        <v>Leng Weiqing, with the theme of "Deeply Study and Implement the Spirit of the 20th CPC National Congress and Stand at a New Historical Starting Point to Strive to Create a New Situation for High-Quality Development of Shanghai Electric," gave a thorough interpretation of the main contents of the 20th CPC National Congress, including the work of the past five years and the great changes of the past ten years in the new era, the mission and tasks of the Communist Party of China in the new era and the new journey, as well as the acceleration of building a new development pattern and focusing on promoting high-quality development. He arranged and deployed the group's study, publicity and implementation work, and put forward clear requirements for Shanghai Mitsubishi Elevator to fully complete the goals of the second phase of the 2025 Action Plan.</v>
      </c>
      <c r="B5833" s="1" t="str">
        <f ca="1">IFERROR(__xludf.DUMMYFUNCTION("GOOGLETRANSLATE(A5833, ""zh"", ""en"")"),"Organizational structure and operations")</f>
        <v>Organizational structure and operations</v>
      </c>
      <c r="C5833" s="1" t="str">
        <f ca="1">IFERROR(__xludf.DUMMYFUNCTION("GOOGLETRANSLATE(E5833, ""zh"", ""en"")"),"Qualitative text")</f>
        <v>Qualitative text</v>
      </c>
    </row>
    <row r="5834" spans="1:3" ht="13" x14ac:dyDescent="0.15">
      <c r="A5834" s="1" t="str">
        <f ca="1">IFERROR(__xludf.DUMMYFUNCTION("GOOGLETRANSLATE(A5834, ""zh"", ""en"")"),"Since 2018, the company has implemented the requirements of the national pollution prevention and control campaign and vigorously implemented wastewater treatment upgrades, ultra-low emission transformation of waste gas, clean production and fuel substitu"&amp;"tion projects, and other emission reduction projects. Pollutant emissions have dropped significantly. At the same time, according to the results of the second national pollution source census and the specific standards for pollutant emission accounting st"&amp;"ipulated in the technical specifications for the application and issuance of pollution discharge permits in industries related to the company's business, the company's pollutant emission statistics will be calculated using online pollution source monitori"&amp;"ng data as the preferred accounting method starting from 2021.")</f>
        <v>Since 2018, the company has implemented the requirements of the national pollution prevention and control campaign and vigorously implemented wastewater treatment upgrades, ultra-low emission transformation of waste gas, clean production and fuel substitution projects, and other emission reduction projects. Pollutant emissions have dropped significantly. At the same time, according to the results of the second national pollution source census and the specific standards for pollutant emission accounting stipulated in the technical specifications for the application and issuance of pollution discharge permits in industries related to the company's business, the company's pollutant emission statistics will be calculated using online pollution source monitoring data as the preferred accounting method starting from 2021.</v>
      </c>
      <c r="B5834" s="1" t="str">
        <f ca="1">IFERROR(__xludf.DUMMYFUNCTION("GOOGLETRANSLATE(A5834, ""zh"", ""en"")"),"Waste Management")</f>
        <v>Waste Management</v>
      </c>
      <c r="C5834" s="1" t="str">
        <f ca="1">IFERROR(__xludf.DUMMYFUNCTION("GOOGLETRANSLATE(E5834, ""zh"", ""en"")"),"Qualitative text")</f>
        <v>Qualitative text</v>
      </c>
    </row>
    <row r="5835" spans="1:3" ht="13" x14ac:dyDescent="0.15">
      <c r="A5835" s="1" t="str">
        <f ca="1">IFERROR(__xludf.DUMMYFUNCTION("GOOGLETRANSLATE(A5835, ""zh"", ""en"")"),"98 disclosure announcements received 879 investor emails submitted 145 announcement materials answered 97 questions on the SSE E-interactive platform answered nearly 800 calls to the investor hotline conducted 17 shareholder surveys, roadshows and peer ex"&amp;"changes total number of directors 9 other professional directors not related to the core business 4 of whom 3 are independent directors and 2 are female directors 2022 ESG report of SDIC Capital strengthens the foundation of sustainable development 2627 R"&amp;"isk compliance strengthens risk management SDIC Capital will strengthen risk control capability building as a key task of business management and will continue to work hard")</f>
        <v>98 disclosure announcements received 879 investor emails submitted 145 announcement materials answered 97 questions on the SSE E-interactive platform answered nearly 800 calls to the investor hotline conducted 17 shareholder surveys, roadshows and peer exchanges total number of directors 9 other professional directors not related to the core business 4 of whom 3 are independent directors and 2 are female directors 2022 ESG report of SDIC Capital strengthens the foundation of sustainable development 2627 Risk compliance strengthens risk management SDIC Capital will strengthen risk control capability building as a key task of business management and will continue to work hard</v>
      </c>
      <c r="B5835" s="1" t="str">
        <f ca="1">IFERROR(__xludf.DUMMYFUNCTION("GOOGLETRANSLATE(A5835, ""zh"", ""en"")"),"Organizational structure and operations")</f>
        <v>Organizational structure and operations</v>
      </c>
      <c r="C5835" s="1" t="str">
        <f ca="1">IFERROR(__xludf.DUMMYFUNCTION("GOOGLETRANSLATE(E5835, ""zh"", ""en"")"),"Quantitative Text")</f>
        <v>Quantitative Text</v>
      </c>
    </row>
    <row r="5836" spans="1:3" ht="13" x14ac:dyDescent="0.15">
      <c r="A5836" s="1" t="str">
        <f ca="1">IFERROR(__xludf.DUMMYFUNCTION("GOOGLETRANSLATE(A5836, ""zh"", ""en"")"),"Chairman Huang Jianrong of the China-Tajikistan Friendship Association visited the Chinese Ambassador to Tajikistan. The company's chairman and the Tajik Ministry of Industry signed a letter of responsibility for the zinc concentrate smelting replacement "&amp;"project. During the reporting period, Li Yaohui, Vice President of Tibet Mount Everest and General Manager of Tazhong Mining, attended the International Trade Union Federation Conference held in Tajikistan and was awarded the highest honor medal, the Meda"&amp;"l of Honor for Diligence in Work, by the Metal Industry Union. This is a recognition of Mr. Li Yaohui's hard work and dedication to the company and the union, and also a recognition of the active fundraising and employment opportunities provided by Tazhon"&amp;"g Mining, its employees, and Tibet Mount Everest in promoting Tajikistan's development.")</f>
        <v>Chairman Huang Jianrong of the China-Tajikistan Friendship Association visited the Chinese Ambassador to Tajikistan. The company's chairman and the Tajik Ministry of Industry signed a letter of responsibility for the zinc concentrate smelting replacement project. During the reporting period, Li Yaohui, Vice President of Tibet Mount Everest and General Manager of Tazhong Mining, attended the International Trade Union Federation Conference held in Tajikistan and was awarded the highest honor medal, the Medal of Honor for Diligence in Work, by the Metal Industry Union. This is a recognition of Mr. Li Yaohui's hard work and dedication to the company and the union, and also a recognition of the active fundraising and employment opportunities provided by Tazhong Mining, its employees, and Tibet Mount Everest in promoting Tajikistan's development.</v>
      </c>
      <c r="B5836" s="1" t="str">
        <f ca="1">IFERROR(__xludf.DUMMYFUNCTION("GOOGLETRANSLATE(A5836, ""zh"", ""en"")"),"Promoting employment")</f>
        <v>Promoting employment</v>
      </c>
      <c r="C5836" s="1" t="str">
        <f ca="1">IFERROR(__xludf.DUMMYFUNCTION("GOOGLETRANSLATE(E5836, ""zh"", ""en"")"),"Qualitative text")</f>
        <v>Qualitative text</v>
      </c>
    </row>
    <row r="5837" spans="1:3" ht="13" x14ac:dyDescent="0.15">
      <c r="A5837" s="1" t="str">
        <f ca="1">IFERROR(__xludf.DUMMYFUNCTION("GOOGLETRANSLATE(A5837, ""zh"", ""en"")"),"Actively respond to the national strategy of digital security development. Build a digital security research foundation and comprehensive experimental platform based on the relevant guidelines and suggestions of my country's digital security higher educat"&amp;"ion. Build a one-platform, multi-system, strong scientific research and teaching digital security capability test and verification platform. Provide comprehensive digital security scientific research, experimentation and training services based on data se"&amp;"curity, AI security, IoT security, information security, supply chain security, etc. for the education field. At the same time, support the overall design of digital security for typical scenarios such as industrial Internet, digital city information secu"&amp;"rity, open innovation capability verification and sustainable development.")</f>
        <v>Actively respond to the national strategy of digital security development. Build a digital security research foundation and comprehensive experimental platform based on the relevant guidelines and suggestions of my country's digital security higher education. Build a one-platform, multi-system, strong scientific research and teaching digital security capability test and verification platform. Provide comprehensive digital security scientific research, experimentation and training services based on data security, AI security, IoT security, information security, supply chain security, etc. for the education field. At the same time, support the overall design of digital security for typical scenarios such as industrial Internet, digital city information security, open innovation capability verification and sustainable development.</v>
      </c>
      <c r="B5837" s="1" t="str">
        <f ca="1">IFERROR(__xludf.DUMMYFUNCTION("GOOGLETRANSLATE(A5837, ""zh"", ""en"")"),"Data security")</f>
        <v>Data security</v>
      </c>
      <c r="C5837" s="1" t="str">
        <f ca="1">IFERROR(__xludf.DUMMYFUNCTION("GOOGLETRANSLATE(E5837, ""zh"", ""en"")"),"Qualitative text")</f>
        <v>Qualitative text</v>
      </c>
    </row>
    <row r="5838" spans="1:3" ht="13" x14ac:dyDescent="0.15">
      <c r="A5838" s="1" t="str">
        <f ca="1">IFERROR(__xludf.DUMMYFUNCTION("GOOGLETRANSLATE(A5838, ""zh"", ""en"")"),"IonFactors V11.0 IGH Case Study: Procuring Green Electricity and Investing in Internal Photovoltaic Power Generation Projects. Fosun Pharma Group, based on existing policies, defines green electricity consumption channels. Furthermore, it analyzes member "&amp;"companies that lack the applicable conditions for the installation of distributed renewable energy power generation systems, project economic factors, market maturity, and other factors, or whose resources are insufficient to meet green electricity consum"&amp;"ption needs. It also provides suggestions on how member companies should choose and participate, and proposes recommendations on green electricity consumption based on the types of trading services provided by local power trading markets.")</f>
        <v>IonFactors V11.0 IGH Case Study: Procuring Green Electricity and Investing in Internal Photovoltaic Power Generation Projects. Fosun Pharma Group, based on existing policies, defines green electricity consumption channels. Furthermore, it analyzes member companies that lack the applicable conditions for the installation of distributed renewable energy power generation systems, project economic factors, market maturity, and other factors, or whose resources are insufficient to meet green electricity consumption needs. It also provides suggestions on how member companies should choose and participate, and proposes recommendations on green electricity consumption based on the types of trading services provided by local power trading markets.</v>
      </c>
      <c r="B5838" s="1" t="str">
        <f ca="1">IFERROR(__xludf.DUMMYFUNCTION("GOOGLETRANSLATE(A5838, ""zh"", ""en"")"),"Energy and resource consumption")</f>
        <v>Energy and resource consumption</v>
      </c>
      <c r="C5838" s="1" t="str">
        <f ca="1">IFERROR(__xludf.DUMMYFUNCTION("GOOGLETRANSLATE(E5838, ""zh"", ""en"")"),"Qualitative text")</f>
        <v>Qualitative text</v>
      </c>
    </row>
    <row r="5839" spans="1:3" ht="13" x14ac:dyDescent="0.15">
      <c r="A5839" s="1" t="str">
        <f ca="1">IFERROR(__xludf.DUMMYFUNCTION("GOOGLETRANSLATE(A5839, ""zh"", ""en"")"),"18031680189020105.65.35.86.16.98.17.615961714277530453262365436752071172619468.48.911951106122713151519237308.5Green Power Optimizing the Energy Structure We have incorporated green and low-carbon development into one of our five strategic priorities, pla"&amp;"cing new energy and new businesses on an equal footing with our oil and gas operations and actively promoting our green and low-carbon transformation and development.")</f>
        <v>18031680189020105.65.35.86.16.98.17.615961714277530453262365436752071172619468.48.911951106122713151519237308.5Green Power Optimizing the Energy Structure We have incorporated green and low-carbon development into one of our five strategic priorities, placing new energy and new businesses on an equal footing with our oil and gas operations and actively promoting our green and low-carbon transformation and development.</v>
      </c>
      <c r="B5839" s="1" t="str">
        <f ca="1">IFERROR(__xludf.DUMMYFUNCTION("GOOGLETRANSLATE(A5839, ""zh"", ""en"")"),"Energy and resource consumption")</f>
        <v>Energy and resource consumption</v>
      </c>
      <c r="C5839" s="1" t="str">
        <f ca="1">IFERROR(__xludf.DUMMYFUNCTION("GOOGLETRANSLATE(E5839, ""zh"", ""en"")"),"Qualitative text")</f>
        <v>Qualitative text</v>
      </c>
    </row>
    <row r="5840" spans="1:3" ht="13" x14ac:dyDescent="0.15">
      <c r="A5840" s="1" t="str">
        <f ca="1">IFERROR(__xludf.DUMMYFUNCTION("GOOGLETRANSLATE(A5840, ""zh"", ""en"")"),"Shenma Industrial Co., Ltd.'s 2021 Social Responsibility Report on Corporate Governance and the Construction of the Rule of Law and Clean Management. The company has thoroughly studied and publicized General Secretary Xi Jinping's new ideas, new thoughts,"&amp;" and new strategies for comprehensively governing the country according to law, as well as his important expositions on upholding the overall national security concept, to improve employee safety. Shenma shares attach great importance to the construction "&amp;"of a culture of integrity, and have a firm zero tolerance for corruption and other non-compliant behaviors. A number of institutional documents have been revised to clarify the awareness of the rule of law among leaders at all levels, to create a strong l"&amp;"egal atmosphere for enterprises to safeguard national security, and to enhance the ability of cadres and employees to prevent and resist security risks.")</f>
        <v>Shenma Industrial Co., Ltd.'s 2021 Social Responsibility Report on Corporate Governance and the Construction of the Rule of Law and Clean Management. The company has thoroughly studied and publicized General Secretary Xi Jinping's new ideas, new thoughts, and new strategies for comprehensively governing the country according to law, as well as his important expositions on upholding the overall national security concept, to improve employee safety. Shenma shares attach great importance to the construction of a culture of integrity, and have a firm zero tolerance for corruption and other non-compliant behaviors. A number of institutional documents have been revised to clarify the awareness of the rule of law among leaders at all levels, to create a strong legal atmosphere for enterprises to safeguard national security, and to enhance the ability of cadres and employees to prevent and resist security risks.</v>
      </c>
      <c r="B5840" s="1" t="str">
        <f ca="1">IFERROR(__xludf.DUMMYFUNCTION("GOOGLETRANSLATE(A5840, ""zh"", ""en"")"),"Legal proceedings and external sanctions")</f>
        <v>Legal proceedings and external sanctions</v>
      </c>
      <c r="C5840" s="1" t="str">
        <f ca="1">IFERROR(__xludf.DUMMYFUNCTION("GOOGLETRANSLATE(E5840, ""zh"", ""en"")"),"Qualitative text")</f>
        <v>Qualitative text</v>
      </c>
    </row>
    <row r="5841" spans="1:3" ht="13" x14ac:dyDescent="0.15">
      <c r="A5841" s="1" t="str">
        <f ca="1">IFERROR(__xludf.DUMMYFUNCTION("GOOGLETRANSLATE(A5841, ""zh"", ""en"")"),"In 2022, the company visited 125 employees in need, provided Autumn Scholarships to two employees' children, and visited over 70 hospitalized employees. In 2022, the Renfu Pharmaceutical Union distributed 545 Spring Festival supplies to employees, 252 Int"&amp;"ernational Women's Day supplies, 479 Dragon Boat Festival supplies, and 147 birthday supplies to employees. The Yichang Renfu and the Municipal Federation of Trade Unions' Employee Psychological Service Center, led by Professor Yang Ziyun, a Ph.D. in Psyc"&amp;"hology from Zhongnan University of Economics and Law, held an online mental health seminar on effective communication, empowerment, stress management, and the pursuit of happiness, with over 4,000 employees participating.")</f>
        <v>In 2022, the company visited 125 employees in need, provided Autumn Scholarships to two employees' children, and visited over 70 hospitalized employees. In 2022, the Renfu Pharmaceutical Union distributed 545 Spring Festival supplies to employees, 252 International Women's Day supplies, 479 Dragon Boat Festival supplies, and 147 birthday supplies to employees. The Yichang Renfu and the Municipal Federation of Trade Unions' Employee Psychological Service Center, led by Professor Yang Ziyun, a Ph.D. in Psychology from Zhongnan University of Economics and Law, held an online mental health seminar on effective communication, empowerment, stress management, and the pursuit of happiness, with over 4,000 employees participating.</v>
      </c>
      <c r="B5841" s="1" t="str">
        <f ca="1">IFERROR(__xludf.DUMMYFUNCTION("GOOGLETRANSLATE(A5841, ""zh"", ""en"")"),"staff")</f>
        <v>staff</v>
      </c>
      <c r="C5841" s="1" t="str">
        <f ca="1">IFERROR(__xludf.DUMMYFUNCTION("GOOGLETRANSLATE(E5841, ""zh"", ""en"")"),"Quantitative Text")</f>
        <v>Quantitative Text</v>
      </c>
    </row>
    <row r="5842" spans="1:3" ht="13" x14ac:dyDescent="0.15">
      <c r="A5842" s="1" t="str">
        <f ca="1">IFERROR(__xludf.DUMMYFUNCTION("GOOGLETRANSLATE(A5842, ""zh"", ""en"")"),"There are tens of thousands of inclusive finance loan customers. The number of inclusive finance loan customers disclosed in China Construction Bank's Social Responsibility Report refers to the number of inclusive finance loan customers of China Construct"&amp;"ion Bank as of the end of the reporting period in accordance with the statistical caliber of the Notice of the General Office of the China Banking and Insurance Regulatory Commission on Further Promoting the High-Quality Development of Financial Services "&amp;"for Small and Micro Enterprises in 2021, that is, the number of small and micro enterprise loan customers with a single credit amount of less than 10 million yuan, including the balance of small and micro enterprise loans, the balance of individual busine"&amp;"ss loans, and the balance of small and micro enterprise owners' loans, excluding the balance of bill discounting and rediscount business.")</f>
        <v>There are tens of thousands of inclusive finance loan customers. The number of inclusive finance loan customers disclosed in China Construction Bank's Social Responsibility Report refers to the number of inclusive finance loan customers of China Construction Bank as of the end of the reporting period in accordance with the statistical caliber of the Notice of the General Office of the China Banking and Insurance Regulatory Commission on Further Promoting the High-Quality Development of Financial Services for Small and Micro Enterprises in 2021, that is, the number of small and micro enterprise loan customers with a single credit amount of less than 10 million yuan, including the balance of small and micro enterprise loans, the balance of individual business loans, and the balance of small and micro enterprise owners' loans, excluding the balance of bill discounting and rediscount business.</v>
      </c>
      <c r="B5842" s="1" t="str">
        <f ca="1">IFERROR(__xludf.DUMMYFUNCTION("GOOGLETRANSLATE(A5842, ""zh"", ""en"")"),"Customers and Consumers")</f>
        <v>Customers and Consumers</v>
      </c>
      <c r="C5842" s="1" t="str">
        <f ca="1">IFERROR(__xludf.DUMMYFUNCTION("GOOGLETRANSLATE(E5842, ""zh"", ""en"")"),"Quantitative Text")</f>
        <v>Quantitative Text</v>
      </c>
    </row>
    <row r="5843" spans="1:3" ht="13" x14ac:dyDescent="0.15">
      <c r="A5843" s="1" t="str">
        <f ca="1">IFERROR(__xludf.DUMMYFUNCTION("GOOGLETRANSLATE(A5843, ""zh"", ""en"")"),"Are you satisfied with the overall impression of this report? Yes, Average, No. Do you think this report can reflect the significant impact on social responsibility? Yes, Average, No. Do you think the analysis of stakeholders identified in this report and"&amp;" their relationships is accurate and comprehensive? Yes, Average, No. Do you think the information provided in this report is comprehensive? Yes, Average, No. Do you think the information provided in this report is readable? Yes, Average, No. Are you sati"&amp;"sfied with the overall design of this report? Yes, Average, No. You are welcome to provide other comments and suggestions on the 360 ​​Environmental, Social and Governance Report.")</f>
        <v>Are you satisfied with the overall impression of this report? Yes, Average, No. Do you think this report can reflect the significant impact on social responsibility? Yes, Average, No. Do you think the analysis of stakeholders identified in this report and their relationships is accurate and comprehensive? Yes, Average, No. Do you think the information provided in this report is comprehensive? Yes, Average, No. Do you think the information provided in this report is readable? Yes, Average, No. Are you satisfied with the overall design of this report? Yes, Average, No. You are welcome to provide other comments and suggestions on the 360 ​​Environmental, Social and Governance Report.</v>
      </c>
      <c r="B5843" s="1" t="str">
        <f ca="1">IFERROR(__xludf.DUMMYFUNCTION("GOOGLETRANSLATE(A5843, ""zh"", ""en"")"),"irrelevant text")</f>
        <v>irrelevant text</v>
      </c>
      <c r="C5843" s="1" t="str">
        <f ca="1">IFERROR(__xludf.DUMMYFUNCTION("GOOGLETRANSLATE(E5843, ""zh"", ""en"")"),"irrelevant text")</f>
        <v>irrelevant text</v>
      </c>
    </row>
    <row r="5844" spans="1:3" ht="13" x14ac:dyDescent="0.15">
      <c r="A5844" s="1" t="str">
        <f ca="1">IFERROR(__xludf.DUMMYFUNCTION("GOOGLETRANSLATE(A5844, ""zh"", ""en"")"),"In 2022, the oral PDE4 inhibitor Otelocycler Azemlast Tablets, introduced by Fosun Pharma Group, was launched in China. It has achieved breakthroughs in the treatment of inflammatory diseases such as atopic dermatitis and argyriasis. Its clinical adverse "&amp;"reactions are mild and only occur in the initial treatment phase. Furthermore, it has no significant hepatotoxicity, osteosclerosis suppression, and no recurrence of tuberculosis. It is friendly to patients with hepatic and renal insufficiency and pregnan"&amp;"t women. Clinically, it has received an overall evaluation far superior to traditional hormonal drugs and traditional pure immunosuppressants. It is a first-line systemic treatment option for moderate to severe argyriasis in adults.")</f>
        <v>In 2022, the oral PDE4 inhibitor Otelocycler Azemlast Tablets, introduced by Fosun Pharma Group, was launched in China. It has achieved breakthroughs in the treatment of inflammatory diseases such as atopic dermatitis and argyriasis. Its clinical adverse reactions are mild and only occur in the initial treatment phase. Furthermore, it has no significant hepatotoxicity, osteosclerosis suppression, and no recurrence of tuberculosis. It is friendly to patients with hepatic and renal insufficiency and pregnant women. Clinically, it has received an overall evaluation far superior to traditional hormonal drugs and traditional pure immunosuppressants. It is a first-line systemic treatment option for moderate to severe argyriasis in adults.</v>
      </c>
      <c r="B5844" s="1" t="str">
        <f ca="1">IFERROR(__xludf.DUMMYFUNCTION("GOOGLETRANSLATE(A5844, ""zh"", ""en"")"),"Product quality")</f>
        <v>Product quality</v>
      </c>
      <c r="C5844" s="1" t="str">
        <f ca="1">IFERROR(__xludf.DUMMYFUNCTION("GOOGLETRANSLATE(E5844, ""zh"", ""en"")"),"Qualitative text")</f>
        <v>Qualitative text</v>
      </c>
    </row>
    <row r="5845" spans="1:3" ht="13" x14ac:dyDescent="0.15">
      <c r="A5845" s="1" t="str">
        <f ca="1">IFERROR(__xludf.DUMMYFUNCTION("GOOGLETRANSLATE(A5845, ""zh"", ""en"")"),"Figure 2: China Construction Bank promotes the implementation of Baowu Steel's Green Carbon Fund. A special column was developed for the China Baowu Steel Expo Center Industrial Heritage Protection and Revitalization Reuse Project. The ESG rating tool for"&amp;" corporate clients comprehensively evaluates clients from three aspects: environmental (E), social (S), and corporate governance (G). China Construction Bank Corporation 2022 Social Responsibility Report 27. Sustainable development capabilities under the "&amp;"dual carbon goals are an important tool for identifying clients' green, low-carbon, and sustainable development levels. The system function will be completed and launched online in December 2022 and promoted throughout the bank.")</f>
        <v>Figure 2: China Construction Bank promotes the implementation of Baowu Steel's Green Carbon Fund. A special column was developed for the China Baowu Steel Expo Center Industrial Heritage Protection and Revitalization Reuse Project. The ESG rating tool for corporate clients comprehensively evaluates clients from three aspects: environmental (E), social (S), and corporate governance (G). China Construction Bank Corporation 2022 Social Responsibility Report 27. Sustainable development capabilities under the dual carbon goals are an important tool for identifying clients' green, low-carbon, and sustainable development levels. The system function will be completed and launched online in December 2022 and promoted throughout the bank.</v>
      </c>
      <c r="B5845" s="1" t="str">
        <f ca="1">IFERROR(__xludf.DUMMYFUNCTION("GOOGLETRANSLATE(A5845, ""zh"", ""en"")"),"carbon emissions")</f>
        <v>carbon emissions</v>
      </c>
      <c r="C5845" s="1" t="str">
        <f ca="1">IFERROR(__xludf.DUMMYFUNCTION("GOOGLETRANSLATE(E5845, ""zh"", ""en"")"),"Qualitative text")</f>
        <v>Qualitative text</v>
      </c>
    </row>
    <row r="5846" spans="1:3" ht="13" x14ac:dyDescent="0.15">
      <c r="A5846" s="1" t="str">
        <f ca="1">IFERROR(__xludf.DUMMYFUNCTION("GOOGLETRANSLATE(A5846, ""zh"", ""en"")"),"China Animal Husbandry Co., Ltd. is a large-scale, comprehensive agricultural enterprise directly under the State-owned Assets Supervision and Administration Commission of the State Council. China Agricultural Development Group Co., Ltd., with a registere"&amp;"d capital of RMB 1.021 billion, specializes in veterinary biological products, veterinary medicines, feed, feed additives, and raw material trading, all key upstream links in the livestock industry chain and supply chain. It is a key component of my count"&amp;"ry's veterinary medicine and feed industries, a national key leading enterprise in agricultural industrialization, a designated manufacturer of vaccines for major animal diseases such as highly pathogenic avian influenza and foot-and-mouth disease, and a "&amp;"Beijing high-tech enterprise. It is one of the first batch of ""Double Hundred"" initiatives in state-owned enterprise reform.")</f>
        <v>China Animal Husbandry Co., Ltd. is a large-scale, comprehensive agricultural enterprise directly under the State-owned Assets Supervision and Administration Commission of the State Council. China Agricultural Development Group Co., Ltd., with a registered capital of RMB 1.021 billion, specializes in veterinary biological products, veterinary medicines, feed, feed additives, and raw material trading, all key upstream links in the livestock industry chain and supply chain. It is a key component of my country's veterinary medicine and feed industries, a national key leading enterprise in agricultural industrialization, a designated manufacturer of vaccines for major animal diseases such as highly pathogenic avian influenza and foot-and-mouth disease, and a Beijing high-tech enterprise. It is one of the first batch of "Double Hundred" initiatives in state-owned enterprise reform.</v>
      </c>
      <c r="B5846" s="1" t="str">
        <f ca="1">IFERROR(__xludf.DUMMYFUNCTION("GOOGLETRANSLATE(A5846, ""zh"", ""en"")"),"Technological innovation")</f>
        <v>Technological innovation</v>
      </c>
      <c r="C5846" s="1" t="str">
        <f ca="1">IFERROR(__xludf.DUMMYFUNCTION("GOOGLETRANSLATE(E5846, ""zh"", ""en"")"),"Qualitative text")</f>
        <v>Qualitative text</v>
      </c>
    </row>
    <row r="5847" spans="1:3" ht="13" x14ac:dyDescent="0.15">
      <c r="A5847" s="1" t="str">
        <f ca="1">IFERROR(__xludf.DUMMYFUNCTION("GOOGLETRANSLATE(A5847, ""zh"", ""en"")"),"Tibet Everest signed an investment agreement with the Argentine government. Vice Chairman Zhang Jieyuan signed an investment agreement with the Salta Province of Argentina. Visit Tibet Everest: Corporate Governance, Environment, Industry, and Employee Com"&amp;"munity Building. 11. Company Governance, Corporate Governance, ESG Governance, and Business Ethics. 17.12. 2022 Tibet Everest Sustainability Report. Corporate Governance and Compliance. We understand that excellent corporate governance is crucial to the s"&amp;"ustainable development of a company. Therefore, we have been committed to establishing and improving a sound corporate governance system to ensure the transparency, compliance, and legality of our operations.")</f>
        <v>Tibet Everest signed an investment agreement with the Argentine government. Vice Chairman Zhang Jieyuan signed an investment agreement with the Salta Province of Argentina. Visit Tibet Everest: Corporate Governance, Environment, Industry, and Employee Community Building. 11. Company Governance, Corporate Governance, ESG Governance, and Business Ethics. 17.12. 2022 Tibet Everest Sustainability Report. Corporate Governance and Compliance. We understand that excellent corporate governance is crucial to the sustainable development of a company. Therefore, we have been committed to establishing and improving a sound corporate governance system to ensure the transparency, compliance, and legality of our operations.</v>
      </c>
      <c r="B5847" s="1" t="str">
        <f ca="1">IFERROR(__xludf.DUMMYFUNCTION("GOOGLETRANSLATE(A5847, ""zh"", ""en"")"),"Organizational structure and operations")</f>
        <v>Organizational structure and operations</v>
      </c>
      <c r="C5847" s="1" t="str">
        <f ca="1">IFERROR(__xludf.DUMMYFUNCTION("GOOGLETRANSLATE(E5847, ""zh"", ""en"")"),"Qualitative text")</f>
        <v>Qualitative text</v>
      </c>
    </row>
    <row r="5848" spans="1:3" ht="13" x14ac:dyDescent="0.15">
      <c r="A5848" s="1" t="str">
        <f ca="1">IFERROR(__xludf.DUMMYFUNCTION("GOOGLETRANSLATE(A5848, ""zh"", ""en"")"),"Building a Talent Ecosystem Highland 020350 The company adheres to the people-oriented concept and has established a fair and open competition and merit-based recruitment mechanism. It has systematically sorted out and established a unified job series and"&amp;" position system for the group, integrating more than 1,100 positions of the group into 55 sequences of four job series: management, support, business and production technology. It encourages employees to plan their careers based on the dual-channel devel"&amp;"opment model of management M channel and professional P channel, so that employees working in different positions have sustainable development career channels, promote the professionalization and specialization of the talent team, and realize the added va"&amp;"lue of talent resources.")</f>
        <v>Building a Talent Ecosystem Highland 020350 The company adheres to the people-oriented concept and has established a fair and open competition and merit-based recruitment mechanism. It has systematically sorted out and established a unified job series and position system for the group, integrating more than 1,100 positions of the group into 55 sequences of four job series: management, support, business and production technology. It encourages employees to plan their careers based on the dual-channel development model of management M channel and professional P channel, so that employees working in different positions have sustainable development career channels, promote the professionalization and specialization of the talent team, and realize the added value of talent resources.</v>
      </c>
      <c r="B5848" s="1" t="str">
        <f ca="1">IFERROR(__xludf.DUMMYFUNCTION("GOOGLETRANSLATE(A5848, ""zh"", ""en"")"),"staff")</f>
        <v>staff</v>
      </c>
      <c r="C5848" s="1" t="str">
        <f ca="1">IFERROR(__xludf.DUMMYFUNCTION("GOOGLETRANSLATE(E5848, ""zh"", ""en"")"),"Qualitative text")</f>
        <v>Qualitative text</v>
      </c>
    </row>
    <row r="5849" spans="1:3" ht="13" x14ac:dyDescent="0.15">
      <c r="A5849" s="1" t="str">
        <f ca="1">IFERROR(__xludf.DUMMYFUNCTION("GOOGLETRANSLATE(A5849, ""zh"", ""en"")"),"First, the forms of theme party days in each branch are becoming more and more diverse. The construction of ""one branch, one brand"" is vigorously promoted. Special working methods such as colorful party days, party member classroom lectures, red story s"&amp;"haring, and rotating secretaries are introduced. The quality and effectiveness of organizational life have been significantly improved. Second, basketball, badminton and photography interest groups have been established and more than 40 activities have be"&amp;"en held with more than 140 participants. More than 10 cultural and sports activities such as the ""Female Employee Care Month"" and the ""Expatriate Employee Festival"" have been innovatively carried out. A total of more than 60 activities of various type"&amp;"s were carried out throughout the year, covering more than 3,000 people, which has increased and enhanced the participation of the majority of employees in the company's development.")</f>
        <v>First, the forms of theme party days in each branch are becoming more and more diverse. The construction of "one branch, one brand" is vigorously promoted. Special working methods such as colorful party days, party member classroom lectures, red story sharing, and rotating secretaries are introduced. The quality and effectiveness of organizational life have been significantly improved. Second, basketball, badminton and photography interest groups have been established and more than 40 activities have been held with more than 140 participants. More than 10 cultural and sports activities such as the "Female Employee Care Month" and the "Expatriate Employee Festival" have been innovatively carried out. A total of more than 60 activities of various types were carried out throughout the year, covering more than 3,000 people, which has increased and enhanced the participation of the majority of employees in the company's development.</v>
      </c>
      <c r="B5849" s="1" t="str">
        <f ca="1">IFERROR(__xludf.DUMMYFUNCTION("GOOGLETRANSLATE(A5849, ""zh"", ""en"")"),"staff")</f>
        <v>staff</v>
      </c>
      <c r="C5849" s="1" t="str">
        <f ca="1">IFERROR(__xludf.DUMMYFUNCTION("GOOGLETRANSLATE(E5849, ""zh"", ""en"")"),"Quantitative Text")</f>
        <v>Quantitative Text</v>
      </c>
    </row>
    <row r="5850" spans="1:3" ht="13" x14ac:dyDescent="0.15">
      <c r="A5850" s="1" t="str">
        <f ca="1">IFERROR(__xludf.DUMMYFUNCTION("GOOGLETRANSLATE(A5850, ""zh"", ""en"")"),"The 2022 profit distribution and capital reserve conversion plan will be implemented in accordance with the guidelines for cash dividends for listed companies and the relevant requirements of the company's articles of association. Based on the total share"&amp;" capital of 519,487,2040.00 at the end of 2022, after deducting 1,510,000.00 restricted shares that have been granted but not yet released to certain incentive recipients under the 2021 restricted stock incentive plan and are to be repurchased and cancell"&amp;"ed, a cash dividend of RMB 1.5 per 10 shares will be distributed, totaling RMB 77,900,4306.00 in cash dividends, including tax. The remaining undistributed profits will be carried forward for distribution in subsequent years.")</f>
        <v>The 2022 profit distribution and capital reserve conversion plan will be implemented in accordance with the guidelines for cash dividends for listed companies and the relevant requirements of the company's articles of association. Based on the total share capital of 519,487,2040.00 at the end of 2022, after deducting 1,510,000.00 restricted shares that have been granted but not yet released to certain incentive recipients under the 2021 restricted stock incentive plan and are to be repurchased and cancelled, a cash dividend of RMB 1.5 per 10 shares will be distributed, totaling RMB 77,900,4306.00 in cash dividends, including tax. The remaining undistributed profits will be carried forward for distribution in subsequent years.</v>
      </c>
      <c r="B5850" s="1" t="str">
        <f ca="1">IFERROR(__xludf.DUMMYFUNCTION("GOOGLETRANSLATE(A5850, ""zh"", ""en"")"),"Shareholder and creditor rights")</f>
        <v>Shareholder and creditor rights</v>
      </c>
      <c r="C5850" s="1" t="str">
        <f ca="1">IFERROR(__xludf.DUMMYFUNCTION("GOOGLETRANSLATE(E5850, ""zh"", ""en"")"),"Quantitative Text")</f>
        <v>Quantitative Text</v>
      </c>
    </row>
    <row r="5851" spans="1:3" ht="13" x14ac:dyDescent="0.15">
      <c r="A5851" s="1" t="str">
        <f ca="1">IFERROR(__xludf.DUMMYFUNCTION("GOOGLETRANSLATE(A5851, ""zh"", ""en"")"),"During the supplier access phase, we base our approach on fair bidding, quality first, and multiple procurement methods. Through on-site quality audits, regular written quality audits, and questionnaire feedback, we conduct comprehensive analysis and eval"&amp;"uation from multiple dimensions, including supplier quality control capabilities, supply stability, environment, and risk control capabilities. For new suppliers of raw materials and auxiliary materials, Joincare requires them to provide additional profes"&amp;"sional qualification certificates such as stability inspection reports, MSDS, chemical safety data sheets, ISO, and quality management system certifications to ensure that the material quality meets Joincare's product quality requirements.")</f>
        <v>During the supplier access phase, we base our approach on fair bidding, quality first, and multiple procurement methods. Through on-site quality audits, regular written quality audits, and questionnaire feedback, we conduct comprehensive analysis and evaluation from multiple dimensions, including supplier quality control capabilities, supply stability, environment, and risk control capabilities. For new suppliers of raw materials and auxiliary materials, Joincare requires them to provide additional professional qualification certificates such as stability inspection reports, MSDS, chemical safety data sheets, ISO, and quality management system certifications to ensure that the material quality meets Joincare's product quality requirements.</v>
      </c>
      <c r="B5851" s="1" t="str">
        <f ca="1">IFERROR(__xludf.DUMMYFUNCTION("GOOGLETRANSLATE(A5851, ""zh"", ""en"")"),"supply chain management")</f>
        <v>supply chain management</v>
      </c>
      <c r="C5851" s="1" t="str">
        <f ca="1">IFERROR(__xludf.DUMMYFUNCTION("GOOGLETRANSLATE(E5851, ""zh"", ""en"")"),"Qualitative text")</f>
        <v>Qualitative text</v>
      </c>
    </row>
    <row r="5852" spans="1:3" ht="13" x14ac:dyDescent="0.15">
      <c r="A5852" s="1" t="str">
        <f ca="1">IFERROR(__xludf.DUMMYFUNCTION("GOOGLETRANSLATE(A5852, ""zh"", ""en"")"),"Analysis of Material Topics In 2022, the Bank paid close attention to the concerns of international and domestic parties regarding environmental, social and governance issues. Through meetings, questionnaires, training, research and information collection"&amp;", the Bank maintained communication and exchanges with government regulators, industry associations, peer investors, international sustainable development initiatives and organizations, and professional institutions in the field of sustainability at home "&amp;"and abroad. Through the continuous improvement of the internal ESG governance structure, the Board of Directors, professional committees, senior management, various working groups and professional lines, the Bank further strengthened the overall analysis "&amp;"and decision-making on ESG matters and continuously improved the Bank's disclosure quality on material issues.")</f>
        <v>Analysis of Material Topics In 2022, the Bank paid close attention to the concerns of international and domestic parties regarding environmental, social and governance issues. Through meetings, questionnaires, training, research and information collection, the Bank maintained communication and exchanges with government regulators, industry associations, peer investors, international sustainable development initiatives and organizations, and professional institutions in the field of sustainability at home and abroad. Through the continuous improvement of the internal ESG governance structure, the Board of Directors, professional committees, senior management, various working groups and professional lines, the Bank further strengthened the overall analysis and decision-making on ESG matters and continuously improved the Bank's disclosure quality on material issues.</v>
      </c>
      <c r="B5852" s="1" t="str">
        <f ca="1">IFERROR(__xludf.DUMMYFUNCTION("GOOGLETRANSLATE(A5852, ""zh"", ""en"")"),"Information Disclosure and Investor Communication")</f>
        <v>Information Disclosure and Investor Communication</v>
      </c>
      <c r="C5852" s="1" t="str">
        <f ca="1">IFERROR(__xludf.DUMMYFUNCTION("GOOGLETRANSLATE(E5852, ""zh"", ""en"")"),"Qualitative text")</f>
        <v>Qualitative text</v>
      </c>
    </row>
    <row r="5853" spans="1:3" ht="13" x14ac:dyDescent="0.15">
      <c r="A5853" s="1" t="str">
        <f ca="1">IFERROR(__xludf.DUMMYFUNCTION("GOOGLETRANSLATE(A5853, ""zh"", ""en"")"),"Percentage of employees who returned to work and retained their jobs after maternity or paternity leave 100 Total number of employees Percentage of female managers as a percentage of total company employees Percentage of ethnic minority employees as a per"&amp;"centage of total company employees Employee turnover rate (10,000 people) 39.84 Note: Excluding dispatched labor, seasonal labor, temporary labor, and third-party personnel 7.17 6.70 0.14 We always adhere to the people-oriented principle, respect and trea"&amp;"t every employee equally, safeguard and protect the legitimate rights and interests of employees, strive to solve the most practical and most concerning issues of employees, and ensure that the fruits of development benefit all employees in a more equitab"&amp;"le manner.")</f>
        <v>Percentage of employees who returned to work and retained their jobs after maternity or paternity leave 100 Total number of employees Percentage of female managers as a percentage of total company employees Percentage of ethnic minority employees as a percentage of total company employees Employee turnover rate (10,000 people) 39.84 Note: Excluding dispatched labor, seasonal labor, temporary labor, and third-party personnel 7.17 6.70 0.14 We always adhere to the people-oriented principle, respect and treat every employee equally, safeguard and protect the legitimate rights and interests of employees, strive to solve the most practical and most concerning issues of employees, and ensure that the fruits of development benefit all employees in a more equitable manner.</v>
      </c>
      <c r="B5853" s="1" t="str">
        <f ca="1">IFERROR(__xludf.DUMMYFUNCTION("GOOGLETRANSLATE(A5853, ""zh"", ""en"")"),"staff")</f>
        <v>staff</v>
      </c>
      <c r="C5853" s="1" t="str">
        <f ca="1">IFERROR(__xludf.DUMMYFUNCTION("GOOGLETRANSLATE(E5853, ""zh"", ""en"")"),"Quantitative Text")</f>
        <v>Quantitative Text</v>
      </c>
    </row>
    <row r="5854" spans="1:3" ht="13" x14ac:dyDescent="0.15">
      <c r="A5854" s="1" t="str">
        <f ca="1">IFERROR(__xludf.DUMMYFUNCTION("GOOGLETRANSLATE(A5854, ""zh"", ""en"")"),"Information disclosure sustainable incentive mechanism Board of Directors Top Governance ESG Committee Governance ESG Executive Office Management ESG Executive Working Group Executive Level Work Report Work Report Work Report Domestic Headquarters Executi"&amp;"ve Working Group Candy Executive Working Group GEA Executive Working Group FPA Executive Working Group Review and Supervision ESG Work Guidance and Management ESG Work Promotion and Coordination ESG Work The top managers of each ESG functional department "&amp;"and business segment form an ESG Executive Working Group to promote the effective implementation of ESG work and report work progress regularly")</f>
        <v>Information disclosure sustainable incentive mechanism Board of Directors Top Governance ESG Committee Governance ESG Executive Office Management ESG Executive Working Group Executive Level Work Report Work Report Work Report Domestic Headquarters Executive Working Group Candy Executive Working Group GEA Executive Working Group FPA Executive Working Group Review and Supervision ESG Work Guidance and Management ESG Work Promotion and Coordination ESG Work The top managers of each ESG functional department and business segment form an ESG Executive Working Group to promote the effective implementation of ESG work and report work progress regularly</v>
      </c>
      <c r="B5854" s="1" t="str">
        <f ca="1">IFERROR(__xludf.DUMMYFUNCTION("GOOGLETRANSLATE(A5854, ""zh"", ""en"")"),"Organizational structure and operations")</f>
        <v>Organizational structure and operations</v>
      </c>
      <c r="C5854" s="1" t="str">
        <f ca="1">IFERROR(__xludf.DUMMYFUNCTION("GOOGLETRANSLATE(E5854, ""zh"", ""en"")"),"Qualitative text")</f>
        <v>Qualitative text</v>
      </c>
    </row>
    <row r="5855" spans="1:3" ht="13" x14ac:dyDescent="0.15">
      <c r="A5855" s="1" t="str">
        <f ca="1">IFERROR(__xludf.DUMMYFUNCTION("GOOGLETRANSLATE(A5855, ""zh"", ""en"")"),"The balance of green loans is RMB billion. The balance of green loans disclosed in China Construction Bank's Social Responsibility Report refers to the aggregated amount of loans converted into RMB as of the end of the reporting period across China Constr"&amp;"uction Bank, excluding domestic and overseas subsidiaries, invested in energy conservation and environmental protection industries, clean production industries, clean energy industries, ecological environment industries, green infrastructure upgrades, gre"&amp;"en services, overseas projects that adopt international practices or international standards, green trade financing, and green consumer financing, in accordance with the requirements of the Notice on the Green Finance Statistics System issued by the China"&amp;" Banking and Insurance Regulatory Commission.")</f>
        <v>The balance of green loans is RMB billion. The balance of green loans disclosed in China Construction Bank's Social Responsibility Report refers to the aggregated amount of loans converted into RMB as of the end of the reporting period across China Construction Bank, excluding domestic and overseas subsidiaries, invested in energy conservation and environmental protection industries, clean production industries, clean energy industries, ecological environment industries, green infrastructure upgrades, green services, overseas projects that adopt international practices or international standards, green trade financing, and green consumer financing, in accordance with the requirements of the Notice on the Green Finance Statistics System issued by the China Banking and Insurance Regulatory Commission.</v>
      </c>
      <c r="B5855" s="1" t="str">
        <f ca="1">IFERROR(__xludf.DUMMYFUNCTION("GOOGLETRANSLATE(A5855, ""zh"", ""en"")"),"Green Finance")</f>
        <v>Green Finance</v>
      </c>
      <c r="C5855" s="1" t="str">
        <f ca="1">IFERROR(__xludf.DUMMYFUNCTION("GOOGLETRANSLATE(E5855, ""zh"", ""en"")"),"Quantitative Text")</f>
        <v>Quantitative Text</v>
      </c>
    </row>
    <row r="5856" spans="1:3" ht="13" x14ac:dyDescent="0.15">
      <c r="A5856" s="1" t="str">
        <f ca="1">IFERROR(__xludf.DUMMYFUNCTION("GOOGLETRANSLATE(A5856, ""zh"", ""en"")"),"Safety inspection and investigation focus, but not limited to, safety training and publicity; key related hazards; short-term awareness; team safety meeting emphasis; internal EHS related procedures; enterprise employee behavior safety guidelines; on-site"&amp;" execution record form; enterprise training; internal and external accident summary; 2022 Corporate Social Responsibility Report 85; accident management; Fosun Pharma Group has always emphasized that potential safety hazards should be eliminated. In 2022,"&amp;" the Group did not experience any major safety accidents and was in the early stages of development.")</f>
        <v>Safety inspection and investigation focus, but not limited to, safety training and publicity; key related hazards; short-term awareness; team safety meeting emphasis; internal EHS related procedures; enterprise employee behavior safety guidelines; on-site execution record form; enterprise training; internal and external accident summary; 2022 Corporate Social Responsibility Report 85; accident management; Fosun Pharma Group has always emphasized that potential safety hazards should be eliminated. In 2022, the Group did not experience any major safety accidents and was in the early stages of development.</v>
      </c>
      <c r="B5856" s="1" t="str">
        <f ca="1">IFERROR(__xludf.DUMMYFUNCTION("GOOGLETRANSLATE(A5856, ""zh"", ""en"")"),"staff")</f>
        <v>staff</v>
      </c>
      <c r="C5856" s="1" t="str">
        <f ca="1">IFERROR(__xludf.DUMMYFUNCTION("GOOGLETRANSLATE(E5856, ""zh"", ""en"")"),"Quantitative Text")</f>
        <v>Quantitative Text</v>
      </c>
    </row>
    <row r="5857" spans="1:3" ht="13" x14ac:dyDescent="0.15">
      <c r="A5857" s="1" t="str">
        <f ca="1">IFERROR(__xludf.DUMMYFUNCTION("GOOGLETRANSLATE(A5857, ""zh"", ""en"")"),"02030405062120 Protecting the Planet, Exploring a Green and Low-Carbon Future, Integrating People and Goals, Promoting Diversified and Inclusive Development, Responsible Procurement, Building a Sustainable Supply Chain, Intelligent Experience, Leading a B"&amp;"etter Life, Uniting Hearts and Souls, Promoting Equitable Development 01 Global Collaboration, Sustainable Governance Ecosystem, Haier Smart Home Co., Ltd. Environmental, Social and Governance Report, Anti-Unfair Competition, Compliance and Publicity Mana"&amp;"gement, Haier Smart Home Releases Antitrust Compliance Manual, Clarifying Antitrust-Related Laws and Regulations for Domestic and Overseas Operations, Identifying Antitrust Compliance Risks Based on Business Practices, and Strengthening Approval Processes"&amp;" Under Risk Scenarios.")</f>
        <v>02030405062120 Protecting the Planet, Exploring a Green and Low-Carbon Future, Integrating People and Goals, Promoting Diversified and Inclusive Development, Responsible Procurement, Building a Sustainable Supply Chain, Intelligent Experience, Leading a Better Life, Uniting Hearts and Souls, Promoting Equitable Development 01 Global Collaboration, Sustainable Governance Ecosystem, Haier Smart Home Co., Ltd. Environmental, Social and Governance Report, Anti-Unfair Competition, Compliance and Publicity Management, Haier Smart Home Releases Antitrust Compliance Manual, Clarifying Antitrust-Related Laws and Regulations for Domestic and Overseas Operations, Identifying Antitrust Compliance Risks Based on Business Practices, and Strengthening Approval Processes Under Risk Scenarios.</v>
      </c>
      <c r="B5857" s="1" t="str">
        <f ca="1">IFERROR(__xludf.DUMMYFUNCTION("GOOGLETRANSLATE(A5857, ""zh"", ""en"")"),"Anti-unfair competition")</f>
        <v>Anti-unfair competition</v>
      </c>
      <c r="C5857" s="1" t="str">
        <f ca="1">IFERROR(__xludf.DUMMYFUNCTION("GOOGLETRANSLATE(E5857, ""zh"", ""en"")"),"Qualitative text")</f>
        <v>Qualitative text</v>
      </c>
    </row>
    <row r="5858" spans="1:3" ht="13" x14ac:dyDescent="0.15">
      <c r="A5858" s="1" t="str">
        <f ca="1">IFERROR(__xludf.DUMMYFUNCTION("GOOGLETRANSLATE(A5858, ""zh"", ""en"")"),"Figure 885 full view of worker behavior behavior safety observation full process of formulation 885 plan BBS before special learning to carry out on-site safety observation output B8S summary of the results each company based on their own actual before ea"&amp;"ch implementation of the full observation using the safety observation staff each selected by the BBS summary of the following situations respectively designated phased team safety meeting or special group work reference safety behavior inspection plan an"&amp;"d work meeting for the main amount of card content guidance implementation of the output of the safety work report implementation")</f>
        <v>Figure 885 full view of worker behavior behavior safety observation full process of formulation 885 plan BBS before special learning to carry out on-site safety observation output B8S summary of the results each company based on their own actual before each implementation of the full observation using the safety observation staff each selected by the BBS summary of the following situations respectively designated phased team safety meeting or special group work reference safety behavior inspection plan and work meeting for the main amount of card content guidance implementation of the output of the safety work report implementation</v>
      </c>
      <c r="B5858" s="1" t="str">
        <f ca="1">IFERROR(__xludf.DUMMYFUNCTION("GOOGLETRANSLATE(A5858, ""zh"", ""en"")"),"staff")</f>
        <v>staff</v>
      </c>
      <c r="C5858" s="1" t="str">
        <f ca="1">IFERROR(__xludf.DUMMYFUNCTION("GOOGLETRANSLATE(E5858, ""zh"", ""en"")"),"Qualitative text")</f>
        <v>Qualitative text</v>
      </c>
    </row>
    <row r="5859" spans="1:3" ht="13" x14ac:dyDescent="0.15">
      <c r="A5859" s="1" t="str">
        <f ca="1">IFERROR(__xludf.DUMMYFUNCTION("GOOGLETRANSLATE(A5859, ""zh"", ""en"")"),"Overseas operations include factories in most of Haier Smart Home's business regions, including North America, Europe, South Asia, and Southeast Asia. 2. Wastewater primarily consists of production wastewater and domestic sewage from various industrial pa"&amp;"rks. 3. Due to the nature of Haier Smart Home's business, its primary gas emissions are greenhouse gas emissions derived from the use of fossil fuels and electricity and steam converted from fossil fuels. Green factories play a leading role in sustainable"&amp;" development. In February 2022, the Ministry of Industry and Information Technology announced the 2022 Green Manufacturing List, and two Haier Smart Home factories were included in the list, making it the company with the largest number of national-level "&amp;"green factories in Qingdao.")</f>
        <v>Overseas operations include factories in most of Haier Smart Home's business regions, including North America, Europe, South Asia, and Southeast Asia. 2. Wastewater primarily consists of production wastewater and domestic sewage from various industrial parks. 3. Due to the nature of Haier Smart Home's business, its primary gas emissions are greenhouse gas emissions derived from the use of fossil fuels and electricity and steam converted from fossil fuels. Green factories play a leading role in sustainable development. In February 2022, the Ministry of Industry and Information Technology announced the 2022 Green Manufacturing List, and two Haier Smart Home factories were included in the list, making it the company with the largest number of national-level green factories in Qingdao.</v>
      </c>
      <c r="B5859" s="1" t="str">
        <f ca="1">IFERROR(__xludf.DUMMYFUNCTION("GOOGLETRANSLATE(A5859, ""zh"", ""en"")"),"Waste Management")</f>
        <v>Waste Management</v>
      </c>
      <c r="C5859" s="1" t="str">
        <f ca="1">IFERROR(__xludf.DUMMYFUNCTION("GOOGLETRANSLATE(E5859, ""zh"", ""en"")"),"Quantitative Text")</f>
        <v>Quantitative Text</v>
      </c>
    </row>
    <row r="5860" spans="1:3" ht="13" x14ac:dyDescent="0.15">
      <c r="A5860" s="1" t="str">
        <f ca="1">IFERROR(__xludf.DUMMYFUNCTION("GOOGLETRANSLATE(A5860, ""zh"", ""en"")"),"2022 965,000 employee volunteer services 1.601 million volunteer service hours Sinopec Corporation Sinopec Corporation 9394 Corporate Governance Strengthens Safety Lines Addresses Climate Change Respects Human Rights and Talent Cultivation Environmental P"&amp;"rotection Fulfills Social Responsibility Sustainable Supply Chain Sinopec has always attached great importance to supply chain management optimization, insists on incorporating ESG into the supplier and contractor management system, actively promotes the "&amp;"procurement principles of integrity, safety, timeliness, and green economy, and is committed to building a compliant, green, and responsible procurement system.")</f>
        <v>2022 965,000 employee volunteer services 1.601 million volunteer service hours Sinopec Corporation Sinopec Corporation 9394 Corporate Governance Strengthens Safety Lines Addresses Climate Change Respects Human Rights and Talent Cultivation Environmental Protection Fulfills Social Responsibility Sustainable Supply Chain Sinopec has always attached great importance to supply chain management optimization, insists on incorporating ESG into the supplier and contractor management system, actively promotes the procurement principles of integrity, safety, timeliness, and green economy, and is committed to building a compliant, green, and responsible procurement system.</v>
      </c>
      <c r="B5860" s="1" t="str">
        <f ca="1">IFERROR(__xludf.DUMMYFUNCTION("GOOGLETRANSLATE(A5860, ""zh"", ""en"")"),"Public welfare and volunteer service")</f>
        <v>Public welfare and volunteer service</v>
      </c>
      <c r="C5860" s="1" t="str">
        <f ca="1">IFERROR(__xludf.DUMMYFUNCTION("GOOGLETRANSLATE(E5860, ""zh"", ""en"")"),"Quantitative Text")</f>
        <v>Quantitative Text</v>
      </c>
    </row>
    <row r="5861" spans="1:3" ht="13" x14ac:dyDescent="0.15">
      <c r="A5861" s="1" t="str">
        <f ca="1">IFERROR(__xludf.DUMMYFUNCTION("GOOGLETRANSLATE(A5861, ""zh"", ""en"")"),"Meijie Zhaoyi won the first prize in the 2022 Zhejiang Supply Chain Manager Vocational Skills Competition. Metals Company, Factoring Company, Yunshang Company, Leasing Company, Logistics Company, 53 Environmental Company, etc. To promote the all-round dev"&amp;"elopment of employees, they held a lecture on the current status and changes of urban sewage treatment technology, a lecture on medical waste treatment, a lecture on the Sky Sharing System, training on personality traits and efficient communication, train"&amp;"ing on refined 7S introduction, labor law training, training on contract clauses of the Civil Code, a meeting on the exchange and demonstration of treatment process solutions for a printing and dyeing wastewater project, training on common audit issues, a"&amp;"dvanced courses for sewage treatment positions, etc.")</f>
        <v>Meijie Zhaoyi won the first prize in the 2022 Zhejiang Supply Chain Manager Vocational Skills Competition. Metals Company, Factoring Company, Yunshang Company, Leasing Company, Logistics Company, 53 Environmental Company, etc. To promote the all-round development of employees, they held a lecture on the current status and changes of urban sewage treatment technology, a lecture on medical waste treatment, a lecture on the Sky Sharing System, training on personality traits and efficient communication, training on refined 7S introduction, labor law training, training on contract clauses of the Civil Code, a meeting on the exchange and demonstration of treatment process solutions for a printing and dyeing wastewater project, training on common audit issues, advanced courses for sewage treatment positions, etc.</v>
      </c>
      <c r="B5861" s="1" t="str">
        <f ca="1">IFERROR(__xludf.DUMMYFUNCTION("GOOGLETRANSLATE(A5861, ""zh"", ""en"")"),"staff")</f>
        <v>staff</v>
      </c>
      <c r="C5861" s="1" t="str">
        <f ca="1">IFERROR(__xludf.DUMMYFUNCTION("GOOGLETRANSLATE(E5861, ""zh"", ""en"")"),"Qualitative text")</f>
        <v>Qualitative text</v>
      </c>
    </row>
    <row r="5862" spans="1:3" ht="13" x14ac:dyDescent="0.15">
      <c r="A5862" s="1" t="str">
        <f ca="1">IFERROR(__xludf.DUMMYFUNCTION("GOOGLETRANSLATE(A5862, ""zh"", ""en"")"),"The company listens to employees' opinions and suggestions on the company's system construction, business development, and corporate culture construction through various means such as organizing employee representative conferences, leading cadres, grassro"&amp;"ots research seminars, and various survey questionnaires. The company timely releases company news, business achievements, system updates, cultural publicity, and other information through channels such as the intranet, WeChat, and corporate accounts. Thi"&amp;"s allows employees to keep abreast of the company's development and changes, and better integrate into the company. The company's WeChat corporate account, human resources, administrative services column, and other channels also promptly release company-r"&amp;"elated training information, event information, health knowledge information, etc. to employees to enhance the employee experience.")</f>
        <v>The company listens to employees' opinions and suggestions on the company's system construction, business development, and corporate culture construction through various means such as organizing employee representative conferences, leading cadres, grassroots research seminars, and various survey questionnaires. The company timely releases company news, business achievements, system updates, cultural publicity, and other information through channels such as the intranet, WeChat, and corporate accounts. This allows employees to keep abreast of the company's development and changes, and better integrate into the company. The company's WeChat corporate account, human resources, administrative services column, and other channels also promptly release company-related training information, event information, health knowledge information, etc. to employees to enhance the employee experience.</v>
      </c>
      <c r="B5862" s="1" t="str">
        <f ca="1">IFERROR(__xludf.DUMMYFUNCTION("GOOGLETRANSLATE(A5862, ""zh"", ""en"")"),"staff")</f>
        <v>staff</v>
      </c>
      <c r="C5862" s="1" t="str">
        <f ca="1">IFERROR(__xludf.DUMMYFUNCTION("GOOGLETRANSLATE(E5862, ""zh"", ""en"")"),"Qualitative text")</f>
        <v>Qualitative text</v>
      </c>
    </row>
    <row r="5863" spans="1:3" ht="13" x14ac:dyDescent="0.15">
      <c r="A5863" s="1" t="str">
        <f ca="1">IFERROR(__xludf.DUMMYFUNCTION("GOOGLETRANSLATE(A5863, ""zh"", ""en"")"),"As of the end of 2022, one sterile production line of the Group's pharmaceutical business has passed the European cGMP certification. Among the production lines inspected by the US FDA for cGMP compliance, 37 sterile production lines have passed the US FD"&amp;"A's cGMP certification. Henlius has one sterile production line certified by the European cGMP certification. All domestic pharmaceutical business member companies have met the national cGMP certification requirements. Indian pharmaceutical member company"&amp;" Gland has the new GMP requirements.")</f>
        <v>As of the end of 2022, one sterile production line of the Group's pharmaceutical business has passed the European cGMP certification. Among the production lines inspected by the US FDA for cGMP compliance, 37 sterile production lines have passed the US FDA's cGMP certification. Henlius has one sterile production line certified by the European cGMP certification. All domestic pharmaceutical business member companies have met the national cGMP certification requirements. Indian pharmaceutical member company Gland has the new GMP requirements.</v>
      </c>
      <c r="B5863" s="1" t="str">
        <f ca="1">IFERROR(__xludf.DUMMYFUNCTION("GOOGLETRANSLATE(A5863, ""zh"", ""en"")"),"Product quality")</f>
        <v>Product quality</v>
      </c>
      <c r="C5863" s="1" t="str">
        <f ca="1">IFERROR(__xludf.DUMMYFUNCTION("GOOGLETRANSLATE(E5863, ""zh"", ""en"")"),"Quantitative Text")</f>
        <v>Quantitative Text</v>
      </c>
    </row>
    <row r="5864" spans="1:3" ht="13" x14ac:dyDescent="0.15">
      <c r="A5864" s="1" t="str">
        <f ca="1">IFERROR(__xludf.DUMMYFUNCTION("GOOGLETRANSLATE(A5864, ""zh"", ""en"")"),"Disaster relief and rescue efforts are resolute and effective, and charitable donations remain true to their original aspirations. Funding areas include: 60% poverty alleviation, 40% educational assistance, and 174% disaster relief. Emergency public healt"&amp;"h efforts, such as epidemic prevention and control, have contributed to the promotion of science, education, culture, health, and sports. The 2022 OKids International Children's Art Festival is the final year of the three-year Child-Friendly City 2020/202"&amp;"2 initiative. On July 9, 2022, the OKids International Children's Art Festival, themed around a pre-announced campaign, officially opened at the Yuan Art Museum on Nanbin Road in Chongqing.")</f>
        <v>Disaster relief and rescue efforts are resolute and effective, and charitable donations remain true to their original aspirations. Funding areas include: 60% poverty alleviation, 40% educational assistance, and 174% disaster relief. Emergency public health efforts, such as epidemic prevention and control, have contributed to the promotion of science, education, culture, health, and sports. The 2022 OKids International Children's Art Festival is the final year of the three-year Child-Friendly City 2020/2022 initiative. On July 9, 2022, the OKids International Children's Art Festival, themed around a pre-announced campaign, officially opened at the Yuan Art Museum on Nanbin Road in Chongqing.</v>
      </c>
      <c r="B5864" s="1" t="str">
        <f ca="1">IFERROR(__xludf.DUMMYFUNCTION("GOOGLETRANSLATE(A5864, ""zh"", ""en"")"),"Public welfare and volunteer service")</f>
        <v>Public welfare and volunteer service</v>
      </c>
      <c r="C5864" s="1" t="str">
        <f ca="1">IFERROR(__xludf.DUMMYFUNCTION("GOOGLETRANSLATE(E5864, ""zh"", ""en"")"),"Quantitative Text")</f>
        <v>Quantitative Text</v>
      </c>
    </row>
    <row r="5865" spans="1:3" ht="13" x14ac:dyDescent="0.15">
      <c r="A5865" s="1" t="str">
        <f ca="1">IFERROR(__xludf.DUMMYFUNCTION("GOOGLETRANSLATE(A5865, ""zh"", ""en"")"),"0203040506 Protecting the planet, exploring a green and low-carbon future, integrating people and single-source businesses, promoting diversified and inclusive development, creating a sustainable supply chain through responsible procurement, and leveragin"&amp;"g smart experiences to lead a better life. Uniting hearts and minds to promote equitable development. 01 Global collaboration and a sustainable governance ecosystem. 5352 Haier Smart Home Co., Ltd. Environmental, Social and Governance Report. Empowering t"&amp;"alent growth and development. We uphold the philosophy that everyone can develop and everyone is valued. We value the growth and development of our employees, expand development channels through the establishment of reward mechanisms, encourage employee i"&amp;"nnovation, and provide diversified training to help employees create personal value.")</f>
        <v>0203040506 Protecting the planet, exploring a green and low-carbon future, integrating people and single-source businesses, promoting diversified and inclusive development, creating a sustainable supply chain through responsible procurement, and leveraging smart experiences to lead a better life. Uniting hearts and minds to promote equitable development. 01 Global collaboration and a sustainable governance ecosystem. 5352 Haier Smart Home Co., Ltd. Environmental, Social and Governance Report. Empowering talent growth and development. We uphold the philosophy that everyone can develop and everyone is valued. We value the growth and development of our employees, expand development channels through the establishment of reward mechanisms, encourage employee innovation, and provide diversified training to help employees create personal value.</v>
      </c>
      <c r="B5865" s="1" t="str">
        <f ca="1">IFERROR(__xludf.DUMMYFUNCTION("GOOGLETRANSLATE(A5865, ""zh"", ""en"")"),"staff")</f>
        <v>staff</v>
      </c>
      <c r="C5865" s="1" t="str">
        <f ca="1">IFERROR(__xludf.DUMMYFUNCTION("GOOGLETRANSLATE(E5865, ""zh"", ""en"")"),"Qualitative text")</f>
        <v>Qualitative text</v>
      </c>
    </row>
    <row r="5866" spans="1:3" ht="13" x14ac:dyDescent="0.15">
      <c r="A5866" s="1" t="str">
        <f ca="1">IFERROR(__xludf.DUMMYFUNCTION("GOOGLETRANSLATE(A5866, ""zh"", ""en"")"),"In 2009, Xinjiaaisi Thermal Power Co., Ltd., a subsidiary of Huanneng Company, and its team actively explored sludge incineration technology through independent research and development. They built the first sludge incineration comprehensive utilization p"&amp;"roject in the province, which was listed as a national demonstration project and won the third prize of the National Energy Science and Technology Progress Award. Two sludge disposal technologies won the second prize of Zhejiang Science and Technology Pro"&amp;"gress Award and the first prize of Huaxia Construction Science and Technology Award of the Ministry of Housing and Urban-Rural Development respectively. The sludge disposal technology jointly applied for with Zhejiang University and others won the second "&amp;"prize of the National Science and Technology Progress Award. In 2020, it was recognized by the Zhejiang Provincial Development and Reform Commission and successfully established the Zhejiang Provincial Engineering Research Center for Green Sludge Resource"&amp;" Utilization.")</f>
        <v>In 2009, Xinjiaaisi Thermal Power Co., Ltd., a subsidiary of Huanneng Company, and its team actively explored sludge incineration technology through independent research and development. They built the first sludge incineration comprehensive utilization project in the province, which was listed as a national demonstration project and won the third prize of the National Energy Science and Technology Progress Award. Two sludge disposal technologies won the second prize of Zhejiang Science and Technology Progress Award and the first prize of Huaxia Construction Science and Technology Award of the Ministry of Housing and Urban-Rural Development respectively. The sludge disposal technology jointly applied for with Zhejiang University and others won the second prize of the National Science and Technology Progress Award. In 2020, it was recognized by the Zhejiang Provincial Development and Reform Commission and successfully established the Zhejiang Provincial Engineering Research Center for Green Sludge Resource Utilization.</v>
      </c>
      <c r="B5866" s="1" t="str">
        <f ca="1">IFERROR(__xludf.DUMMYFUNCTION("GOOGLETRANSLATE(A5866, ""zh"", ""en"")"),"Waste Management")</f>
        <v>Waste Management</v>
      </c>
      <c r="C5866" s="1" t="str">
        <f ca="1">IFERROR(__xludf.DUMMYFUNCTION("GOOGLETRANSLATE(E5866, ""zh"", ""en"")"),"Quantitative Text")</f>
        <v>Quantitative Text</v>
      </c>
    </row>
    <row r="5867" spans="1:3" ht="13" x14ac:dyDescent="0.15">
      <c r="A5867" s="1" t="str">
        <f ca="1">IFERROR(__xludf.DUMMYFUNCTION("GOOGLETRANSLATE(A5867, ""zh"", ""en"")"),"0167 actively responded to the overall deployment of the state and the provincial party committee and government on the dual carbon goals, and took the construction of a digital system platform as a starting point to deepen the application of digital tech"&amp;"nology in the traditional power and heat industry. After years of industry-university-research cooperation, a digital smart environmental protection cloud platform for the power and heat industry was developed. It can significantly reduce the operational "&amp;"fluctuations of the ultra-low emission process of flue gas, realize the quantification of carbon emissions in the production process, and help power and heat companies achieve the goals of system safety, pollution reduction, carbon reduction, and efficien"&amp;"t production. It further accelerated the digital transformation of enterprises in the power and heat industry and comprehensively improved the comprehensive level of production operations and management decision-making.")</f>
        <v>0167 actively responded to the overall deployment of the state and the provincial party committee and government on the dual carbon goals, and took the construction of a digital system platform as a starting point to deepen the application of digital technology in the traditional power and heat industry. After years of industry-university-research cooperation, a digital smart environmental protection cloud platform for the power and heat industry was developed. It can significantly reduce the operational fluctuations of the ultra-low emission process of flue gas, realize the quantification of carbon emissions in the production process, and help power and heat companies achieve the goals of system safety, pollution reduction, carbon reduction, and efficient production. It further accelerated the digital transformation of enterprises in the power and heat industry and comprehensively improved the comprehensive level of production operations and management decision-making.</v>
      </c>
      <c r="B5867" s="1" t="str">
        <f ca="1">IFERROR(__xludf.DUMMYFUNCTION("GOOGLETRANSLATE(A5867, ""zh"", ""en"")"),"carbon emissions")</f>
        <v>carbon emissions</v>
      </c>
      <c r="C5867" s="1" t="str">
        <f ca="1">IFERROR(__xludf.DUMMYFUNCTION("GOOGLETRANSLATE(E5867, ""zh"", ""en"")"),"Qualitative text")</f>
        <v>Qualitative text</v>
      </c>
    </row>
    <row r="5868" spans="1:3" ht="13" x14ac:dyDescent="0.15">
      <c r="A5868" s="1" t="str">
        <f ca="1">IFERROR(__xludf.DUMMYFUNCTION("GOOGLETRANSLATE(A5868, ""zh"", ""en"")"),"Focusing on the core needs, pain points and difficulties of inclusive customers such as small and micro enterprises and individual business owners, we customize exclusive financial service solutions, develop digital inclusive models, apply various externa"&amp;"l data such as tax data, and meet customers' convenient financing needs through credit loans. We launched Huidongni 3.0 version and fully upgraded it to an integrated ecological comprehensive service platform. We optimized business processes and provided "&amp;"inclusive customers with 26 functional services covering the entire financing journey. We introduced public services such as financial management, logistics, and law. We published the inclusive finance prosperity index and further guided social resources "&amp;"and factors to jointly serve and support the development of small and micro enterprises.")</f>
        <v>Focusing on the core needs, pain points and difficulties of inclusive customers such as small and micro enterprises and individual business owners, we customize exclusive financial service solutions, develop digital inclusive models, apply various external data such as tax data, and meet customers' convenient financing needs through credit loans. We launched Huidongni 3.0 version and fully upgraded it to an integrated ecological comprehensive service platform. We optimized business processes and provided inclusive customers with 26 functional services covering the entire financing journey. We introduced public services such as financial management, logistics, and law. We published the inclusive finance prosperity index and further guided social resources and factors to jointly serve and support the development of small and micro enterprises.</v>
      </c>
      <c r="B5868" s="1" t="str">
        <f ca="1">IFERROR(__xludf.DUMMYFUNCTION("GOOGLETRANSLATE(A5868, ""zh"", ""en"")"),"Customers and Consumers")</f>
        <v>Customers and Consumers</v>
      </c>
      <c r="C5868" s="1" t="str">
        <f ca="1">IFERROR(__xludf.DUMMYFUNCTION("GOOGLETRANSLATE(E5868, ""zh"", ""en"")"),"Qualitative text")</f>
        <v>Qualitative text</v>
      </c>
    </row>
    <row r="5869" spans="1:3" ht="13" x14ac:dyDescent="0.15">
      <c r="A5869" s="1" t="str">
        <f ca="1">IFERROR(__xludf.DUMMYFUNCTION("GOOGLETRANSLATE(A5869, ""zh"", ""en"")"),"Building Hisense 05 Corporate Social Responsibility Report 202206 Governance Responsibilities Strengthen corporate governance and consolidate the foundation for development. Governance structure maintains continuous communication with investors. Internal "&amp;"control and risk management. Compliance operations. Fair competition. Anti-corruption. Governance responsibility. Governance structure maintains continuous communication with investors. The company focuses on improving the quality of communication with in"&amp;"vestors. It conducts investor relations management in accordance with the requirements of the Securities Law, the Guidelines for Investor Relations of Listed Companies, and fully listens to the demands of small and medium-sized shareholders.")</f>
        <v>Building Hisense 05 Corporate Social Responsibility Report 202206 Governance Responsibilities Strengthen corporate governance and consolidate the foundation for development. Governance structure maintains continuous communication with investors. Internal control and risk management. Compliance operations. Fair competition. Anti-corruption. Governance responsibility. Governance structure maintains continuous communication with investors. The company focuses on improving the quality of communication with investors. It conducts investor relations management in accordance with the requirements of the Securities Law, the Guidelines for Investor Relations of Listed Companies, and fully listens to the demands of small and medium-sized shareholders.</v>
      </c>
      <c r="B5869" s="1" t="str">
        <f ca="1">IFERROR(__xludf.DUMMYFUNCTION("GOOGLETRANSLATE(A5869, ""zh"", ""en"")"),"Shareholder and creditor rights")</f>
        <v>Shareholder and creditor rights</v>
      </c>
      <c r="C5869" s="1" t="str">
        <f ca="1">IFERROR(__xludf.DUMMYFUNCTION("GOOGLETRANSLATE(E5869, ""zh"", ""en"")"),"Qualitative text")</f>
        <v>Qualitative text</v>
      </c>
    </row>
    <row r="5870" spans="1:3" ht="13" x14ac:dyDescent="0.15">
      <c r="A5870" s="1" t="str">
        <f ca="1">IFERROR(__xludf.DUMMYFUNCTION("GOOGLETRANSLATE(A5870, ""zh"", ""en"")"),"Sinopec Corporation Sinopec Corporation 8384 Corporate Governance Strengthens Safety Lines Addresses Climate Change Respects Human Rights and Talent Cultivation Protects the Environment Fulfills Social Responsibility Management and Technical Talent Intern"&amp;"ational Talent Employee Cultivation and Development Sinopec is committed to building a major talent gathering center and innovation highland, creating vertical and horizontal talent development space, and providing employees with multi-level, multi-angle "&amp;"and multi-directional development paths, so that every employee can gain knowledge and skills in their careers and gain valuable professional experience to grow together with the company.")</f>
        <v>Sinopec Corporation Sinopec Corporation 8384 Corporate Governance Strengthens Safety Lines Addresses Climate Change Respects Human Rights and Talent Cultivation Protects the Environment Fulfills Social Responsibility Management and Technical Talent International Talent Employee Cultivation and Development Sinopec is committed to building a major talent gathering center and innovation highland, creating vertical and horizontal talent development space, and providing employees with multi-level, multi-angle and multi-directional development paths, so that every employee can gain knowledge and skills in their careers and gain valuable professional experience to grow together with the company.</v>
      </c>
      <c r="B5870" s="1" t="str">
        <f ca="1">IFERROR(__xludf.DUMMYFUNCTION("GOOGLETRANSLATE(A5870, ""zh"", ""en"")"),"staff")</f>
        <v>staff</v>
      </c>
      <c r="C5870" s="1" t="str">
        <f ca="1">IFERROR(__xludf.DUMMYFUNCTION("GOOGLETRANSLATE(E5870, ""zh"", ""en"")"),"Qualitative text")</f>
        <v>Qualitative text</v>
      </c>
    </row>
    <row r="5871" spans="1:3" ht="13" x14ac:dyDescent="0.15">
      <c r="A5871" s="1" t="str">
        <f ca="1">IFERROR(__xludf.DUMMYFUNCTION("GOOGLETRANSLATE(A5871, ""zh"", ""en"")"),"Annual key tasks of the Sustainable Development Committee: Convene a Sustainable Development Committee meeting to review the proposals on the company's 2022 Environmental, Social and Governance Report and the proposals on the company's 2022 Health, Safety"&amp;" and Environmental Protection Work Report, and form a committee resolution; Convene a special meeting on ESG work to promote benchmarking research; Study and formulate a three-year action plan for improving ESG work; ESG performance assessment and managem"&amp;"ent compensation; The company incorporates indicators such as efficient operation, energy conservation, emission reduction, safety, environmental protection and compliance management into the management performance assessment and pays performance compensa"&amp;"tion based on the performance assessment scores.")</f>
        <v>Annual key tasks of the Sustainable Development Committee: Convene a Sustainable Development Committee meeting to review the proposals on the company's 2022 Environmental, Social and Governance Report and the proposals on the company's 2022 Health, Safety and Environmental Protection Work Report, and form a committee resolution; Convene a special meeting on ESG work to promote benchmarking research; Study and formulate a three-year action plan for improving ESG work; ESG performance assessment and management compensation; The company incorporates indicators such as efficient operation, energy conservation, emission reduction, safety, environmental protection and compliance management into the management performance assessment and pays performance compensation based on the performance assessment scores.</v>
      </c>
      <c r="B5871" s="1" t="str">
        <f ca="1">IFERROR(__xludf.DUMMYFUNCTION("GOOGLETRANSLATE(A5871, ""zh"", ""en"")"),"Organizational structure and operations")</f>
        <v>Organizational structure and operations</v>
      </c>
      <c r="C5871" s="1" t="str">
        <f ca="1">IFERROR(__xludf.DUMMYFUNCTION("GOOGLETRANSLATE(E5871, ""zh"", ""en"")"),"Qualitative text")</f>
        <v>Qualitative text</v>
      </c>
    </row>
    <row r="5872" spans="1:3" ht="13" x14ac:dyDescent="0.15">
      <c r="A5872" s="1" t="str">
        <f ca="1">IFERROR(__xludf.DUMMYFUNCTION("GOOGLETRANSLATE(A5872, ""zh"", ""en"")"),"During the supply period, the Group's member companies will conduct a comprehensive analysis of the supplier's quality status, delivery speed, and supplier management. In terms of supplier management, the Group will communicate and exchange with suppliers"&amp;" on any problems found. The Group will feedback defects and problems to suppliers through the quality agreement and supplier assessment method agreed upon by the suppliers. The Group will urge suppliers to make necessary quality assessments, improve suppl"&amp;"ier qualifications, production site processes and technologies, and implement scientific reviews of suppliers whose quality does not meet the requirements, such as downgrading the quality assurance system, and rejecting them based on the level of quality.")</f>
        <v>During the supply period, the Group's member companies will conduct a comprehensive analysis of the supplier's quality status, delivery speed, and supplier management. In terms of supplier management, the Group will communicate and exchange with suppliers on any problems found. The Group will feedback defects and problems to suppliers through the quality agreement and supplier assessment method agreed upon by the suppliers. The Group will urge suppliers to make necessary quality assessments, improve supplier qualifications, production site processes and technologies, and implement scientific reviews of suppliers whose quality does not meet the requirements, such as downgrading the quality assurance system, and rejecting them based on the level of quality.</v>
      </c>
      <c r="B5872" s="1" t="str">
        <f ca="1">IFERROR(__xludf.DUMMYFUNCTION("GOOGLETRANSLATE(A5872, ""zh"", ""en"")"),"supply chain management")</f>
        <v>supply chain management</v>
      </c>
      <c r="C5872" s="1" t="str">
        <f ca="1">IFERROR(__xludf.DUMMYFUNCTION("GOOGLETRANSLATE(E5872, ""zh"", ""en"")"),"Qualitative text")</f>
        <v>Qualitative text</v>
      </c>
    </row>
    <row r="5873" spans="1:3" ht="13" x14ac:dyDescent="0.15">
      <c r="A5873" s="1" t="str">
        <f ca="1">IFERROR(__xludf.DUMMYFUNCTION("GOOGLETRANSLATE(A5873, ""zh"", ""en"")"),"Yichang Renfu Gedian Renfu, Wuhan Renfu and other companies have successively carried out annual supplier inspections. Renfu Chengtian successfully completed the review of 92 existing suppliers in 2022 in accordance with the annual supplier management pla"&amp;"n, including 67 raw material and packaging suppliers. The desktop audit team composed of the quality department, production department and procurement department conducted desktop audits and on-site audits on key raw material and packaging material suppli"&amp;"ers. The review content mainly included quality system and production site regulatory compliance inspections. The existing supplier review results all met the quality requirements.")</f>
        <v>Yichang Renfu Gedian Renfu, Wuhan Renfu and other companies have successively carried out annual supplier inspections. Renfu Chengtian successfully completed the review of 92 existing suppliers in 2022 in accordance with the annual supplier management plan, including 67 raw material and packaging suppliers. The desktop audit team composed of the quality department, production department and procurement department conducted desktop audits and on-site audits on key raw material and packaging material suppliers. The review content mainly included quality system and production site regulatory compliance inspections. The existing supplier review results all met the quality requirements.</v>
      </c>
      <c r="B5873" s="1" t="str">
        <f ca="1">IFERROR(__xludf.DUMMYFUNCTION("GOOGLETRANSLATE(A5873, ""zh"", ""en"")"),"supply chain management")</f>
        <v>supply chain management</v>
      </c>
      <c r="C5873" s="1" t="str">
        <f ca="1">IFERROR(__xludf.DUMMYFUNCTION("GOOGLETRANSLATE(E5873, ""zh"", ""en"")"),"Quantitative Text")</f>
        <v>Quantitative Text</v>
      </c>
    </row>
    <row r="5874" spans="1:3" ht="13" x14ac:dyDescent="0.15">
      <c r="A5874" s="1" t="str">
        <f ca="1">IFERROR(__xludf.DUMMYFUNCTION("GOOGLETRANSLATE(A5874, ""zh"", ""en"")"),"2022CorporateSocialResponsibilityReport81Employee Compensation and BenefitsFosun Pharma's member companies are located in many countries around the world. The Group provides female employees with leave in accordance with national and local laws for all th"&amp;"ree trimesters of pregnancy, childbirth, breastfeeding, and regions. We adhere to all human resources policies and strictly abide by the compensation and benefits policies in the countries and regions where we operate. 100% job retention, except for volun"&amp;"tary resignation and dismissal. Recruitment and promotion of employees are equal during work and rest periods. 100% return to work.")</f>
        <v>2022CorporateSocialResponsibilityReport81Employee Compensation and BenefitsFosun Pharma's member companies are located in many countries around the world. The Group provides female employees with leave in accordance with national and local laws for all three trimesters of pregnancy, childbirth, breastfeeding, and regions. We adhere to all human resources policies and strictly abide by the compensation and benefits policies in the countries and regions where we operate. 100% job retention, except for voluntary resignation and dismissal. Recruitment and promotion of employees are equal during work and rest periods. 100% return to work.</v>
      </c>
      <c r="B5874" s="1" t="str">
        <f ca="1">IFERROR(__xludf.DUMMYFUNCTION("GOOGLETRANSLATE(A5874, ""zh"", ""en"")"),"staff")</f>
        <v>staff</v>
      </c>
      <c r="C5874" s="1" t="str">
        <f ca="1">IFERROR(__xludf.DUMMYFUNCTION("GOOGLETRANSLATE(E5874, ""zh"", ""en"")"),"Qualitative text")</f>
        <v>Qualitative text</v>
      </c>
    </row>
    <row r="5875" spans="1:3" ht="13" x14ac:dyDescent="0.15">
      <c r="A5875" s="1" t="str">
        <f ca="1">IFERROR(__xludf.DUMMYFUNCTION("GOOGLETRANSLATE(A5875, ""zh"", ""en"")"),"The company strictly abides by the Product Quality Law of the People's Republic of China, the Certification and Accreditation Regulations of the People's Republic of China, the Regulations of the People's Republic of China on the Administration of Industr"&amp;"ial Product Production Licenses, and other applicable quality management laws and regulations. It has formulated the company's quality management measures, product quality supervision and spot check management regulations, procurement material quality sup"&amp;"ervision regulations, and other management regulations and implementation details covering all employees and the entire process of the enterprise. By promoting the construction and certification of the quality management system, quality responsibilities a"&amp;"re implemented step by step, process quality control and terminal quality supervision are strengthened to achieve a quality management model that covers all employees, all factors, all processes, and all data.")</f>
        <v>The company strictly abides by the Product Quality Law of the People's Republic of China, the Certification and Accreditation Regulations of the People's Republic of China, the Regulations of the People's Republic of China on the Administration of Industrial Product Production Licenses, and other applicable quality management laws and regulations. It has formulated the company's quality management measures, product quality supervision and spot check management regulations, procurement material quality supervision regulations, and other management regulations and implementation details covering all employees and the entire process of the enterprise. By promoting the construction and certification of the quality management system, quality responsibilities are implemented step by step, process quality control and terminal quality supervision are strengthened to achieve a quality management model that covers all employees, all factors, all processes, and all data.</v>
      </c>
      <c r="B5875" s="1" t="str">
        <f ca="1">IFERROR(__xludf.DUMMYFUNCTION("GOOGLETRANSLATE(A5875, ""zh"", ""en"")"),"Product quality")</f>
        <v>Product quality</v>
      </c>
      <c r="C5875" s="1" t="str">
        <f ca="1">IFERROR(__xludf.DUMMYFUNCTION("GOOGLETRANSLATE(E5875, ""zh"", ""en"")"),"Qualitative text")</f>
        <v>Qualitative text</v>
      </c>
    </row>
    <row r="5876" spans="1:3" ht="13" x14ac:dyDescent="0.15">
      <c r="A5876" s="1" t="str">
        <f ca="1">IFERROR(__xludf.DUMMYFUNCTION("GOOGLETRANSLATE(A5876, ""zh"", ""en"")"),"In order to comprehensively understand the impact of policy transitions, extreme weather history and other factors on the Group's operations and more flexibly respond to climate change, market changes, intensified extreme weather and other aspects, we hav"&amp;"e selected various potential scenarios for significant climate change risks related to the Group, and integrated them with the Group's overall risk management system to promote the implementation of climate change risk management throughout the value chai"&amp;"n.")</f>
        <v>In order to comprehensively understand the impact of policy transitions, extreme weather history and other factors on the Group's operations and more flexibly respond to climate change, market changes, intensified extreme weather and other aspects, we have selected various potential scenarios for significant climate change risks related to the Group, and integrated them with the Group's overall risk management system to promote the implementation of climate change risk management throughout the value chain.</v>
      </c>
      <c r="B5876" s="1" t="str">
        <f ca="1">IFERROR(__xludf.DUMMYFUNCTION("GOOGLETRANSLATE(A5876, ""zh"", ""en"")"),"Addressing climate change")</f>
        <v>Addressing climate change</v>
      </c>
      <c r="C5876" s="1" t="str">
        <f ca="1">IFERROR(__xludf.DUMMYFUNCTION("GOOGLETRANSLATE(E5876, ""zh"", ""en"")"),"Qualitative text")</f>
        <v>Qualitative text</v>
      </c>
    </row>
    <row r="5877" spans="1:3" ht="13" x14ac:dyDescent="0.15">
      <c r="A5877" s="1" t="str">
        <f ca="1">IFERROR(__xludf.DUMMYFUNCTION("GOOGLETRANSLATE(A5877, ""zh"", ""en"")"),"In the field of drive business, we leverage our core equipment advantages to provide systematic energy efficiency improvement and transformation services for industries such as power, metallurgy, petrochemicals, and building materials. In the field of rai"&amp;"l transit, we have significantly improved the efficiency of rail transit. In the field of smart buildings, Shanghai Mitsubishi Elevator, a subsidiary of Shanghai Electric, has developed a smart elevator energy feedback device that will reduce the carbon f"&amp;"ootprint during each lift. In the field of new energy vehicles, we provide full industry chain services, including low-carbon industrial plant design, lithium battery and vehicle assembly intelligent production lines, and new energy vehicle thermal manage"&amp;"ment systems, to help promote low-carbon transportation.")</f>
        <v>In the field of drive business, we leverage our core equipment advantages to provide systematic energy efficiency improvement and transformation services for industries such as power, metallurgy, petrochemicals, and building materials. In the field of rail transit, we have significantly improved the efficiency of rail transit. In the field of smart buildings, Shanghai Mitsubishi Elevator, a subsidiary of Shanghai Electric, has developed a smart elevator energy feedback device that will reduce the carbon footprint during each lift. In the field of new energy vehicles, we provide full industry chain services, including low-carbon industrial plant design, lithium battery and vehicle assembly intelligent production lines, and new energy vehicle thermal management systems, to help promote low-carbon transportation.</v>
      </c>
      <c r="B5877" s="1" t="str">
        <f ca="1">IFERROR(__xludf.DUMMYFUNCTION("GOOGLETRANSLATE(A5877, ""zh"", ""en"")"),"Energy and resource consumption")</f>
        <v>Energy and resource consumption</v>
      </c>
      <c r="C5877" s="1" t="str">
        <f ca="1">IFERROR(__xludf.DUMMYFUNCTION("GOOGLETRANSLATE(E5877, ""zh"", ""en"")"),"Qualitative text")</f>
        <v>Qualitative text</v>
      </c>
    </row>
    <row r="5878" spans="1:3" ht="13" x14ac:dyDescent="0.15">
      <c r="A5878" s="1" t="str">
        <f ca="1">IFERROR(__xludf.DUMMYFUNCTION("GOOGLETRANSLATE(A5878, ""zh"", ""en"")"),"2022 Environmental, Social and Governance Report A-Share Code 600690 D-Share Code 690 DH-Share Code 6690 About This Report Introduction This report aims to objectively and fairly reflect the environmental, social and governance (ESG) performance of Haier "&amp;"Smart Home Co., Ltd. and its subsidiaries (hereinafter referred to as Haier Smart Home, the Company, or us) in 2022. Regarding corporate governance, please read it in conjunction with the Corporate Governance Report (H-shares) or Corporate Governance (A-s"&amp;"hares) section of the 2022 Annual Report of Haier Smart Home Co., Ltd. (hereinafter referred to as the 2022 Annual Report).")</f>
        <v>2022 Environmental, Social and Governance Report A-Share Code 600690 D-Share Code 690 DH-Share Code 6690 About This Report Introduction This report aims to objectively and fairly reflect the environmental, social and governance (ESG) performance of Haier Smart Home Co., Ltd. and its subsidiaries (hereinafter referred to as Haier Smart Home, the Company, or us) in 2022. Regarding corporate governance, please read it in conjunction with the Corporate Governance Report (H-shares) or Corporate Governance (A-shares) section of the 2022 Annual Report of Haier Smart Home Co., Ltd. (hereinafter referred to as the 2022 Annual Report).</v>
      </c>
      <c r="B5878" s="1" t="str">
        <f ca="1">IFERROR(__xludf.DUMMYFUNCTION("GOOGLETRANSLATE(A5878, ""zh"", ""en"")"),"Organizational structure and operations")</f>
        <v>Organizational structure and operations</v>
      </c>
      <c r="C5878" s="1" t="str">
        <f ca="1">IFERROR(__xludf.DUMMYFUNCTION("GOOGLETRANSLATE(E5878, ""zh"", ""en"")"),"Qualitative text")</f>
        <v>Qualitative text</v>
      </c>
    </row>
    <row r="5879" spans="1:3" ht="13" x14ac:dyDescent="0.15">
      <c r="A5879" s="1" t="str">
        <f ca="1">IFERROR(__xludf.DUMMYFUNCTION("GOOGLETRANSLATE(A5879, ""zh"", ""en"")"),"Shanghai Electric has thoroughly implemented the relevant requirements of the Law of the People's Republic of China on the Prevention and Control of Air Pollution, the Law of the People's Republic of China on the Prevention and Control of Water Pollution,"&amp;" and the Law of the People's Republic of China on the Prevention and Control of Environmental Pollution by Solid Waste. It has also comprehensively implemented the new development concept, achieved precise, scientific, and legal pollution control, and req"&amp;"uired industrial groups and enterprises to identify key environmental governance areas, formulate and report annual governance plans, continuously improve governance targets, responsible persons, timelines, and funding requirements, clarify the main respo"&amp;"nsibilities of enterprises for environmental protection, and strictly implement their annual environmental governance tasks.")</f>
        <v>Shanghai Electric has thoroughly implemented the relevant requirements of the Law of the People's Republic of China on the Prevention and Control of Air Pollution, the Law of the People's Republic of China on the Prevention and Control of Water Pollution, and the Law of the People's Republic of China on the Prevention and Control of Environmental Pollution by Solid Waste. It has also comprehensively implemented the new development concept, achieved precise, scientific, and legal pollution control, and required industrial groups and enterprises to identify key environmental governance areas, formulate and report annual governance plans, continuously improve governance targets, responsible persons, timelines, and funding requirements, clarify the main responsibilities of enterprises for environmental protection, and strictly implement their annual environmental governance tasks.</v>
      </c>
      <c r="B5879" s="1" t="str">
        <f ca="1">IFERROR(__xludf.DUMMYFUNCTION("GOOGLETRANSLATE(A5879, ""zh"", ""en"")"),"Environmental Policy")</f>
        <v>Environmental Policy</v>
      </c>
      <c r="C5879" s="1" t="str">
        <f ca="1">IFERROR(__xludf.DUMMYFUNCTION("GOOGLETRANSLATE(E5879, ""zh"", ""en"")"),"Qualitative text")</f>
        <v>Qualitative text</v>
      </c>
    </row>
    <row r="5880" spans="1:3" ht="13" x14ac:dyDescent="0.15">
      <c r="A5880" s="1" t="str">
        <f ca="1">IFERROR(__xludf.DUMMYFUNCTION("GOOGLETRANSLATE(A5880, ""zh"", ""en"")"),"Case Study: Shenma Curtain Fabric has earnestly carried out hidden danger investigation and control activities to create a good and stable safe production environment for the 100th anniversary of the founding of the Communist Party of China. During the Sa"&amp;"fety Production Month, the company leaders led the safety supervision of fire protection and electrical equipment and other relevant personnel to carry out special supervision and inspection on fire protection, hazardous chemicals, electrical pipelines, t"&amp;"ransportation and other aspects. The construction of safety culture was carried out by checking data and on-site inspections. The safety supervision and inspection activities were carried out in all grassroots units with full coverage and no blind spots. "&amp;"A total of 225 hidden dangers of various types were found. The hidden dangers found were strictly in accordance with the ""five determinations and four signatures"" requirements. A hidden danger management ledger was established and rectification was requ"&amp;"ired within a time limit.")</f>
        <v>Case Study: Shenma Curtain Fabric has earnestly carried out hidden danger investigation and control activities to create a good and stable safe production environment for the 100th anniversary of the founding of the Communist Party of China. During the Safety Production Month, the company leaders led the safety supervision of fire protection and electrical equipment and other relevant personnel to carry out special supervision and inspection on fire protection, hazardous chemicals, electrical pipelines, transportation and other aspects. The construction of safety culture was carried out by checking data and on-site inspections. The safety supervision and inspection activities were carried out in all grassroots units with full coverage and no blind spots. A total of 225 hidden dangers of various types were found. The hidden dangers found were strictly in accordance with the "five determinations and four signatures" requirements. A hidden danger management ledger was established and rectification was required within a time limit.</v>
      </c>
      <c r="B5880" s="1" t="str">
        <f ca="1">IFERROR(__xludf.DUMMYFUNCTION("GOOGLETRANSLATE(A5880, ""zh"", ""en"")"),"staff")</f>
        <v>staff</v>
      </c>
      <c r="C5880" s="1" t="str">
        <f ca="1">IFERROR(__xludf.DUMMYFUNCTION("GOOGLETRANSLATE(E5880, ""zh"", ""en"")"),"Quantitative Text")</f>
        <v>Quantitative Text</v>
      </c>
    </row>
    <row r="5881" spans="1:3" ht="13" x14ac:dyDescent="0.15">
      <c r="A5881" s="1" t="str">
        <f ca="1">IFERROR(__xludf.DUMMYFUNCTION("GOOGLETRANSLATE(A5881, ""zh"", ""en"")"),"Protecting the rights of indigenous peoples and building mutually beneficial community relationships. PetroChina 2022 Environmental, Social and Governance Report 98 We strictly abide by the laws, regulations and human rights protection requirements of the"&amp;" countries where we operate. All operating contracts and contractor management are strictly managed and implemented in accordance with the relevant requirements and regulations formulated by the relevant local functional departments. We maximize the prote"&amp;"ction and fairness of the rights and interests of both the company and employees, and constrain security contractors to carry out security work in a responsible and ethical manner to prevent the abuse of force or human rights violations.")</f>
        <v>Protecting the rights of indigenous peoples and building mutually beneficial community relationships. PetroChina 2022 Environmental, Social and Governance Report 98 We strictly abide by the laws, regulations and human rights protection requirements of the countries where we operate. All operating contracts and contractor management are strictly managed and implemented in accordance with the relevant requirements and regulations formulated by the relevant local functional departments. We maximize the protection and fairness of the rights and interests of both the company and employees, and constrain security contractors to carry out security work in a responsible and ethical manner to prevent the abuse of force or human rights violations.</v>
      </c>
      <c r="B5881" s="1" t="str">
        <f ca="1">IFERROR(__xludf.DUMMYFUNCTION("GOOGLETRANSLATE(A5881, ""zh"", ""en"")"),"staff")</f>
        <v>staff</v>
      </c>
      <c r="C5881" s="1" t="str">
        <f ca="1">IFERROR(__xludf.DUMMYFUNCTION("GOOGLETRANSLATE(E5881, ""zh"", ""en"")"),"Qualitative text")</f>
        <v>Qualitative text</v>
      </c>
    </row>
    <row r="5882" spans="1:3" ht="13" x14ac:dyDescent="0.15">
      <c r="A5882" s="1" t="str">
        <f ca="1">IFERROR(__xludf.DUMMYFUNCTION("GOOGLETRANSLATE(A5882, ""zh"", ""en"")"),"GRI 405 Diversity and Equal Opportunity 2016 Not available at this time 4052 Ratio of basic wages and remuneration between men and women in the Group 4052a 4052b The Group achieves equal starting salaries and adheres to equal minimum wage standards for em"&amp;"ployees of the same gender R Worker AIMGRI 406 Anti-discrimination GRI 3 Material Topics 2021 33 Management of Material Topics pp. 28 30 p. 82 p. 82 GRI 406 Anti-discrimination 2016 4061 Discrimination Incidents and Corrective Actions Taken During the rep"&amp;"orting period, no discrimination incidents confirmed by internal staff occurred in the Group.")</f>
        <v>GRI 405 Diversity and Equal Opportunity 2016 Not available at this time 4052 Ratio of basic wages and remuneration between men and women in the Group 4052a 4052b The Group achieves equal starting salaries and adheres to equal minimum wage standards for employees of the same gender R Worker AIMGRI 406 Anti-discrimination GRI 3 Material Topics 2021 33 Management of Material Topics pp. 28 30 p. 82 p. 82 GRI 406 Anti-discrimination 2016 4061 Discrimination Incidents and Corrective Actions Taken During the reporting period, no discrimination incidents confirmed by internal staff occurred in the Group.</v>
      </c>
      <c r="B5882" s="1" t="str">
        <f ca="1">IFERROR(__xludf.DUMMYFUNCTION("GOOGLETRANSLATE(A5882, ""zh"", ""en"")"),"staff")</f>
        <v>staff</v>
      </c>
      <c r="C5882" s="1" t="str">
        <f ca="1">IFERROR(__xludf.DUMMYFUNCTION("GOOGLETRANSLATE(E5882, ""zh"", ""en"")"),"Quantitative Text")</f>
        <v>Quantitative Text</v>
      </c>
    </row>
    <row r="5883" spans="1:3" ht="13" x14ac:dyDescent="0.15">
      <c r="A5883" s="1" t="str">
        <f ca="1">IFERROR(__xludf.DUMMYFUNCTION("GOOGLETRANSLATE(A5883, ""zh"", ""en"")"),"4748 China Storage Development Co., Ltd. 2022 Social Responsibility and ESG Report Looking Ahead: 2023 is a critical year that connects the past and the future of the 14th Five-Year Plan. The company will adhere to the principle of prudence, continue to p"&amp;"rioritize quality, strictly control risks, enhance internal corporate management, improve information technology applications, strengthen its core business, promote the construction of a supply chain collaboration platform, continue to reform systems and "&amp;"mechanisms, optimize the organizational system, and promote business transformation and upgrading with a high sense of responsibility and mission. Unwaveringly serving national strategies, we will make due contributions to building a modern circulation sy"&amp;"stem, facilitating economic circulation, and ensuring the security of the industrial chain and supply chain.")</f>
        <v>4748 China Storage Development Co., Ltd. 2022 Social Responsibility and ESG Report Looking Ahead: 2023 is a critical year that connects the past and the future of the 14th Five-Year Plan. The company will adhere to the principle of prudence, continue to prioritize quality, strictly control risks, enhance internal corporate management, improve information technology applications, strengthen its core business, promote the construction of a supply chain collaboration platform, continue to reform systems and mechanisms, optimize the organizational system, and promote business transformation and upgrading with a high sense of responsibility and mission. Unwaveringly serving national strategies, we will make due contributions to building a modern circulation system, facilitating economic circulation, and ensuring the security of the industrial chain and supply chain.</v>
      </c>
      <c r="B5883" s="1" t="str">
        <f ca="1">IFERROR(__xludf.DUMMYFUNCTION("GOOGLETRANSLATE(A5883, ""zh"", ""en"")"),"supply chain management")</f>
        <v>supply chain management</v>
      </c>
      <c r="C5883" s="1" t="str">
        <f ca="1">IFERROR(__xludf.DUMMYFUNCTION("GOOGLETRANSLATE(E5883, ""zh"", ""en"")"),"Qualitative text")</f>
        <v>Qualitative text</v>
      </c>
    </row>
    <row r="5884" spans="1:3" ht="13" x14ac:dyDescent="0.15">
      <c r="A5884" s="1" t="str">
        <f ca="1">IFERROR(__xludf.DUMMYFUNCTION("GOOGLETRANSLATE(A5884, ""zh"", ""en"")"),"Livzon Group has waived the market licensing fees for its recombinant human chorionic gonadotropin injection for its partners in three countries in West Africa, South Asia, and Southeast Asia. For its original patented new drug, ilaprazole sodium injectio"&amp;"n, Livzon Group has waived the market licensing fees for its partners in two countries in Southeast Asia. For its recombinant humanized anti-human IL6R monoclonal antibody injection, tocilizumab injection, Livzon Group has waived the market licensing fees"&amp;" for its partners in three countries in Southeast Asia and Europe, and accelerated the EUA registration for this product in these countries to ensure drug supply for critically ill COVID-19 patients.")</f>
        <v>Livzon Group has waived the market licensing fees for its recombinant human chorionic gonadotropin injection for its partners in three countries in West Africa, South Asia, and Southeast Asia. For its original patented new drug, ilaprazole sodium injection, Livzon Group has waived the market licensing fees for its partners in two countries in Southeast Asia. For its recombinant humanized anti-human IL6R monoclonal antibody injection, tocilizumab injection, Livzon Group has waived the market licensing fees for its partners in three countries in Southeast Asia and Europe, and accelerated the EUA registration for this product in these countries to ensure drug supply for critically ill COVID-19 patients.</v>
      </c>
      <c r="B5884" s="1" t="str">
        <f ca="1">IFERROR(__xludf.DUMMYFUNCTION("GOOGLETRANSLATE(A5884, ""zh"", ""en"")"),"Intellectual Property Protection")</f>
        <v>Intellectual Property Protection</v>
      </c>
      <c r="C5884" s="1" t="str">
        <f ca="1">IFERROR(__xludf.DUMMYFUNCTION("GOOGLETRANSLATE(E5884, ""zh"", ""en"")"),"Quantitative Text")</f>
        <v>Quantitative Text</v>
      </c>
    </row>
    <row r="5885" spans="1:3" ht="13" x14ac:dyDescent="0.15">
      <c r="A5885" s="1" t="str">
        <f ca="1">IFERROR(__xludf.DUMMYFUNCTION("GOOGLETRANSLATE(A5885, ""zh"", ""en"")"),"Employee communication and complaint channels The labor union formulates employee diversity policies to protect employees in their job search and the convening of employee representative meetings. The Group does not discriminate against race, skin color, "&amp;"gender, history, etc. in terms of compensation and promotion. It respects employees' rights to hearings and complaints and provides smooth channels for employees to express their complaints and opinions. It also establishes corresponding confidentiality a"&amp;"nd non-retaliation protection measures for employees' sexual orientation, gender identity, or other legally protected identities and ensures that spiritual workers are not affected by these identities in their work and complaint management systems. It als"&amp;"o establishes a disciplinary committee and disciplinary enforcement mechanism.")</f>
        <v>Employee communication and complaint channels The labor union formulates employee diversity policies to protect employees in their job search and the convening of employee representative meetings. The Group does not discriminate against race, skin color, gender, history, etc. in terms of compensation and promotion. It respects employees' rights to hearings and complaints and provides smooth channels for employees to express their complaints and opinions. It also establishes corresponding confidentiality and non-retaliation protection measures for employees' sexual orientation, gender identity, or other legally protected identities and ensures that spiritual workers are not affected by these identities in their work and complaint management systems. It also establishes a disciplinary committee and disciplinary enforcement mechanism.</v>
      </c>
      <c r="B5885" s="1" t="str">
        <f ca="1">IFERROR(__xludf.DUMMYFUNCTION("GOOGLETRANSLATE(A5885, ""zh"", ""en"")"),"staff")</f>
        <v>staff</v>
      </c>
      <c r="C5885" s="1" t="str">
        <f ca="1">IFERROR(__xludf.DUMMYFUNCTION("GOOGLETRANSLATE(E5885, ""zh"", ""en"")"),"Qualitative text")</f>
        <v>Qualitative text</v>
      </c>
    </row>
    <row r="5886" spans="1:3" ht="13" x14ac:dyDescent="0.15">
      <c r="A5886" s="1" t="str">
        <f ca="1">IFERROR(__xludf.DUMMYFUNCTION("GOOGLETRANSLATE(A5886, ""zh"", ""en"")"),"Yunshang Company, Logistics Company, Caizhi Company, Huanneng Company, 03442022 Wuchan Zhongda Social Responsibility ESG Report, Customer and Partner Responsibility CUSTOMER &amp; PARTNER RESPONSIBILITIES, Social Risk Management S Company has gradually formed"&amp;" a customer-centric quality management system and has passed ISO9001 quality management system certification, EMS environmental management system certification, OHSMS occupational health and safety management system certification, after-sales service cert"&amp;"ification and other certifications to ensure high-standard quality management and improve service quality.")</f>
        <v>Yunshang Company, Logistics Company, Caizhi Company, Huanneng Company, 03442022 Wuchan Zhongda Social Responsibility ESG Report, Customer and Partner Responsibility CUSTOMER &amp; PARTNER RESPONSIBILITIES, Social Risk Management S Company has gradually formed a customer-centric quality management system and has passed ISO9001 quality management system certification, EMS environmental management system certification, OHSMS occupational health and safety management system certification, after-sales service certification and other certifications to ensure high-standard quality management and improve service quality.</v>
      </c>
      <c r="B5886" s="1" t="str">
        <f ca="1">IFERROR(__xludf.DUMMYFUNCTION("GOOGLETRANSLATE(A5886, ""zh"", ""en"")"),"Customers and Consumers")</f>
        <v>Customers and Consumers</v>
      </c>
      <c r="C5886" s="1" t="str">
        <f ca="1">IFERROR(__xludf.DUMMYFUNCTION("GOOGLETRANSLATE(E5886, ""zh"", ""en"")"),"Qualitative text")</f>
        <v>Qualitative text</v>
      </c>
    </row>
    <row r="5887" spans="1:3" ht="13" x14ac:dyDescent="0.15">
      <c r="A5887" s="1" t="str">
        <f ca="1">IFERROR(__xludf.DUMMYFUNCTION("GOOGLETRANSLATE(A5887, ""zh"", ""en"")"),"The report is compiled in accordance with the International Organization for Standardization's ISO 26000 Guidelines for Social Responsibility (2010), the Global Sustainable Development Standards Board's Sustainable Development Reporting Standard (GRIS Sta"&amp;"ndards), the Chinese Academy of Social Sciences' Guidelines for Corporate Social Responsibility Reporting (CASSCSR 4.0), and the Shanghai Stock Exchange's Guidelines for Social Responsibility of Listed Companies. Data description for the report includes r"&amp;"aw data from the company's actual operations, public data from government departments, annual financial data, internal statistical reports, third-party questionnaires, third-party evaluations, interviews, etc.")</f>
        <v>The report is compiled in accordance with the International Organization for Standardization's ISO 26000 Guidelines for Social Responsibility (2010), the Global Sustainable Development Standards Board's Sustainable Development Reporting Standard (GRIS Standards), the Chinese Academy of Social Sciences' Guidelines for Corporate Social Responsibility Reporting (CASSCSR 4.0), and the Shanghai Stock Exchange's Guidelines for Social Responsibility of Listed Companies. Data description for the report includes raw data from the company's actual operations, public data from government departments, annual financial data, internal statistical reports, third-party questionnaires, third-party evaluations, interviews, etc.</v>
      </c>
      <c r="B5887" s="1" t="str">
        <f ca="1">IFERROR(__xludf.DUMMYFUNCTION("GOOGLETRANSLATE(A5887, ""zh"", ""en"")"),"irrelevant text")</f>
        <v>irrelevant text</v>
      </c>
      <c r="C5887" s="1" t="str">
        <f ca="1">IFERROR(__xludf.DUMMYFUNCTION("GOOGLETRANSLATE(E5887, ""zh"", ""en"")"),"irrelevant text")</f>
        <v>irrelevant text</v>
      </c>
    </row>
    <row r="5888" spans="1:3" ht="13" x14ac:dyDescent="0.15">
      <c r="A5888" s="1" t="str">
        <f ca="1">IFERROR(__xludf.DUMMYFUNCTION("GOOGLETRANSLATE(A5888, ""zh"", ""en"")"),"The number reached 4,989, with a year-on-year increase of 13.41. Undergraduate degree, doctoral degree, master's degree, undergraduate degree, junior college, technical secondary school and below, total 2022586498915591979174423639920214524399137629410825"&amp;"63627902074113613113298516838932258 Talent Globalization Talent Globalization The Group's employee distribution area is Guangdong Overseas employees have a large number of job opportunities in several major regions of China, including East China, South Ch"&amp;"ina, Central China, Southwest China and Northeast China.")</f>
        <v>The number reached 4,989, with a year-on-year increase of 13.41. Undergraduate degree, doctoral degree, master's degree, undergraduate degree, junior college, technical secondary school and below, total 202258649891559197917442363992021452439913762941082563627902074113613113298516838932258 Talent Globalization Talent Globalization The Group's employee distribution area is Guangdong Overseas employees have a large number of job opportunities in several major regions of China, including East China, South China, Central China, Southwest China and Northeast China.</v>
      </c>
      <c r="B5888" s="1" t="str">
        <f ca="1">IFERROR(__xludf.DUMMYFUNCTION("GOOGLETRANSLATE(A5888, ""zh"", ""en"")"),"staff")</f>
        <v>staff</v>
      </c>
      <c r="C5888" s="1" t="str">
        <f ca="1">IFERROR(__xludf.DUMMYFUNCTION("GOOGLETRANSLATE(E5888, ""zh"", ""en"")"),"Qualitative text")</f>
        <v>Qualitative text</v>
      </c>
    </row>
    <row r="5889" spans="1:3" ht="13" x14ac:dyDescent="0.15">
      <c r="A5889" s="1" t="str">
        <f ca="1">IFERROR(__xludf.DUMMYFUNCTION("GOOGLETRANSLATE(A5889, ""zh"", ""en"")"),"Stable product supply, regular visits to user forums, product exhibitions, new product launches, customer service assurance and communication meetings, business exchanges, technical consulting services, technical training, information and privacy protecti"&amp;"on hotline services, electronic information platforms, public media, etc. Fair and just procurement of suppliers for mutual benefit and win-win, on-site inspections, strategic cooperation, regular visits to solicit opinions, hotline services, electronic i"&amp;"nformation platforms, public media, etc. The company actively participates in social welfare, fulfills social responsibilities, carries out various volunteer service activities, spreads the concept of volunteer service, gathers the power of civilization a"&amp;"nd kindness, and contributes to promoting long-term cooperation and harmonious social development.")</f>
        <v>Stable product supply, regular visits to user forums, product exhibitions, new product launches, customer service assurance and communication meetings, business exchanges, technical consulting services, technical training, information and privacy protection hotline services, electronic information platforms, public media, etc. Fair and just procurement of suppliers for mutual benefit and win-win, on-site inspections, strategic cooperation, regular visits to solicit opinions, hotline services, electronic information platforms, public media, etc. The company actively participates in social welfare, fulfills social responsibilities, carries out various volunteer service activities, spreads the concept of volunteer service, gathers the power of civilization and kindness, and contributes to promoting long-term cooperation and harmonious social development.</v>
      </c>
      <c r="B5889" s="1" t="str">
        <f ca="1">IFERROR(__xludf.DUMMYFUNCTION("GOOGLETRANSLATE(A5889, ""zh"", ""en"")"),"Customers and Consumers")</f>
        <v>Customers and Consumers</v>
      </c>
      <c r="C5889" s="1" t="str">
        <f ca="1">IFERROR(__xludf.DUMMYFUNCTION("GOOGLETRANSLATE(E5889, ""zh"", ""en"")"),"Qualitative text")</f>
        <v>Qualitative text</v>
      </c>
    </row>
    <row r="5890" spans="1:3" ht="13" x14ac:dyDescent="0.15">
      <c r="A5890" s="1" t="str">
        <f ca="1">IFERROR(__xludf.DUMMYFUNCTION("GOOGLETRANSLATE(A5890, ""zh"", ""en"")"),"Continuously develop a quality culture; Sinopec; Sinopec 101102; Corporate Governance; Strengthen safety lines; Address climate change; Respect human rights; Cultivate talent; Protect the environment; Fulfill social responsibilities; Adhere to a customer-"&amp;"centric service philosophy in chemical sales and service management; Comply with laws and regulations such as the Consumer Protection Law of the People's Republic of China and the Anti-Unfair Competition Law; Strictly follow applicable service and product"&amp;" labeling regulations; Continuously optimize service measures; Fully strengthen customer communication; Listen to customer demands; Bring customers a good service experience.")</f>
        <v>Continuously develop a quality culture; Sinopec; Sinopec 101102; Corporate Governance; Strengthen safety lines; Address climate change; Respect human rights; Cultivate talent; Protect the environment; Fulfill social responsibilities; Adhere to a customer-centric service philosophy in chemical sales and service management; Comply with laws and regulations such as the Consumer Protection Law of the People's Republic of China and the Anti-Unfair Competition Law; Strictly follow applicable service and product labeling regulations; Continuously optimize service measures; Fully strengthen customer communication; Listen to customer demands; Bring customers a good service experience.</v>
      </c>
      <c r="B5890" s="1" t="str">
        <f ca="1">IFERROR(__xludf.DUMMYFUNCTION("GOOGLETRANSLATE(A5890, ""zh"", ""en"")"),"Customers and Consumers")</f>
        <v>Customers and Consumers</v>
      </c>
      <c r="C5890" s="1" t="str">
        <f ca="1">IFERROR(__xludf.DUMMYFUNCTION("GOOGLETRANSLATE(E5890, ""zh"", ""en"")"),"Qualitative text")</f>
        <v>Qualitative text</v>
      </c>
    </row>
    <row r="5891" spans="1:3" ht="13" x14ac:dyDescent="0.15">
      <c r="A5891" s="1" t="str">
        <f ca="1">IFERROR(__xludf.DUMMYFUNCTION("GOOGLETRANSLATE(A5891, ""zh"", ""en"")"),"Case: Precise development of rural industries to help villagers get rich through hard work. Case: Engineering Plastics Company carries out volunteer services. Since Shenma Dizibu started to provide targeted assistance to Ningzhuang Village to carry out po"&amp;"verty alleviation, relying on the promotion of Lei Feng's volunteer spirit and advocating the concept of volunteer service. Ningzhuang and surrounding villages have large sweet potato planting areas, high yields and high starch content. On March 5, 2021, "&amp;"the Youth League Committee of the Engineering Plastics Company organized 13 volunteers to invest 3.76 million yuan to start the construction of the sweet potato starch processing project and registered Pingdingshan to carry out various forms of volunteer "&amp;"service activities to learn from Lei Feng and put it into practice. Zhongxin Yijiaqin Potato Industry Co., Ltd.")</f>
        <v>Case: Precise development of rural industries to help villagers get rich through hard work. Case: Engineering Plastics Company carries out volunteer services. Since Shenma Dizibu started to provide targeted assistance to Ningzhuang Village to carry out poverty alleviation, relying on the promotion of Lei Feng's volunteer spirit and advocating the concept of volunteer service. Ningzhuang and surrounding villages have large sweet potato planting areas, high yields and high starch content. On March 5, 2021, the Youth League Committee of the Engineering Plastics Company organized 13 volunteers to invest 3.76 million yuan to start the construction of the sweet potato starch processing project and registered Pingdingshan to carry out various forms of volunteer service activities to learn from Lei Feng and put it into practice. Zhongxin Yijiaqin Potato Industry Co., Ltd.</v>
      </c>
      <c r="B5891" s="1" t="str">
        <f ca="1">IFERROR(__xludf.DUMMYFUNCTION("GOOGLETRANSLATE(A5891, ""zh"", ""en"")"),"Rural assistance")</f>
        <v>Rural assistance</v>
      </c>
      <c r="C5891" s="1" t="str">
        <f ca="1">IFERROR(__xludf.DUMMYFUNCTION("GOOGLETRANSLATE(E5891, ""zh"", ""en"")"),"Quantitative Text")</f>
        <v>Quantitative Text</v>
      </c>
    </row>
    <row r="5892" spans="1:3" ht="13" x14ac:dyDescent="0.15">
      <c r="A5892" s="1" t="str">
        <f ca="1">IFERROR(__xludf.DUMMYFUNCTION("GOOGLETRANSLATE(A5892, ""zh"", ""en"")"),"Green finance promotes green and low-carbon transformation, talent development, and strives for continuous common growth. 2022 highlights focus on cultivating model workers and craftsmen. Talent innovation studios have been established, with 25 first-tier"&amp;" branches and 82 studios launched. 12 China Construction Bank Corporation 2022 Social Responsibility Report 13 Practices, synergies, and focused responsibility actions to expand and upgrade and build an inclusive service ecosystem. In 2022, CCB will conti"&amp;"nue to enrich its product and service offerings, promote the downward expansion of customer operations, innovate and optimize service methods and efficiency, promote the expansion and high-quality development of inclusive finance, further serve the real e"&amp;"conomy, and safeguard employment and people's livelihood.")</f>
        <v>Green finance promotes green and low-carbon transformation, talent development, and strives for continuous common growth. 2022 highlights focus on cultivating model workers and craftsmen. Talent innovation studios have been established, with 25 first-tier branches and 82 studios launched. 12 China Construction Bank Corporation 2022 Social Responsibility Report 13 Practices, synergies, and focused responsibility actions to expand and upgrade and build an inclusive service ecosystem. In 2022, CCB will continue to enrich its product and service offerings, promote the downward expansion of customer operations, innovate and optimize service methods and efficiency, promote the expansion and high-quality development of inclusive finance, further serve the real economy, and safeguard employment and people's livelihood.</v>
      </c>
      <c r="B5892" s="1" t="str">
        <f ca="1">IFERROR(__xludf.DUMMYFUNCTION("GOOGLETRANSLATE(A5892, ""zh"", ""en"")"),"Customers and Consumers")</f>
        <v>Customers and Consumers</v>
      </c>
      <c r="C5892" s="1" t="str">
        <f ca="1">IFERROR(__xludf.DUMMYFUNCTION("GOOGLETRANSLATE(E5892, ""zh"", ""en"")"),"Qualitative text")</f>
        <v>Qualitative text</v>
      </c>
    </row>
    <row r="5893" spans="1:3" ht="13" x14ac:dyDescent="0.15">
      <c r="A5893" s="1" t="str">
        <f ca="1">IFERROR(__xludf.DUMMYFUNCTION("GOOGLETRANSLATE(A5893, ""zh"", ""en"")"),"Yuanmeng Pharmaceutical's Future Campus Recruitment Training Camp Case Study: This year, we actively expanded external training resources and formulated targeted development training plans for employees based on job characteristics and business needs. For"&amp;" example, the functional position training plan at the group headquarters focuses on improving employees' general knowledge and professional skills. The R&amp;D position training plan focuses on improving employees' capabilities in project management, experim"&amp;"ental skills, and literature review. The production position training plan focuses on practical training on employee safety, equipment operation, and environmental awareness. The sales position training plan provides employees with courses on product know"&amp;"ledge, compliance, marketing, and sales skills.")</f>
        <v>Yuanmeng Pharmaceutical's Future Campus Recruitment Training Camp Case Study: This year, we actively expanded external training resources and formulated targeted development training plans for employees based on job characteristics and business needs. For example, the functional position training plan at the group headquarters focuses on improving employees' general knowledge and professional skills. The R&amp;D position training plan focuses on improving employees' capabilities in project management, experimental skills, and literature review. The production position training plan focuses on practical training on employee safety, equipment operation, and environmental awareness. The sales position training plan provides employees with courses on product knowledge, compliance, marketing, and sales skills.</v>
      </c>
      <c r="B5893" s="1" t="str">
        <f ca="1">IFERROR(__xludf.DUMMYFUNCTION("GOOGLETRANSLATE(A5893, ""zh"", ""en"")"),"staff")</f>
        <v>staff</v>
      </c>
      <c r="C5893" s="1" t="str">
        <f ca="1">IFERROR(__xludf.DUMMYFUNCTION("GOOGLETRANSLATE(E5893, ""zh"", ""en"")"),"Qualitative text")</f>
        <v>Qualitative text</v>
      </c>
    </row>
    <row r="5894" spans="1:3" ht="13" x14ac:dyDescent="0.15">
      <c r="A5894" s="1" t="str">
        <f ca="1">IFERROR(__xludf.DUMMYFUNCTION("GOOGLETRANSLATE(A5894, ""zh"", ""en"")"),"This year, the safety education and training conducted by the Group and its subsidiaries and holding subsidiaries included new employee induction safety training, fire safety training, precursor and explosive hazardous chemicals training, canteen fire saf"&amp;"ety training, ISO system training, safety month publicity and education training, laboratory safety training, dormitory electrical safety training, National Day resumption of work training, emergency drill training, and other types of EHS training, coveri"&amp;"ng all employees of the Group. The total training time was 786,236 hours, and the average EHS training time per person was approximately 55.7 hours. The goal of all new employees participating in the induction safety training and conducting special safety"&amp;" training for specific employees was achieved.")</f>
        <v>This year, the safety education and training conducted by the Group and its subsidiaries and holding subsidiaries included new employee induction safety training, fire safety training, precursor and explosive hazardous chemicals training, canteen fire safety training, ISO system training, safety month publicity and education training, laboratory safety training, dormitory electrical safety training, National Day resumption of work training, emergency drill training, and other types of EHS training, covering all employees of the Group. The total training time was 786,236 hours, and the average EHS training time per person was approximately 55.7 hours. The goal of all new employees participating in the induction safety training and conducting special safety training for specific employees was achieved.</v>
      </c>
      <c r="B5894" s="1" t="str">
        <f ca="1">IFERROR(__xludf.DUMMYFUNCTION("GOOGLETRANSLATE(A5894, ""zh"", ""en"")"),"staff")</f>
        <v>staff</v>
      </c>
      <c r="C5894" s="1" t="str">
        <f ca="1">IFERROR(__xludf.DUMMYFUNCTION("GOOGLETRANSLATE(E5894, ""zh"", ""en"")"),"Quantitative Text")</f>
        <v>Quantitative Text</v>
      </c>
    </row>
    <row r="5895" spans="1:3" ht="13" x14ac:dyDescent="0.15">
      <c r="A5895" s="1" t="str">
        <f ca="1">IFERROR(__xludf.DUMMYFUNCTION("GOOGLETRANSLATE(A5895, ""zh"", ""en"")"),"Provide bulk commodity trading platform services for petroleum and its derivatives, natural gas, chemical raw materials and products (excluding monitored chemicals, fireworks, civilian explosives, and precursor chemicals); commodity delivery market manage"&amp;"ment services; commodity logistics market management services; consulting services related to the above businesses; related commodity import and export trade and consulting services; accept financial institutions to engage in financial information technol"&amp;"ogy outsourcing; accept financial institutions to engage in financial business process outsourcing; online data processing and transaction processing services in the second category of value-added telecommunications services; limited to business-type e-co"&amp;"mmerce, excluding Internet finance; online taxi booking services")</f>
        <v>Provide bulk commodity trading platform services for petroleum and its derivatives, natural gas, chemical raw materials and products (excluding monitored chemicals, fireworks, civilian explosives, and precursor chemicals); commodity delivery market management services; commodity logistics market management services; consulting services related to the above businesses; related commodity import and export trade and consulting services; accept financial institutions to engage in financial information technology outsourcing; accept financial institutions to engage in financial business process outsourcing; online data processing and transaction processing services in the second category of value-added telecommunications services; limited to business-type e-commerce, excluding Internet finance; online taxi booking services</v>
      </c>
      <c r="B5895" s="1" t="str">
        <f ca="1">IFERROR(__xludf.DUMMYFUNCTION("GOOGLETRANSLATE(A5895, ""zh"", ""en"")"),"raw materials")</f>
        <v>raw materials</v>
      </c>
      <c r="C5895" s="1" t="str">
        <f ca="1">IFERROR(__xludf.DUMMYFUNCTION("GOOGLETRANSLATE(E5895, ""zh"", ""en"")"),"Qualitative text")</f>
        <v>Qualitative text</v>
      </c>
    </row>
    <row r="5896" spans="1:3" ht="13" x14ac:dyDescent="0.15">
      <c r="A5896" s="1" t="str">
        <f ca="1">IFERROR(__xludf.DUMMYFUNCTION("GOOGLETRANSLATE(A5896, ""zh"", ""en"")"),"Strengthening Internal Controls ESG Executive Office ESG Executive Working Group India Executive Working Group 02030405061918 Protecting the Planet Exploring a Green and Low-Carbon Future Promoting Diversified and Inclusive Development Responsible Procure"&amp;"ment Building a Sustainable Supply Chain Intelligent Experience Leading to a Better Life Uniting Hearts and Minds Promoting Equitable Development 01 Global Collaboration Sustainable Governance Ecosystem Haier Smart Home Co., Ltd. Environmental, Social and"&amp;" Governance Report We fully understand the importance of upholding ethical standards in today's rapidly changing global business environment and are committed to conducting our business activities in accordance with the highest ethical standards.")</f>
        <v>Strengthening Internal Controls ESG Executive Office ESG Executive Working Group India Executive Working Group 02030405061918 Protecting the Planet Exploring a Green and Low-Carbon Future Promoting Diversified and Inclusive Development Responsible Procurement Building a Sustainable Supply Chain Intelligent Experience Leading to a Better Life Uniting Hearts and Minds Promoting Equitable Development 01 Global Collaboration Sustainable Governance Ecosystem Haier Smart Home Co., Ltd. Environmental, Social and Governance Report We fully understand the importance of upholding ethical standards in today's rapidly changing global business environment and are committed to conducting our business activities in accordance with the highest ethical standards.</v>
      </c>
      <c r="B5896" s="1" t="str">
        <f ca="1">IFERROR(__xludf.DUMMYFUNCTION("GOOGLETRANSLATE(A5896, ""zh"", ""en"")"),"Organizational structure and operations")</f>
        <v>Organizational structure and operations</v>
      </c>
      <c r="C5896" s="1" t="str">
        <f ca="1">IFERROR(__xludf.DUMMYFUNCTION("GOOGLETRANSLATE(E5896, ""zh"", ""en"")"),"Qualitative text")</f>
        <v>Qualitative text</v>
      </c>
    </row>
    <row r="5897" spans="1:3" ht="13" x14ac:dyDescent="0.15">
      <c r="A5897" s="1" t="str">
        <f ca="1">IFERROR(__xludf.DUMMYFUNCTION("GOOGLETRANSLATE(A5897, ""zh"", ""en"")"),"Number of meetings of the Board of Directors, Number of meetings of the Board of Supervisors, Number of meetings of the Strategy Committee, Number of meetings of the Audit Committee, Number of meetings of the Nomination and Remuneration Committee, Number "&amp;"of Board members, Strengthen risk control, Focus on risk management, Strengthen the construction of risk control mechanisms, Construct a risk management system that covers the entire process of risk identification, analysis, assessment, monitoring and con"&amp;"trol, Establish a risk management process covering all business departments of the company, and conduct risk assessments on each business in accordance with the process, Develop control measures for each operating risk in a timely manner, Establish early "&amp;"warning mechanisms for important risks, Establish emergency plans for major risks, and ensure the company's stable operation through full process control.")</f>
        <v>Number of meetings of the Board of Directors, Number of meetings of the Board of Supervisors, Number of meetings of the Strategy Committee, Number of meetings of the Audit Committee, Number of meetings of the Nomination and Remuneration Committee, Number of Board members, Strengthen risk control, Focus on risk management, Strengthen the construction of risk control mechanisms, Construct a risk management system that covers the entire process of risk identification, analysis, assessment, monitoring and control, Establish a risk management process covering all business departments of the company, and conduct risk assessments on each business in accordance with the process, Develop control measures for each operating risk in a timely manner, Establish early warning mechanisms for important risks, Establish emergency plans for major risks, and ensure the company's stable operation through full process control.</v>
      </c>
      <c r="B5897" s="1" t="str">
        <f ca="1">IFERROR(__xludf.DUMMYFUNCTION("GOOGLETRANSLATE(A5897, ""zh"", ""en"")"),"Organizational structure and operations")</f>
        <v>Organizational structure and operations</v>
      </c>
      <c r="C5897" s="1" t="str">
        <f ca="1">IFERROR(__xludf.DUMMYFUNCTION("GOOGLETRANSLATE(E5897, ""zh"", ""en"")"),"Qualitative text")</f>
        <v>Qualitative text</v>
      </c>
    </row>
    <row r="5898" spans="1:3" ht="13" x14ac:dyDescent="0.15">
      <c r="A5898" s="1" t="str">
        <f ca="1">IFERROR(__xludf.DUMMYFUNCTION("GOOGLETRANSLATE(A5898, ""zh"", ""en"")"),"Stakeholder Communication and Engagement: PetroChina 2022 Environmental, Social and Governance Report 28 2022 Progress Report Released Quarterly, Interim and Annual Financial Reports Released Environmental, Social and Governance Reports Published 160 vari"&amp;"ous announcements through the website (please refer to the company website for details) Received an A-level rating for information disclosure from the Shanghai Stock Exchange for eight consecutive years Case Study: In response to stakeholders' growing con"&amp;"cern about the company's response to climate change and energy transition, the company actively communicated with investment institutions and international organizations to introduce the company's major work and progress in enhancing ESG management and pa"&amp;"rticipating in climate governance.")</f>
        <v>Stakeholder Communication and Engagement: PetroChina 2022 Environmental, Social and Governance Report 28 2022 Progress Report Released Quarterly, Interim and Annual Financial Reports Released Environmental, Social and Governance Reports Published 160 various announcements through the website (please refer to the company website for details) Received an A-level rating for information disclosure from the Shanghai Stock Exchange for eight consecutive years Case Study: In response to stakeholders' growing concern about the company's response to climate change and energy transition, the company actively communicated with investment institutions and international organizations to introduce the company's major work and progress in enhancing ESG management and participating in climate governance.</v>
      </c>
      <c r="B5898" s="1" t="str">
        <f ca="1">IFERROR(__xludf.DUMMYFUNCTION("GOOGLETRANSLATE(A5898, ""zh"", ""en"")"),"Information Disclosure and Investor Communication")</f>
        <v>Information Disclosure and Investor Communication</v>
      </c>
      <c r="C5898" s="1" t="str">
        <f ca="1">IFERROR(__xludf.DUMMYFUNCTION("GOOGLETRANSLATE(E5898, ""zh"", ""en"")"),"Qualitative text")</f>
        <v>Qualitative text</v>
      </c>
    </row>
    <row r="5899" spans="1:3" ht="13" x14ac:dyDescent="0.15">
      <c r="A5899" s="1" t="str">
        <f ca="1">IFERROR(__xludf.DUMMYFUNCTION("GOOGLETRANSLATE(A5899, ""zh"", ""en"")"),"Changes are made by external experts. For major changes at the first level, an EHS team will be established by the subsidiary to conduct the assessment. External experts will also be hired to conduct the changes. For process changes, an EHS change team wi"&amp;"ll be established to assess the workshop or department. For workshop changes at the third level, fire drills and special operations safety management training will be conducted. 64. Safety inspections of Kangyuan Pharmaceutical Group Co., Ltd. In 2022, th"&amp;"e group headquarters and its subsidiaries conducted 1,322 safety inspections, including daily safety inspections, monthly and quarterly safety inspections, special inspections for hazardous chemicals, inspections by external experts, canteen safety inspec"&amp;"tions, and other internal inspections. A total of 4 external inspections at the municipal level were also received.")</f>
        <v>Changes are made by external experts. For major changes at the first level, an EHS team will be established by the subsidiary to conduct the assessment. External experts will also be hired to conduct the changes. For process changes, an EHS change team will be established to assess the workshop or department. For workshop changes at the third level, fire drills and special operations safety management training will be conducted. 64. Safety inspections of Kangyuan Pharmaceutical Group Co., Ltd. In 2022, the group headquarters and its subsidiaries conducted 1,322 safety inspections, including daily safety inspections, monthly and quarterly safety inspections, special inspections for hazardous chemicals, inspections by external experts, canteen safety inspections, and other internal inspections. A total of 4 external inspections at the municipal level were also received.</v>
      </c>
      <c r="B5899" s="1" t="str">
        <f ca="1">IFERROR(__xludf.DUMMYFUNCTION("GOOGLETRANSLATE(A5899, ""zh"", ""en"")"),"staff")</f>
        <v>staff</v>
      </c>
      <c r="C5899" s="1" t="str">
        <f ca="1">IFERROR(__xludf.DUMMYFUNCTION("GOOGLETRANSLATE(E5899, ""zh"", ""en"")"),"Quantitative Text")</f>
        <v>Quantitative Text</v>
      </c>
    </row>
    <row r="5900" spans="1:3" ht="13" x14ac:dyDescent="0.15">
      <c r="A5900" s="1" t="str">
        <f ca="1">IFERROR(__xludf.DUMMYFUNCTION("GOOGLETRANSLATE(A5900, ""zh"", ""en"")"),"Taking Haibin Pharmaceutical as an example, the packaging specifications of meropenem were changed from 728 bottles per box to 910 bottles. The meropenem injection preparation was changed from 200 tubes per box to 400 tubes per box. The meropenem injectio"&amp;"n preparation bottle was changed from 20 ml to 15 ml. The imipenem injection preparation was changed from a box of 1 tube to a medium box of 10 tubes. While meeting market and production needs, the use of packaging materials was minimized. The charcoal ba"&amp;"g reuse was changed from 4 new charcoal bags per batch to 2 new charcoal bags and 2 old charcoal bags, which reduced pollutant generation and saved costs for the company.")</f>
        <v>Taking Haibin Pharmaceutical as an example, the packaging specifications of meropenem were changed from 728 bottles per box to 910 bottles. The meropenem injection preparation was changed from 200 tubes per box to 400 tubes per box. The meropenem injection preparation bottle was changed from 20 ml to 15 ml. The imipenem injection preparation was changed from a box of 1 tube to a medium box of 10 tubes. While meeting market and production needs, the use of packaging materials was minimized. The charcoal bag reuse was changed from 4 new charcoal bags per batch to 2 new charcoal bags and 2 old charcoal bags, which reduced pollutant generation and saved costs for the company.</v>
      </c>
      <c r="B5900" s="1" t="str">
        <f ca="1">IFERROR(__xludf.DUMMYFUNCTION("GOOGLETRANSLATE(A5900, ""zh"", ""en"")"),"Waste Management")</f>
        <v>Waste Management</v>
      </c>
      <c r="C5900" s="1" t="str">
        <f ca="1">IFERROR(__xludf.DUMMYFUNCTION("GOOGLETRANSLATE(E5900, ""zh"", ""en"")"),"Qualitative text")</f>
        <v>Qualitative text</v>
      </c>
    </row>
    <row r="5901" spans="1:3" ht="13" x14ac:dyDescent="0.15">
      <c r="A5901" s="1" t="str">
        <f ca="1">IFERROR(__xludf.DUMMYFUNCTION("GOOGLETRANSLATE(A5901, ""zh"", ""en"")"),"Corporate Governance: Addressing Climate Change and Reducing Environmental Footprint; Sinopec; Sinopec 3738; Corporate Governance: Building a Strong Safety Line; Addressing Climate Change; Respecting Human Rights and Talent Cultivation; Protecting the Env"&amp;"ironment; Fulfilling Social Responsibilities; Reducing Greenhouse Gas Emissions; Sinopec Continues to Strengthen Greenhouse Gas Emission Monitoring and Management; Comprehensively Investigating and Verifying Carbon Emissions at Each Unit; Building a Scien"&amp;"tific Carbon Asset Management Information System; and Implementing Energy Efficiency Improvement Projects; Researching and Applying CCUS Technology; and Reducing Greenhouse Gas Emissions through Measures Such as Methane Emission Control.")</f>
        <v>Corporate Governance: Addressing Climate Change and Reducing Environmental Footprint; Sinopec; Sinopec 3738; Corporate Governance: Building a Strong Safety Line; Addressing Climate Change; Respecting Human Rights and Talent Cultivation; Protecting the Environment; Fulfilling Social Responsibilities; Reducing Greenhouse Gas Emissions; Sinopec Continues to Strengthen Greenhouse Gas Emission Monitoring and Management; Comprehensively Investigating and Verifying Carbon Emissions at Each Unit; Building a Scientific Carbon Asset Management Information System; and Implementing Energy Efficiency Improvement Projects; Researching and Applying CCUS Technology; and Reducing Greenhouse Gas Emissions through Measures Such as Methane Emission Control.</v>
      </c>
      <c r="B5901" s="1" t="str">
        <f ca="1">IFERROR(__xludf.DUMMYFUNCTION("GOOGLETRANSLATE(A5901, ""zh"", ""en"")"),"Addressing climate change")</f>
        <v>Addressing climate change</v>
      </c>
      <c r="C5901" s="1" t="str">
        <f ca="1">IFERROR(__xludf.DUMMYFUNCTION("GOOGLETRANSLATE(E5901, ""zh"", ""en"")"),"Qualitative text")</f>
        <v>Qualitative text</v>
      </c>
    </row>
    <row r="5902" spans="1:3" ht="13" x14ac:dyDescent="0.15">
      <c r="A5902" s="1" t="str">
        <f ca="1">IFERROR(__xludf.DUMMYFUNCTION("GOOGLETRANSLATE(A5902, ""zh"", ""en"")"),"Our Future Plan 43420203040506 Protecting the Planet Exploring a Green and Low-Carbon Future Promoting Diversity and Inclusive Development Responsible Procurement Building a Sustainable Supply Chain Intelligent Experience Leading a Better Life Uniting Hea"&amp;"rts and Souls Promoting Equitable Development 01 Global Collaboration Sustainable Governance Ecosystem Haier Smart Home Co., Ltd. Environmental, Social and Governance Report Promoting Diversity and Inclusive Development 03 We uphold the philosophy of prio"&amp;"ritizing people and are committed to creating a work environment of equality, respect, inclusion and diversity for every employee. Protecting employees' rights and health, assisting their growth and value creation, and providing support and care.")</f>
        <v>Our Future Plan 43420203040506 Protecting the Planet Exploring a Green and Low-Carbon Future Promoting Diversity and Inclusive Development Responsible Procurement Building a Sustainable Supply Chain Intelligent Experience Leading a Better Life Uniting Hearts and Souls Promoting Equitable Development 01 Global Collaboration Sustainable Governance Ecosystem Haier Smart Home Co., Ltd. Environmental, Social and Governance Report Promoting Diversity and Inclusive Development 03 We uphold the philosophy of prioritizing people and are committed to creating a work environment of equality, respect, inclusion and diversity for every employee. Protecting employees' rights and health, assisting their growth and value creation, and providing support and care.</v>
      </c>
      <c r="B5902" s="1" t="str">
        <f ca="1">IFERROR(__xludf.DUMMYFUNCTION("GOOGLETRANSLATE(A5902, ""zh"", ""en"")"),"staff")</f>
        <v>staff</v>
      </c>
      <c r="C5902" s="1" t="str">
        <f ca="1">IFERROR(__xludf.DUMMYFUNCTION("GOOGLETRANSLATE(E5902, ""zh"", ""en"")"),"Qualitative text")</f>
        <v>Qualitative text</v>
      </c>
    </row>
    <row r="5903" spans="1:3" ht="13" x14ac:dyDescent="0.15">
      <c r="A5903" s="1" t="str">
        <f ca="1">IFERROR(__xludf.DUMMYFUNCTION("GOOGLETRANSLATE(A5903, ""zh"", ""en"")"),"SDIC Capital's risk management culture construction system has carried out risk compliance training covering all employees of the company 45 times. Risk management creates value and cultivates proactive behavioral habits of all employees. It uses ideologi"&amp;"cal guidance to achieve system constraints, incentives and constraints, on-site office system constraints training and promotion of peer exchanges, senior management setting an example for risk culture. SDIC Capital's 2022 ESG report lays a solid foundati"&amp;"on for sustainable development. 3031 Integrity Construction SDIC Capital actively carries out the construction of the party style and clean government and anti-corruption work, and promotes the integration of not daring to be corrupt, not being able to be"&amp;" corrupt, and not wanting to be corrupt. It continuously creates a clean and upright corporate ecology and provides solid guarantees for the company's sustainable and high-quality development.")</f>
        <v>SDIC Capital's risk management culture construction system has carried out risk compliance training covering all employees of the company 45 times. Risk management creates value and cultivates proactive behavioral habits of all employees. It uses ideological guidance to achieve system constraints, incentives and constraints, on-site office system constraints training and promotion of peer exchanges, senior management setting an example for risk culture. SDIC Capital's 2022 ESG report lays a solid foundation for sustainable development. 3031 Integrity Construction SDIC Capital actively carries out the construction of the party style and clean government and anti-corruption work, and promotes the integration of not daring to be corrupt, not being able to be corrupt, and not wanting to be corrupt. It continuously creates a clean and upright corporate ecology and provides solid guarantees for the company's sustainable and high-quality development.</v>
      </c>
      <c r="B5903" s="1" t="str">
        <f ca="1">IFERROR(__xludf.DUMMYFUNCTION("GOOGLETRANSLATE(A5903, ""zh"", ""en"")"),"Anti-corruption and anti-money laundering")</f>
        <v>Anti-corruption and anti-money laundering</v>
      </c>
      <c r="C5903" s="1" t="str">
        <f ca="1">IFERROR(__xludf.DUMMYFUNCTION("GOOGLETRANSLATE(E5903, ""zh"", ""en"")"),"Quantitative Text")</f>
        <v>Quantitative Text</v>
      </c>
    </row>
    <row r="5904" spans="1:3" ht="13" x14ac:dyDescent="0.15">
      <c r="A5904" s="1" t="str">
        <f ca="1">IFERROR(__xludf.DUMMYFUNCTION("GOOGLETRANSLATE(A5904, ""zh"", ""en"")"),"We will adhere to the principle of punishing all crimes and prioritizing prevention, addressing both the symptoms and the root causes, and implement proactive risk control to empower businesses. At the beginning of 2023, Fosun Pharma released its guiding "&amp;"ideology and vigorously promoted the value of integrity. Currently, through the Pharmaceutical Group Business Ethics Guidelines, we are committed to promoting the establishment and optimization of management systems, strengthening risk prevention and cont"&amp;"rol, and striving for breakthroughs. We will establish a sound business ethics system to popularize core corporate values, investigate cases and pursue accountability, recover losses, and focus on risk prevention and control and support business values. W"&amp;"e will promote compliance and ethical integrity, and enhance the Group's ability to prevent, monitor, punish, prevent, monitor, govern according to law, and manage business ethics.")</f>
        <v>We will adhere to the principle of punishing all crimes and prioritizing prevention, addressing both the symptoms and the root causes, and implement proactive risk control to empower businesses. At the beginning of 2023, Fosun Pharma released its guiding ideology and vigorously promoted the value of integrity. Currently, through the Pharmaceutical Group Business Ethics Guidelines, we are committed to promoting the establishment and optimization of management systems, strengthening risk prevention and control, and striving for breakthroughs. We will establish a sound business ethics system to popularize core corporate values, investigate cases and pursue accountability, recover losses, and focus on risk prevention and control and support business values. We will promote compliance and ethical integrity, and enhance the Group's ability to prevent, monitor, punish, prevent, monitor, govern according to law, and manage business ethics.</v>
      </c>
      <c r="B5904" s="1" t="str">
        <f ca="1">IFERROR(__xludf.DUMMYFUNCTION("GOOGLETRANSLATE(A5904, ""zh"", ""en"")"),"Anti-corruption and anti-money laundering")</f>
        <v>Anti-corruption and anti-money laundering</v>
      </c>
      <c r="C5904" s="1" t="str">
        <f ca="1">IFERROR(__xludf.DUMMYFUNCTION("GOOGLETRANSLATE(E5904, ""zh"", ""en"")"),"Qualitative text")</f>
        <v>Qualitative text</v>
      </c>
    </row>
    <row r="5905" spans="1:3" ht="13" x14ac:dyDescent="0.15">
      <c r="A5905" s="1" t="str">
        <f ca="1">IFERROR(__xludf.DUMMYFUNCTION("GOOGLETRANSLATE(A5905, ""zh"", ""en"")"),"In 2022, the Bank underwrote 51 green bonds for 33 clients, including the National Pipeline Network and the Three Gorges Corporation, with a total value of RMB49.149 billion. The Bank also issued green bonds for 33 clients, representing a year-on-year inc"&amp;"rease of 18.6%. The Bank launched the first photovoltaic and wind power assets, green REITs, and the first green science and technology innovation dual-label asset-backed notes in the market, facilitating clean energy construction, promoting low-carbon in"&amp;"dustrial transformation, innovative services, and green development in the market. The Bank also underwrote the first green rural revitalization and sustainable development-linked triple-label bonds in the market. The Bank successfully issued RMB2 billion"&amp;" of green sovereign panda bonds for the Hungarian Ministry of Finance, raising green development funds for sovereign institutions.")</f>
        <v>In 2022, the Bank underwrote 51 green bonds for 33 clients, including the National Pipeline Network and the Three Gorges Corporation, with a total value of RMB49.149 billion. The Bank also issued green bonds for 33 clients, representing a year-on-year increase of 18.6%. The Bank launched the first photovoltaic and wind power assets, green REITs, and the first green science and technology innovation dual-label asset-backed notes in the market, facilitating clean energy construction, promoting low-carbon industrial transformation, innovative services, and green development in the market. The Bank also underwrote the first green rural revitalization and sustainable development-linked triple-label bonds in the market. The Bank successfully issued RMB2 billion of green sovereign panda bonds for the Hungarian Ministry of Finance, raising green development funds for sovereign institutions.</v>
      </c>
      <c r="B5905" s="1" t="str">
        <f ca="1">IFERROR(__xludf.DUMMYFUNCTION("GOOGLETRANSLATE(A5905, ""zh"", ""en"")"),"Green Finance")</f>
        <v>Green Finance</v>
      </c>
      <c r="C5905" s="1" t="str">
        <f ca="1">IFERROR(__xludf.DUMMYFUNCTION("GOOGLETRANSLATE(E5905, ""zh"", ""en"")"),"Quantitative Text")</f>
        <v>Quantitative Text</v>
      </c>
    </row>
    <row r="5906" spans="1:3" ht="13" x14ac:dyDescent="0.15">
      <c r="A5906" s="1" t="str">
        <f ca="1">IFERROR(__xludf.DUMMYFUNCTION("GOOGLETRANSLATE(A5906, ""zh"", ""en"")"),"On August 9, 2022, the Shanghai Party Branch of Dima Group and the East China Regional Party Branch of Dongyuan Renzhi jointly carried out a party day activity with the theme of ""Remembering the Party's History and Retracing the Great Road"". Party membe"&amp;"rs from Dima Group, Dongyuan Renzhi Property, Dongyuan Real Estate Group and other business units were organized to visit the Memorial Hall of the First National Congress of the Communist Party of China and a large-scale photo exhibition of Mao Zedong cel"&amp;"ebrating the 100th anniversary of the founding of the Communist Party of China. Through the first organization of red study visits by party members at all levels of party organizations in Shanghai, the joint party building activities were carried out to r"&amp;"eview the glorious history of the party, strengthen the ideological education of party members, continue the red bloodline, and pursue the original intention of the founding of the party.")</f>
        <v>On August 9, 2022, the Shanghai Party Branch of Dima Group and the East China Regional Party Branch of Dongyuan Renzhi jointly carried out a party day activity with the theme of "Remembering the Party's History and Retracing the Great Road". Party members from Dima Group, Dongyuan Renzhi Property, Dongyuan Real Estate Group and other business units were organized to visit the Memorial Hall of the First National Congress of the Communist Party of China and a large-scale photo exhibition of Mao Zedong celebrating the 100th anniversary of the founding of the Communist Party of China. Through the first organization of red study visits by party members at all levels of party organizations in Shanghai, the joint party building activities were carried out to review the glorious history of the party, strengthen the ideological education of party members, continue the red bloodline, and pursue the original intention of the founding of the party.</v>
      </c>
      <c r="B5906" s="1" t="str">
        <f ca="1">IFERROR(__xludf.DUMMYFUNCTION("GOOGLETRANSLATE(A5906, ""zh"", ""en"")"),"Organizational structure and operations")</f>
        <v>Organizational structure and operations</v>
      </c>
      <c r="C5906" s="1" t="str">
        <f ca="1">IFERROR(__xludf.DUMMYFUNCTION("GOOGLETRANSLATE(E5906, ""zh"", ""en"")"),"Qualitative text")</f>
        <v>Qualitative text</v>
      </c>
    </row>
    <row r="5907" spans="1:3" ht="13" x14ac:dyDescent="0.15">
      <c r="A5907" s="1" t="str">
        <f ca="1">IFERROR(__xludf.DUMMYFUNCTION("GOOGLETRANSLATE(A5907, ""zh"", ""en"")"),"Improve anti-corruption governance. In 2022, in response to the anti-corruption issues discovered during the investigation and handling of cases, Fosun Pharma's Anti-Corruption Supervision Department will strengthen the management of anti-corruption depar"&amp;"tments, audits, and centralized procurement. According to the cooperation focus of the anti-corruption departments, Fosun Pharma will issue anti-corruption supervision suggestions to relevant member companies for the upcoming and ongoing infrastructure pr"&amp;"ojects, conduct anti-corruption supervision on centralized procurement projects, propose rectification opinions, and require relevant companies to continue to promote the review and investigation of existing clues, implement rectification, and provide fee"&amp;"dback. It has played a positive role in establishing rules and regulations, plugging loopholes, and closing the loop of transferring judicial cases, strengthening risk control, and preventing risks before they are transferred.")</f>
        <v>Improve anti-corruption governance. In 2022, in response to the anti-corruption issues discovered during the investigation and handling of cases, Fosun Pharma's Anti-Corruption Supervision Department will strengthen the management of anti-corruption departments, audits, and centralized procurement. According to the cooperation focus of the anti-corruption departments, Fosun Pharma will issue anti-corruption supervision suggestions to relevant member companies for the upcoming and ongoing infrastructure projects, conduct anti-corruption supervision on centralized procurement projects, propose rectification opinions, and require relevant companies to continue to promote the review and investigation of existing clues, implement rectification, and provide feedback. It has played a positive role in establishing rules and regulations, plugging loopholes, and closing the loop of transferring judicial cases, strengthening risk control, and preventing risks before they are transferred.</v>
      </c>
      <c r="B5907" s="1" t="str">
        <f ca="1">IFERROR(__xludf.DUMMYFUNCTION("GOOGLETRANSLATE(A5907, ""zh"", ""en"")"),"Anti-corruption and anti-money laundering")</f>
        <v>Anti-corruption and anti-money laundering</v>
      </c>
      <c r="C5907" s="1" t="str">
        <f ca="1">IFERROR(__xludf.DUMMYFUNCTION("GOOGLETRANSLATE(E5907, ""zh"", ""en"")"),"Qualitative text")</f>
        <v>Qualitative text</v>
      </c>
    </row>
    <row r="5908" spans="1:3" ht="13" x14ac:dyDescent="0.15">
      <c r="A5908" s="1" t="str">
        <f ca="1">IFERROR(__xludf.DUMMYFUNCTION("GOOGLETRANSLATE(A5908, ""zh"", ""en"")"),"Fosun Pharma supports the construction of the Shanghai Medical Culture Center and the History Museum of Shanghai Medical College, Fudan University. In October 2022, the construction will be carried out at the former Shanghai Medical Museum of Shanghai Med"&amp;"ical College, Fudan University, to encourage students of Shanghai Medical College to be innovative and actively explore and forge ahead. On the occasion of the 95th anniversary of the founding of Shanghai Medical College, Fosun Pharma and Fosun Internatio"&amp;"nal will make greater contributions to the national medical education and health care. The Shanghai Fosun Public Advancement Foundation donated RMB 5 million to the Shanghai Medical College, Fudan University for the Shanghai Medical Culture Center project"&amp;". At the same time, it will help universities cultivate innovative talents and stimulate the continuous development of talents in China's pharmaceutical industry.")</f>
        <v>Fosun Pharma supports the construction of the Shanghai Medical Culture Center and the History Museum of Shanghai Medical College, Fudan University. In October 2022, the construction will be carried out at the former Shanghai Medical Museum of Shanghai Medical College, Fudan University, to encourage students of Shanghai Medical College to be innovative and actively explore and forge ahead. On the occasion of the 95th anniversary of the founding of Shanghai Medical College, Fosun Pharma and Fosun International will make greater contributions to the national medical education and health care. The Shanghai Fosun Public Advancement Foundation donated RMB 5 million to the Shanghai Medical College, Fudan University for the Shanghai Medical Culture Center project. At the same time, it will help universities cultivate innovative talents and stimulate the continuous development of talents in China's pharmaceutical industry.</v>
      </c>
      <c r="B5908" s="1" t="str">
        <f ca="1">IFERROR(__xludf.DUMMYFUNCTION("GOOGLETRANSLATE(A5908, ""zh"", ""en"")"),"Public welfare and volunteer service")</f>
        <v>Public welfare and volunteer service</v>
      </c>
      <c r="C5908" s="1" t="str">
        <f ca="1">IFERROR(__xludf.DUMMYFUNCTION("GOOGLETRANSLATE(E5908, ""zh"", ""en"")"),"Quantitative Text")</f>
        <v>Quantitative Text</v>
      </c>
    </row>
    <row r="5909" spans="1:3" ht="13" x14ac:dyDescent="0.15">
      <c r="A5909" s="1" t="str">
        <f ca="1">IFERROR(__xludf.DUMMYFUNCTION("GOOGLETRANSLATE(A5909, ""zh"", ""en"")"),"Sinopec Sinopec 5758 Corporate Governance: Building a Strong Safety Line, Addressing Climate Change, Respecting Human Rights, Cultivating Talents, Protecting the Environment, and Fulfilling Social Responsibilities Sinopec Sinopec 5960 Corporate Governance"&amp;": Building a Strong Safety Line, Addressing Climate Change, Respecting Human Rights, Cultivating Talents, Protecting the Environment, and Fulfilling Social Responsibilities Solid Waste Management: In accordance with the Law of the People's Republic of Chi"&amp;"na on the Prevention and Control of Environmental Pollution by Solid Wastes, the Company classifies and manages waste generated during production and operations, and properly and comprehensively utilizes or disposes of all of it harmlessly.")</f>
        <v>Sinopec Sinopec 5758 Corporate Governance: Building a Strong Safety Line, Addressing Climate Change, Respecting Human Rights, Cultivating Talents, Protecting the Environment, and Fulfilling Social Responsibilities Sinopec Sinopec 5960 Corporate Governance: Building a Strong Safety Line, Addressing Climate Change, Respecting Human Rights, Cultivating Talents, Protecting the Environment, and Fulfilling Social Responsibilities Solid Waste Management: In accordance with the Law of the People's Republic of China on the Prevention and Control of Environmental Pollution by Solid Wastes, the Company classifies and manages waste generated during production and operations, and properly and comprehensively utilizes or disposes of all of it harmlessly.</v>
      </c>
      <c r="B5909" s="1" t="str">
        <f ca="1">IFERROR(__xludf.DUMMYFUNCTION("GOOGLETRANSLATE(A5909, ""zh"", ""en"")"),"Waste Management")</f>
        <v>Waste Management</v>
      </c>
      <c r="C5909" s="1" t="str">
        <f ca="1">IFERROR(__xludf.DUMMYFUNCTION("GOOGLETRANSLATE(E5909, ""zh"", ""en"")"),"Qualitative text")</f>
        <v>Qualitative text</v>
      </c>
    </row>
    <row r="5910" spans="1:3" ht="13" x14ac:dyDescent="0.15">
      <c r="A5910" s="1" t="str">
        <f ca="1">IFERROR(__xludf.DUMMYFUNCTION("GOOGLETRANSLATE(A5910, ""zh"", ""en"")"),"Create a Blue Ocean Boda green factory to promote energy conservation and consumption reduction cases. Research and development and application of 180 ultra-high temperature seawater-based fracturing fluid to save freshwater resources. Note: The company s"&amp;"trictly follows the national standards and enterprise standards such as GBT2589 General Rules for Comprehensive Energy Consumption Calculation, GBT132342009 Enterprise Energy Saving Calculation Method, GB171672006 General Rules for the Equipment and Manag"&amp;"ement of Energy Metering Instruments for Energy-consuming Units, and CNOOC QHS13002019 Energy Consumption Statistical Indicators and Calculation Methods, and QHS130052019 Energy Saving Statistical Management Specifications to calculate comprehensive energ"&amp;"y consumption, energy savings, output value, energy consumption, etc.")</f>
        <v>Create a Blue Ocean Boda green factory to promote energy conservation and consumption reduction cases. Research and development and application of 180 ultra-high temperature seawater-based fracturing fluid to save freshwater resources. Note: The company strictly follows the national standards and enterprise standards such as GBT2589 General Rules for Comprehensive Energy Consumption Calculation, GBT132342009 Enterprise Energy Saving Calculation Method, GB171672006 General Rules for the Equipment and Management of Energy Metering Instruments for Energy-consuming Units, and CNOOC QHS13002019 Energy Consumption Statistical Indicators and Calculation Methods, and QHS130052019 Energy Saving Statistical Management Specifications to calculate comprehensive energy consumption, energy savings, output value, energy consumption, etc.</v>
      </c>
      <c r="B5910" s="1" t="str">
        <f ca="1">IFERROR(__xludf.DUMMYFUNCTION("GOOGLETRANSLATE(A5910, ""zh"", ""en"")"),"Energy and resource consumption")</f>
        <v>Energy and resource consumption</v>
      </c>
      <c r="C5910" s="1" t="str">
        <f ca="1">IFERROR(__xludf.DUMMYFUNCTION("GOOGLETRANSLATE(E5910, ""zh"", ""en"")"),"Qualitative text")</f>
        <v>Qualitative text</v>
      </c>
    </row>
    <row r="5911" spans="1:3" ht="13" x14ac:dyDescent="0.15">
      <c r="A5911" s="1" t="str">
        <f ca="1">IFERROR(__xludf.DUMMYFUNCTION("GOOGLETRANSLATE(A5911, ""zh"", ""en"")"),"Based on the actual situation and in combination with employee needs, a safety training plan for nearly 18,000 employees in 2021 was formulated. All relevant units and departments conscientiously organized and implemented the plan, insisting on combining "&amp;"skills and quality with safety and environmental protection training. Focus was placed on strengthening training on the dual prevention system, production safety standardization, environmental protection, etc., further deepening warning education, organiz"&amp;"ing case collection and collation publicity and learning activities within the company, and achieving a 100% coverage rate of safety training through case analysis, on-site statements, etc. Strengthening emergency response, improving employees' ability to"&amp;" deal with emergencies and abnormalities, and guiding employees to build a solid safety ideological defense line.")</f>
        <v>Based on the actual situation and in combination with employee needs, a safety training plan for nearly 18,000 employees in 2021 was formulated. All relevant units and departments conscientiously organized and implemented the plan, insisting on combining skills and quality with safety and environmental protection training. Focus was placed on strengthening training on the dual prevention system, production safety standardization, environmental protection, etc., further deepening warning education, organizing case collection and collation publicity and learning activities within the company, and achieving a 100% coverage rate of safety training through case analysis, on-site statements, etc. Strengthening emergency response, improving employees' ability to deal with emergencies and abnormalities, and guiding employees to build a solid safety ideological defense line.</v>
      </c>
      <c r="B5911" s="1" t="str">
        <f ca="1">IFERROR(__xludf.DUMMYFUNCTION("GOOGLETRANSLATE(A5911, ""zh"", ""en"")"),"staff")</f>
        <v>staff</v>
      </c>
      <c r="C5911" s="1" t="str">
        <f ca="1">IFERROR(__xludf.DUMMYFUNCTION("GOOGLETRANSLATE(E5911, ""zh"", ""en"")"),"Quantitative Text")</f>
        <v>Quantitative Text</v>
      </c>
    </row>
    <row r="5912" spans="1:3" ht="13" x14ac:dyDescent="0.15">
      <c r="A5912" s="1" t="str">
        <f ca="1">IFERROR(__xludf.DUMMYFUNCTION("GOOGLETRANSLATE(A5912, ""zh"", ""en"")"),"Gather wisdom to reduce the burden on grassroots employees, allowing those who shoulder the heavy load to work with ease. We will continue to strengthen special rectification efforts, enhance the development of a culture of integrity, and achieve full cov"&amp;"erage of inspections within five years. CNOOC Oilfield Services 2022 ESG Report 12: Improve governance structure and system development. Board of Directors development. Board responsibilities. Board independence. The company continues to optimize the boar"&amp;"d's powers, formulates implementation plans for the board's powers, and implements management methods and lists of authorized decision-making matters. Implement the board's mid- and long-term development decision-making power, including the power to selec"&amp;"t and appoint senior management members and assess their performance. Promote management's ability to exercise power and perform duties in accordance with the law, improve operational decision-making efficiency, and lay a solid foundation for the company'"&amp;"s sustainable development.")</f>
        <v>Gather wisdom to reduce the burden on grassroots employees, allowing those who shoulder the heavy load to work with ease. We will continue to strengthen special rectification efforts, enhance the development of a culture of integrity, and achieve full coverage of inspections within five years. CNOOC Oilfield Services 2022 ESG Report 12: Improve governance structure and system development. Board of Directors development. Board responsibilities. Board independence. The company continues to optimize the board's powers, formulates implementation plans for the board's powers, and implements management methods and lists of authorized decision-making matters. Implement the board's mid- and long-term development decision-making power, including the power to select and appoint senior management members and assess their performance. Promote management's ability to exercise power and perform duties in accordance with the law, improve operational decision-making efficiency, and lay a solid foundation for the company's sustainable development.</v>
      </c>
      <c r="B5912" s="1" t="str">
        <f ca="1">IFERROR(__xludf.DUMMYFUNCTION("GOOGLETRANSLATE(A5912, ""zh"", ""en"")"),"Organizational structure and operations")</f>
        <v>Organizational structure and operations</v>
      </c>
      <c r="C5912" s="1" t="str">
        <f ca="1">IFERROR(__xludf.DUMMYFUNCTION("GOOGLETRANSLATE(E5912, ""zh"", ""en"")"),"Qualitative text")</f>
        <v>Qualitative text</v>
      </c>
    </row>
    <row r="5913" spans="1:3" ht="13" x14ac:dyDescent="0.15">
      <c r="A5913" s="1" t="str">
        <f ca="1">IFERROR(__xludf.DUMMYFUNCTION("GOOGLETRANSLATE(A5913, ""zh"", ""en"")"),"In terms of organizational construction, in 2022, the Aohong Pharmaceutical Party Committee will continue to organize and lead the majority of party members to make in-depth progress in the standardization of party organization standards. It will focus on"&amp;" building a distinctive brand of party building, bear in mind the party's original aspiration and mission, actively create an atmosphere of pioneering in their posts, leading the red way and promoting development, constantly stimulate the vitality of part"&amp;"y building work, give full play to the strong foundation, deeply integrate party building work with production and operation, lead the grassroots party organizations to play the role of a fighting fortress, maintain and give play to the vanguard and exemp"&amp;"lary role of party members, and continuously promote the study and application of party history in innovative cultural construction to contribute to the development of the enterprise.")</f>
        <v>In terms of organizational construction, in 2022, the Aohong Pharmaceutical Party Committee will continue to organize and lead the majority of party members to make in-depth progress in the standardization of party organization standards. It will focus on building a distinctive brand of party building, bear in mind the party's original aspiration and mission, actively create an atmosphere of pioneering in their posts, leading the red way and promoting development, constantly stimulate the vitality of party building work, give full play to the strong foundation, deeply integrate party building work with production and operation, lead the grassroots party organizations to play the role of a fighting fortress, maintain and give play to the vanguard and exemplary role of party members, and continuously promote the study and application of party history in innovative cultural construction to contribute to the development of the enterprise.</v>
      </c>
      <c r="B5913" s="1" t="str">
        <f ca="1">IFERROR(__xludf.DUMMYFUNCTION("GOOGLETRANSLATE(A5913, ""zh"", ""en"")"),"Organizational structure and operations")</f>
        <v>Organizational structure and operations</v>
      </c>
      <c r="C5913" s="1" t="str">
        <f ca="1">IFERROR(__xludf.DUMMYFUNCTION("GOOGLETRANSLATE(E5913, ""zh"", ""en"")"),"Qualitative text")</f>
        <v>Qualitative text</v>
      </c>
    </row>
    <row r="5914" spans="1:3" ht="13" x14ac:dyDescent="0.15">
      <c r="A5914" s="1" t="str">
        <f ca="1">IFERROR(__xludf.DUMMYFUNCTION("GOOGLETRANSLATE(A5914, ""zh"", ""en"")"),"Our overall carbon control work includes ISO140641, ISO50001, ISO14001, hosting environmental protection and energy-saving competitions, providing at-the-counter services, conducting carbon inventory and obtaining emission reduction certification, purchas"&amp;"ing renewable energy certificates, organizing carbon reduction targets, establishing energy management processes, encouraging employees to implement carbon management systems, standardizing various energy-saving behaviors, continuously reducing GHG emissi"&amp;"ons, trading and inventorying business carbon emissions. In 2022, to implement energy-saving and emission-reduction measures, the company's Beijing headquarters office building will replace more than 9,000 LED tubes, which are more energy-efficient than t"&amp;"raditional fluorescent tubes. It is expected to save approximately 250,000 kWh of electricity annually.")</f>
        <v>Our overall carbon control work includes ISO140641, ISO50001, ISO14001, hosting environmental protection and energy-saving competitions, providing at-the-counter services, conducting carbon inventory and obtaining emission reduction certification, purchasing renewable energy certificates, organizing carbon reduction targets, establishing energy management processes, encouraging employees to implement carbon management systems, standardizing various energy-saving behaviors, continuously reducing GHG emissions, trading and inventorying business carbon emissions. In 2022, to implement energy-saving and emission-reduction measures, the company's Beijing headquarters office building will replace more than 9,000 LED tubes, which are more energy-efficient than traditional fluorescent tubes. It is expected to save approximately 250,000 kWh of electricity annually.</v>
      </c>
      <c r="B5914" s="1" t="str">
        <f ca="1">IFERROR(__xludf.DUMMYFUNCTION("GOOGLETRANSLATE(A5914, ""zh"", ""en"")"),"carbon emissions")</f>
        <v>carbon emissions</v>
      </c>
      <c r="C5914" s="1" t="str">
        <f ca="1">IFERROR(__xludf.DUMMYFUNCTION("GOOGLETRANSLATE(E5914, ""zh"", ""en"")"),"Quantitative Text")</f>
        <v>Quantitative Text</v>
      </c>
    </row>
    <row r="5915" spans="1:3" ht="13" x14ac:dyDescent="0.15">
      <c r="A5915" s="1" t="str">
        <f ca="1">IFERROR(__xludf.DUMMYFUNCTION("GOOGLETRANSLATE(A5915, ""zh"", ""en"")"),"Operating revenue was RMB 17.143 billion, employee wages paid were RMB 2.261 billion, net profit attributable to the parent company was RMB 1.503 billion, funds and items donated were RMB 12.117 million, tax revenue was RMB 1.668 billion, social contribut"&amp;"ion value per share was approximately RMB 3.52. 3.4 Key Performance During the reporting period, Kangyuan Health achieved operating revenue of RMB 17.143 billion, an increase of 7.79% compared with the same period last year, and achieved net profit attrib"&amp;"utable to shareholders of the listed company of RMB 1.503 billion, an increase of approximately 13.10% year-on-year. Net profit attributable to shareholders of the listed company after deducting non-recurring gains and losses was RMB 1.419 billion, an inc"&amp;"rease of approximately 15.84% year-on-year.")</f>
        <v>Operating revenue was RMB 17.143 billion, employee wages paid were RMB 2.261 billion, net profit attributable to the parent company was RMB 1.503 billion, funds and items donated were RMB 12.117 million, tax revenue was RMB 1.668 billion, social contribution value per share was approximately RMB 3.52. 3.4 Key Performance During the reporting period, Kangyuan Health achieved operating revenue of RMB 17.143 billion, an increase of 7.79% compared with the same period last year, and achieved net profit attributable to shareholders of the listed company of RMB 1.503 billion, an increase of approximately 13.10% year-on-year. Net profit attributable to shareholders of the listed company after deducting non-recurring gains and losses was RMB 1.419 billion, an increase of approximately 15.84% year-on-year.</v>
      </c>
      <c r="B5915" s="1" t="str">
        <f ca="1">IFERROR(__xludf.DUMMYFUNCTION("GOOGLETRANSLATE(A5915, ""zh"", ""en"")"),"Public welfare and volunteer service")</f>
        <v>Public welfare and volunteer service</v>
      </c>
      <c r="C5915" s="1" t="str">
        <f ca="1">IFERROR(__xludf.DUMMYFUNCTION("GOOGLETRANSLATE(E5915, ""zh"", ""en"")"),"Quantitative Text")</f>
        <v>Quantitative Text</v>
      </c>
    </row>
    <row r="5916" spans="1:3" ht="13" x14ac:dyDescent="0.15">
      <c r="A5916" s="1" t="str">
        <f ca="1">IFERROR(__xludf.DUMMYFUNCTION("GOOGLETRANSLATE(A5916, ""zh"", ""en"")"),"Talent Map Group Internal Talent Market Year Gender Age Region Male Female Under 30 30 39 40 49 50 and above Shanghai Non-Shanghai 2021 3.10.8 1.32.00.50.13.50.4 2022 2.7 30.76 1.21 1.800.370.11 3.170.32 Employee turnover Percentage of total employees Exc"&amp;"ellent Engineer Team Focusing on the Excellent Engineer Talent Training Program, we have formed a training model that combines professional depth with horizontal communication and expansion. We have always focused on a group of key minority technical inno"&amp;"vation leaders and promoted the engineering culture.")</f>
        <v>Talent Map Group Internal Talent Market Year Gender Age Region Male Female Under 30 30 39 40 49 50 and above Shanghai Non-Shanghai 2021 3.10.8 1.32.00.50.13.50.4 2022 2.7 30.76 1.21 1.800.370.11 3.170.32 Employee turnover Percentage of total employees Excellent Engineer Team Focusing on the Excellent Engineer Talent Training Program, we have formed a training model that combines professional depth with horizontal communication and expansion. We have always focused on a group of key minority technical innovation leaders and promoted the engineering culture.</v>
      </c>
      <c r="B5916" s="1" t="str">
        <f ca="1">IFERROR(__xludf.DUMMYFUNCTION("GOOGLETRANSLATE(A5916, ""zh"", ""en"")"),"staff")</f>
        <v>staff</v>
      </c>
      <c r="C5916" s="1" t="str">
        <f ca="1">IFERROR(__xludf.DUMMYFUNCTION("GOOGLETRANSLATE(E5916, ""zh"", ""en"")"),"Quantitative Text")</f>
        <v>Quantitative Text</v>
      </c>
    </row>
    <row r="5917" spans="1:3" ht="13" x14ac:dyDescent="0.15">
      <c r="A5917" s="1" t="str">
        <f ca="1">IFERROR(__xludf.DUMMYFUNCTION("GOOGLETRANSLATE(A5917, ""zh"", ""en"")"),"In terms of rural training, we have established Yunong Academy, which links rural primary and secondary schools, rural medical stations, and Yunongtong service points to carry out regular themed teaching activities, taking root in county-level grassroots "&amp;"organizations to support rural lifelong learning communities. In terms of rural social networking, we have established Yunong Friends Circle, which links with local governments, focusing on serving farmers and using social functions as a starting point to"&amp;" provide farmers with exclusive and comprehensive services that are popular with them. In terms of rural circulation, we have launched Yunong Market special activities, focusing on 4,500 agricultural wholesale markets and 30,000 farmers' trade markets acr"&amp;"oss the country, accelerating the construction of Yunong Market's comprehensive service platform, and providing comprehensive financial and non-financial services to various agricultural business entities in the market.")</f>
        <v>In terms of rural training, we have established Yunong Academy, which links rural primary and secondary schools, rural medical stations, and Yunongtong service points to carry out regular themed teaching activities, taking root in county-level grassroots organizations to support rural lifelong learning communities. In terms of rural social networking, we have established Yunong Friends Circle, which links with local governments, focusing on serving farmers and using social functions as a starting point to provide farmers with exclusive and comprehensive services that are popular with them. In terms of rural circulation, we have launched Yunong Market special activities, focusing on 4,500 agricultural wholesale markets and 30,000 farmers' trade markets across the country, accelerating the construction of Yunong Market's comprehensive service platform, and providing comprehensive financial and non-financial services to various agricultural business entities in the market.</v>
      </c>
      <c r="B5917" s="1" t="str">
        <f ca="1">IFERROR(__xludf.DUMMYFUNCTION("GOOGLETRANSLATE(A5917, ""zh"", ""en"")"),"Rural assistance")</f>
        <v>Rural assistance</v>
      </c>
      <c r="C5917" s="1" t="str">
        <f ca="1">IFERROR(__xludf.DUMMYFUNCTION("GOOGLETRANSLATE(E5917, ""zh"", ""en"")"),"Qualitative text")</f>
        <v>Qualitative text</v>
      </c>
    </row>
    <row r="5918" spans="1:3" ht="13" x14ac:dyDescent="0.15">
      <c r="A5918" s="1" t="str">
        <f ca="1">IFERROR(__xludf.DUMMYFUNCTION("GOOGLETRANSLATE(A5918, ""zh"", ""en"")"),"By 2022, we have trained more than 40,000 gold medal senior service soldiers and upgraded the image of service soldiers through unified work uniforms. We have provided certification training for technical managers and trained 58 service training instructo"&amp;"rs. The system has launched 7 service courses and 519 industry professional courses on the online platform. The course content and quantity have been upgraded. Through the selection mechanism of the most beautiful service soldiers, we have discovered key "&amp;"outstanding deeds and selected 8 outstanding service soldiers for extensive publicity. We have carried out service soldier capacity strengthening training, such as the Spark Program skill competition, etc. A total of 6,466 online training sessions and 20,"&amp;"010 offline training sessions have been held, with a total of 178,427 service soldiers participating.")</f>
        <v>By 2022, we have trained more than 40,000 gold medal senior service soldiers and upgraded the image of service soldiers through unified work uniforms. We have provided certification training for technical managers and trained 58 service training instructors. The system has launched 7 service courses and 519 industry professional courses on the online platform. The course content and quantity have been upgraded. Through the selection mechanism of the most beautiful service soldiers, we have discovered key outstanding deeds and selected 8 outstanding service soldiers for extensive publicity. We have carried out service soldier capacity strengthening training, such as the Spark Program skill competition, etc. A total of 6,466 online training sessions and 20,010 offline training sessions have been held, with a total of 178,427 service soldiers participating.</v>
      </c>
      <c r="B5918" s="1" t="str">
        <f ca="1">IFERROR(__xludf.DUMMYFUNCTION("GOOGLETRANSLATE(A5918, ""zh"", ""en"")"),"staff")</f>
        <v>staff</v>
      </c>
      <c r="C5918" s="1" t="str">
        <f ca="1">IFERROR(__xludf.DUMMYFUNCTION("GOOGLETRANSLATE(E5918, ""zh"", ""en"")"),"Quantitative Text")</f>
        <v>Quantitative Text</v>
      </c>
    </row>
    <row r="5919" spans="1:3" ht="13" x14ac:dyDescent="0.15">
      <c r="A5919" s="1" t="str">
        <f ca="1">IFERROR(__xludf.DUMMYFUNCTION("GOOGLETRANSLATE(A5919, ""zh"", ""en"")"),"In 2018, the company conducted compliance training for directors, supervisors and senior managers, and conducted compliance training for employees, including but not limited to practical training on basic knowledge of insider information protection, inves"&amp;"tor relations management, prevention and identification of financial fraud, investment and merger supervision and transaction tax analysis, equity incentive matters, ESG matters, key points for share increase and management of increase authorities, corpor"&amp;"ate governance and refinancing matters, actively promoted the construction of business ethics system and continuously improved the construction of corporate business ethics, integrity and honesty are the core values ​​of the company. The company has estab"&amp;"lished a sound anti-fraud system, clarified fraudulent behavior and the consequences of violations internally, and established high-voltage behaviors internally, and created a business environment of integrity supervision externally.")</f>
        <v>In 2018, the company conducted compliance training for directors, supervisors and senior managers, and conducted compliance training for employees, including but not limited to practical training on basic knowledge of insider information protection, investor relations management, prevention and identification of financial fraud, investment and merger supervision and transaction tax analysis, equity incentive matters, ESG matters, key points for share increase and management of increase authorities, corporate governance and refinancing matters, actively promoted the construction of business ethics system and continuously improved the construction of corporate business ethics, integrity and honesty are the core values ​​of the company. The company has established a sound anti-fraud system, clarified fraudulent behavior and the consequences of violations internally, and established high-voltage behaviors internally, and created a business environment of integrity supervision externally.</v>
      </c>
      <c r="B5919" s="1" t="str">
        <f ca="1">IFERROR(__xludf.DUMMYFUNCTION("GOOGLETRANSLATE(A5919, ""zh"", ""en"")"),"Legal proceedings and external sanctions")</f>
        <v>Legal proceedings and external sanctions</v>
      </c>
      <c r="C5919" s="1" t="str">
        <f ca="1">IFERROR(__xludf.DUMMYFUNCTION("GOOGLETRANSLATE(E5919, ""zh"", ""en"")"),"Qualitative text")</f>
        <v>Qualitative text</v>
      </c>
    </row>
    <row r="5920" spans="1:3" ht="13" x14ac:dyDescent="0.15">
      <c r="A5920" s="1" t="str">
        <f ca="1">IFERROR(__xludf.DUMMYFUNCTION("GOOGLETRANSLATE(A5920, ""zh"", ""en"")"),"The professional line channel has 6 professional levels. The future development direction is professional and technical experts. In order to better guide the advancement of professional capabilities, the company has built more than 100 special talent samp"&amp;"les, including T1N1 echelon training, 2N2 echelon training, 3N3 echelon training, 4Marketing echelon training, T5Other special training, and 6 campus recruitment employee system field sequence sub-category qualification. The professional knowledge and ski"&amp;"lls and key capabilities are clearly defined and updated every year in combination with the company's strategy. Talent also provides learning maps and online learning resources for employees who follow the professional development channel to truly help em"&amp;"ployees improve their professional capabilities and achieve self-development.")</f>
        <v>The professional line channel has 6 professional levels. The future development direction is professional and technical experts. In order to better guide the advancement of professional capabilities, the company has built more than 100 special talent samples, including T1N1 echelon training, 2N2 echelon training, 3N3 echelon training, 4Marketing echelon training, T5Other special training, and 6 campus recruitment employee system field sequence sub-category qualification. The professional knowledge and skills and key capabilities are clearly defined and updated every year in combination with the company's strategy. Talent also provides learning maps and online learning resources for employees who follow the professional development channel to truly help employees improve their professional capabilities and achieve self-development.</v>
      </c>
      <c r="B5920" s="1" t="str">
        <f ca="1">IFERROR(__xludf.DUMMYFUNCTION("GOOGLETRANSLATE(A5920, ""zh"", ""en"")"),"staff")</f>
        <v>staff</v>
      </c>
      <c r="C5920" s="1" t="str">
        <f ca="1">IFERROR(__xludf.DUMMYFUNCTION("GOOGLETRANSLATE(E5920, ""zh"", ""en"")"),"Qualitative text")</f>
        <v>Qualitative text</v>
      </c>
    </row>
    <row r="5921" spans="1:3" ht="13" x14ac:dyDescent="0.15">
      <c r="A5921" s="1" t="str">
        <f ca="1">IFERROR(__xludf.DUMMYFUNCTION("GOOGLETRANSLATE(A5921, ""zh"", ""en"")"),"Bringing Haier Smart Home back to the mindset of a day one startup is the fundamental solution to organizational vitality. We initiated a major internal cultural discussion: which behaviors and rules are objectionable to employees, and which practices sup"&amp;"port operational excellence? I asked our marketing staff to focus not only on sales figures but also on visiting sales outlets to care about the development prospects of our retail partners within the Haier ecosystem. Our product and scenario designers sh"&amp;"ould understand how end users evaluate our products and generate innovative ideas through interaction with them. User needs are shared seamlessly throughout the organization, forming in-depth consumer insights that form the foundation of our decision-maki"&amp;"ng.")</f>
        <v>Bringing Haier Smart Home back to the mindset of a day one startup is the fundamental solution to organizational vitality. We initiated a major internal cultural discussion: which behaviors and rules are objectionable to employees, and which practices support operational excellence? I asked our marketing staff to focus not only on sales figures but also on visiting sales outlets to care about the development prospects of our retail partners within the Haier ecosystem. Our product and scenario designers should understand how end users evaluate our products and generate innovative ideas through interaction with them. User needs are shared seamlessly throughout the organization, forming in-depth consumer insights that form the foundation of our decision-making.</v>
      </c>
      <c r="B5921" s="1" t="str">
        <f ca="1">IFERROR(__xludf.DUMMYFUNCTION("GOOGLETRANSLATE(A5921, ""zh"", ""en"")"),"staff")</f>
        <v>staff</v>
      </c>
      <c r="C5921" s="1" t="str">
        <f ca="1">IFERROR(__xludf.DUMMYFUNCTION("GOOGLETRANSLATE(E5921, ""zh"", ""en"")"),"Qualitative text")</f>
        <v>Qualitative text</v>
      </c>
    </row>
    <row r="5922" spans="1:3" ht="13" x14ac:dyDescent="0.15">
      <c r="A5922" s="1" t="str">
        <f ca="1">IFERROR(__xludf.DUMMYFUNCTION("GOOGLETRANSLATE(A5922, ""zh"", ""en"")"),"China National Petroleum Corporation 2022 Environmental, Social and Governance Report 114 Hong Kong Stock Exchange Environmental, Social and Governance Reporting Guide Content Index Governance Structure Statement by the Board of Directors containing the f"&amp;"ollowing: i. Disclosure of the Board's oversight of environmental, social and governance matters (cover 2); ii. The Board's approach and strategy for environmental, social and governance management, including the process for assessing, prioritizing and ma"&amp;"naging significant environmental, social and governance-related matters, including risks to the issuer's business; and iii. How the Board reviews progress against relevant environmental, social and governance objectives and explains how they relate to the"&amp;" issuer's business.")</f>
        <v>China National Petroleum Corporation 2022 Environmental, Social and Governance Report 114 Hong Kong Stock Exchange Environmental, Social and Governance Reporting Guide Content Index Governance Structure Statement by the Board of Directors containing the following: i. Disclosure of the Board's oversight of environmental, social and governance matters (cover 2); ii. The Board's approach and strategy for environmental, social and governance management, including the process for assessing, prioritizing and managing significant environmental, social and governance-related matters, including risks to the issuer's business; and iii. How the Board reviews progress against relevant environmental, social and governance objectives and explains how they relate to the issuer's business.</v>
      </c>
      <c r="B5922" s="1" t="str">
        <f ca="1">IFERROR(__xludf.DUMMYFUNCTION("GOOGLETRANSLATE(A5922, ""zh"", ""en"")"),"Organizational structure and operations")</f>
        <v>Organizational structure and operations</v>
      </c>
      <c r="C5922" s="1" t="str">
        <f ca="1">IFERROR(__xludf.DUMMYFUNCTION("GOOGLETRANSLATE(E5922, ""zh"", ""en"")"),"Qualitative text")</f>
        <v>Qualitative text</v>
      </c>
    </row>
    <row r="5923" spans="1:3" ht="13" x14ac:dyDescent="0.15">
      <c r="A5923" s="1" t="str">
        <f ca="1">IFERROR(__xludf.DUMMYFUNCTION("GOOGLETRANSLATE(A5923, ""zh"", ""en"")"),"L1 leadership training, L2 general skills training, L3 professional skills training, L4 new employee induction training. The management line channel is set up with 6 levels, from individual contributor to CEO. In order to help employees achieve the accele"&amp;"rated transformation from managing themselves to managing others to managing teams, the company has established a reserve echelon training project with the talent supply chain as the core, covering the company's existing management levels, from leadership"&amp;" and management skills to resources RI lecturer tutor library, R2 course resource library, R3 supplier resource library, R4 operation resources, R5 training informationization, enhance business vision, expand in-depth training, help managers improve their"&amp;" readiness and increase cadre hit rate.")</f>
        <v>L1 leadership training, L2 general skills training, L3 professional skills training, L4 new employee induction training. The management line channel is set up with 6 levels, from individual contributor to CEO. In order to help employees achieve the accelerated transformation from managing themselves to managing others to managing teams, the company has established a reserve echelon training project with the talent supply chain as the core, covering the company's existing management levels, from leadership and management skills to resources RI lecturer tutor library, R2 course resource library, R3 supplier resource library, R4 operation resources, R5 training informationization, enhance business vision, expand in-depth training, help managers improve their readiness and increase cadre hit rate.</v>
      </c>
      <c r="B5923" s="1" t="str">
        <f ca="1">IFERROR(__xludf.DUMMYFUNCTION("GOOGLETRANSLATE(A5923, ""zh"", ""en"")"),"staff")</f>
        <v>staff</v>
      </c>
      <c r="C5923" s="1" t="str">
        <f ca="1">IFERROR(__xludf.DUMMYFUNCTION("GOOGLETRANSLATE(E5923, ""zh"", ""en"")"),"Qualitative text")</f>
        <v>Qualitative text</v>
      </c>
    </row>
    <row r="5924" spans="1:3" ht="13" x14ac:dyDescent="0.15">
      <c r="A5924" s="1" t="str">
        <f ca="1">IFERROR(__xludf.DUMMYFUNCTION("GOOGLETRANSLATE(A5924, ""zh"", ""en"")"),"In terms of anti-corruption systems, Fosun Pharma has issued eight basic anti-corruption documents, including the management of gifts and bribes received during official activities, the trial anti-corruption regulations, and the reward and punishment and "&amp;"appeal management systems. It also strengthens the management of business accounting agreements, engineering construction projects, and the integrity of these anti-corruption projects. Based on these anti-corruption documents, it continues to strengthen r"&amp;"esearch on the integrity of enterprises, deepen the witness protection and reward regulations of the integrity system, and improve and accelerate the establishment of an integrity and anti-corruption system.")</f>
        <v>In terms of anti-corruption systems, Fosun Pharma has issued eight basic anti-corruption documents, including the management of gifts and bribes received during official activities, the trial anti-corruption regulations, and the reward and punishment and appeal management systems. It also strengthens the management of business accounting agreements, engineering construction projects, and the integrity of these anti-corruption projects. Based on these anti-corruption documents, it continues to strengthen research on the integrity of enterprises, deepen the witness protection and reward regulations of the integrity system, and improve and accelerate the establishment of an integrity and anti-corruption system.</v>
      </c>
      <c r="B5924" s="1" t="str">
        <f ca="1">IFERROR(__xludf.DUMMYFUNCTION("GOOGLETRANSLATE(A5924, ""zh"", ""en"")"),"Anti-corruption and anti-money laundering")</f>
        <v>Anti-corruption and anti-money laundering</v>
      </c>
      <c r="C5924" s="1" t="str">
        <f ca="1">IFERROR(__xludf.DUMMYFUNCTION("GOOGLETRANSLATE(E5924, ""zh"", ""en"")"),"Qualitative text")</f>
        <v>Qualitative text</v>
      </c>
    </row>
    <row r="5925" spans="1:3" ht="13" x14ac:dyDescent="0.15">
      <c r="A5925" s="1" t="str">
        <f ca="1">IFERROR(__xludf.DUMMYFUNCTION("GOOGLETRANSLATE(A5925, ""zh"", ""en"")"),"Visiting the CIIE, Xingyao visited FOSUNHEALTH. Understanding employee group development helped enhance the brand of this collection. Protecting employee rights and interests was key for stakeholders. Providing a training and development platform for empl"&amp;"oyees was a key area of ​​focus for the Group. The Group provided feedback on establishing a labor union, establishing a long-term talent training mechanism, and establishing a comprehensive health system. A collective contract was signed for all employee"&amp;"s of the Huogai Management Academy. The Academy conducted employee opinion solicitations and rationalization suggestion activities, regularly organized employee care activities, and implemented safety management. If I were to divide my life into the first"&amp;" half and the second half, the first half was my birth at Fosun Xiangyi, and the second half was my entry into the world of Stakeholder Communication. Becoming a doctor at Fosun Xiangyi was a highlight of Xingyang Medical.")</f>
        <v>Visiting the CIIE, Xingyao visited FOSUNHEALTH. Understanding employee group development helped enhance the brand of this collection. Protecting employee rights and interests was key for stakeholders. Providing a training and development platform for employees was a key area of ​​focus for the Group. The Group provided feedback on establishing a labor union, establishing a long-term talent training mechanism, and establishing a comprehensive health system. A collective contract was signed for all employees of the Huogai Management Academy. The Academy conducted employee opinion solicitations and rationalization suggestion activities, regularly organized employee care activities, and implemented safety management. If I were to divide my life into the first half and the second half, the first half was my birth at Fosun Xiangyi, and the second half was my entry into the world of Stakeholder Communication. Becoming a doctor at Fosun Xiangyi was a highlight of Xingyang Medical.</v>
      </c>
      <c r="B5925" s="1" t="str">
        <f ca="1">IFERROR(__xludf.DUMMYFUNCTION("GOOGLETRANSLATE(A5925, ""zh"", ""en"")"),"staff")</f>
        <v>staff</v>
      </c>
      <c r="C5925" s="1" t="str">
        <f ca="1">IFERROR(__xludf.DUMMYFUNCTION("GOOGLETRANSLATE(E5925, ""zh"", ""en"")"),"Qualitative text")</f>
        <v>Qualitative text</v>
      </c>
    </row>
    <row r="5926" spans="1:3" ht="13" x14ac:dyDescent="0.15">
      <c r="A5926" s="1" t="str">
        <f ca="1">IFERROR(__xludf.DUMMYFUNCTION("GOOGLETRANSLATE(A5926, ""zh"", ""en"")"),"Energy-saving air conditioning systems introduce heat pipe technology to improve cooling and heating. Hongqi Pharmaceuticals, Mao Biotech, a national green factory, and Shanghai municipal green factory 2022 Corporate Social Responsibility Report 95 EHS op"&amp;"erational investment. Fosun Pharma Group's cumulative investment in environmental protection facilities in 2022. The company paid a total of 28.733 million yuan in environmental protection taxes in 2022, mainly concentrated in purification engineering fac"&amp;"ilities. The main taxable pollutants are COD, ammonia nitrogen, and sewage treatment facilities. New and upgraded environmental protection facilities, including nitrogen oxides, sulfur oxides, and particulate matter, were also constructed.")</f>
        <v>Energy-saving air conditioning systems introduce heat pipe technology to improve cooling and heating. Hongqi Pharmaceuticals, Mao Biotech, a national green factory, and Shanghai municipal green factory 2022 Corporate Social Responsibility Report 95 EHS operational investment. Fosun Pharma Group's cumulative investment in environmental protection facilities in 2022. The company paid a total of 28.733 million yuan in environmental protection taxes in 2022, mainly concentrated in purification engineering facilities. The main taxable pollutants are COD, ammonia nitrogen, and sewage treatment facilities. New and upgraded environmental protection facilities, including nitrogen oxides, sulfur oxides, and particulate matter, were also constructed.</v>
      </c>
      <c r="B5926" s="1" t="str">
        <f ca="1">IFERROR(__xludf.DUMMYFUNCTION("GOOGLETRANSLATE(A5926, ""zh"", ""en"")"),"Waste Management")</f>
        <v>Waste Management</v>
      </c>
      <c r="C5926" s="1" t="str">
        <f ca="1">IFERROR(__xludf.DUMMYFUNCTION("GOOGLETRANSLATE(E5926, ""zh"", ""en"")"),"Quantitative Text")</f>
        <v>Quantitative Text</v>
      </c>
    </row>
    <row r="5927" spans="1:3" ht="13" x14ac:dyDescent="0.15">
      <c r="A5927" s="1" t="str">
        <f ca="1">IFERROR(__xludf.DUMMYFUNCTION("GOOGLETRANSLATE(A5927, ""zh"", ""en"")"),"HSE Management System Certification Number of enterprises and subsidiaries that have passed the HSE Management System QSY08002.1 certification: 116 Number of enterprises and subsidiaries that have passed the Environmental Management System ISO14001 certif"&amp;"ication: 105 Number of enterprises and subsidiaries that have passed the Occupational Health and Safety Management System ISO45001 certification: 107 PetroChina Company Limited 2022 Environmental, Social and Governance Report 56 Establish a safe, timely a"&amp;"nd effective comprehensive pollution prevention and control system Conduct environmental risk assessments Take necessary prevention and control measures Effectively control water pollution risks Prevent oil spills")</f>
        <v>HSE Management System Certification Number of enterprises and subsidiaries that have passed the HSE Management System QSY08002.1 certification: 116 Number of enterprises and subsidiaries that have passed the Environmental Management System ISO14001 certification: 105 Number of enterprises and subsidiaries that have passed the Occupational Health and Safety Management System ISO45001 certification: 107 PetroChina Company Limited 2022 Environmental, Social and Governance Report 56 Establish a safe, timely and effective comprehensive pollution prevention and control system Conduct environmental risk assessments Take necessary prevention and control measures Effectively control water pollution risks Prevent oil spills</v>
      </c>
      <c r="B5927" s="1" t="str">
        <f ca="1">IFERROR(__xludf.DUMMYFUNCTION("GOOGLETRANSLATE(A5927, ""zh"", ""en"")"),"Environmental Policy")</f>
        <v>Environmental Policy</v>
      </c>
      <c r="C5927" s="1" t="str">
        <f ca="1">IFERROR(__xludf.DUMMYFUNCTION("GOOGLETRANSLATE(E5927, ""zh"", ""en"")"),"Qualitative text")</f>
        <v>Qualitative text</v>
      </c>
    </row>
    <row r="5928" spans="1:3" ht="13" x14ac:dyDescent="0.15">
      <c r="A5928" s="1" t="str">
        <f ca="1">IFERROR(__xludf.DUMMYFUNCTION("GOOGLETRANSLATE(A5928, ""zh"", ""en"")"),"We must do better, achieve win-win results with shareholders, customers, employees and partners, and meticulously perform everything with integrity, dedication, collaboration and self-discipline. Our corporate philosophy, core values, code of conduct, emp"&amp;"loyee ethics, corporate strategy, COSL 2022 ESG Report 3, 2022 Annual Honors, technology-driven strategy, cost leadership strategy, integration strategy, internationalization strategy, regional development strategy. We will always develop from an industry"&amp;" perspective, focusing on basic scientific research and exploration, applied scientific research and verification, industrial application, guidance and promotion of R&amp;D systematization and standardization. With greater determination and a more pragmatic a"&amp;"pproach, we will continue to enhance our core technological competitiveness, making technological development the core engine driving the company's growth.")</f>
        <v>We must do better, achieve win-win results with shareholders, customers, employees and partners, and meticulously perform everything with integrity, dedication, collaboration and self-discipline. Our corporate philosophy, core values, code of conduct, employee ethics, corporate strategy, COSL 2022 ESG Report 3, 2022 Annual Honors, technology-driven strategy, cost leadership strategy, integration strategy, internationalization strategy, regional development strategy. We will always develop from an industry perspective, focusing on basic scientific research and exploration, applied scientific research and verification, industrial application, guidance and promotion of R&amp;D systematization and standardization. With greater determination and a more pragmatic approach, we will continue to enhance our core technological competitiveness, making technological development the core engine driving the company's growth.</v>
      </c>
      <c r="B5928" s="1" t="str">
        <f ca="1">IFERROR(__xludf.DUMMYFUNCTION("GOOGLETRANSLATE(A5928, ""zh"", ""en"")"),"Technological innovation")</f>
        <v>Technological innovation</v>
      </c>
      <c r="C5928" s="1" t="str">
        <f ca="1">IFERROR(__xludf.DUMMYFUNCTION("GOOGLETRANSLATE(E5928, ""zh"", ""en"")"),"Qualitative text")</f>
        <v>Qualitative text</v>
      </c>
    </row>
    <row r="5929" spans="1:3" ht="13" x14ac:dyDescent="0.15">
      <c r="A5929" s="1" t="str">
        <f ca="1">IFERROR(__xludf.DUMMYFUNCTION("GOOGLETRANSLATE(A5929, ""zh"", ""en"")"),"Remuneration and Appraisal Committee Nomination Committee Sustainable Development Committee Sinopec Corporation Sinopec Corporation 1718 Corporate Governance Strengthening Security Lines Addressing Climate Change Respecting Human Rights and Talent Cultiva"&amp;"tion Environmental Protection Fulfilling Social Responsibilities Director and Senior Management Remuneration and Appraisal The Sinopec Board of Directors' Remuneration and Appraisal Committee formulates and reviews the remuneration policies and plans for "&amp;"directors and senior management based on the corporate policies and objectives set by the Board of Directors, the remuneration levels paid by peer companies, and the specific responsibilities and time spent by the company's directors and senior management"&amp;", and makes recommendations on their appraisal matters.")</f>
        <v>Remuneration and Appraisal Committee Nomination Committee Sustainable Development Committee Sinopec Corporation Sinopec Corporation 1718 Corporate Governance Strengthening Security Lines Addressing Climate Change Respecting Human Rights and Talent Cultivation Environmental Protection Fulfilling Social Responsibilities Director and Senior Management Remuneration and Appraisal The Sinopec Board of Directors' Remuneration and Appraisal Committee formulates and reviews the remuneration policies and plans for directors and senior management based on the corporate policies and objectives set by the Board of Directors, the remuneration levels paid by peer companies, and the specific responsibilities and time spent by the company's directors and senior management, and makes recommendations on their appraisal matters.</v>
      </c>
      <c r="B5929" s="1" t="str">
        <f ca="1">IFERROR(__xludf.DUMMYFUNCTION("GOOGLETRANSLATE(A5929, ""zh"", ""en"")"),"Organizational structure and operations")</f>
        <v>Organizational structure and operations</v>
      </c>
      <c r="C5929" s="1" t="str">
        <f ca="1">IFERROR(__xludf.DUMMYFUNCTION("GOOGLETRANSLATE(E5929, ""zh"", ""en"")"),"Qualitative text")</f>
        <v>Qualitative text</v>
      </c>
    </row>
    <row r="5930" spans="1:3" ht="13" x14ac:dyDescent="0.15">
      <c r="A5930" s="1" t="str">
        <f ca="1">IFERROR(__xludf.DUMMYFUNCTION("GOOGLETRANSLATE(A5930, ""zh"", ""en"")"),"Mainly responsible for supervising and evaluating external audit work; proposing to hire or replace external financial audit institutions; supervising and evaluating internal audit work; coordinating internal and external audits; reviewing the company's f"&amp;"inancial information and its disclosure; supervising and evaluating the company's internal control; guiding and promoting the construction of corporate rule of law and risk compliance system; reviewing the company's risk management, compliance management "&amp;"and rule of law construction plans; listening to special reports on rule of law risks; conducting regular inspections and evaluations of risk management systems and their implementation, and reporting the results to the board of directors; responsible for"&amp;" laws and regulations; the company's articles of association and other matters authorized by the board of directors. The board is composed of 5 directors, with independent directors in the majority.")</f>
        <v>Mainly responsible for supervising and evaluating external audit work; proposing to hire or replace external financial audit institutions; supervising and evaluating internal audit work; coordinating internal and external audits; reviewing the company's financial information and its disclosure; supervising and evaluating the company's internal control; guiding and promoting the construction of corporate rule of law and risk compliance system; reviewing the company's risk management, compliance management and rule of law construction plans; listening to special reports on rule of law risks; conducting regular inspections and evaluations of risk management systems and their implementation, and reporting the results to the board of directors; responsible for laws and regulations; the company's articles of association and other matters authorized by the board of directors. The board is composed of 5 directors, with independent directors in the majority.</v>
      </c>
      <c r="B5930" s="1" t="str">
        <f ca="1">IFERROR(__xludf.DUMMYFUNCTION("GOOGLETRANSLATE(A5930, ""zh"", ""en"")"),"Audit work")</f>
        <v>Audit work</v>
      </c>
      <c r="C5930" s="1" t="str">
        <f ca="1">IFERROR(__xludf.DUMMYFUNCTION("GOOGLETRANSLATE(E5930, ""zh"", ""en"")"),"Qualitative text")</f>
        <v>Qualitative text</v>
      </c>
    </row>
    <row r="5931" spans="1:3" ht="13" x14ac:dyDescent="0.15">
      <c r="A5931" s="1" t="str">
        <f ca="1">IFERROR(__xludf.DUMMYFUNCTION("GOOGLETRANSLATE(A5931, ""zh"", ""en"")"),"Employee Structure As of December 31, 2022, the Group had a total of 38,399 employees, an increase of 5.84% compared to 2021 Total number of employees Total number of male employees Total number of female employees Unit person 66eE3225869E3000019785679715"&amp;"461188S81742118614200001000020202021202272 Innovation for Good Health Special Continuation of Innovation Enjoying Good Health Talent Rejuvenation The Group's heavy machinery talents and the new generation of talents have injected more vitality into the en"&amp;"terprise.")</f>
        <v>Employee Structure As of December 31, 2022, the Group had a total of 38,399 employees, an increase of 5.84% compared to 2021 Total number of employees Total number of male employees Total number of female employees Unit person 66eE3225869E3000019785679715461188S81742118614200001000020202021202272 Innovation for Good Health Special Continuation of Innovation Enjoying Good Health Talent Rejuvenation The Group's heavy machinery talents and the new generation of talents have injected more vitality into the enterprise.</v>
      </c>
      <c r="B5931" s="1" t="str">
        <f ca="1">IFERROR(__xludf.DUMMYFUNCTION("GOOGLETRANSLATE(A5931, ""zh"", ""en"")"),"staff")</f>
        <v>staff</v>
      </c>
      <c r="C5931" s="1" t="str">
        <f ca="1">IFERROR(__xludf.DUMMYFUNCTION("GOOGLETRANSLATE(E5931, ""zh"", ""en"")"),"Quantitative Text")</f>
        <v>Quantitative Text</v>
      </c>
    </row>
    <row r="5932" spans="1:3" ht="13" x14ac:dyDescent="0.15">
      <c r="A5932" s="1" t="str">
        <f ca="1">IFERROR(__xludf.DUMMYFUNCTION("GOOGLETRANSLATE(A5932, ""zh"", ""en"")"),"Striving to Focus on Dual Carbon Opportunities and Build a Green Home Appendix I Hong Kong Stock Exchange Environmental, Social and Governance Reporting Guide Content Index Major Aspects Level General Disclosures and Key Performance Indicators Disclosure "&amp;"Paragraphs Shanghai Electric Group Co., Ltd. 129 Appendix I Hong Kong Stock Exchange Environmental, Social and Governance Reporting Guide Content Index Major Aspects Level General Disclosures and Key Performance Indicators Disclosure Paragraphs B. Social "&amp;"Aspects B1 Employment General Disclosures Information on a) Remuneration and Dismissal, Recruitment and Promotion, Working Hours, Holidays, Equal Opportunities, Diversity, Anti-Discrimination, and Other Benefits and Benefits; and b) Relevant Laws and Regu"&amp;"lations that Have a Significant Impact on the Issuer.")</f>
        <v>Striving to Focus on Dual Carbon Opportunities and Build a Green Home Appendix I Hong Kong Stock Exchange Environmental, Social and Governance Reporting Guide Content Index Major Aspects Level General Disclosures and Key Performance Indicators Disclosure Paragraphs Shanghai Electric Group Co., Ltd. 129 Appendix I Hong Kong Stock Exchange Environmental, Social and Governance Reporting Guide Content Index Major Aspects Level General Disclosures and Key Performance Indicators Disclosure Paragraphs B. Social Aspects B1 Employment General Disclosures Information on a) Remuneration and Dismissal, Recruitment and Promotion, Working Hours, Holidays, Equal Opportunities, Diversity, Anti-Discrimination, and Other Benefits and Benefits; and b) Relevant Laws and Regulations that Have a Significant Impact on the Issuer.</v>
      </c>
      <c r="B5932" s="1" t="str">
        <f ca="1">IFERROR(__xludf.DUMMYFUNCTION("GOOGLETRANSLATE(A5932, ""zh"", ""en"")"),"staff")</f>
        <v>staff</v>
      </c>
      <c r="C5932" s="1" t="str">
        <f ca="1">IFERROR(__xludf.DUMMYFUNCTION("GOOGLETRANSLATE(E5932, ""zh"", ""en"")"),"Qualitative text")</f>
        <v>Qualitative text</v>
      </c>
    </row>
    <row r="5933" spans="1:3" ht="13" x14ac:dyDescent="0.15">
      <c r="A5933" s="1" t="str">
        <f ca="1">IFERROR(__xludf.DUMMYFUNCTION("GOOGLETRANSLATE(A5933, ""zh"", ""en"")"),"The 2022 OKids International Children's Art Festival and the Nameless Construction Company will showcase the unique architectural style of grain warehouses in Southeast Guizhou. Taking children's perspectives and details into consideration, they will cons"&amp;"ider the implementation of cultural, regional, geographical, and spatial locations. Using local materials and craftsmanship, they will create a custom-made, child-friendly playware installation called ""Wow, This is a Big Roof"" for rural children. The in"&amp;"stallation will be on display at the museum during the exhibition, advocating for public awareness of rural revitalization and child-friendliness. After the exhibition, the museum and the Nameless Construction Company will donate the art installation to R"&amp;"ongjiang County in Southeast Guizhou free of charge.")</f>
        <v>The 2022 OKids International Children's Art Festival and the Nameless Construction Company will showcase the unique architectural style of grain warehouses in Southeast Guizhou. Taking children's perspectives and details into consideration, they will consider the implementation of cultural, regional, geographical, and spatial locations. Using local materials and craftsmanship, they will create a custom-made, child-friendly playware installation called "Wow, This is a Big Roof" for rural children. The installation will be on display at the museum during the exhibition, advocating for public awareness of rural revitalization and child-friendliness. After the exhibition, the museum and the Nameless Construction Company will donate the art installation to Rongjiang County in Southeast Guizhou free of charge.</v>
      </c>
      <c r="B5933" s="1" t="str">
        <f ca="1">IFERROR(__xludf.DUMMYFUNCTION("GOOGLETRANSLATE(A5933, ""zh"", ""en"")"),"Public welfare and volunteer service")</f>
        <v>Public welfare and volunteer service</v>
      </c>
      <c r="C5933" s="1" t="str">
        <f ca="1">IFERROR(__xludf.DUMMYFUNCTION("GOOGLETRANSLATE(E5933, ""zh"", ""en"")"),"Qualitative text")</f>
        <v>Qualitative text</v>
      </c>
    </row>
    <row r="5934" spans="1:3" ht="13" x14ac:dyDescent="0.15">
      <c r="A5934" s="1" t="str">
        <f ca="1">IFERROR(__xludf.DUMMYFUNCTION("GOOGLETRANSLATE(A5934, ""zh"", ""en"")"),"The company's carbon emissions for the year are as follows: Scope 1 Direct greenhouse gas emissions (tons CO2 equivalent): 1,466.73 Scope 2 Indirect greenhouse gas emissions (tons CO2 equivalent): 31,530.90 Purchased electricity and heat (tons CO2 equival"&amp;"ent): 31,530.90 Scope 3 Indirect greenhouse gas emissions (tons CO2 equivalent): 4,489.30 CITIC Securities 2022 Annual Social Responsibility Report II Green Operations 1. Energy Conservation and Carbon Control CITIC Securities adheres to an environmentall"&amp;"y friendly philosophy and is committed to reducing the environmental impact of its operations through environmental protection measures such as energy conservation and emission reduction and the use of clean energy, in response to the national carbon neut"&amp;"rality goal.")</f>
        <v>The company's carbon emissions for the year are as follows: Scope 1 Direct greenhouse gas emissions (tons CO2 equivalent): 1,466.73 Scope 2 Indirect greenhouse gas emissions (tons CO2 equivalent): 31,530.90 Purchased electricity and heat (tons CO2 equivalent): 31,530.90 Scope 3 Indirect greenhouse gas emissions (tons CO2 equivalent): 4,489.30 CITIC Securities 2022 Annual Social Responsibility Report II Green Operations 1. Energy Conservation and Carbon Control CITIC Securities adheres to an environmentally friendly philosophy and is committed to reducing the environmental impact of its operations through environmental protection measures such as energy conservation and emission reduction and the use of clean energy, in response to the national carbon neutrality goal.</v>
      </c>
      <c r="B5934" s="1" t="str">
        <f ca="1">IFERROR(__xludf.DUMMYFUNCTION("GOOGLETRANSLATE(A5934, ""zh"", ""en"")"),"carbon emissions")</f>
        <v>carbon emissions</v>
      </c>
      <c r="C5934" s="1" t="str">
        <f ca="1">IFERROR(__xludf.DUMMYFUNCTION("GOOGLETRANSLATE(E5934, ""zh"", ""en"")"),"Quantitative Text")</f>
        <v>Quantitative Text</v>
      </c>
    </row>
    <row r="5935" spans="1:3" ht="13" x14ac:dyDescent="0.15">
      <c r="A5935" s="1" t="str">
        <f ca="1">IFERROR(__xludf.DUMMYFUNCTION("GOOGLETRANSLATE(A5935, ""zh"", ""en"")"),"37360203040506 Protecting the Planet, Exploring a Green and Low-Carbon Future, Integrating People and Goals, Promoting Diversified and Inclusive Development, Responsible Procurement, Building a Sustainable Supply Chain, Intelligent Experiences, Leading a "&amp;"Better Life, Uniting Hearts and Souls, and Promoting Equitable Development. 01 Global Collaboration: Sustainable Governance Ecosystem. Haier Smart Home Co., Ltd. Environmental, Social and Governance Report. In 2022, we will continue to implement the Notic"&amp;"e on Encouraging Home Appliance Manufacturers to Implement a Recycling Target Responsibility System, accelerate the improvement of the recycling ecosystem for used home appliances, establish a national recycling big data platform, and conduct research and"&amp;" development and demonstration on a full-process control platform for the recycling, disassembly and remanufacturing of home appliances.")</f>
        <v>37360203040506 Protecting the Planet, Exploring a Green and Low-Carbon Future, Integrating People and Goals, Promoting Diversified and Inclusive Development, Responsible Procurement, Building a Sustainable Supply Chain, Intelligent Experiences, Leading a Better Life, Uniting Hearts and Souls, and Promoting Equitable Development. 01 Global Collaboration: Sustainable Governance Ecosystem. Haier Smart Home Co., Ltd. Environmental, Social and Governance Report. In 2022, we will continue to implement the Notice on Encouraging Home Appliance Manufacturers to Implement a Recycling Target Responsibility System, accelerate the improvement of the recycling ecosystem for used home appliances, establish a national recycling big data platform, and conduct research and development and demonstration on a full-process control platform for the recycling, disassembly and remanufacturing of home appliances.</v>
      </c>
      <c r="B5935" s="1" t="str">
        <f ca="1">IFERROR(__xludf.DUMMYFUNCTION("GOOGLETRANSLATE(A5935, ""zh"", ""en"")"),"Waste Management")</f>
        <v>Waste Management</v>
      </c>
      <c r="C5935" s="1" t="str">
        <f ca="1">IFERROR(__xludf.DUMMYFUNCTION("GOOGLETRANSLATE(E5935, ""zh"", ""en"")"),"Qualitative text")</f>
        <v>Qualitative text</v>
      </c>
    </row>
    <row r="5936" spans="1:3" ht="13" x14ac:dyDescent="0.15">
      <c r="A5936" s="1" t="str">
        <f ca="1">IFERROR(__xludf.DUMMYFUNCTION("GOOGLETRANSLATE(A5936, ""zh"", ""en"")"),"To ensure the normal order of the company's business management and administration, a total of 16 training sessions or lectures were held, including 8 sessions of integrity training for new employees of Fosun Pharmaceutical Headquarters and Fosun Health t"&amp;"o promote all employees' conscious compliance with national laws and regulations and the company's various rules and regulations. As an important measure to combat corruption and promote integrity, Fosun Pharma requires new employees to sign a letter of c"&amp;"ommitment to honest conduct upon joining the company. Employees of Shanghai Fosun Pharmaceutical Group Co., Ltd. were provided with one integrity training each for its core subsidiaries, Fosun Pharmaceutical and Fosun Hong Hanlin.")</f>
        <v>To ensure the normal order of the company's business management and administration, a total of 16 training sessions or lectures were held, including 8 sessions of integrity training for new employees of Fosun Pharmaceutical Headquarters and Fosun Health to promote all employees' conscious compliance with national laws and regulations and the company's various rules and regulations. As an important measure to combat corruption and promote integrity, Fosun Pharma requires new employees to sign a letter of commitment to honest conduct upon joining the company. Employees of Shanghai Fosun Pharmaceutical Group Co., Ltd. were provided with one integrity training each for its core subsidiaries, Fosun Pharmaceutical and Fosun Hong Hanlin.</v>
      </c>
      <c r="B5936" s="1" t="str">
        <f ca="1">IFERROR(__xludf.DUMMYFUNCTION("GOOGLETRANSLATE(A5936, ""zh"", ""en"")"),"Anti-corruption and anti-money laundering")</f>
        <v>Anti-corruption and anti-money laundering</v>
      </c>
      <c r="C5936" s="1" t="str">
        <f ca="1">IFERROR(__xludf.DUMMYFUNCTION("GOOGLETRANSLATE(E5936, ""zh"", ""en"")"),"Quantitative Text")</f>
        <v>Quantitative Text</v>
      </c>
    </row>
    <row r="5937" spans="1:3" ht="13" x14ac:dyDescent="0.15">
      <c r="A5937" s="1" t="str">
        <f ca="1">IFERROR(__xludf.DUMMYFUNCTION("GOOGLETRANSLATE(A5937, ""zh"", ""en"")"),"The construction of quality culture takes precedence over the quality policy of striving for excellence in 2022. Respecting life is the most important thing. Fosun Pharma's second phase of VR factory tour activities revolves around the theme of striving f"&amp;"or excellence and creating excellent quality. It practices a quality culture that prioritizes quality and enhances the quality risk awareness and quality management capabilities of all employees. In line with this theme, Fosun Pharma's Operation Managemen"&amp;"t Department selected the fourth ""Excellent Production Enterprises in Quality Management"" in October 2022. Through live broadcasts and screen recordings, this month's activities covered all pharmaceutical and medical device components and were accompani"&amp;"ed by real-time commentary from professionals.")</f>
        <v>The construction of quality culture takes precedence over the quality policy of striving for excellence in 2022. Respecting life is the most important thing. Fosun Pharma's second phase of VR factory tour activities revolves around the theme of striving for excellence and creating excellent quality. It practices a quality culture that prioritizes quality and enhances the quality risk awareness and quality management capabilities of all employees. In line with this theme, Fosun Pharma's Operation Management Department selected the fourth "Excellent Production Enterprises in Quality Management" in October 2022. Through live broadcasts and screen recordings, this month's activities covered all pharmaceutical and medical device components and were accompanied by real-time commentary from professionals.</v>
      </c>
      <c r="B5937" s="1" t="str">
        <f ca="1">IFERROR(__xludf.DUMMYFUNCTION("GOOGLETRANSLATE(A5937, ""zh"", ""en"")"),"Product quality")</f>
        <v>Product quality</v>
      </c>
      <c r="C5937" s="1" t="str">
        <f ca="1">IFERROR(__xludf.DUMMYFUNCTION("GOOGLETRANSLATE(E5937, ""zh"", ""en"")"),"Qualitative text")</f>
        <v>Qualitative text</v>
      </c>
    </row>
    <row r="5938" spans="1:3" ht="13" x14ac:dyDescent="0.15">
      <c r="A5938" s="1" t="str">
        <f ca="1">IFERROR(__xludf.DUMMYFUNCTION("GOOGLETRANSLATE(A5938, ""zh"", ""en"")"),"Research and development and application of environmental protection products or technologies for ecological restoration and management Changle Company Leasing Company Environmental Company Environmental Energy Company 0304 Environmental Energy Company Re"&amp;"search and development of boiler flue gas deep condensation and latent heat recovery technology 722022 Wuchan Zhongda Social Responsibility ESG Report Serial Number Name Main Business Address Company Website Contact Information Wuchan Zhongda Metal Group "&amp;"Co., Ltd. Wuchan Zhongda Yuantong Automobile Co., Ltd. Wuchan Zhongda Yunshang Co., Ltd. Wuchan Zhongda International Trade Group Co., Ltd. Zhejiang Wuchan Environmental Protection Energy Co., Ltd. 12345 Main business: steel, iron ore, oil products, timbe"&amp;"r, etc. Also involves investment, financing, operation, hotel management, asset management, property leasing, etc.")</f>
        <v>Research and development and application of environmental protection products or technologies for ecological restoration and management Changle Company Leasing Company Environmental Company Environmental Energy Company 0304 Environmental Energy Company Research and development of boiler flue gas deep condensation and latent heat recovery technology 722022 Wuchan Zhongda Social Responsibility ESG Report Serial Number Name Main Business Address Company Website Contact Information Wuchan Zhongda Metal Group Co., Ltd. Wuchan Zhongda Yuantong Automobile Co., Ltd. Wuchan Zhongda Yunshang Co., Ltd. Wuchan Zhongda International Trade Group Co., Ltd. Zhejiang Wuchan Environmental Protection Energy Co., Ltd. 12345 Main business: steel, iron ore, oil products, timber, etc. Also involves investment, financing, operation, hotel management, asset management, property leasing, etc.</v>
      </c>
      <c r="B5938" s="1" t="str">
        <f ca="1">IFERROR(__xludf.DUMMYFUNCTION("GOOGLETRANSLATE(A5938, ""zh"", ""en"")"),"Clean Technology")</f>
        <v>Clean Technology</v>
      </c>
      <c r="C5938" s="1" t="str">
        <f ca="1">IFERROR(__xludf.DUMMYFUNCTION("GOOGLETRANSLATE(E5938, ""zh"", ""en"")"),"Qualitative text")</f>
        <v>Qualitative text</v>
      </c>
    </row>
    <row r="5939" spans="1:3" ht="13" x14ac:dyDescent="0.15">
      <c r="A5939" s="1" t="str">
        <f ca="1">IFERROR(__xludf.DUMMYFUNCTION("GOOGLETRANSLATE(A5939, ""zh"", ""en"")"),"Sinopec Corporation (Sinopec Group) Sinopec Group (6970) strengthens its corporate governance by addressing climate change, respecting human rights, cultivating talent, protecting the environment, and fulfilling social responsibilities. The company strict"&amp;"ly abides by the Work Safety Law, the Interim Measures for the Investigation and Management of Production Safety Accident Hazards, the Implementation Guidelines for the Investigation and Management of Hazards in Hazardous Chemical Enterprises, and other l"&amp;"aws and regulations. Sinopec has formulated regulations and systems such as the Management Regulations for the Grading Control of Production Safety Risks and the Dual Prevention Mechanism for Hazard Investigation and Management, and is committed to streng"&amp;"thening production safety and preventing safety risks, strengthening the investigation and management of hazards, and systematically preventing and reducing the occurrence of production safety accidents.")</f>
        <v>Sinopec Corporation (Sinopec Group) Sinopec Group (6970) strengthens its corporate governance by addressing climate change, respecting human rights, cultivating talent, protecting the environment, and fulfilling social responsibilities. The company strictly abides by the Work Safety Law, the Interim Measures for the Investigation and Management of Production Safety Accident Hazards, the Implementation Guidelines for the Investigation and Management of Hazards in Hazardous Chemical Enterprises, and other laws and regulations. Sinopec has formulated regulations and systems such as the Management Regulations for the Grading Control of Production Safety Risks and the Dual Prevention Mechanism for Hazard Investigation and Management, and is committed to strengthening production safety and preventing safety risks, strengthening the investigation and management of hazards, and systematically preventing and reducing the occurrence of production safety accidents.</v>
      </c>
      <c r="B5939" s="1" t="str">
        <f ca="1">IFERROR(__xludf.DUMMYFUNCTION("GOOGLETRANSLATE(A5939, ""zh"", ""en"")"),"staff")</f>
        <v>staff</v>
      </c>
      <c r="C5939" s="1" t="str">
        <f ca="1">IFERROR(__xludf.DUMMYFUNCTION("GOOGLETRANSLATE(E5939, ""zh"", ""en"")"),"Qualitative text")</f>
        <v>Qualitative text</v>
      </c>
    </row>
    <row r="5940" spans="1:3" ht="13" x14ac:dyDescent="0.15">
      <c r="A5940" s="1" t="str">
        <f ca="1">IFERROR(__xludf.DUMMYFUNCTION("GOOGLETRANSLATE(A5940, ""zh"", ""en"")"),"Double zero for quality issues. Required actions are not performed. Change management is not followed. Serious quality problems occur in the position. Strict requirements are imposed. Once a problem is found, the employee must be laid off. The mechanism i"&amp;"s clear. Two measures are effective. Responsibilities are clear. The three ""no"" principles are implemented. Zero management is implemented. Positioning is accurate. One process is clear. Three layoffs are not passed on. The quality system guarantees soc"&amp;"ial recognition. Hisense Visual insists on the management reform of the quality management system, transforming from traditional functional management to process management structure, and promoting the process of quality management system. The company alw"&amp;"ays strictly adheres to quality requirements and accepts strict audits from national and local quality inspection agencies every year. During the reporting period, the national and provincial sampling pass rates were 100%.")</f>
        <v>Double zero for quality issues. Required actions are not performed. Change management is not followed. Serious quality problems occur in the position. Strict requirements are imposed. Once a problem is found, the employee must be laid off. The mechanism is clear. Two measures are effective. Responsibilities are clear. The three "no" principles are implemented. Zero management is implemented. Positioning is accurate. One process is clear. Three layoffs are not passed on. The quality system guarantees social recognition. Hisense Visual insists on the management reform of the quality management system, transforming from traditional functional management to process management structure, and promoting the process of quality management system. The company always strictly adheres to quality requirements and accepts strict audits from national and local quality inspection agencies every year. During the reporting period, the national and provincial sampling pass rates were 100%.</v>
      </c>
      <c r="B5940" s="1" t="str">
        <f ca="1">IFERROR(__xludf.DUMMYFUNCTION("GOOGLETRANSLATE(A5940, ""zh"", ""en"")"),"Product quality")</f>
        <v>Product quality</v>
      </c>
      <c r="C5940" s="1" t="str">
        <f ca="1">IFERROR(__xludf.DUMMYFUNCTION("GOOGLETRANSLATE(E5940, ""zh"", ""en"")"),"Quantitative Text")</f>
        <v>Quantitative Text</v>
      </c>
    </row>
    <row r="5941" spans="1:3" ht="13" x14ac:dyDescent="0.15">
      <c r="A5941" s="1" t="str">
        <f ca="1">IFERROR(__xludf.DUMMYFUNCTION("GOOGLETRANSLATE(A5941, ""zh"", ""en"")"),"In the field of animal health products and animal nutrition products, China Animal Husbandry Co., Ltd. boasts an industrial cluster with leading technology and processes, a rich product range and strong guarantee capabilities. It has established a total o"&amp;"f 22 production bases. Its backbone enterprises have a history of R&amp;D and manufacturing of over 90 years, covering nearly 1,000 products with an annual revenue of over 5 billion yuan. It plays an important role in promoting the sustainable development of "&amp;"animal husbandry, building a food safety system, and increasing rural farmers' income. Among them, the quality, production, sales and market share of products such as vaccines for major animal diseases, complex vitamin additives, laying hen premixes, and "&amp;"tylosin are leading domestically and internationally. The company provides product and technical support and services to nearly 60 countries and regions around the world.")</f>
        <v>In the field of animal health products and animal nutrition products, China Animal Husbandry Co., Ltd. boasts an industrial cluster with leading technology and processes, a rich product range and strong guarantee capabilities. It has established a total of 22 production bases. Its backbone enterprises have a history of R&amp;D and manufacturing of over 90 years, covering nearly 1,000 products with an annual revenue of over 5 billion yuan. It plays an important role in promoting the sustainable development of animal husbandry, building a food safety system, and increasing rural farmers' income. Among them, the quality, production, sales and market share of products such as vaccines for major animal diseases, complex vitamin additives, laying hen premixes, and tylosin are leading domestically and internationally. The company provides product and technical support and services to nearly 60 countries and regions around the world.</v>
      </c>
      <c r="B5941" s="1" t="str">
        <f ca="1">IFERROR(__xludf.DUMMYFUNCTION("GOOGLETRANSLATE(A5941, ""zh"", ""en"")"),"biodiversity")</f>
        <v>biodiversity</v>
      </c>
      <c r="C5941" s="1" t="str">
        <f ca="1">IFERROR(__xludf.DUMMYFUNCTION("GOOGLETRANSLATE(E5941, ""zh"", ""en"")"),"Quantitative Text")</f>
        <v>Quantitative Text</v>
      </c>
    </row>
    <row r="5942" spans="1:3" ht="13" x14ac:dyDescent="0.15">
      <c r="A5942" s="1" t="str">
        <f ca="1">IFERROR(__xludf.DUMMYFUNCTION("GOOGLETRANSLATE(A5942, ""zh"", ""en"")"),"Supplier ESG Risk Management, Sinopec Corporation, Sinopec Corporation 9596 Corporate Governance, Building a Strong Safety Line, Addressing Climate Change, Respecting Human Rights, Cultivating Talents, Protecting the Environment, and Fulfilling Social Res"&amp;"ponsibilities. Contractor Management Companies incorporate ESG-related requirements such as transparency, integrity, and anti-corruption into management systems such as the Construction Engineering Market Integrity System Management Measures, Quality Acci"&amp;"dent Management Regulations, Production Safety Accident Management Regulations, Construction Project Contractor Scoring and Quantitative Assessment Management Measures, and Engineering Construction, Inspection and Maintenance Contractor Management Regulat"&amp;"ions, and continue to promote contractors to improve their performance.")</f>
        <v>Supplier ESG Risk Management, Sinopec Corporation, Sinopec Corporation 9596 Corporate Governance, Building a Strong Safety Line, Addressing Climate Change, Respecting Human Rights, Cultivating Talents, Protecting the Environment, and Fulfilling Social Responsibilities. Contractor Management Companies incorporate ESG-related requirements such as transparency, integrity, and anti-corruption into management systems such as the Construction Engineering Market Integrity System Management Measures, Quality Accident Management Regulations, Production Safety Accident Management Regulations, Construction Project Contractor Scoring and Quantitative Assessment Management Measures, and Engineering Construction, Inspection and Maintenance Contractor Management Regulations, and continue to promote contractors to improve their performance.</v>
      </c>
      <c r="B5942" s="1" t="str">
        <f ca="1">IFERROR(__xludf.DUMMYFUNCTION("GOOGLETRANSLATE(A5942, ""zh"", ""en"")"),"supply chain management")</f>
        <v>supply chain management</v>
      </c>
      <c r="C5942" s="1" t="str">
        <f ca="1">IFERROR(__xludf.DUMMYFUNCTION("GOOGLETRANSLATE(E5942, ""zh"", ""en"")"),"Qualitative text")</f>
        <v>Qualitative text</v>
      </c>
    </row>
    <row r="5943" spans="1:3" ht="13" x14ac:dyDescent="0.15">
      <c r="A5943" s="1" t="str">
        <f ca="1">IFERROR(__xludf.DUMMYFUNCTION("GOOGLETRANSLATE(A5943, ""zh"", ""en"")"),"We will adhere to the guidance of Xi Jinping Thought on Socialism with Chinese Characteristics for a New Era, fully implement the spirit of the 20th National Congress of the Communist Party of China, and deepen the implementation of the ""One Body, Two Wi"&amp;"ngs"" development strategy in accordance with the decisions and arrangements of the Provincial Party Committee and the Provincial Government. We will strengthen industrial investment, continue reform and innovation, improve risk control management, and st"&amp;"rive to modernize the governance system and governance capabilities of listed companies. We will comprehensively enhance corporate value creation, core competitiveness, and strategic support. We will strive to make 2023 a year of deepening innovation, tac"&amp;"kling key reforms, and enhancing opening up for the Group, and continue to build a large, strong, prosperous, beautiful, and respected outstanding listed company. We will make new and greater contributions to supporting the two pioneering efforts and writ"&amp;"ing a new chapter in the Chinese-style modernization of Zhejiang.")</f>
        <v>We will adhere to the guidance of Xi Jinping Thought on Socialism with Chinese Characteristics for a New Era, fully implement the spirit of the 20th National Congress of the Communist Party of China, and deepen the implementation of the "One Body, Two Wings" development strategy in accordance with the decisions and arrangements of the Provincial Party Committee and the Provincial Government. We will strengthen industrial investment, continue reform and innovation, improve risk control management, and strive to modernize the governance system and governance capabilities of listed companies. We will comprehensively enhance corporate value creation, core competitiveness, and strategic support. We will strive to make 2023 a year of deepening innovation, tackling key reforms, and enhancing opening up for the Group, and continue to build a large, strong, prosperous, beautiful, and respected outstanding listed company. We will make new and greater contributions to supporting the two pioneering efforts and writing a new chapter in the Chinese-style modernization of Zhejiang.</v>
      </c>
      <c r="B5943" s="1" t="str">
        <f ca="1">IFERROR(__xludf.DUMMYFUNCTION("GOOGLETRANSLATE(A5943, ""zh"", ""en"")"),"Organizational structure and operations")</f>
        <v>Organizational structure and operations</v>
      </c>
      <c r="C5943" s="1" t="str">
        <f ca="1">IFERROR(__xludf.DUMMYFUNCTION("GOOGLETRANSLATE(E5943, ""zh"", ""en"")"),"Qualitative text")</f>
        <v>Qualitative text</v>
      </c>
    </row>
    <row r="5944" spans="1:3" ht="13" x14ac:dyDescent="0.15">
      <c r="A5944" s="1" t="str">
        <f ca="1">IFERROR(__xludf.DUMMYFUNCTION("GOOGLETRANSLATE(A5944, ""zh"", ""en"")"),"Domestic projects are mainly calculated in accordance with relevant industry guidelines and standards such as the National Development and Reform Commission Climate No. 20142920, the China Petrochemical Enterprise Greenhouse Gas Emissions Accounting Metho"&amp;"d and Reporting Guidelines, the National Development and Reform Commission Climate No. 20142920, the China Chemical Production Enterprise Greenhouse Gas Emissions Accounting Method and Reporting Guidelines, and the National Development and Reform Commissi"&amp;"on Climate No. 20162526. Overseas projects give priority to complying with the local accounting standards and requirements of the host country. If the host country does not have clear requirements, domestic accounting methods will be used in combination w"&amp;"ith relevant parameters of the host country for calculation.")</f>
        <v>Domestic projects are mainly calculated in accordance with relevant industry guidelines and standards such as the National Development and Reform Commission Climate No. 20142920, the China Petrochemical Enterprise Greenhouse Gas Emissions Accounting Method and Reporting Guidelines, the National Development and Reform Commission Climate No. 20142920, the China Chemical Production Enterprise Greenhouse Gas Emissions Accounting Method and Reporting Guidelines, and the National Development and Reform Commission Climate No. 20162526. Overseas projects give priority to complying with the local accounting standards and requirements of the host country. If the host country does not have clear requirements, domestic accounting methods will be used in combination with relevant parameters of the host country for calculation.</v>
      </c>
      <c r="B5944" s="1" t="str">
        <f ca="1">IFERROR(__xludf.DUMMYFUNCTION("GOOGLETRANSLATE(A5944, ""zh"", ""en"")"),"carbon emissions")</f>
        <v>carbon emissions</v>
      </c>
      <c r="C5944" s="1" t="str">
        <f ca="1">IFERROR(__xludf.DUMMYFUNCTION("GOOGLETRANSLATE(E5944, ""zh"", ""en"")"),"Qualitative text")</f>
        <v>Qualitative text</v>
      </c>
    </row>
    <row r="5945" spans="1:3" ht="13" x14ac:dyDescent="0.15">
      <c r="A5945" s="1" t="str">
        <f ca="1">IFERROR(__xludf.DUMMYFUNCTION("GOOGLETRANSLATE(A5945, ""zh"", ""en"")"),"Emission Management Waste Management During the reporting period, Tibet Everest generated the following waste: Waste Category 2022 2021 Unit Mining waste rock 145.7713939 million tons Ore dressing tailings 262.07262.32 million tons Recycling 31.074807 mil"&amp;"lion tons The waste emission reduction strategy covers core operational links: Ore dressing, smelting, mining waste rock, tailings, smelting slag, comprehensive utilization, recycling 28 2022 Tibet Everest Sustainability Report Tibet Everest strictly abid"&amp;"es by the Tajik Air Protection Law and the Argentinian Air Pollution Law. We have established a hazardous source pollution source management system as a waste gas emission program document.")</f>
        <v>Emission Management Waste Management During the reporting period, Tibet Everest generated the following waste: Waste Category 2022 2021 Unit Mining waste rock 145.7713939 million tons Ore dressing tailings 262.07262.32 million tons Recycling 31.074807 million tons The waste emission reduction strategy covers core operational links: Ore dressing, smelting, mining waste rock, tailings, smelting slag, comprehensive utilization, recycling 28 2022 Tibet Everest Sustainability Report Tibet Everest strictly abides by the Tajik Air Protection Law and the Argentinian Air Pollution Law. We have established a hazardous source pollution source management system as a waste gas emission program document.</v>
      </c>
      <c r="B5945" s="1" t="str">
        <f ca="1">IFERROR(__xludf.DUMMYFUNCTION("GOOGLETRANSLATE(A5945, ""zh"", ""en"")"),"Waste Management")</f>
        <v>Waste Management</v>
      </c>
      <c r="C5945" s="1" t="str">
        <f ca="1">IFERROR(__xludf.DUMMYFUNCTION("GOOGLETRANSLATE(E5945, ""zh"", ""en"")"),"Quantitative Text")</f>
        <v>Quantitative Text</v>
      </c>
    </row>
    <row r="5946" spans="1:3" ht="13" x14ac:dyDescent="0.15">
      <c r="A5946" s="1" t="str">
        <f ca="1">IFERROR(__xludf.DUMMYFUNCTION("GOOGLETRANSLATE(A5946, ""zh"", ""en"")"),"Case Study: Essence Securities optimizes and improves employee benefits. Essence Securities formulates the Employee Attendance and Leave Management Measures of Essence Securities Co., Ltd., clearly stipulates normal working hours for employees, strictly i"&amp;"mplements national statutory holidays, and standardizes the implementation of statutory benefits. Social insurance and provident funds are fully paid. An enterprise annuity is established to protect employees' long-term interests. Employee benefits are en"&amp;"riched. All employees, including their spouses and minor children, totaling 12,963, are insured with commercial insurance, with a premium of 14.11 million yuan. The appropriateness of physical examination items is reviewed annually. Health examinations ar"&amp;"e provided for over 6,100 employees. During the reporting period, 18 million yuan was invested in physical examinations, strengthening employee health protection.")</f>
        <v>Case Study: Essence Securities optimizes and improves employee benefits. Essence Securities formulates the Employee Attendance and Leave Management Measures of Essence Securities Co., Ltd., clearly stipulates normal working hours for employees, strictly implements national statutory holidays, and standardizes the implementation of statutory benefits. Social insurance and provident funds are fully paid. An enterprise annuity is established to protect employees' long-term interests. Employee benefits are enriched. All employees, including their spouses and minor children, totaling 12,963, are insured with commercial insurance, with a premium of 14.11 million yuan. The appropriateness of physical examination items is reviewed annually. Health examinations are provided for over 6,100 employees. During the reporting period, 18 million yuan was invested in physical examinations, strengthening employee health protection.</v>
      </c>
      <c r="B5946" s="1" t="str">
        <f ca="1">IFERROR(__xludf.DUMMYFUNCTION("GOOGLETRANSLATE(A5946, ""zh"", ""en"")"),"staff")</f>
        <v>staff</v>
      </c>
      <c r="C5946" s="1" t="str">
        <f ca="1">IFERROR(__xludf.DUMMYFUNCTION("GOOGLETRANSLATE(E5946, ""zh"", ""en"")"),"Quantitative Text")</f>
        <v>Quantitative Text</v>
      </c>
    </row>
    <row r="5947" spans="1:3" ht="13" x14ac:dyDescent="0.15">
      <c r="A5947" s="1" t="str">
        <f ca="1">IFERROR(__xludf.DUMMYFUNCTION("GOOGLETRANSLATE(A5947, ""zh"", ""en"")"),"Under the guidance of the strategic plan, Fosun Pharma adheres to the development model of innovation, transformation, integrated operation and steady growth, and believes in creating value for shareholders with patient-centric clinical practice. Fosun Ph"&amp;"arma continuously strengthens independent R&amp;D and external guidance through independent R&amp;D, cooperative development, licensing, introduction and cooperation, enriches product pipeline, strengthens global layout and deepens diversified and multi-level coo"&amp;"peration models to improve operational efficiency. At the same time, it actively promotes the medical and health industry, continues to enrich innovative product pipelines, enhances FICFirstin's online and offline layout, and strives to become a first-cla"&amp;"ss enterprise in the global medical and health market (i.e., first-in-class and BICBestin).")</f>
        <v>Under the guidance of the strategic plan, Fosun Pharma adheres to the development model of innovation, transformation, integrated operation and steady growth, and believes in creating value for shareholders with patient-centric clinical practice. Fosun Pharma continuously strengthens independent R&amp;D and external guidance through independent R&amp;D, cooperative development, licensing, introduction and cooperation, enriches product pipeline, strengthens global layout and deepens diversified and multi-level cooperation models to improve operational efficiency. At the same time, it actively promotes the medical and health industry, continues to enrich innovative product pipelines, enhances FICFirstin's online and offline layout, and strives to become a first-class enterprise in the global medical and health market (i.e., first-in-class and BICBestin).</v>
      </c>
      <c r="B5947" s="1" t="str">
        <f ca="1">IFERROR(__xludf.DUMMYFUNCTION("GOOGLETRANSLATE(A5947, ""zh"", ""en"")"),"Technological innovation")</f>
        <v>Technological innovation</v>
      </c>
      <c r="C5947" s="1" t="str">
        <f ca="1">IFERROR(__xludf.DUMMYFUNCTION("GOOGLETRANSLATE(E5947, ""zh"", ""en"")"),"Qualitative text")</f>
        <v>Qualitative text</v>
      </c>
    </row>
    <row r="5948" spans="1:3" ht="13" x14ac:dyDescent="0.15">
      <c r="A5948" s="1" t="str">
        <f ca="1">IFERROR(__xludf.DUMMYFUNCTION("GOOGLETRANSLATE(A5948, ""zh"", ""en"")"),"Energy efficiency leader in the ethylene industry; Energy efficiency leader in the crude oil processing industry; Energy efficiency leader in the paraxylene industry; Zhenhai Refining and Chemical; Qingdao Refining and Chemical; Guangzhou Petrochemical; H"&amp;"ainan Refining and Chemical; 2022 Energy Efficiency Leader in Key Energy-consuming Industries; Qingdao Refining and Chemical; Guangzhou Petrochemical; Zhenhai Refining and Chemical; Hainan Refining and Chemical; Zhongtian Hechuang Chemical Branch; Zhong'a"&amp;"n United; 2022 Energy Efficiency Leader in Energy-consuming Products in the Petroleum and Chemical Industry; Benchmark Enterprise; In 2022, the company revised the green enterprise creation and review indicators, and in 2022, conducted quantitative assess"&amp;"ment and improvement on the procurement of green packaging for motors and transformers, the use of material logistics optimization, the platform for the disposal of waste materials, and other work to promote the high-quality implementation of the Green En"&amp;"terprise Action Plan.")</f>
        <v>Energy efficiency leader in the ethylene industry; Energy efficiency leader in the crude oil processing industry; Energy efficiency leader in the paraxylene industry; Zhenhai Refining and Chemical; Qingdao Refining and Chemical; Guangzhou Petrochemical; Hainan Refining and Chemical; 2022 Energy Efficiency Leader in Key Energy-consuming Industries; Qingdao Refining and Chemical; Guangzhou Petrochemical; Zhenhai Refining and Chemical; Hainan Refining and Chemical; Zhongtian Hechuang Chemical Branch; Zhong'an United; 2022 Energy Efficiency Leader in Energy-consuming Products in the Petroleum and Chemical Industry; Benchmark Enterprise; In 2022, the company revised the green enterprise creation and review indicators, and in 2022, conducted quantitative assessment and improvement on the procurement of green packaging for motors and transformers, the use of material logistics optimization, the platform for the disposal of waste materials, and other work to promote the high-quality implementation of the Green Enterprise Action Plan.</v>
      </c>
      <c r="B5948" s="1" t="str">
        <f ca="1">IFERROR(__xludf.DUMMYFUNCTION("GOOGLETRANSLATE(A5948, ""zh"", ""en"")"),"Energy and resource consumption")</f>
        <v>Energy and resource consumption</v>
      </c>
      <c r="C5948" s="1" t="str">
        <f ca="1">IFERROR(__xludf.DUMMYFUNCTION("GOOGLETRANSLATE(E5948, ""zh"", ""en"")"),"Quantitative Text")</f>
        <v>Quantitative Text</v>
      </c>
    </row>
    <row r="5949" spans="1:3" ht="13" x14ac:dyDescent="0.15">
      <c r="A5949" s="1" t="str">
        <f ca="1">IFERROR(__xludf.DUMMYFUNCTION("GOOGLETRANSLATE(A5949, ""zh"", ""en"")"),"Improve employee welfare: Number of casualties: 0; Overall employee turnover: 10; Labor contract signing rate: 100; Social insurance coverage: 100; Total number of employees: 7,359; Number of female employees covered by maternity rights protection: 279; C"&amp;"ase study of special training on group life insurance by SDIC Capital. SDIC Capital conducted special training on group life insurance. To better protect the vital interests of employees and help them understand the company's group life insurance policies"&amp;", SDIC Capital invited SDIC Insurance Brokers to conduct training on group life insurance for all employees. The training provided an overview of the comprehensive life insurance protection system and relevant policies, and detailed explanations of the cl"&amp;"aims process.")</f>
        <v>Improve employee welfare: Number of casualties: 0; Overall employee turnover: 10; Labor contract signing rate: 100; Social insurance coverage: 100; Total number of employees: 7,359; Number of female employees covered by maternity rights protection: 279; Case study of special training on group life insurance by SDIC Capital. SDIC Capital conducted special training on group life insurance. To better protect the vital interests of employees and help them understand the company's group life insurance policies, SDIC Capital invited SDIC Insurance Brokers to conduct training on group life insurance for all employees. The training provided an overview of the comprehensive life insurance protection system and relevant policies, and detailed explanations of the claims process.</v>
      </c>
      <c r="B5949" s="1" t="str">
        <f ca="1">IFERROR(__xludf.DUMMYFUNCTION("GOOGLETRANSLATE(A5949, ""zh"", ""en"")"),"staff")</f>
        <v>staff</v>
      </c>
      <c r="C5949" s="1" t="str">
        <f ca="1">IFERROR(__xludf.DUMMYFUNCTION("GOOGLETRANSLATE(E5949, ""zh"", ""en"")"),"Quantitative Text")</f>
        <v>Quantitative Text</v>
      </c>
    </row>
    <row r="5950" spans="1:3" ht="13" x14ac:dyDescent="0.15">
      <c r="A5950" s="1" t="str">
        <f ca="1">IFERROR(__xludf.DUMMYFUNCTION("GOOGLETRANSLATE(A5950, ""zh"", ""en"")"),"Table: Carbon emission work targets for Jiankangyuan in 2022 and 2025 Year Project Indicator Work Target 2022 Carbon emissions per 10,000 yuan of output value: 2% lower than in 2021 2023 Carbon emissions per 10,000 yuan of output value: 4% lower than in 2"&amp;"021 2024 Carbon emissions per 10,000 yuan of output value: 6% lower than in 2021 2025 Carbon emissions per 10,000 yuan of output value: 8% lower than in 2021 Note 1: Scope 1 emissions refer to greenhouse gases actually emitted into the atmosphere within t"&amp;"he geographical boundaries of the enterprise, generally referring to fossil fuels, such as direct emissions from the combustion of coal, gasoline, and diesel. Scope 2 emissions refer to emissions from electricity, heat, steam, and hot water purchased by t"&amp;"he enterprise.")</f>
        <v>Table: Carbon emission work targets for Jiankangyuan in 2022 and 2025 Year Project Indicator Work Target 2022 Carbon emissions per 10,000 yuan of output value: 2% lower than in 2021 2023 Carbon emissions per 10,000 yuan of output value: 4% lower than in 2021 2024 Carbon emissions per 10,000 yuan of output value: 6% lower than in 2021 2025 Carbon emissions per 10,000 yuan of output value: 8% lower than in 2021 Note 1: Scope 1 emissions refer to greenhouse gases actually emitted into the atmosphere within the geographical boundaries of the enterprise, generally referring to fossil fuels, such as direct emissions from the combustion of coal, gasoline, and diesel. Scope 2 emissions refer to emissions from electricity, heat, steam, and hot water purchased by the enterprise.</v>
      </c>
      <c r="B5950" s="1" t="str">
        <f ca="1">IFERROR(__xludf.DUMMYFUNCTION("GOOGLETRANSLATE(A5950, ""zh"", ""en"")"),"carbon emissions")</f>
        <v>carbon emissions</v>
      </c>
      <c r="C5950" s="1" t="str">
        <f ca="1">IFERROR(__xludf.DUMMYFUNCTION("GOOGLETRANSLATE(E5950, ""zh"", ""en"")"),"Quantitative Text")</f>
        <v>Quantitative Text</v>
      </c>
    </row>
    <row r="5951" spans="1:3" ht="13" x14ac:dyDescent="0.15">
      <c r="A5951" s="1" t="str">
        <f ca="1">IFERROR(__xludf.DUMMYFUNCTION("GOOGLETRANSLATE(A5951, ""zh"", ""en"")"),"We are committed to seeking external financing for the project, setting a benchmark for Silk Road cooperation, empowering Argentine community transformation, improving the local community landscape and building modern communications infrastructure, and pr"&amp;"oviding support for local radio equipment procurement. We have partnered with the Argentine National Communications Agency to participate in the radio licensing management project in the Santa Rosa community, implementing wall graffiti painting to enhance"&amp;" the community's artistic aesthetics, implementing the municipal office expansion project to improve the city office's image, and enhancing local suppliers to help upgrade local industries. As of the end of the reporting period, 170 people benefited from "&amp;"the radio licensing management project. The construction of the Koya community in Argentina, a community transformation project, is a key project we are promoting in Argentina.")</f>
        <v>We are committed to seeking external financing for the project, setting a benchmark for Silk Road cooperation, empowering Argentine community transformation, improving the local community landscape and building modern communications infrastructure, and providing support for local radio equipment procurement. We have partnered with the Argentine National Communications Agency to participate in the radio licensing management project in the Santa Rosa community, implementing wall graffiti painting to enhance the community's artistic aesthetics, implementing the municipal office expansion project to improve the city office's image, and enhancing local suppliers to help upgrade local industries. As of the end of the reporting period, 170 people benefited from the radio licensing management project. The construction of the Koya community in Argentina, a community transformation project, is a key project we are promoting in Argentina.</v>
      </c>
      <c r="B5951" s="1" t="str">
        <f ca="1">IFERROR(__xludf.DUMMYFUNCTION("GOOGLETRANSLATE(A5951, ""zh"", ""en"")"),"Public welfare and volunteer service")</f>
        <v>Public welfare and volunteer service</v>
      </c>
      <c r="C5951" s="1" t="str">
        <f ca="1">IFERROR(__xludf.DUMMYFUNCTION("GOOGLETRANSLATE(E5951, ""zh"", ""en"")"),"Quantitative Text")</f>
        <v>Quantitative Text</v>
      </c>
    </row>
    <row r="5952" spans="1:3" ht="13" x14ac:dyDescent="0.15">
      <c r="A5952" s="1" t="str">
        <f ca="1">IFERROR(__xludf.DUMMYFUNCTION("GOOGLETRANSLATE(A5952, ""zh"", ""en"")"),"The 42nd Quality Management Group and Quality Trustworthy Team Representative Meeting of the Water Heater Product Line of China Power (CEP) 77760203040506 Protecting the Planet, Exploring a Green and Low-Carbon Future, Promoting Diversified and Inclusive "&amp;"Development, Responsible Procurement, and Building a Sustainable Supply Chain. Intelligent Experience Leads to a Better Life, Uniting Hearts and Souls to Promote Equitable Development. 01 Global Collaboration and Sustainable Governance Ecosystem. Haier Sm"&amp;"art Home Co., Ltd. Environmental, Social and Governance Report: Technological Innovation Leads Product Upgrades. Haier Smart Home regards innovation as the primary driving force for product improvement, establishes an open innovation platform to promote p"&amp;"roduct R&amp;D and innovative layout in emerging fields such as smart home, green and low-carbon, and continuously enhances user experience.")</f>
        <v>The 42nd Quality Management Group and Quality Trustworthy Team Representative Meeting of the Water Heater Product Line of China Power (CEP) 77760203040506 Protecting the Planet, Exploring a Green and Low-Carbon Future, Promoting Diversified and Inclusive Development, Responsible Procurement, and Building a Sustainable Supply Chain. Intelligent Experience Leads to a Better Life, Uniting Hearts and Souls to Promote Equitable Development. 01 Global Collaboration and Sustainable Governance Ecosystem. Haier Smart Home Co., Ltd. Environmental, Social and Governance Report: Technological Innovation Leads Product Upgrades. Haier Smart Home regards innovation as the primary driving force for product improvement, establishes an open innovation platform to promote product R&amp;D and innovative layout in emerging fields such as smart home, green and low-carbon, and continuously enhances user experience.</v>
      </c>
      <c r="B5952" s="1" t="str">
        <f ca="1">IFERROR(__xludf.DUMMYFUNCTION("GOOGLETRANSLATE(A5952, ""zh"", ""en"")"),"Technological innovation")</f>
        <v>Technological innovation</v>
      </c>
      <c r="C5952" s="1" t="str">
        <f ca="1">IFERROR(__xludf.DUMMYFUNCTION("GOOGLETRANSLATE(E5952, ""zh"", ""en"")"),"Qualitative text")</f>
        <v>Qualitative text</v>
      </c>
    </row>
    <row r="5953" spans="1:3" ht="13" x14ac:dyDescent="0.15">
      <c r="A5953" s="1" t="str">
        <f ca="1">IFERROR(__xludf.DUMMYFUNCTION("GOOGLETRANSLATE(A5953, ""zh"", ""en"")"),"Internal corporate governance and organizational structure; Industrial business; Real estate business; Industrial development business; Innovation business; Compliance management system; Sorting out the company's intellectual property rights; Clarifying t"&amp;"he number and status of trademarks, patents, and copyrights, whether registered or expired; Formulating and promulgating the Group's intellectual property management system and accompanying trademark, patent, and copyright management measures; Simultaneou"&amp;"sly launching the supporting intellectual property management rights and responsibilities process; Establishing an intellectual property management system, which has been largely completed and is awaiting official launch; Initiating the first trademark ri"&amp;"ghts protection lawsuit; Actively purifying the intellectual property protection environment; Safeguarding the legitimate rights and interests of enterprises; Actively participating in intellectual property-related topics or projects initiated by the gove"&amp;"rnment and competent authorities; Contributing to the technological advancement of enterprises and society.")</f>
        <v>Internal corporate governance and organizational structure; Industrial business; Real estate business; Industrial development business; Innovation business; Compliance management system; Sorting out the company's intellectual property rights; Clarifying the number and status of trademarks, patents, and copyrights, whether registered or expired; Formulating and promulgating the Group's intellectual property management system and accompanying trademark, patent, and copyright management measures; Simultaneously launching the supporting intellectual property management rights and responsibilities process; Establishing an intellectual property management system, which has been largely completed and is awaiting official launch; Initiating the first trademark rights protection lawsuit; Actively purifying the intellectual property protection environment; Safeguarding the legitimate rights and interests of enterprises; Actively participating in intellectual property-related topics or projects initiated by the government and competent authorities; Contributing to the technological advancement of enterprises and society.</v>
      </c>
      <c r="B5953" s="1" t="str">
        <f ca="1">IFERROR(__xludf.DUMMYFUNCTION("GOOGLETRANSLATE(A5953, ""zh"", ""en"")"),"Intellectual Property Protection")</f>
        <v>Intellectual Property Protection</v>
      </c>
      <c r="C5953" s="1" t="str">
        <f ca="1">IFERROR(__xludf.DUMMYFUNCTION("GOOGLETRANSLATE(E5953, ""zh"", ""en"")"),"Qualitative text")</f>
        <v>Qualitative text</v>
      </c>
    </row>
    <row r="5954" spans="1:3" ht="13" x14ac:dyDescent="0.15">
      <c r="A5954" s="1" t="str">
        <f ca="1">IFERROR(__xludf.DUMMYFUNCTION("GOOGLETRANSLATE(A5954, ""zh"", ""en"")"),"During the reporting period, we achieved a new pattern of open collaboration with 90% of the supplier management information technology SRM platform. The related platform construction work has won us multiple recognitions and honors from both inside and o"&amp;"utside the industry, including the 2022 Gold Award for Digital Supply Chain Innovation Demonstration Award. The information technology platform has 400 daily active users on the purchasing side, and the number of registered suppliers has increased by 6,00"&amp;"0. The supplier lifecycle management module covers 112 companies, with a coverage rate of 7%. The number of qualified suppliers has exceeded 10,000, and the number of registered suppliers on the platform has increased by 28. The online bidding module cove"&amp;"rs 50 companies, with a coverage rate of 8%. The procurement e-commerce covers more than 150 companies, with a coverage rate of 15.6%.")</f>
        <v>During the reporting period, we achieved a new pattern of open collaboration with 90% of the supplier management information technology SRM platform. The related platform construction work has won us multiple recognitions and honors from both inside and outside the industry, including the 2022 Gold Award for Digital Supply Chain Innovation Demonstration Award. The information technology platform has 400 daily active users on the purchasing side, and the number of registered suppliers has increased by 6,000. The supplier lifecycle management module covers 112 companies, with a coverage rate of 7%. The number of qualified suppliers has exceeded 10,000, and the number of registered suppliers on the platform has increased by 28. The online bidding module covers 50 companies, with a coverage rate of 8%. The procurement e-commerce covers more than 150 companies, with a coverage rate of 15.6%.</v>
      </c>
      <c r="B5954" s="1" t="str">
        <f ca="1">IFERROR(__xludf.DUMMYFUNCTION("GOOGLETRANSLATE(A5954, ""zh"", ""en"")"),"supply chain management")</f>
        <v>supply chain management</v>
      </c>
      <c r="C5954" s="1" t="str">
        <f ca="1">IFERROR(__xludf.DUMMYFUNCTION("GOOGLETRANSLATE(E5954, ""zh"", ""en"")"),"Quantitative Text")</f>
        <v>Quantitative Text</v>
      </c>
    </row>
    <row r="5955" spans="1:3" ht="13" x14ac:dyDescent="0.15">
      <c r="A5955" s="1" t="str">
        <f ca="1">IFERROR(__xludf.DUMMYFUNCTION("GOOGLETRANSLATE(A5955, ""zh"", ""en"")"),"Case 5.5: Kangyuan Haibin actively responds to supply chain stability risks. Kangyuan continuously improves its intellectual property protection measures and strictly abides by the Patent Law of the People's Republic of China, the Patent Examination Guide"&amp;"lines, the Implementation Measures for the Early Resolution Mechanism of Pharmaceutical Patent Disputes, and other external laws and regulations. It formulates an intellectual property emergency plan system, an intellectual property education and training"&amp;" system, and other internal management documents to clarify the group's emergency plans for patent infringement, as well as the responsible departments and training methods for intellectual property training. It enhances the group's intellectual property "&amp;"management and operational capabilities, strengthens employees' awareness of intellectual property protection, and fully respects the research and innovation achievements of others to build a mutually beneficial and trusting R&amp;D innovation ecosystem.")</f>
        <v>Case 5.5: Kangyuan Haibin actively responds to supply chain stability risks. Kangyuan continuously improves its intellectual property protection measures and strictly abides by the Patent Law of the People's Republic of China, the Patent Examination Guidelines, the Implementation Measures for the Early Resolution Mechanism of Pharmaceutical Patent Disputes, and other external laws and regulations. It formulates an intellectual property emergency plan system, an intellectual property education and training system, and other internal management documents to clarify the group's emergency plans for patent infringement, as well as the responsible departments and training methods for intellectual property training. It enhances the group's intellectual property management and operational capabilities, strengthens employees' awareness of intellectual property protection, and fully respects the research and innovation achievements of others to build a mutually beneficial and trusting R&amp;D innovation ecosystem.</v>
      </c>
      <c r="B5955" s="1" t="str">
        <f ca="1">IFERROR(__xludf.DUMMYFUNCTION("GOOGLETRANSLATE(A5955, ""zh"", ""en"")"),"Intellectual Property Protection")</f>
        <v>Intellectual Property Protection</v>
      </c>
      <c r="C5955" s="1" t="str">
        <f ca="1">IFERROR(__xludf.DUMMYFUNCTION("GOOGLETRANSLATE(E5955, ""zh"", ""en"")"),"Qualitative text")</f>
        <v>Qualitative text</v>
      </c>
    </row>
    <row r="5956" spans="1:3" ht="13" x14ac:dyDescent="0.15">
      <c r="A5956" s="1" t="str">
        <f ca="1">IFERROR(__xludf.DUMMYFUNCTION("GOOGLETRANSLATE(A5956, ""zh"", ""en"")"),"Establish and improve a compliance management system that suits the company's actual situation. We have successively issued compliance management system documents such as legal compliance management system, compliance management measures, trade compliance"&amp;" management guidelines, etc., to formulate and revise relevant systems and regulations such as legal dispute management, legal person authorization management, joint venture management, enterprise business registration management, and overseas intermediar"&amp;"y service fee management. Through systems and mechanisms, we have promoted the exploration and construction of a legal compliance and internal control risk collaborative operation mechanism, focusing on the main business to resolve primary risks, strength"&amp;"en internal control management, reduce secondary risks, extend compliance management, and prevent derivative risks. Ensure that the construction of the compliance management system is in line with the actual development of the enterprise, highlight the ma"&amp;"nagement of key links and important personnel in key areas, and effectively implement compliance responsibilities.")</f>
        <v>Establish and improve a compliance management system that suits the company's actual situation. We have successively issued compliance management system documents such as legal compliance management system, compliance management measures, trade compliance management guidelines, etc., to formulate and revise relevant systems and regulations such as legal dispute management, legal person authorization management, joint venture management, enterprise business registration management, and overseas intermediary service fee management. Through systems and mechanisms, we have promoted the exploration and construction of a legal compliance and internal control risk collaborative operation mechanism, focusing on the main business to resolve primary risks, strengthen internal control management, reduce secondary risks, extend compliance management, and prevent derivative risks. Ensure that the construction of the compliance management system is in line with the actual development of the enterprise, highlight the management of key links and important personnel in key areas, and effectively implement compliance responsibilities.</v>
      </c>
      <c r="B5956" s="1" t="str">
        <f ca="1">IFERROR(__xludf.DUMMYFUNCTION("GOOGLETRANSLATE(A5956, ""zh"", ""en"")"),"Legal proceedings and external sanctions")</f>
        <v>Legal proceedings and external sanctions</v>
      </c>
      <c r="C5956" s="1" t="str">
        <f ca="1">IFERROR(__xludf.DUMMYFUNCTION("GOOGLETRANSLATE(E5956, ""zh"", ""en"")"),"Qualitative text")</f>
        <v>Qualitative text</v>
      </c>
    </row>
    <row r="5957" spans="1:3" ht="13" x14ac:dyDescent="0.15">
      <c r="A5957" s="1" t="str">
        <f ca="1">IFERROR(__xludf.DUMMYFUNCTION("GOOGLETRANSLATE(A5957, ""zh"", ""en"")"),"Digital Incentive promotes safety innovation, improves the legal disposal of hazardous waste, builds learning maps, and implements workshops on zero defects, intrinsic safety, zero hazards, and occupational health. Special equipment is managed at a graded"&amp;" level, and new employees are required to establish an occupational health system and implement graded management of major hazardous sources. The company relies on a three-year training program for new employees recruited from universities and an integrat"&amp;"ion program for new employees recruited from the society. Through mentoring, new employee self-governing committees, corporate culture training, rotation training, and workplace transformation training camps, the company accelerates the integration and gr"&amp;"owth of new employees into the company. Through online and offline hybrid training scenarios, it simulates real workplaces with zero accidents, production safety, zero fires, and fire safety scenarios. Case analysis helps new employees achieve workplace t"&amp;"ransformation.")</f>
        <v>Digital Incentive promotes safety innovation, improves the legal disposal of hazardous waste, builds learning maps, and implements workshops on zero defects, intrinsic safety, zero hazards, and occupational health. Special equipment is managed at a graded level, and new employees are required to establish an occupational health system and implement graded management of major hazardous sources. The company relies on a three-year training program for new employees recruited from universities and an integration program for new employees recruited from the society. Through mentoring, new employee self-governing committees, corporate culture training, rotation training, and workplace transformation training camps, the company accelerates the integration and growth of new employees into the company. Through online and offline hybrid training scenarios, it simulates real workplaces with zero accidents, production safety, zero fires, and fire safety scenarios. Case analysis helps new employees achieve workplace transformation.</v>
      </c>
      <c r="B5957" s="1" t="str">
        <f ca="1">IFERROR(__xludf.DUMMYFUNCTION("GOOGLETRANSLATE(A5957, ""zh"", ""en"")"),"staff")</f>
        <v>staff</v>
      </c>
      <c r="C5957" s="1" t="str">
        <f ca="1">IFERROR(__xludf.DUMMYFUNCTION("GOOGLETRANSLATE(E5957, ""zh"", ""en"")"),"Qualitative text")</f>
        <v>Qualitative text</v>
      </c>
    </row>
    <row r="5958" spans="1:3" ht="13" x14ac:dyDescent="0.15">
      <c r="A5958" s="1" t="str">
        <f ca="1">IFERROR(__xludf.DUMMYFUNCTION("GOOGLETRANSLATE(A5958, ""zh"", ""en"")"),"Climate Change, Waste Reduction and Adaptation, Product Quality and Safety, 15, Product and Service Quality, Compliance, R&amp;D, Responsible Marketing, Emissions Management, Occupational Health and Safety, 10, 12, Risk Management, Water Resource Use, Sustain"&amp;"able Supply Chain Management, Green Products, 21, 18, tk, Customer Privacy Protection, 12, 16, Employee Training and Development, Benefits and Welfare, 14, Very High, Very High, Fosun Pharma's Importance to the Economic, Environmental, and Social Impact, "&amp;"30, Innovation for Good Health, Continuous Innovation, Enjoying Health, This Spring Festival is a Little Warmer. The clinic has arrived, notifying the elderly infected with COVID-19 that they can receive free medicine. The villagers' most urgent needs hav"&amp;"e been addressed promptly.")</f>
        <v>Climate Change, Waste Reduction and Adaptation, Product Quality and Safety, 15, Product and Service Quality, Compliance, R&amp;D, Responsible Marketing, Emissions Management, Occupational Health and Safety, 10, 12, Risk Management, Water Resource Use, Sustainable Supply Chain Management, Green Products, 21, 18, tk, Customer Privacy Protection, 12, 16, Employee Training and Development, Benefits and Welfare, 14, Very High, Very High, Fosun Pharma's Importance to the Economic, Environmental, and Social Impact, 30, Innovation for Good Health, Continuous Innovation, Enjoying Health, This Spring Festival is a Little Warmer. The clinic has arrived, notifying the elderly infected with COVID-19 that they can receive free medicine. The villagers' most urgent needs have been addressed promptly.</v>
      </c>
      <c r="B5958" s="1" t="str">
        <f ca="1">IFERROR(__xludf.DUMMYFUNCTION("GOOGLETRANSLATE(A5958, ""zh"", ""en"")"),"Fighting the epidemic")</f>
        <v>Fighting the epidemic</v>
      </c>
      <c r="C5958" s="1" t="str">
        <f ca="1">IFERROR(__xludf.DUMMYFUNCTION("GOOGLETRANSLATE(E5958, ""zh"", ""en"")"),"Qualitative text")</f>
        <v>Qualitative text</v>
      </c>
    </row>
    <row r="5959" spans="1:3" ht="13" x14ac:dyDescent="0.15">
      <c r="A5959" s="1" t="str">
        <f ca="1">IFERROR(__xludf.DUMMYFUNCTION("GOOGLETRANSLATE(A5959, ""zh"", ""en"")"),"Accelerate the construction of a clean and low-carbon energy supply system and lead the industry in green, low-carbon and circular development. Sinopec's dual carbon action strategic route targets progress. 12.6 million tons. 300,000 tons per year. 550,00"&amp;"0 tons of standard coal. 500,000 tons per year. 2022. Recover carbon dioxide. Carbon dioxide injection. 1.534 million tons. 657,000 tons. 200 million cubic meters. Cumulative carbon dioxide emissions reductions. 834 million cubic meters of methane recover"&amp;"y. 19.68 million tons. 1.44 million tons. Sinopec 36. Build a solid safety line. Respect human rights and talent cultivation. Fulfill social responsibilities. Increase investment in scientific research. Develop a complete set of low-carbon process technol"&amp;"ogies. Promote the green and low-carbon transformation of the petrochemical industry.")</f>
        <v>Accelerate the construction of a clean and low-carbon energy supply system and lead the industry in green, low-carbon and circular development. Sinopec's dual carbon action strategic route targets progress. 12.6 million tons. 300,000 tons per year. 550,000 tons of standard coal. 500,000 tons per year. 2022. Recover carbon dioxide. Carbon dioxide injection. 1.534 million tons. 657,000 tons. 200 million cubic meters. Cumulative carbon dioxide emissions reductions. 834 million cubic meters of methane recovery. 19.68 million tons. 1.44 million tons. Sinopec 36. Build a solid safety line. Respect human rights and talent cultivation. Fulfill social responsibilities. Increase investment in scientific research. Develop a complete set of low-carbon process technologies. Promote the green and low-carbon transformation of the petrochemical industry.</v>
      </c>
      <c r="B5959" s="1" t="str">
        <f ca="1">IFERROR(__xludf.DUMMYFUNCTION("GOOGLETRANSLATE(A5959, ""zh"", ""en"")"),"carbon emissions")</f>
        <v>carbon emissions</v>
      </c>
      <c r="C5959" s="1" t="str">
        <f ca="1">IFERROR(__xludf.DUMMYFUNCTION("GOOGLETRANSLATE(E5959, ""zh"", ""en"")"),"Quantitative Text")</f>
        <v>Quantitative Text</v>
      </c>
    </row>
    <row r="5960" spans="1:3" ht="13" x14ac:dyDescent="0.15">
      <c r="A5960" s="1" t="str">
        <f ca="1">IFERROR(__xludf.DUMMYFUNCTION("GOOGLETRANSLATE(A5960, ""zh"", ""en"")"),"Hydrogen supply company governance addresses climate change and reduces environmental footprint. Sinopec Corp. Sinopec Corp. 4546 Corporate Governance strengthens security lines, addresses climate change, respects human rights and talent development, prot"&amp;"ects the environment, and fulfills social responsibilities. Photovoltaic project sales companies continue to accelerate the construction of distributed building-integrated photovoltaic (BIPV) power stations, fully utilizing the unused space on rooftops of"&amp;" over 30,000 gas stations nationwide to develop distributed photovoltaic power generation and create carbon-neutral gas stations. In-depth integration of gas station photovoltaic power generation with energy conservation and carbon reduction, brand market"&amp;"ing, and other aspects.")</f>
        <v>Hydrogen supply company governance addresses climate change and reduces environmental footprint. Sinopec Corp. Sinopec Corp. 4546 Corporate Governance strengthens security lines, addresses climate change, respects human rights and talent development, protects the environment, and fulfills social responsibilities. Photovoltaic project sales companies continue to accelerate the construction of distributed building-integrated photovoltaic (BIPV) power stations, fully utilizing the unused space on rooftops of over 30,000 gas stations nationwide to develop distributed photovoltaic power generation and create carbon-neutral gas stations. In-depth integration of gas station photovoltaic power generation with energy conservation and carbon reduction, brand marketing, and other aspects.</v>
      </c>
      <c r="B5960" s="1" t="str">
        <f ca="1">IFERROR(__xludf.DUMMYFUNCTION("GOOGLETRANSLATE(A5960, ""zh"", ""en"")"),"Addressing climate change")</f>
        <v>Addressing climate change</v>
      </c>
      <c r="C5960" s="1" t="str">
        <f ca="1">IFERROR(__xludf.DUMMYFUNCTION("GOOGLETRANSLATE(E5960, ""zh"", ""en"")"),"Qualitative text")</f>
        <v>Qualitative text</v>
      </c>
    </row>
    <row r="5961" spans="1:3" ht="13" x14ac:dyDescent="0.15">
      <c r="A5961" s="1" t="str">
        <f ca="1">IFERROR(__xludf.DUMMYFUNCTION("GOOGLETRANSLATE(A5961, ""zh"", ""en"")"),"We quickly established the TPM (Total Production Maintenance, Operation, and Repair) project to build a front-line manufacturing team with ""four understandings and four skills"" and improve the effectiveness and efficiency of production equipment. We car"&amp;"ried out the following actions: 1. The team established an equipment management committee, established a system based on 2. Specific standards to make front-line employees clear about equipment management, and 3. To cultivate equipment managers, maintenan"&amp;"ce personnel, team leaders, equipment managers, and personnel with specific positioning, methods, timing, and responsibilities. We developed more than 180 practical courses and 12 professional groups with operators as the core, using a combination of text"&amp;" and graphics to develop more than 90 independent equipment single-point courses. At the same time, through training and assessment, a total of more than 50 people were trained to build a project implementation team.")</f>
        <v>We quickly established the TPM (Total Production Maintenance, Operation, and Repair) project to build a front-line manufacturing team with "four understandings and four skills" and improve the effectiveness and efficiency of production equipment. We carried out the following actions: 1. The team established an equipment management committee, established a system based on 2. Specific standards to make front-line employees clear about equipment management, and 3. To cultivate equipment managers, maintenance personnel, team leaders, equipment managers, and personnel with specific positioning, methods, timing, and responsibilities. We developed more than 180 practical courses and 12 professional groups with operators as the core, using a combination of text and graphics to develop more than 90 independent equipment single-point courses. At the same time, through training and assessment, a total of more than 50 people were trained to build a project implementation team.</v>
      </c>
      <c r="B5961" s="1" t="str">
        <f ca="1">IFERROR(__xludf.DUMMYFUNCTION("GOOGLETRANSLATE(A5961, ""zh"", ""en"")"),"Technological innovation")</f>
        <v>Technological innovation</v>
      </c>
      <c r="C5961" s="1" t="str">
        <f ca="1">IFERROR(__xludf.DUMMYFUNCTION("GOOGLETRANSLATE(E5961, ""zh"", ""en"")"),"Qualitative text")</f>
        <v>Qualitative text</v>
      </c>
    </row>
    <row r="5962" spans="1:3" ht="13" x14ac:dyDescent="0.15">
      <c r="A5962" s="1" t="str">
        <f ca="1">IFERROR(__xludf.DUMMYFUNCTION("GOOGLETRANSLATE(A5962, ""zh"", ""en"")"),"In 2023, the annual water saving volume was 6.3 million cubic meters. The water intake for processing more than one ton of crude oil was 0.480 cubic meters. The water resources saved below 74688 million cubic meters. The fresh water consumption was 0.42. "&amp;"The fresh water consumption decreased by 0.481 cubic meters year-on-year. The water intake for processing one ton of crude oil exceeded the target set at the beginning of 2022 by 0.485 cubic meters. The water saving volume exceeded the target set at the b"&amp;"eginning of 2022 by 6.8 million cubic meters. Environmental protection 59 Water resource management and energy efficiency management for the entire industry chain. We adhere to the principle of conservation first and the concept that energy conservation m"&amp;"eans increased production and conservation means increased efficiency. We deeply promote energy conservation and consumption reduction and continuously improve energy utilization efficiency.")</f>
        <v>In 2023, the annual water saving volume was 6.3 million cubic meters. The water intake for processing more than one ton of crude oil was 0.480 cubic meters. The water resources saved below 74688 million cubic meters. The fresh water consumption was 0.42. The fresh water consumption decreased by 0.481 cubic meters year-on-year. The water intake for processing one ton of crude oil exceeded the target set at the beginning of 2022 by 0.485 cubic meters. The water saving volume exceeded the target set at the beginning of 2022 by 6.8 million cubic meters. Environmental protection 59 Water resource management and energy efficiency management for the entire industry chain. We adhere to the principle of conservation first and the concept that energy conservation means increased production and conservation means increased efficiency. We deeply promote energy conservation and consumption reduction and continuously improve energy utilization efficiency.</v>
      </c>
      <c r="B5962" s="1" t="str">
        <f ca="1">IFERROR(__xludf.DUMMYFUNCTION("GOOGLETRANSLATE(A5962, ""zh"", ""en"")"),"Water resources")</f>
        <v>Water resources</v>
      </c>
      <c r="C5962" s="1" t="str">
        <f ca="1">IFERROR(__xludf.DUMMYFUNCTION("GOOGLETRANSLATE(E5962, ""zh"", ""en"")"),"Quantitative Text")</f>
        <v>Quantitative Text</v>
      </c>
    </row>
    <row r="5963" spans="1:3" ht="13" x14ac:dyDescent="0.15">
      <c r="A5963" s="1" t="str">
        <f ca="1">IFERROR(__xludf.DUMMYFUNCTION("GOOGLETRANSLATE(A5963, ""zh"", ""en"")"),"Taizhou Petroleum employee volunteers helped farmers harvest pomelo, and sanitation workers savored tangyuan at the Love Station. The Desert Health Express volunteer service event, ""Home on the Road,"" featured the Driver's Home and Love Station public w"&amp;"elfare projects, a train heading toward light, the Sinopec Guangming Health Express public welfare project, and the Desert Health Express remote area medical assistance volunteer service project. A large-scale public welfare event served migrant workers r"&amp;"eturning home during the Spring Festival travel rush. The company transformed gas stations into volunteer service outlets, built Driver's Homes and Love Stations, and provided rest and dining services, hot water, bathing, laundry, parking, and charging st"&amp;"ations for truck drivers, sanitation workers, couriers, and other outdoor and new employment forms. The company strives to create a ""home on the road"" for outdoor workers.")</f>
        <v>Taizhou Petroleum employee volunteers helped farmers harvest pomelo, and sanitation workers savored tangyuan at the Love Station. The Desert Health Express volunteer service event, "Home on the Road," featured the Driver's Home and Love Station public welfare projects, a train heading toward light, the Sinopec Guangming Health Express public welfare project, and the Desert Health Express remote area medical assistance volunteer service project. A large-scale public welfare event served migrant workers returning home during the Spring Festival travel rush. The company transformed gas stations into volunteer service outlets, built Driver's Homes and Love Stations, and provided rest and dining services, hot water, bathing, laundry, parking, and charging stations for truck drivers, sanitation workers, couriers, and other outdoor and new employment forms. The company strives to create a "home on the road" for outdoor workers.</v>
      </c>
      <c r="B5963" s="1" t="str">
        <f ca="1">IFERROR(__xludf.DUMMYFUNCTION("GOOGLETRANSLATE(A5963, ""zh"", ""en"")"),"Public welfare and volunteer service")</f>
        <v>Public welfare and volunteer service</v>
      </c>
      <c r="C5963" s="1" t="str">
        <f ca="1">IFERROR(__xludf.DUMMYFUNCTION("GOOGLETRANSLATE(E5963, ""zh"", ""en"")"),"Qualitative text")</f>
        <v>Qualitative text</v>
      </c>
    </row>
    <row r="5964" spans="1:3" ht="13" x14ac:dyDescent="0.15">
      <c r="A5964" s="1" t="str">
        <f ca="1">IFERROR(__xludf.DUMMYFUNCTION("GOOGLETRANSLATE(A5964, ""zh"", ""en"")"),"The Offshore Oil 720 fleet rescued endangered mammals, including egrets. The geophysical exploration division's collection vessel rescued sea turtles trapped in fishing nets. A mangrove awareness campaign was launched to promote blue carbon sinks. COSL's "&amp;"2022 ESG Report 38 focuses on people, health, and life. QHSE management adheres to the safety bottom line. COSL continues to study and understand General Secretary Xi Jinping's important statements and instructions on work safety, implements the Work Safe"&amp;"ty Law of the People's Republic of China and other laws and regulations, continuously promotes the development of the QHSE management system, strengthens safety risk identification and prevention, actively conducts key hazard remediation and emergency man"&amp;"agement work, and improves inherent safety standards.")</f>
        <v>The Offshore Oil 720 fleet rescued endangered mammals, including egrets. The geophysical exploration division's collection vessel rescued sea turtles trapped in fishing nets. A mangrove awareness campaign was launched to promote blue carbon sinks. COSL's 2022 ESG Report 38 focuses on people, health, and life. QHSE management adheres to the safety bottom line. COSL continues to study and understand General Secretary Xi Jinping's important statements and instructions on work safety, implements the Work Safety Law of the People's Republic of China and other laws and regulations, continuously promotes the development of the QHSE management system, strengthens safety risk identification and prevention, actively conducts key hazard remediation and emergency management work, and improves inherent safety standards.</v>
      </c>
      <c r="B5964" s="1" t="str">
        <f ca="1">IFERROR(__xludf.DUMMYFUNCTION("GOOGLETRANSLATE(A5964, ""zh"", ""en"")"),"staff")</f>
        <v>staff</v>
      </c>
      <c r="C5964" s="1" t="str">
        <f ca="1">IFERROR(__xludf.DUMMYFUNCTION("GOOGLETRANSLATE(E5964, ""zh"", ""en"")"),"Qualitative text")</f>
        <v>Qualitative text</v>
      </c>
    </row>
    <row r="5965" spans="1:3" ht="13" x14ac:dyDescent="0.15">
      <c r="A5965" s="1" t="str">
        <f ca="1">IFERROR(__xludf.DUMMYFUNCTION("GOOGLETRANSLATE(A5965, ""zh"", ""en"")"),"We are fully committed to promoting the construction of synthetic biology platforms, establishing operating systems for efficient genetic modification involving a variety of prokaryotic and eukaryotic microbial chassis, simultaneous editing of multiple ge"&amp;"nes, and high-fidelity splicing of multiple DNA fragments. We have developed a complete process for whole-genome variation analysis and prediction of key secondary metabolite gene clusters, enabling targeted modification and fusion of multiple genes in th"&amp;"e genome, improving our ability to capture and manipulate large DNA fragments, and refining technologies such as high-throughput DNA combinatorial library assembly and large-scale targeted genetic screening. We have also expanded our technical system for "&amp;"constructing a large number of new genetically modified candidate strains through large-scale reconstruction of metabolic networks using predicted molecular elements.")</f>
        <v>We are fully committed to promoting the construction of synthetic biology platforms, establishing operating systems for efficient genetic modification involving a variety of prokaryotic and eukaryotic microbial chassis, simultaneous editing of multiple genes, and high-fidelity splicing of multiple DNA fragments. We have developed a complete process for whole-genome variation analysis and prediction of key secondary metabolite gene clusters, enabling targeted modification and fusion of multiple genes in the genome, improving our ability to capture and manipulate large DNA fragments, and refining technologies such as high-throughput DNA combinatorial library assembly and large-scale targeted genetic screening. We have also expanded our technical system for constructing a large number of new genetically modified candidate strains through large-scale reconstruction of metabolic networks using predicted molecular elements.</v>
      </c>
      <c r="B5965" s="1" t="str">
        <f ca="1">IFERROR(__xludf.DUMMYFUNCTION("GOOGLETRANSLATE(A5965, ""zh"", ""en"")"),"Technological innovation")</f>
        <v>Technological innovation</v>
      </c>
      <c r="C5965" s="1" t="str">
        <f ca="1">IFERROR(__xludf.DUMMYFUNCTION("GOOGLETRANSLATE(E5965, ""zh"", ""en"")"),"Qualitative text")</f>
        <v>Qualitative text</v>
      </c>
    </row>
    <row r="5966" spans="1:3" ht="13" x14ac:dyDescent="0.15">
      <c r="A5966" s="1" t="str">
        <f ca="1">IFERROR(__xludf.DUMMYFUNCTION("GOOGLETRANSLATE(A5966, ""zh"", ""en"")"),"Indicator Unit 2022 2021 2020 Number of internal control management training sessions 118 105 112 Number of internal control management training participants 246 52 338 266 2 Number of risk management training sessions 46 48 42 Number of risk management t"&amp;"raining participants 176 2 18 10 170 9 Internal Control and Risk Management Training Performance Table 2020 2022 COSL 2022 ESG Report 18 Practice integrity in business Prevent commercial embezzlement and bribery Prevent and control overseas corruption and"&amp;" fraud Conduct anti-fraud education The company complies with the Interim Provisions on Prohibition of Commercial Bribery under the Anti-Unfair Competition Law of the People's Republic of China Deepen the fight against commercial bribery")</f>
        <v>Indicator Unit 2022 2021 2020 Number of internal control management training sessions 118 105 112 Number of internal control management training participants 246 52 338 266 2 Number of risk management training sessions 46 48 42 Number of risk management training participants 176 2 18 10 170 9 Internal Control and Risk Management Training Performance Table 2020 2022 COSL 2022 ESG Report 18 Practice integrity in business Prevent commercial embezzlement and bribery Prevent and control overseas corruption and fraud Conduct anti-fraud education The company complies with the Interim Provisions on Prohibition of Commercial Bribery under the Anti-Unfair Competition Law of the People's Republic of China Deepen the fight against commercial bribery</v>
      </c>
      <c r="B5966" s="1" t="str">
        <f ca="1">IFERROR(__xludf.DUMMYFUNCTION("GOOGLETRANSLATE(A5966, ""zh"", ""en"")"),"Anti-corruption and anti-money laundering")</f>
        <v>Anti-corruption and anti-money laundering</v>
      </c>
      <c r="C5966" s="1" t="str">
        <f ca="1">IFERROR(__xludf.DUMMYFUNCTION("GOOGLETRANSLATE(E5966, ""zh"", ""en"")"),"Quantitative Text")</f>
        <v>Quantitative Text</v>
      </c>
    </row>
    <row r="5967" spans="1:3" ht="13" x14ac:dyDescent="0.15">
      <c r="A5967" s="1" t="str">
        <f ca="1">IFERROR(__xludf.DUMMYFUNCTION("GOOGLETRANSLATE(A5967, ""zh"", ""en"")"),"Guilin Pharmaceutical has one oral solid dosage production line and three injection production lines that have passed WHOPQ inspections. Yaoyou Pharmaceutical has one oral factor production line that has passed the US FDA and Health Canada certifications."&amp;" Wanbang Pharmaceutical has one freeze-dried sterile production line that has passed EU cGMP certification. One oral dosage production line has passed the US FDA cGMP certification, and one sterile dosage production line has passed the US FDA certificatio"&amp;"n. Fuhong Hanlin has one sterile production line that has passed EU cGMP certification. GlandPharma, an Indian pharmaceutical member, has three dosage production sites and multiple sterile production lines that have passed pharmaceutical GMP audits and ce"&amp;"rtifications in the US, Europe, Japan, Australia, and Brazil.")</f>
        <v>Guilin Pharmaceutical has one oral solid dosage production line and three injection production lines that have passed WHOPQ inspections. Yaoyou Pharmaceutical has one oral factor production line that has passed the US FDA and Health Canada certifications. Wanbang Pharmaceutical has one freeze-dried sterile production line that has passed EU cGMP certification. One oral dosage production line has passed the US FDA cGMP certification, and one sterile dosage production line has passed the US FDA certification. Fuhong Hanlin has one sterile production line that has passed EU cGMP certification. GlandPharma, an Indian pharmaceutical member, has three dosage production sites and multiple sterile production lines that have passed pharmaceutical GMP audits and certifications in the US, Europe, Japan, Australia, and Brazil.</v>
      </c>
      <c r="B5967" s="1" t="str">
        <f ca="1">IFERROR(__xludf.DUMMYFUNCTION("GOOGLETRANSLATE(A5967, ""zh"", ""en"")"),"Sustainable certification")</f>
        <v>Sustainable certification</v>
      </c>
      <c r="C5967" s="1" t="str">
        <f ca="1">IFERROR(__xludf.DUMMYFUNCTION("GOOGLETRANSLATE(E5967, ""zh"", ""en"")"),"Quantitative Text")</f>
        <v>Quantitative Text</v>
      </c>
    </row>
    <row r="5968" spans="1:3" ht="13" x14ac:dyDescent="0.15">
      <c r="A5968" s="1" t="str">
        <f ca="1">IFERROR(__xludf.DUMMYFUNCTION("GOOGLETRANSLATE(A5968, ""zh"", ""en"")"),"Building a corporate culture of trustworthiness, commitment, and compliance with the law. Key Compliance Management Initiatives of Sinopec in 2022 202020202130202153.76202233202035.84202259.13 Number of compliance trainings (10,000 times) Employee coverag"&amp;"e of compliance training Sinopec Corporation Sinopec Corporation 1920 Corporate Governance Build a strong safety line Address climate change Respect human rights and talent cultivation Environmental protection Fulfill social responsibilities Employee Code"&amp;" of Conduct Business ethics and anti-corruption management Anti-corruption organizational system The Employee Code is a company employee code of conduct formulated in accordance with the law and applies to all Sinopec employees.")</f>
        <v>Building a corporate culture of trustworthiness, commitment, and compliance with the law. Key Compliance Management Initiatives of Sinopec in 2022 202020202130202153.76202233202035.84202259.13 Number of compliance trainings (10,000 times) Employee coverage of compliance training Sinopec Corporation Sinopec Corporation 1920 Corporate Governance Build a strong safety line Address climate change Respect human rights and talent cultivation Environmental protection Fulfill social responsibilities Employee Code of Conduct Business ethics and anti-corruption management Anti-corruption organizational system The Employee Code is a company employee code of conduct formulated in accordance with the law and applies to all Sinopec employees.</v>
      </c>
      <c r="B5968" s="1" t="str">
        <f ca="1">IFERROR(__xludf.DUMMYFUNCTION("GOOGLETRANSLATE(A5968, ""zh"", ""en"")"),"Legal proceedings and external sanctions")</f>
        <v>Legal proceedings and external sanctions</v>
      </c>
      <c r="C5968" s="1" t="str">
        <f ca="1">IFERROR(__xludf.DUMMYFUNCTION("GOOGLETRANSLATE(E5968, ""zh"", ""en"")"),"Qualitative text")</f>
        <v>Qualitative text</v>
      </c>
    </row>
    <row r="5969" spans="1:3" ht="13" x14ac:dyDescent="0.15">
      <c r="A5969" s="1" t="str">
        <f ca="1">IFERROR(__xludf.DUMMYFUNCTION("GOOGLETRANSLATE(A5969, ""zh"", ""en"")"),"R&amp;D investment includes capitalized expenditures. R&amp;D expenses (unit: 100 million yuan) (unit: 100 million yuan) 58.8549.7843.02 Note: During the reporting period, the financial statements of the joint ventures under the control of the enterprises in this"&amp;" period were broken down in accordance with accounting standards. Fosun Pharma Group continues to focus on innovation and internationalization to enhance FIC, First-in-class (i.e., first-in-class) and BIC, and to increase R&amp;D investment and scientific res"&amp;"earch personnel introduction through independent R&amp;D, R&amp;D cooperation, development licensing, and other diversified clinical development capabilities to accelerate the R&amp;D of innovative technologies and products and the transformation and implementation o"&amp;"f a semi-rich innovative product pipeline through a multi-level cooperation model.")</f>
        <v>R&amp;D investment includes capitalized expenditures. R&amp;D expenses (unit: 100 million yuan) (unit: 100 million yuan) 58.8549.7843.02 Note: During the reporting period, the financial statements of the joint ventures under the control of the enterprises in this period were broken down in accordance with accounting standards. Fosun Pharma Group continues to focus on innovation and internationalization to enhance FIC, First-in-class (i.e., first-in-class) and BIC, and to increase R&amp;D investment and scientific research personnel introduction through independent R&amp;D, R&amp;D cooperation, development licensing, and other diversified clinical development capabilities to accelerate the R&amp;D of innovative technologies and products and the transformation and implementation of a semi-rich innovative product pipeline through a multi-level cooperation model.</v>
      </c>
      <c r="B5969" s="1" t="str">
        <f ca="1">IFERROR(__xludf.DUMMYFUNCTION("GOOGLETRANSLATE(A5969, ""zh"", ""en"")"),"Technological innovation")</f>
        <v>Technological innovation</v>
      </c>
      <c r="C5969" s="1" t="str">
        <f ca="1">IFERROR(__xludf.DUMMYFUNCTION("GOOGLETRANSLATE(E5969, ""zh"", ""en"")"),"Quantitative Text")</f>
        <v>Quantitative Text</v>
      </c>
    </row>
    <row r="5970" spans="1:3" ht="13" x14ac:dyDescent="0.15">
      <c r="A5970" s="1" t="str">
        <f ca="1">IFERROR(__xludf.DUMMYFUNCTION("GOOGLETRANSLATE(A5970, ""zh"", ""en"")"),"Determination of material issues: Basis for determining material issues; Material issues determination process; Discussion and review of important ESG issues by the company's board of directors and management; Recognition of the importance of ESG-related "&amp;"issues by various management departments; Internal company dimension; External ESG-related policy requirements and trend assessment; Attention and feedback from stakeholders such as investors, clients, professional institutions and the media on the compan"&amp;"y's ESG-related matters; Stakeholder dimension; Company reference; Regulatory requirements of the listing location and policies of the business location; Rating feedback from international rating agencies; International initiatives and standards; Media co"&amp;"verage; Benchmarking analysis of peers and opinions from stakeholders such as the government, investors, employees and clients; Collection of key environmental, social and governance-related issues in conjunction with the company's development strategy pl"&amp;"an.")</f>
        <v>Determination of material issues: Basis for determining material issues; Material issues determination process; Discussion and review of important ESG issues by the company's board of directors and management; Recognition of the importance of ESG-related issues by various management departments; Internal company dimension; External ESG-related policy requirements and trend assessment; Attention and feedback from stakeholders such as investors, clients, professional institutions and the media on the company's ESG-related matters; Stakeholder dimension; Company reference; Regulatory requirements of the listing location and policies of the business location; Rating feedback from international rating agencies; International initiatives and standards; Media coverage; Benchmarking analysis of peers and opinions from stakeholders such as the government, investors, employees and clients; Collection of key environmental, social and governance-related issues in conjunction with the company's development strategy plan.</v>
      </c>
      <c r="B5970" s="1" t="str">
        <f ca="1">IFERROR(__xludf.DUMMYFUNCTION("GOOGLETRANSLATE(A5970, ""zh"", ""en"")"),"Organizational structure and operations")</f>
        <v>Organizational structure and operations</v>
      </c>
      <c r="C5970" s="1" t="str">
        <f ca="1">IFERROR(__xludf.DUMMYFUNCTION("GOOGLETRANSLATE(E5970, ""zh"", ""en"")"),"Qualitative text")</f>
        <v>Qualitative text</v>
      </c>
    </row>
    <row r="5971" spans="1:3" ht="13" x14ac:dyDescent="0.15">
      <c r="A5971" s="1" t="str">
        <f ca="1">IFERROR(__xludf.DUMMYFUNCTION("GOOGLETRANSLATE(A5971, ""zh"", ""en"")"),"We have carried out the ""Do Practical Things for the People"" campaign in a solid manner, secured 161 items for practical work, and provided group critical illness insurance for more than 10,000 employees. We have also issued various types of teaching gr"&amp;"ants, student aid, and mutual aid funds, allocating nearly 300.752 million yuan for special disease physical examinations. Shenma Shi's 2021 Social Responsibility Report also included cases of jointly building a better home. New Year's greetings were exte"&amp;"nded with warmth, care, and blessings. On the eve of the Spring Festival, Mai Zhiyong, Party Secretary of Shenma Dizi Cloth Curtain Fabric Development Company, General Manager Jian Xiao, General Manager of Nylon New Materials Company, Lv Zhongxin, Deputy "&amp;"General Managers Deng Shujun, Gao Heqi, and Hou Xiangyang visited and expressed their condolences to retired company leaders, retired model workers, Party members, and employees of the company, presenting them with condolence money and gifts and extending"&amp;" their sincere New Year's greetings.")</f>
        <v>We have carried out the "Do Practical Things for the People" campaign in a solid manner, secured 161 items for practical work, and provided group critical illness insurance for more than 10,000 employees. We have also issued various types of teaching grants, student aid, and mutual aid funds, allocating nearly 300.752 million yuan for special disease physical examinations. Shenma Shi's 2021 Social Responsibility Report also included cases of jointly building a better home. New Year's greetings were extended with warmth, care, and blessings. On the eve of the Spring Festival, Mai Zhiyong, Party Secretary of Shenma Dizi Cloth Curtain Fabric Development Company, General Manager Jian Xiao, General Manager of Nylon New Materials Company, Lv Zhongxin, Deputy General Managers Deng Shujun, Gao Heqi, and Hou Xiangyang visited and expressed their condolences to retired company leaders, retired model workers, Party members, and employees of the company, presenting them with condolence money and gifts and extending their sincere New Year's greetings.</v>
      </c>
      <c r="B5971" s="1" t="str">
        <f ca="1">IFERROR(__xludf.DUMMYFUNCTION("GOOGLETRANSLATE(A5971, ""zh"", ""en"")"),"Public welfare and volunteer service")</f>
        <v>Public welfare and volunteer service</v>
      </c>
      <c r="C5971" s="1" t="str">
        <f ca="1">IFERROR(__xludf.DUMMYFUNCTION("GOOGLETRANSLATE(E5971, ""zh"", ""en"")"),"Quantitative Text")</f>
        <v>Quantitative Text</v>
      </c>
    </row>
    <row r="5972" spans="1:3" ht="13" x14ac:dyDescent="0.15">
      <c r="A5972" s="1" t="str">
        <f ca="1">IFERROR(__xludf.DUMMYFUNCTION("GOOGLETRANSLATE(A5972, ""zh"", ""en"")"),"Under the guidance of the quality policy of establishing quality authority, strengthening quality awareness, improving quality capabilities, adhering to the bottom line of quality, pursuing excellent management and creating perfect products, the company h"&amp;"as established and continuously improved the quality responsibility system management method, quality incentive management method and other systems through the formulation of quality manuals, clearly stipulates that the comprehensive quality cost is conti"&amp;"nuously reduced, and the quality responsibilities that employees at all levels of departments should bear are established. Measurable quality goals are established, and a quality indicator system is deployed and decomposed to achieve indicators. The level"&amp;" of user satisfaction is continuously improved. The quality is decomposed layer by layer, and the quality leader project is implemented. The quality responsibility system is strictly implemented, and the relationship between quality responsibilities and r"&amp;"ights is clarified. The responsibility for quality sources is implemented to ensure the bottom line of quality, first R&amp;D delivery, second material delivery, and first")</f>
        <v>Under the guidance of the quality policy of establishing quality authority, strengthening quality awareness, improving quality capabilities, adhering to the bottom line of quality, pursuing excellent management and creating perfect products, the company has established and continuously improved the quality responsibility system management method, quality incentive management method and other systems through the formulation of quality manuals, clearly stipulates that the comprehensive quality cost is continuously reduced, and the quality responsibilities that employees at all levels of departments should bear are established. Measurable quality goals are established, and a quality indicator system is deployed and decomposed to achieve indicators. The level of user satisfaction is continuously improved. The quality is decomposed layer by layer, and the quality leader project is implemented. The quality responsibility system is strictly implemented, and the relationship between quality responsibilities and rights is clarified. The responsibility for quality sources is implemented to ensure the bottom line of quality, first R&amp;D delivery, second material delivery, and first</v>
      </c>
      <c r="B5972" s="1" t="str">
        <f ca="1">IFERROR(__xludf.DUMMYFUNCTION("GOOGLETRANSLATE(A5972, ""zh"", ""en"")"),"Product quality")</f>
        <v>Product quality</v>
      </c>
      <c r="C5972" s="1" t="str">
        <f ca="1">IFERROR(__xludf.DUMMYFUNCTION("GOOGLETRANSLATE(E5972, ""zh"", ""en"")"),"Qualitative text")</f>
        <v>Qualitative text</v>
      </c>
    </row>
    <row r="5973" spans="1:3" ht="13" x14ac:dyDescent="0.15">
      <c r="A5973" s="1" t="str">
        <f ca="1">IFERROR(__xludf.DUMMYFUNCTION("GOOGLETRANSLATE(A5973, ""zh"", ""en"")"),"Huang Jianrong, Chairman of Tibet Mount Everest Resources Co., Ltd., will continue to implement the concept of sustainable development, enhance the company's management level, and actively strengthen cooperation from all sectors of society to make greater"&amp;" contributions to global economic growth, sustainable development goals, and the well-being of people of all countries. About Tibet Mount Everest: Corporate Governance, Environment, and Industry: Building an Employee Community. 5. About Tibet Mount Everes"&amp;"t: Company Introduction 06: Global Layout of One Body and Two Domains 07: Tibet Mount Everest's Path to Sustainable Development 08: Sustainable Development Practices 09: External Honors 106: 2022 Tibet Mount Everest Sustainability Report Tibet Mount Evere"&amp;"st Resources Co., Ltd. is registered in Lhasa, Tibet Autonomous Region, and its Urban Management Headquarters is located in Jing'an District, Shanghai.")</f>
        <v>Huang Jianrong, Chairman of Tibet Mount Everest Resources Co., Ltd., will continue to implement the concept of sustainable development, enhance the company's management level, and actively strengthen cooperation from all sectors of society to make greater contributions to global economic growth, sustainable development goals, and the well-being of people of all countries. About Tibet Mount Everest: Corporate Governance, Environment, and Industry: Building an Employee Community. 5. About Tibet Mount Everest: Company Introduction 06: Global Layout of One Body and Two Domains 07: Tibet Mount Everest's Path to Sustainable Development 08: Sustainable Development Practices 09: External Honors 106: 2022 Tibet Mount Everest Sustainability Report Tibet Mount Everest Resources Co., Ltd. is registered in Lhasa, Tibet Autonomous Region, and its Urban Management Headquarters is located in Jing'an District, Shanghai.</v>
      </c>
      <c r="B5973" s="1" t="str">
        <f ca="1">IFERROR(__xludf.DUMMYFUNCTION("GOOGLETRANSLATE(A5973, ""zh"", ""en"")"),"Organizational structure and operations")</f>
        <v>Organizational structure and operations</v>
      </c>
      <c r="C5973" s="1" t="str">
        <f ca="1">IFERROR(__xludf.DUMMYFUNCTION("GOOGLETRANSLATE(E5973, ""zh"", ""en"")"),"Qualitative text")</f>
        <v>Qualitative text</v>
      </c>
    </row>
    <row r="5974" spans="1:3" ht="13" x14ac:dyDescent="0.15">
      <c r="A5974" s="1" t="str">
        <f ca="1">IFERROR(__xludf.DUMMYFUNCTION("GOOGLETRANSLATE(A5974, ""zh"", ""en"")"),"Occupational health status of each sector of Fosun Pharma Group Sector Number of people exposed to occupational hazards Occupational hazard factors Occupational health examination exposure ratio Completion rate Major occupational hazard factors Pharmaceut"&amp;"ical manufacturing and R&amp;D 417619.99100.00 Chemicals Dust Noise Ionization Temperature Ionizing Radiation Medical Health Services 3484.3100.00 Electroluminescent Radiation Medical Devices and Medical Diagnosis 1317.90100.00 Chemicals Dust Noise High Tempe"&amp;"rature Ionizing Radiation Direct Liquid Infection 465515.27 Cases Focus on the intrinsic safety of equipment and the overall upgrade of mechanical protection Yaoyou Pharmaceutical adheres to the practice of the concept of EHS from design. The single-point"&amp;" protection design still has room for improvement in ink coverage.")</f>
        <v>Occupational health status of each sector of Fosun Pharma Group Sector Number of people exposed to occupational hazards Occupational hazard factors Occupational health examination exposure ratio Completion rate Major occupational hazard factors Pharmaceutical manufacturing and R&amp;D 417619.99100.00 Chemicals Dust Noise Ionization Temperature Ionizing Radiation Medical Health Services 3484.3100.00 Electroluminescent Radiation Medical Devices and Medical Diagnosis 1317.90100.00 Chemicals Dust Noise High Temperature Ionizing Radiation Direct Liquid Infection 465515.27 Cases Focus on the intrinsic safety of equipment and the overall upgrade of mechanical protection Yaoyou Pharmaceutical adheres to the practice of the concept of EHS from design. The single-point protection design still has room for improvement in ink coverage.</v>
      </c>
      <c r="B5974" s="1" t="str">
        <f ca="1">IFERROR(__xludf.DUMMYFUNCTION("GOOGLETRANSLATE(A5974, ""zh"", ""en"")"),"staff")</f>
        <v>staff</v>
      </c>
      <c r="C5974" s="1" t="str">
        <f ca="1">IFERROR(__xludf.DUMMYFUNCTION("GOOGLETRANSLATE(E5974, ""zh"", ""en"")"),"Quantitative Text")</f>
        <v>Quantitative Text</v>
      </c>
    </row>
    <row r="5975" spans="1:3" ht="13" x14ac:dyDescent="0.15">
      <c r="A5975" s="1" t="str">
        <f ca="1">IFERROR(__xludf.DUMMYFUNCTION("GOOGLETRANSLATE(A5975, ""zh"", ""en"")"),"Case Study: Conducting annual supplier inspections, sourcing, CDE website query, registration number, access, cooperation evaluation, participating in exhibitions, understanding suppliers, signing contracts, communicating, arriving goods, mailing samples,"&amp;" testing, qualified or unqualified, qualified or unqualified, qualification review, on-site audit, on-time arrival rate, material qualification rate, on-site audit form, proposing rectification suggestions, improving rectification progress, small-scale tr"&amp;"ial, warehousing, payment elimination, verification and entry, qualified suppliers, returns and exchanges, rectification, unrectified qualified suppliers, elimination 5152, win-win cooperation. The company adheres to the concept of win-win cooperation and"&amp;" common progress, establishes a mutually cooperative relationship with suppliers, helps suppliers establish and improve production quality and other management systems, and also cooperates with suppliers to conduct drug consistency-related reviews to help"&amp;" suppliers improve product competitiveness.")</f>
        <v>Case Study: Conducting annual supplier inspections, sourcing, CDE website query, registration number, access, cooperation evaluation, participating in exhibitions, understanding suppliers, signing contracts, communicating, arriving goods, mailing samples, testing, qualified or unqualified, qualified or unqualified, qualification review, on-site audit, on-time arrival rate, material qualification rate, on-site audit form, proposing rectification suggestions, improving rectification progress, small-scale trial, warehousing, payment elimination, verification and entry, qualified suppliers, returns and exchanges, rectification, unrectified qualified suppliers, elimination 5152, win-win cooperation. The company adheres to the concept of win-win cooperation and common progress, establishes a mutually cooperative relationship with suppliers, helps suppliers establish and improve production quality and other management systems, and also cooperates with suppliers to conduct drug consistency-related reviews to help suppliers improve product competitiveness.</v>
      </c>
      <c r="B5975" s="1" t="str">
        <f ca="1">IFERROR(__xludf.DUMMYFUNCTION("GOOGLETRANSLATE(A5975, ""zh"", ""en"")"),"supply chain management")</f>
        <v>supply chain management</v>
      </c>
      <c r="C5975" s="1" t="str">
        <f ca="1">IFERROR(__xludf.DUMMYFUNCTION("GOOGLETRANSLATE(E5975, ""zh"", ""en"")"),"Qualitative text")</f>
        <v>Qualitative text</v>
      </c>
    </row>
    <row r="5976" spans="1:3" ht="13" x14ac:dyDescent="0.15">
      <c r="A5976" s="1" t="str">
        <f ca="1">IFERROR(__xludf.DUMMYFUNCTION("GOOGLETRANSLATE(A5976, ""zh"", ""en"")"),"China Storage Freight Yard HB Shanghai Warehouse China Storage Freight Yard Rail Malaysia Freight Yard China Storage and Transportation Singapore Warehouse International Warehouse 38 International Total Warehouse Lease Area Approximately 390,000m2 Warehou"&amp;"se Area 1,800,000m2 346 Fixed Lifting Equipment Spot Market Area 560,000m2 406 Forklifts 40 Dedicated Railway Lines 260 Transport Vehicles Freight Yard Area 1,590,000m2 29 Mobile Lifting Equipment 1920 China Storage Development Co., Ltd. 2022 Annual Socia"&amp;"l Responsibility and ESG Report In 2022, the company's R&amp;D investment totaled RMB 71.2427 million. The company has 344 R&amp;D personnel, accounting for 6.9% of the company's total number of employees.")</f>
        <v>China Storage Freight Yard HB Shanghai Warehouse China Storage Freight Yard Rail Malaysia Freight Yard China Storage and Transportation Singapore Warehouse International Warehouse 38 International Total Warehouse Lease Area Approximately 390,000m2 Warehouse Area 1,800,000m2 346 Fixed Lifting Equipment Spot Market Area 560,000m2 406 Forklifts 40 Dedicated Railway Lines 260 Transport Vehicles Freight Yard Area 1,590,000m2 29 Mobile Lifting Equipment 1920 China Storage Development Co., Ltd. 2022 Annual Social Responsibility and ESG Report In 2022, the company's R&amp;D investment totaled RMB 71.2427 million. The company has 344 R&amp;D personnel, accounting for 6.9% of the company's total number of employees.</v>
      </c>
      <c r="B5976" s="1" t="str">
        <f ca="1">IFERROR(__xludf.DUMMYFUNCTION("GOOGLETRANSLATE(A5976, ""zh"", ""en"")"),"Technological innovation")</f>
        <v>Technological innovation</v>
      </c>
      <c r="C5976" s="1" t="str">
        <f ca="1">IFERROR(__xludf.DUMMYFUNCTION("GOOGLETRANSLATE(E5976, ""zh"", ""en"")"),"Quantitative Text")</f>
        <v>Quantitative Text</v>
      </c>
    </row>
    <row r="5977" spans="1:3" ht="13" x14ac:dyDescent="0.15">
      <c r="A5977" s="1" t="str">
        <f ca="1">IFERROR(__xludf.DUMMYFUNCTION("GOOGLETRANSLATE(A5977, ""zh"", ""en"")"),"Table 2022 Wastewater and Major Pollutant Emissions of Kangyuan Pharmaceutical Indicator Unit Total API Preparations Wastewater Discharge Tons 10156979.5953534.411110513.9 Chemical Oxygen Demand Tons 1011.917.51029.4 Ammonia Nitrogen Tons 100.40.7101.1772"&amp;"022 Social Responsibility Report 8.3.4 Noise Management Kangyuan Pharmaceutical complies with the Environmental Noise Pollution Prevention and Control Law of the People's Republic of China, the Environmental Noise Emission Standards for Industrial Enterpr"&amp;"ises, and other laws and regulations. It equips each production subsidiary with a noise detector and conducts monthly noise testing at the factory boundary to ensure that the noise during the day and at night is lower than the upper limit of the national "&amp;"emission standards.")</f>
        <v>Table 2022 Wastewater and Major Pollutant Emissions of Kangyuan Pharmaceutical Indicator Unit Total API Preparations Wastewater Discharge Tons 10156979.5953534.411110513.9 Chemical Oxygen Demand Tons 1011.917.51029.4 Ammonia Nitrogen Tons 100.40.7101.1772022 Social Responsibility Report 8.3.4 Noise Management Kangyuan Pharmaceutical complies with the Environmental Noise Pollution Prevention and Control Law of the People's Republic of China, the Environmental Noise Emission Standards for Industrial Enterprises, and other laws and regulations. It equips each production subsidiary with a noise detector and conducts monthly noise testing at the factory boundary to ensure that the noise during the day and at night is lower than the upper limit of the national emission standards.</v>
      </c>
      <c r="B5977" s="1" t="str">
        <f ca="1">IFERROR(__xludf.DUMMYFUNCTION("GOOGLETRANSLATE(A5977, ""zh"", ""en"")"),"Waste Management")</f>
        <v>Waste Management</v>
      </c>
      <c r="C5977" s="1" t="str">
        <f ca="1">IFERROR(__xludf.DUMMYFUNCTION("GOOGLETRANSLATE(E5977, ""zh"", ""en"")"),"Quantitative Text")</f>
        <v>Quantitative Text</v>
      </c>
    </row>
    <row r="5978" spans="1:3" ht="13" x14ac:dyDescent="0.15">
      <c r="A5978" s="1" t="str">
        <f ca="1">IFERROR(__xludf.DUMMYFUNCTION("GOOGLETRANSLATE(A5978, ""zh"", ""en"")"),"Joincare Group's global registration and certification status: As of the end of the reporting period, the Group's international certifications include 34 active pharmaceutical ingredients registered in 64 countries and regions, 22 formulations registered "&amp;"in 20 countries and regions, and 23 in vitro diagnostic reagents registered in 40 countries and regions. Furthermore, as of the end of the reporting period, the Group's and its subsidiaries' production lines and related products all complied with GMP stan"&amp;"dards. The Group's headquarters and several of its manufacturing subsidiaries have passed quality management system certification.")</f>
        <v>Joincare Group's global registration and certification status: As of the end of the reporting period, the Group's international certifications include 34 active pharmaceutical ingredients registered in 64 countries and regions, 22 formulations registered in 20 countries and regions, and 23 in vitro diagnostic reagents registered in 40 countries and regions. Furthermore, as of the end of the reporting period, the Group's and its subsidiaries' production lines and related products all complied with GMP standards. The Group's headquarters and several of its manufacturing subsidiaries have passed quality management system certification.</v>
      </c>
      <c r="B5978" s="1" t="str">
        <f ca="1">IFERROR(__xludf.DUMMYFUNCTION("GOOGLETRANSLATE(A5978, ""zh"", ""en"")"),"Product quality")</f>
        <v>Product quality</v>
      </c>
      <c r="C5978" s="1" t="str">
        <f ca="1">IFERROR(__xludf.DUMMYFUNCTION("GOOGLETRANSLATE(E5978, ""zh"", ""en"")"),"Quantitative Text")</f>
        <v>Quantitative Text</v>
      </c>
    </row>
    <row r="5979" spans="1:3" ht="13" x14ac:dyDescent="0.15">
      <c r="A5979" s="1" t="str">
        <f ca="1">IFERROR(__xludf.DUMMYFUNCTION("GOOGLETRANSLATE(A5979, ""zh"", ""en"")"),"Case Study: Essence Securities Paired Assistance Program for Lvchun County, Yunnan Province. Essence Securities actively responded to General Secretary Xi Jinping's historic mission of completing poverty alleviation and building a moderately prosperous so"&amp;"ciety in all respects, and achieving the important program of the first centenary goal. In 2022, Essence Securities paired up with Lvchun County, Yunnan Province, and carried out a number of charitable and public welfare projects, including the constructi"&amp;"on of the Potou Primary School cafeteria, the wall painting of the No. 2 Bridge Primary School teaching building, the integrated kindergarten campus in Sanba Street Central Village, the upgrading of the Lvchun County Smart Museum, the renovation of public"&amp;" toilets in Daheishan Town, and the Anxin Scholarship, Anxin Scholarship for Orphans and Disabled Children, and the Warm Winter Plan. In 2022, a total of RMB 1.506 million was spent on these projects, improving educational infrastructure and supporting lo"&amp;"cal families in need and orphans and disabled children through concrete actions.")</f>
        <v>Case Study: Essence Securities Paired Assistance Program for Lvchun County, Yunnan Province. Essence Securities actively responded to General Secretary Xi Jinping's historic mission of completing poverty alleviation and building a moderately prosperous society in all respects, and achieving the important program of the first centenary goal. In 2022, Essence Securities paired up with Lvchun County, Yunnan Province, and carried out a number of charitable and public welfare projects, including the construction of the Potou Primary School cafeteria, the wall painting of the No. 2 Bridge Primary School teaching building, the integrated kindergarten campus in Sanba Street Central Village, the upgrading of the Lvchun County Smart Museum, the renovation of public toilets in Daheishan Town, and the Anxin Scholarship, Anxin Scholarship for Orphans and Disabled Children, and the Warm Winter Plan. In 2022, a total of RMB 1.506 million was spent on these projects, improving educational infrastructure and supporting local families in need and orphans and disabled children through concrete actions.</v>
      </c>
      <c r="B5979" s="1" t="str">
        <f ca="1">IFERROR(__xludf.DUMMYFUNCTION("GOOGLETRANSLATE(A5979, ""zh"", ""en"")"),"Public welfare and volunteer service")</f>
        <v>Public welfare and volunteer service</v>
      </c>
      <c r="C5979" s="1" t="str">
        <f ca="1">IFERROR(__xludf.DUMMYFUNCTION("GOOGLETRANSLATE(E5979, ""zh"", ""en"")"),"Quantitative Text")</f>
        <v>Quantitative Text</v>
      </c>
    </row>
    <row r="5980" spans="1:3" ht="13" x14ac:dyDescent="0.15">
      <c r="A5980" s="1" t="str">
        <f ca="1">IFERROR(__xludf.DUMMYFUNCTION("GOOGLETRANSLATE(A5980, ""zh"", ""en"")"),"The company has successively built national research and practice education bases for primary and secondary school students, provincial-level Changle Forest Park, national forest economy demonstration bases for Dendrobium officinale, and provincial-level "&amp;"state-owned forest farms, which bring nearly 400,000 visitors to the local area each year, more than 100 jobs, and nearly 300 temporary employment opportunities. The Changle Company, a futures company, held a claim settlement meeting for the Longquan pig "&amp;"insurance futures project. The ""New World in the Mountains Forest Classroom"" submitted by the Changle Company won the second place in the Provincial Forestry Bureau's Top Ten Typical Cases for Promoting Common Prosperity. It purchases more than 2 millio"&amp;"n yuan worth of local specialty products such as vegetables, poultry, eggs, and spring bamboo shoots from surrounding farmers each year, driving the continuous development of surrounding rural homestays, restaurants, and other industries, and increasing t"&amp;"he income of local businesses and villagers by nearly 10 million yuan each year.")</f>
        <v>The company has successively built national research and practice education bases for primary and secondary school students, provincial-level Changle Forest Park, national forest economy demonstration bases for Dendrobium officinale, and provincial-level state-owned forest farms, which bring nearly 400,000 visitors to the local area each year, more than 100 jobs, and nearly 300 temporary employment opportunities. The Changle Company, a futures company, held a claim settlement meeting for the Longquan pig insurance futures project. The "New World in the Mountains Forest Classroom" submitted by the Changle Company won the second place in the Provincial Forestry Bureau's Top Ten Typical Cases for Promoting Common Prosperity. It purchases more than 2 million yuan worth of local specialty products such as vegetables, poultry, eggs, and spring bamboo shoots from surrounding farmers each year, driving the continuous development of surrounding rural homestays, restaurants, and other industries, and increasing the income of local businesses and villagers by nearly 10 million yuan each year.</v>
      </c>
      <c r="B5980" s="1" t="str">
        <f ca="1">IFERROR(__xludf.DUMMYFUNCTION("GOOGLETRANSLATE(A5980, ""zh"", ""en"")"),"Promoting employment")</f>
        <v>Promoting employment</v>
      </c>
      <c r="C5980" s="1" t="str">
        <f ca="1">IFERROR(__xludf.DUMMYFUNCTION("GOOGLETRANSLATE(E5980, ""zh"", ""en"")"),"Quantitative Text")</f>
        <v>Quantitative Text</v>
      </c>
    </row>
    <row r="5981" spans="1:3" ht="13" x14ac:dyDescent="0.15">
      <c r="A5981" s="1" t="str">
        <f ca="1">IFERROR(__xludf.DUMMYFUNCTION("GOOGLETRANSLATE(A5981, ""zh"", ""en"")"),"Packaging material management The packaging material consumption of Shanghai Electric in 2022 is as follows: Packaging material consumption (5 units per ton) 2021 2022 Wood 141446.45118880.04 Iron bracket 1240.751483.13 Iron box 26.8234.38 Cardboard box 9"&amp;"972.168631.68 Plastic 1023.07821.96 Others 5131.526491.856 In 2022, with the successive convening of the 20th G20 Summit, the 27th United Nations Climate Change Conference and the 15th Conference of the Parties to the United Nations Convention on Biologic"&amp;"al Diversity, biodiversity has become a major international and domestic environmental issue.")</f>
        <v>Packaging material management The packaging material consumption of Shanghai Electric in 2022 is as follows: Packaging material consumption (5 units per ton) 2021 2022 Wood 141446.45118880.04 Iron bracket 1240.751483.13 Iron box 26.8234.38 Cardboard box 9972.168631.68 Plastic 1023.07821.96 Others 5131.526491.856 In 2022, with the successive convening of the 20th G20 Summit, the 27th United Nations Climate Change Conference and the 15th Conference of the Parties to the United Nations Convention on Biological Diversity, biodiversity has become a major international and domestic environmental issue.</v>
      </c>
      <c r="B5981" s="1" t="str">
        <f ca="1">IFERROR(__xludf.DUMMYFUNCTION("GOOGLETRANSLATE(A5981, ""zh"", ""en"")"),"biodiversity")</f>
        <v>biodiversity</v>
      </c>
      <c r="C5981" s="1" t="str">
        <f ca="1">IFERROR(__xludf.DUMMYFUNCTION("GOOGLETRANSLATE(E5981, ""zh"", ""en"")"),"Quantitative Text")</f>
        <v>Quantitative Text</v>
      </c>
    </row>
    <row r="5982" spans="1:3" ht="13" x14ac:dyDescent="0.15">
      <c r="A5982" s="1" t="str">
        <f ca="1">IFERROR(__xludf.DUMMYFUNCTION("GOOGLETRANSLATE(A5982, ""zh"", ""en"")"),"China 185644 West Asia 40 South America 20 Australia 331 East Asia (excluding China) 471 South Asia 2927 North America 54513 Southeast Asia 55413 Europe 8832167660203040506 Protecting the Planet Exploring a Green and Low-Carbon Future Promoting Diversifie"&amp;"d and Inclusive Development Responsible Procurement Building a Sustainable Supply Chain Intelligent Experience Leading a Better Life Uniting Hearts and Minds Promoting Equitable Development 01 Global Collaboration Sustainable Governance Ecosystem Haier Sm"&amp;"art Home Co., Ltd. Environmental, Social and Governance Report 2019-2022 Number of Supplier Risk Ratings We guide suppliers to adopt a five-step approach of inspection, root cause analysis, improvement, prevention and assessment to identify issues and dev"&amp;"elop targeted improvement measures.")</f>
        <v>China 185644 West Asia 40 South America 20 Australia 331 East Asia (excluding China) 471 South Asia 2927 North America 54513 Southeast Asia 55413 Europe 8832167660203040506 Protecting the Planet Exploring a Green and Low-Carbon Future Promoting Diversified and Inclusive Development Responsible Procurement Building a Sustainable Supply Chain Intelligent Experience Leading a Better Life Uniting Hearts and Minds Promoting Equitable Development 01 Global Collaboration Sustainable Governance Ecosystem Haier Smart Home Co., Ltd. Environmental, Social and Governance Report 2019-2022 Number of Supplier Risk Ratings We guide suppliers to adopt a five-step approach of inspection, root cause analysis, improvement, prevention and assessment to identify issues and develop targeted improvement measures.</v>
      </c>
      <c r="B5982" s="1" t="str">
        <f ca="1">IFERROR(__xludf.DUMMYFUNCTION("GOOGLETRANSLATE(A5982, ""zh"", ""en"")"),"supply chain management")</f>
        <v>supply chain management</v>
      </c>
      <c r="C5982" s="1" t="str">
        <f ca="1">IFERROR(__xludf.DUMMYFUNCTION("GOOGLETRANSLATE(E5982, ""zh"", ""en"")"),"Qualitative text")</f>
        <v>Qualitative text</v>
      </c>
    </row>
    <row r="5983" spans="1:3" ht="13" x14ac:dyDescent="0.15">
      <c r="A5983" s="1" t="str">
        <f ca="1">IFERROR(__xludf.DUMMYFUNCTION("GOOGLETRANSLATE(A5983, ""zh"", ""en"")"),"Quality Supervision Indicators: The Group strictly implements the authenticity and reliability of drug quality supervision and management, thereby focusing on key quality and continuously improving the quality supervision indicators of pharmaceutical memb"&amp;"er companies. Indicators are timely improved to promote corporate quality activities, such as strengthening the control of deviations and corporate quality management models. The Group has improved the progress of handling quality incidents such as OOS qu"&amp;"ality complaints in 2022. The Group has improved the quality supervision indicator reporting system to clarify the internal enterprise gaps, helping enterprises to effectively integrate and visualize the reporting platform to improve the reporting data. B"&amp;"y developing a digital indicator reporting system, it has helped enterprises achieve high-quality development.")</f>
        <v>Quality Supervision Indicators: The Group strictly implements the authenticity and reliability of drug quality supervision and management, thereby focusing on key quality and continuously improving the quality supervision indicators of pharmaceutical member companies. Indicators are timely improved to promote corporate quality activities, such as strengthening the control of deviations and corporate quality management models. The Group has improved the progress of handling quality incidents such as OOS quality complaints in 2022. The Group has improved the quality supervision indicator reporting system to clarify the internal enterprise gaps, helping enterprises to effectively integrate and visualize the reporting platform to improve the reporting data. By developing a digital indicator reporting system, it has helped enterprises achieve high-quality development.</v>
      </c>
      <c r="B5983" s="1" t="str">
        <f ca="1">IFERROR(__xludf.DUMMYFUNCTION("GOOGLETRANSLATE(A5983, ""zh"", ""en"")"),"Product quality")</f>
        <v>Product quality</v>
      </c>
      <c r="C5983" s="1" t="str">
        <f ca="1">IFERROR(__xludf.DUMMYFUNCTION("GOOGLETRANSLATE(E5983, ""zh"", ""en"")"),"Qualitative text")</f>
        <v>Qualitative text</v>
      </c>
    </row>
    <row r="5984" spans="1:3" ht="13" x14ac:dyDescent="0.15">
      <c r="A5984" s="1" t="str">
        <f ca="1">IFERROR(__xludf.DUMMYFUNCTION("GOOGLETRANSLATE(A5984, ""zh"", ""en"")"),"QHSE Policies and Commitments HSE Management Manual Quality Management Manual QHSE Management Procedures QHSE Management Requirements Applicable only in China QHSE Management System for each division Geophysical Exploration Division QHSE Management System"&amp;" for Drilling Division Comprehensive Management System for each branch Tianjin Branch Asia Pacific Company Saudi Branch Global Regional Company Product and Service Country Company Domestic System Structure Overseas System Structure Middle East Company Ira"&amp;"q Branch Procedure Documents Drilling Oil and Chemical Oil Production Shore-based Transportation Catering Product Service Line Oil Technology Ship Geophysical Exploration Procedure Documents QHSE Management System Structure Diagram Reputation First Equipm"&amp;"ent Completeness Quality Assurance Safety First Prevention First Comprehensive Management Environmental Protection Energy Saving and Efficiency Improvement Green Development")</f>
        <v>QHSE Policies and Commitments HSE Management Manual Quality Management Manual QHSE Management Procedures QHSE Management Requirements Applicable only in China QHSE Management System for each division Geophysical Exploration Division QHSE Management System for Drilling Division Comprehensive Management System for each branch Tianjin Branch Asia Pacific Company Saudi Branch Global Regional Company Product and Service Country Company Domestic System Structure Overseas System Structure Middle East Company Iraq Branch Procedure Documents Drilling Oil and Chemical Oil Production Shore-based Transportation Catering Product Service Line Oil Technology Ship Geophysical Exploration Procedure Documents QHSE Management System Structure Diagram Reputation First Equipment Completeness Quality Assurance Safety First Prevention First Comprehensive Management Environmental Protection Energy Saving and Efficiency Improvement Green Development</v>
      </c>
      <c r="B5984" s="1" t="str">
        <f ca="1">IFERROR(__xludf.DUMMYFUNCTION("GOOGLETRANSLATE(A5984, ""zh"", ""en"")"),"Environmental Policy")</f>
        <v>Environmental Policy</v>
      </c>
      <c r="C5984" s="1" t="str">
        <f ca="1">IFERROR(__xludf.DUMMYFUNCTION("GOOGLETRANSLATE(E5984, ""zh"", ""en"")"),"Qualitative text")</f>
        <v>Qualitative text</v>
      </c>
    </row>
    <row r="5985" spans="1:3" ht="13" x14ac:dyDescent="0.15">
      <c r="A5985" s="1" t="str">
        <f ca="1">IFERROR(__xludf.DUMMYFUNCTION("GOOGLETRANSLATE(A5985, ""zh"", ""en"")"),"The established pension FOF funds totaling approximately RMB 123 million have been launched to support rural revitalization. SDIC Capital has actively implemented the Opinions of the CPC Central Committee and the State Council on Comprehensively Promoting"&amp;" Rural Revitalization and Accelerating Agricultural and Rural Modernization, the Opinions on Realizing the Effective Connection between Consolidating and Expanding the Achievements of Poverty Alleviation and Rural Revitalization, the Opinions of the CPC C"&amp;"entral Committee and the State Council on Doing a Good Job in Comprehensively Promoting Key Tasks of Rural Revitalization in 2022, and other policies and guiding principles. Through a series of measures such as industrial revitalization, talent revitaliza"&amp;"tion, cultural revitalization, ecological revitalization, and organizational revitalization, we have helped accelerate agricultural and rural modernization, vigorously promoted the injection of modern production factors such as capital, technology, talent"&amp;", and management into rural areas, further consolidated and expanded the achievements of poverty alleviation, and helped implement the rural revitalization strategy.")</f>
        <v>The established pension FOF funds totaling approximately RMB 123 million have been launched to support rural revitalization. SDIC Capital has actively implemented the Opinions of the CPC Central Committee and the State Council on Comprehensively Promoting Rural Revitalization and Accelerating Agricultural and Rural Modernization, the Opinions on Realizing the Effective Connection between Consolidating and Expanding the Achievements of Poverty Alleviation and Rural Revitalization, the Opinions of the CPC Central Committee and the State Council on Doing a Good Job in Comprehensively Promoting Key Tasks of Rural Revitalization in 2022, and other policies and guiding principles. Through a series of measures such as industrial revitalization, talent revitalization, cultural revitalization, ecological revitalization, and organizational revitalization, we have helped accelerate agricultural and rural modernization, vigorously promoted the injection of modern production factors such as capital, technology, talent, and management into rural areas, further consolidated and expanded the achievements of poverty alleviation, and helped implement the rural revitalization strategy.</v>
      </c>
      <c r="B5985" s="1" t="str">
        <f ca="1">IFERROR(__xludf.DUMMYFUNCTION("GOOGLETRANSLATE(A5985, ""zh"", ""en"")"),"Rural assistance")</f>
        <v>Rural assistance</v>
      </c>
      <c r="C5985" s="1" t="str">
        <f ca="1">IFERROR(__xludf.DUMMYFUNCTION("GOOGLETRANSLATE(E5985, ""zh"", ""en"")"),"Quantitative Text")</f>
        <v>Quantitative Text</v>
      </c>
    </row>
    <row r="5986" spans="1:3" ht="13" x14ac:dyDescent="0.15">
      <c r="A5986" s="1" t="str">
        <f ca="1">IFERROR(__xludf.DUMMYFUNCTION("GOOGLETRANSLATE(A5986, ""zh"", ""en"")"),"Strictly control pollutant emissions to meet standards; implement pollution control measures at the source of production; strengthen the operation and management of existing pollution control equipment; implement pollution control facility upgrades and re"&amp;"novations; ensure that all pollutants in wastewater and exhaust gas are discharged in a stable and standard manner; strengthen early warning of pollutant emissions meeting standards; use pollution source online monitoring systems to monitor wastewater and"&amp;" exhaust gas emissions in real time; include the company's main pollutant emission indicators in the annual performance contracts of the company's main managers; strictly evaluate the completion of pollutant emission management measures; key pollution sou"&amp;"rces online monitoring; the company has issued the 2022 plan for the installation and networking of online monitoring equipment for key pollution source outlets; strictly monitor the company's pollutant emissions meeting standards; and implement dynamic a"&amp;"nalysis and early warning of excessive and abnormal emissions.")</f>
        <v>Strictly control pollutant emissions to meet standards; implement pollution control measures at the source of production; strengthen the operation and management of existing pollution control equipment; implement pollution control facility upgrades and renovations; ensure that all pollutants in wastewater and exhaust gas are discharged in a stable and standard manner; strengthen early warning of pollutant emissions meeting standards; use pollution source online monitoring systems to monitor wastewater and exhaust gas emissions in real time; include the company's main pollutant emission indicators in the annual performance contracts of the company's main managers; strictly evaluate the completion of pollutant emission management measures; key pollution sources online monitoring; the company has issued the 2022 plan for the installation and networking of online monitoring equipment for key pollution source outlets; strictly monitor the company's pollutant emissions meeting standards; and implement dynamic analysis and early warning of excessive and abnormal emissions.</v>
      </c>
      <c r="B5986" s="1" t="str">
        <f ca="1">IFERROR(__xludf.DUMMYFUNCTION("GOOGLETRANSLATE(A5986, ""zh"", ""en"")"),"Waste Management")</f>
        <v>Waste Management</v>
      </c>
      <c r="C5986" s="1" t="str">
        <f ca="1">IFERROR(__xludf.DUMMYFUNCTION("GOOGLETRANSLATE(E5986, ""zh"", ""en"")"),"Qualitative text")</f>
        <v>Qualitative text</v>
      </c>
    </row>
    <row r="5987" spans="1:3" ht="13" x14ac:dyDescent="0.15">
      <c r="A5987" s="1" t="str">
        <f ca="1">IFERROR(__xludf.DUMMYFUNCTION("GOOGLETRANSLATE(A5987, ""zh"", ""en"")"),"An analysis of the diversity of candidates on the Board at the end of the reporting period is set out below: Female 2 6574 PhD 2 2 5564 18 months 3 Master’s degree or above 9 4 8 Male 10 4554 6 months or above Non-executive Director Independent 7 Less tha"&amp;"n 18 months Bachelor’s degree Less than 6 months 2 4 2 1 Gender Position Age Group Educational Background Length of Service on the Board 16 Innovation for Good Health Continuous Innovation Enjoying Health Remuneration and Appraisal Committee The main func"&amp;"tions of the Remuneration and Appraisal Committee include formulating and reviewing the remuneration policy of Directors and Senior Management during the Reporting Period.")</f>
        <v>An analysis of the diversity of candidates on the Board at the end of the reporting period is set out below: Female 2 6574 PhD 2 2 5564 18 months 3 Master’s degree or above 9 4 8 Male 10 4554 6 months or above Non-executive Director Independent 7 Less than 18 months Bachelor’s degree Less than 6 months 2 4 2 1 Gender Position Age Group Educational Background Length of Service on the Board 16 Innovation for Good Health Continuous Innovation Enjoying Health Remuneration and Appraisal Committee The main functions of the Remuneration and Appraisal Committee include formulating and reviewing the remuneration policy of Directors and Senior Management during the Reporting Period.</v>
      </c>
      <c r="B5987" s="1" t="str">
        <f ca="1">IFERROR(__xludf.DUMMYFUNCTION("GOOGLETRANSLATE(A5987, ""zh"", ""en"")"),"Organizational structure and operations")</f>
        <v>Organizational structure and operations</v>
      </c>
      <c r="C5987" s="1" t="str">
        <f ca="1">IFERROR(__xludf.DUMMYFUNCTION("GOOGLETRANSLATE(E5987, ""zh"", ""en"")"),"Quantitative Text")</f>
        <v>Quantitative Text</v>
      </c>
    </row>
    <row r="5988" spans="1:3" ht="13" x14ac:dyDescent="0.15">
      <c r="A5988" s="1" t="str">
        <f ca="1">IFERROR(__xludf.DUMMYFUNCTION("GOOGLETRANSLATE(A5988, ""zh"", ""en"")"),"Supplier digital management Supplier performance management Supplier performance evaluation results sharing layer 12611 Conflict minerals Supplier communication and training The company attaches great importance to the issue of conflict minerals and follo"&amp;"ws the US Dodd-Frank Act, the European Union Conflict Minerals Regulation, the Organization for Economic Cooperation and Development's Due Diligence Guidance for Responsible Supply Chains of Minerals from Conflict-Affected and High-Risk Areas, and the Chi"&amp;"na Due Diligence Guidance for Responsible Mineral Supply Chains. The company is committed to not procure and use metals that come directly or indirectly from conflict-affected mining areas in high-risk countries, including but not limited to tin, tantalum"&amp;", tungsten, cobalt, gold and other metals and other raw materials.")</f>
        <v>Supplier digital management Supplier performance management Supplier performance evaluation results sharing layer 12611 Conflict minerals Supplier communication and training The company attaches great importance to the issue of conflict minerals and follows the US Dodd-Frank Act, the European Union Conflict Minerals Regulation, the Organization for Economic Cooperation and Development's Due Diligence Guidance for Responsible Supply Chains of Minerals from Conflict-Affected and High-Risk Areas, and the China Due Diligence Guidance for Responsible Mineral Supply Chains. The company is committed to not procure and use metals that come directly or indirectly from conflict-affected mining areas in high-risk countries, including but not limited to tin, tantalum, tungsten, cobalt, gold and other metals and other raw materials.</v>
      </c>
      <c r="B5988" s="1" t="str">
        <f ca="1">IFERROR(__xludf.DUMMYFUNCTION("GOOGLETRANSLATE(A5988, ""zh"", ""en"")"),"supply chain management")</f>
        <v>supply chain management</v>
      </c>
      <c r="C5988" s="1" t="str">
        <f ca="1">IFERROR(__xludf.DUMMYFUNCTION("GOOGLETRANSLATE(E5988, ""zh"", ""en"")"),"Qualitative text")</f>
        <v>Qualitative text</v>
      </c>
    </row>
    <row r="5989" spans="1:3" ht="13" x14ac:dyDescent="0.15">
      <c r="A5989" s="1" t="str">
        <f ca="1">IFERROR(__xludf.DUMMYFUNCTION("GOOGLETRANSLATE(A5989, ""zh"", ""en"")"),"GRI 304 Biodiversity GRI 3 Material Topics 2021 33 Management of Material Topics p.113 3041 The organization has operations in or adjacent to protected areas and areas of biodiversity rich outside protected areas p.113 3042 Significant impacts of activiti"&amp;"es, products and services on biodiversity p.113 GRI 304 Biodiversity 2016 3043 Protected or restored habitats Protected or restored habitats No such cases are listed on the UCN Red List and national conservation lists 3044 Habitats affected by operations "&amp;"are listed on the World Wildlife Fund’s Red List and national conservation lists. During the reporting period, Fosun Pharma did not have any confirmed habitats affected by its operations.")</f>
        <v>GRI 304 Biodiversity GRI 3 Material Topics 2021 33 Management of Material Topics p.113 3041 The organization has operations in or adjacent to protected areas and areas of biodiversity rich outside protected areas p.113 3042 Significant impacts of activities, products and services on biodiversity p.113 GRI 304 Biodiversity 2016 3043 Protected or restored habitats Protected or restored habitats No such cases are listed on the UCN Red List and national conservation lists 3044 Habitats affected by operations are listed on the World Wildlife Fund’s Red List and national conservation lists. During the reporting period, Fosun Pharma did not have any confirmed habitats affected by its operations.</v>
      </c>
      <c r="B5989" s="1" t="str">
        <f ca="1">IFERROR(__xludf.DUMMYFUNCTION("GOOGLETRANSLATE(A5989, ""zh"", ""en"")"),"biodiversity")</f>
        <v>biodiversity</v>
      </c>
      <c r="C5989" s="1" t="str">
        <f ca="1">IFERROR(__xludf.DUMMYFUNCTION("GOOGLETRANSLATE(E5989, ""zh"", ""en"")"),"Quantitative Text")</f>
        <v>Quantitative Text</v>
      </c>
    </row>
    <row r="5990" spans="1:3" ht="13" x14ac:dyDescent="0.15">
      <c r="A5990" s="1" t="str">
        <f ca="1">IFERROR(__xludf.DUMMYFUNCTION("GOOGLETRANSLATE(A5990, ""zh"", ""en"")"),"Organize employees to shoot short videos about the Winter Olympics, celebrate the future with lantern riddles, celebrate the Winter Olympics, and celebrate the Lantern Festival. Welcome the 20th National Congress of the Communist Party of China, showcase "&amp;"the talents of women, participate in International Women's Day outings to commemorate martyrs, and participate in employee walks. Caring for agriculture, rural areas, and farmers, and social gatherings for single young people from central enterprises. Cel"&amp;"ebrate Children's Day online, paint a happy shepherd with a childlike heart. Implement stable growth, bring coolness and comfort to the summer. 2022 Social Responsibility Report: 17 Questions for the Frontline. Welcome the 20th National Congress of the Co"&amp;"mmunist Party of China, build a new era of contributions, participate in short video competitions, strengthen the country through skills, innovate with me, and implement stable growth. Welcome the 20th National Congress of the Communist Party of China, pa"&amp;"rticipate in employee labor skills competitions, and organically integrate Chinese culture, red culture, and corporate culture through a variety of innovative cultural activities to continuously build a beautiful China Animal Husbandry home that employees"&amp;" yearn for.")</f>
        <v>Organize employees to shoot short videos about the Winter Olympics, celebrate the future with lantern riddles, celebrate the Winter Olympics, and celebrate the Lantern Festival. Welcome the 20th National Congress of the Communist Party of China, showcase the talents of women, participate in International Women's Day outings to commemorate martyrs, and participate in employee walks. Caring for agriculture, rural areas, and farmers, and social gatherings for single young people from central enterprises. Celebrate Children's Day online, paint a happy shepherd with a childlike heart. Implement stable growth, bring coolness and comfort to the summer. 2022 Social Responsibility Report: 17 Questions for the Frontline. Welcome the 20th National Congress of the Communist Party of China, build a new era of contributions, participate in short video competitions, strengthen the country through skills, innovate with me, and implement stable growth. Welcome the 20th National Congress of the Communist Party of China, participate in employee labor skills competitions, and organically integrate Chinese culture, red culture, and corporate culture through a variety of innovative cultural activities to continuously build a beautiful China Animal Husbandry home that employees yearn for.</v>
      </c>
      <c r="B5990" s="1" t="str">
        <f ca="1">IFERROR(__xludf.DUMMYFUNCTION("GOOGLETRANSLATE(A5990, ""zh"", ""en"")"),"Public welfare and volunteer service")</f>
        <v>Public welfare and volunteer service</v>
      </c>
      <c r="C5990" s="1" t="str">
        <f ca="1">IFERROR(__xludf.DUMMYFUNCTION("GOOGLETRANSLATE(E5990, ""zh"", ""en"")"),"Qualitative text")</f>
        <v>Qualitative text</v>
      </c>
    </row>
    <row r="5991" spans="1:3" ht="13" x14ac:dyDescent="0.15">
      <c r="A5991" s="1" t="str">
        <f ca="1">IFERROR(__xludf.DUMMYFUNCTION("GOOGLETRANSLATE(A5991, ""zh"", ""en"")"),"We actively participate in the formulation of standards for the labeling and coding of waste electrical and electronic products and the use of recycled plastics in electrical and electronic products. We also explicitly respond to the Basel Convention on t"&amp;"he Control of Transboundary Movements of Hazardous Wastes and Their Disposal in our published e-waste disposal policies. We have issued a commitment to strengthen the management and control of e-waste disposal by not exporting e-waste directly or indirect"&amp;"ly through intermediaries to non-OECD or non-EU countries unless we obtain prior approval.")</f>
        <v>We actively participate in the formulation of standards for the labeling and coding of waste electrical and electronic products and the use of recycled plastics in electrical and electronic products. We also explicitly respond to the Basel Convention on the Control of Transboundary Movements of Hazardous Wastes and Their Disposal in our published e-waste disposal policies. We have issued a commitment to strengthen the management and control of e-waste disposal by not exporting e-waste directly or indirectly through intermediaries to non-OECD or non-EU countries unless we obtain prior approval.</v>
      </c>
      <c r="B5991" s="1" t="str">
        <f ca="1">IFERROR(__xludf.DUMMYFUNCTION("GOOGLETRANSLATE(A5991, ""zh"", ""en"")"),"Waste Management")</f>
        <v>Waste Management</v>
      </c>
      <c r="C5991" s="1" t="str">
        <f ca="1">IFERROR(__xludf.DUMMYFUNCTION("GOOGLETRANSLATE(E5991, ""zh"", ""en"")"),"Qualitative text")</f>
        <v>Qualitative text</v>
      </c>
    </row>
    <row r="5992" spans="1:3" ht="13" x14ac:dyDescent="0.15">
      <c r="A5992" s="1" t="str">
        <f ca="1">IFERROR(__xludf.DUMMYFUNCTION("GOOGLETRANSLATE(A5992, ""zh"", ""en"")"),"Distribution methods: Distribution based on job responsibilities, distribution based on operating results, and distribution based on continuous value creation. Salary packages, bonus packages, equity options and other long-term incentive packages are the "&amp;"benefits employees receive based on completing their daily work responsibilities. Employees receive corresponding bonuses and equity options based on the company's operating performance to motivate employees to create long-term value for the company. Ente"&amp;"r the ESG management topic and see responsibility, safety first, people-oriented, mutual benefit and win-win. GRI content index www..cn To further strengthen organizational cohesion, create a people-oriented harmonious atmosphere, and enhance employee hap"&amp;"piness, the company has led a number of cultural and care activities in 2018, continuously providing better corporate care for employees from multiple levels such as organizational warmth, internal communication, and cultural implementation.")</f>
        <v>Distribution methods: Distribution based on job responsibilities, distribution based on operating results, and distribution based on continuous value creation. Salary packages, bonus packages, equity options and other long-term incentive packages are the benefits employees receive based on completing their daily work responsibilities. Employees receive corresponding bonuses and equity options based on the company's operating performance to motivate employees to create long-term value for the company. Enter the ESG management topic and see responsibility, safety first, people-oriented, mutual benefit and win-win. GRI content index www..cn To further strengthen organizational cohesion, create a people-oriented harmonious atmosphere, and enhance employee happiness, the company has led a number of cultural and care activities in 2018, continuously providing better corporate care for employees from multiple levels such as organizational warmth, internal communication, and cultural implementation.</v>
      </c>
      <c r="B5992" s="1" t="str">
        <f ca="1">IFERROR(__xludf.DUMMYFUNCTION("GOOGLETRANSLATE(A5992, ""zh"", ""en"")"),"staff")</f>
        <v>staff</v>
      </c>
      <c r="C5992" s="1" t="str">
        <f ca="1">IFERROR(__xludf.DUMMYFUNCTION("GOOGLETRANSLATE(E5992, ""zh"", ""en"")"),"Qualitative text")</f>
        <v>Qualitative text</v>
      </c>
    </row>
    <row r="5993" spans="1:3" ht="13" x14ac:dyDescent="0.15">
      <c r="A5993" s="1" t="str">
        <f ca="1">IFERROR(__xludf.DUMMYFUNCTION("GOOGLETRANSLATE(A5993, ""zh"", ""en"")"),"Stimulate innovation vitality and increase investment in scientific research. Key performance table of scientific and technological innovation 2020-2022 Indicator Unit 2022 2021 2020 Investment in scientific and technological research and development Ten "&amp;"thousand yuan 130440125507131178 Number of new patents 22613084 Number of new invention patents 1406338 ESCOOL high-temperature full-slam deepwater wellbore working fluid core treatment agent CNOOC Oilfield Services 2022 ESG Report 26 The company strength"&amp;"ens its mission and focuses on key core technologies, continuously promotes the localization of major technical equipment and tools, and accelerates the realization of independent control of key core technologies. The research results are highly recognize"&amp;"d by the industry, accelerating the transformation of technological achievements, helping to increase reserves and production, and constantly polishing its industry brand.")</f>
        <v>Stimulate innovation vitality and increase investment in scientific research. Key performance table of scientific and technological innovation 2020-2022 Indicator Unit 2022 2021 2020 Investment in scientific and technological research and development Ten thousand yuan 130440125507131178 Number of new patents 22613084 Number of new invention patents 1406338 ESCOOL high-temperature full-slam deepwater wellbore working fluid core treatment agent CNOOC Oilfield Services 2022 ESG Report 26 The company strengthens its mission and focuses on key core technologies, continuously promotes the localization of major technical equipment and tools, and accelerates the realization of independent control of key core technologies. The research results are highly recognized by the industry, accelerating the transformation of technological achievements, helping to increase reserves and production, and constantly polishing its industry brand.</v>
      </c>
      <c r="B5993" s="1" t="str">
        <f ca="1">IFERROR(__xludf.DUMMYFUNCTION("GOOGLETRANSLATE(A5993, ""zh"", ""en"")"),"Technological innovation")</f>
        <v>Technological innovation</v>
      </c>
      <c r="C5993" s="1" t="str">
        <f ca="1">IFERROR(__xludf.DUMMYFUNCTION("GOOGLETRANSLATE(E5993, ""zh"", ""en"")"),"Quantitative Text")</f>
        <v>Quantitative Text</v>
      </c>
    </row>
    <row r="5994" spans="1:3" ht="13" x14ac:dyDescent="0.15">
      <c r="A5994" s="1" t="str">
        <f ca="1">IFERROR(__xludf.DUMMYFUNCTION("GOOGLETRANSLATE(A5994, ""zh"", ""en"")"),"Indicator Unit 2022 2021 2020 Number of safety training sessions 277922527722352 Number of safety training participants 333504300958254547 Safety training performance statistics 202022 COSL 2022 ESG Report 42 Safety Emergency The company complies with the"&amp;" Regulations on Emergency Response to Production Safety Accidents, Management Measures for Emergency Plans for Production Safety Accidents, Guidelines for the Preparation of Emergency Plans for Production and Operation Units (GBT296392020) and other regul"&amp;"ations and standards, requiring that emergency management be done well in terms of emergency plan management, construction of emergency command centers, construction of emergency rescue teams, emergency information management, and early warning, preventio"&amp;"n, and response to natural disasters.")</f>
        <v>Indicator Unit 2022 2021 2020 Number of safety training sessions 277922527722352 Number of safety training participants 333504300958254547 Safety training performance statistics 202022 COSL 2022 ESG Report 42 Safety Emergency The company complies with the Regulations on Emergency Response to Production Safety Accidents, Management Measures for Emergency Plans for Production Safety Accidents, Guidelines for the Preparation of Emergency Plans for Production and Operation Units (GBT296392020) and other regulations and standards, requiring that emergency management be done well in terms of emergency plan management, construction of emergency command centers, construction of emergency rescue teams, emergency information management, and early warning, prevention, and response to natural disasters.</v>
      </c>
      <c r="B5994" s="1" t="str">
        <f ca="1">IFERROR(__xludf.DUMMYFUNCTION("GOOGLETRANSLATE(A5994, ""zh"", ""en"")"),"staff")</f>
        <v>staff</v>
      </c>
      <c r="C5994" s="1" t="str">
        <f ca="1">IFERROR(__xludf.DUMMYFUNCTION("GOOGLETRANSLATE(E5994, ""zh"", ""en"")"),"Qualitative text")</f>
        <v>Qualitative text</v>
      </c>
    </row>
    <row r="5995" spans="1:3" ht="13" x14ac:dyDescent="0.15">
      <c r="A5995" s="1" t="str">
        <f ca="1">IFERROR(__xludf.DUMMYFUNCTION("GOOGLETRANSLATE(A5995, ""zh"", ""en"")"),"Key Performance of Yichang Renfu Environmental Responsibility in 2022: 4142 Win-win partnerships, building a development community, RMB 3.52 million invested in employee training, 98.4% employee satisfaction, 19.30% female senior managers, harmonious and "&amp;"win-win workplace, pre-employment physical examination, annual physical examination, and exit physical examination. In 2022, the company will continue to promote and improve the construction of the company's compensation and incentive management system, b"&amp;"uild a scientific and systematic compensation and incentive management system based on corporate culture, organizational division of labor, and institutional processes to fully integrate with the market, encourage incremental creation, differentiate betwe"&amp;"en capabilities and responsibilities, and promote cadre mobility, establish a floating salary mechanism linked to performance, formulate a diversified incentive policy that combines short, medium and long-term, and achieve sustainable development of the c"&amp;"ompany.")</f>
        <v>Key Performance of Yichang Renfu Environmental Responsibility in 2022: 4142 Win-win partnerships, building a development community, RMB 3.52 million invested in employee training, 98.4% employee satisfaction, 19.30% female senior managers, harmonious and win-win workplace, pre-employment physical examination, annual physical examination, and exit physical examination. In 2022, the company will continue to promote and improve the construction of the company's compensation and incentive management system, build a scientific and systematic compensation and incentive management system based on corporate culture, organizational division of labor, and institutional processes to fully integrate with the market, encourage incremental creation, differentiate between capabilities and responsibilities, and promote cadre mobility, establish a floating salary mechanism linked to performance, formulate a diversified incentive policy that combines short, medium and long-term, and achieve sustainable development of the company.</v>
      </c>
      <c r="B5995" s="1" t="str">
        <f ca="1">IFERROR(__xludf.DUMMYFUNCTION("GOOGLETRANSLATE(A5995, ""zh"", ""en"")"),"staff")</f>
        <v>staff</v>
      </c>
      <c r="C5995" s="1" t="str">
        <f ca="1">IFERROR(__xludf.DUMMYFUNCTION("GOOGLETRANSLATE(E5995, ""zh"", ""en"")"),"Quantitative Text")</f>
        <v>Quantitative Text</v>
      </c>
    </row>
    <row r="5996" spans="1:3" ht="13" x14ac:dyDescent="0.15">
      <c r="A5996" s="1" t="str">
        <f ca="1">IFERROR(__xludf.DUMMYFUNCTION("GOOGLETRANSLATE(A5996, ""zh"", ""en"")"),"Indicator Unit 2022 2021 2020 Anti-fraud training times 237575469 Anti-fraud training participants 137422138017891 Anti-fraud training performance table")</f>
        <v>Indicator Unit 2022 2021 2020 Anti-fraud training times 237575469 Anti-fraud training participants 137422138017891 Anti-fraud training performance table</v>
      </c>
      <c r="B5996" s="1" t="str">
        <f ca="1">IFERROR(__xludf.DUMMYFUNCTION("GOOGLETRANSLATE(A5996, ""zh"", ""en"")"),"Anti-corruption and anti-money laundering")</f>
        <v>Anti-corruption and anti-money laundering</v>
      </c>
      <c r="C5996" s="1" t="str">
        <f ca="1">IFERROR(__xludf.DUMMYFUNCTION("GOOGLETRANSLATE(E5996, ""zh"", ""en"")"),"Quantitative Text")</f>
        <v>Quantitative Text</v>
      </c>
    </row>
    <row r="5997" spans="1:3" ht="13" x14ac:dyDescent="0.15">
      <c r="A5997" s="1" t="str">
        <f ca="1">IFERROR(__xludf.DUMMYFUNCTION("GOOGLETRANSLATE(A5997, ""zh"", ""en"")"),"With the support of the National Enterprise Technology Center Postdoctoral Work Station, the National Textile Cord Fabric Technology R&amp;D Center, the Henan Fiber Skeleton Material Engineering Technology Research Center, and the Henan Provincial Enterprise,"&amp;" the enterprise has successfully developed a full range of solution-dyed colored yarns and passed the China Chemical Fiber Industry Association Green Fiber Certification. It has developed and provided 125,000 products to users in total. It has completed b"&amp;"atch testing and third-party testing of high-end injection molding products such as EPR27L5 and EPR27FS. The Product Technology Center and the Beijing University of Chemical Technology Joint R&amp;D Center are the basis for the construction of a high-standard"&amp;" key laboratory for the entire process of nylon fiber and the engineering plastic EPR27HSL, which has passed UL certification. It has completed the trial production of ultra-high-strength spinning chips and achieved the expected results.")</f>
        <v>With the support of the National Enterprise Technology Center Postdoctoral Work Station, the National Textile Cord Fabric Technology R&amp;D Center, the Henan Fiber Skeleton Material Engineering Technology Research Center, and the Henan Provincial Enterprise, the enterprise has successfully developed a full range of solution-dyed colored yarns and passed the China Chemical Fiber Industry Association Green Fiber Certification. It has developed and provided 125,000 products to users in total. It has completed batch testing and third-party testing of high-end injection molding products such as EPR27L5 and EPR27FS. The Product Technology Center and the Beijing University of Chemical Technology Joint R&amp;D Center are the basis for the construction of a high-standard key laboratory for the entire process of nylon fiber and the engineering plastic EPR27HSL, which has passed UL certification. It has completed the trial production of ultra-high-strength spinning chips and achieved the expected results.</v>
      </c>
      <c r="B5997" s="1" t="str">
        <f ca="1">IFERROR(__xludf.DUMMYFUNCTION("GOOGLETRANSLATE(A5997, ""zh"", ""en"")"),"Technological innovation")</f>
        <v>Technological innovation</v>
      </c>
      <c r="C5997" s="1" t="str">
        <f ca="1">IFERROR(__xludf.DUMMYFUNCTION("GOOGLETRANSLATE(E5997, ""zh"", ""en"")"),"Quantitative Text")</f>
        <v>Quantitative Text</v>
      </c>
    </row>
    <row r="5998" spans="1:3" ht="13" x14ac:dyDescent="0.15">
      <c r="A5998" s="1" t="str">
        <f ca="1">IFERROR(__xludf.DUMMYFUNCTION("GOOGLETRANSLATE(A5998, ""zh"", ""en"")"),"At the same time, the management activities of quality risks existing in 2022 are in compliance with GMP and relevant regulatory requirements to ensure product quality. The Group organized a quality management review meeting for the quarter to conduct spe"&amp;"cial reports and discussions on the quality risk points identified by the company during the quarter. In addition, during the quality management month, the Group successfully held a post-market product risk management forum. The Group used potential failu"&amp;"re mode and consequences analysis, FMEA, fault tree analysis (FTA), and several representative pharmaceutical and medical device companies to conduct in-depth discussions on hazard analysis and critical control points (HACCP) throughout the product life c"&amp;"ycle, and to understand the risk control of each link of the drug.")</f>
        <v>At the same time, the management activities of quality risks existing in 2022 are in compliance with GMP and relevant regulatory requirements to ensure product quality. The Group organized a quality management review meeting for the quarter to conduct special reports and discussions on the quality risk points identified by the company during the quarter. In addition, during the quality management month, the Group successfully held a post-market product risk management forum. The Group used potential failure mode and consequences analysis, FMEA, fault tree analysis (FTA), and several representative pharmaceutical and medical device companies to conduct in-depth discussions on hazard analysis and critical control points (HACCP) throughout the product life cycle, and to understand the risk control of each link of the drug.</v>
      </c>
      <c r="B5998" s="1" t="str">
        <f ca="1">IFERROR(__xludf.DUMMYFUNCTION("GOOGLETRANSLATE(A5998, ""zh"", ""en"")"),"Product quality")</f>
        <v>Product quality</v>
      </c>
      <c r="C5998" s="1" t="str">
        <f ca="1">IFERROR(__xludf.DUMMYFUNCTION("GOOGLETRANSLATE(E5998, ""zh"", ""en"")"),"Qualitative text")</f>
        <v>Qualitative text</v>
      </c>
    </row>
    <row r="5999" spans="1:3" ht="13" x14ac:dyDescent="0.15">
      <c r="A5999" s="1" t="str">
        <f ca="1">IFERROR(__xludf.DUMMYFUNCTION("GOOGLETRANSLATE(A5999, ""zh"", ""en"")"),"Products &amp; Services 21 Responsible Sourcing 34 Phone 053283889556 Employee Development &amp; Safety 37 Email zqbhisense.com Warmth 50 Address: Hisense Building, No. 17, Donghai West Road, Shinan District, Qingdao City, Shandong Province About Hisense Visual T"&amp;"echnology Company Profile Brand Architecture Corporate Strategy Annual Honors Hisense About Hisense Visual Technology Company Profile Brand Architecture Hisense Visual Technology Co., Ltd., formerly known as Hisense Electric, was listed on the Shanghai St"&amp;"ock Exchange in 1997. Stock Code: 600060. Headquarters: Located in Qingdao, Shandong Province, the company implements an independent and collaborative hierarchical management mechanism around the three major brands of Hisense, Toshiba, and Vidda to meet t"&amp;"he needs of different user groups. This has been largely implemented.")</f>
        <v>Products &amp; Services 21 Responsible Sourcing 34 Phone 053283889556 Employee Development &amp; Safety 37 Email zqbhisense.com Warmth 50 Address: Hisense Building, No. 17, Donghai West Road, Shinan District, Qingdao City, Shandong Province About Hisense Visual Technology Company Profile Brand Architecture Corporate Strategy Annual Honors Hisense About Hisense Visual Technology Company Profile Brand Architecture Hisense Visual Technology Co., Ltd., formerly known as Hisense Electric, was listed on the Shanghai Stock Exchange in 1997. Stock Code: 600060. Headquarters: Located in Qingdao, Shandong Province, the company implements an independent and collaborative hierarchical management mechanism around the three major brands of Hisense, Toshiba, and Vidda to meet the needs of different user groups. This has been largely implemented.</v>
      </c>
      <c r="B5999" s="1" t="str">
        <f ca="1">IFERROR(__xludf.DUMMYFUNCTION("GOOGLETRANSLATE(A5999, ""zh"", ""en"")"),"Organizational structure and operations")</f>
        <v>Organizational structure and operations</v>
      </c>
      <c r="C5999" s="1" t="str">
        <f ca="1">IFERROR(__xludf.DUMMYFUNCTION("GOOGLETRANSLATE(E5999, ""zh"", ""en"")"),"Qualitative text")</f>
        <v>Qualitative text</v>
      </c>
    </row>
    <row r="6000" spans="1:3" ht="13" x14ac:dyDescent="0.15">
      <c r="A6000" s="1" t="str">
        <f ca="1">IFERROR(__xludf.DUMMYFUNCTION("GOOGLETRANSLATE(A6000, ""zh"", ""en"")"),"In 2022, Jiaxing Xinjiaais Thermal Power Co., Ltd. was rated as a provincial production and manufacturing transformation demonstration project and was selected as an excellent dual-carbon case recommendation in Zhejiang Province and released and promoted "&amp;"at the China Green and Low-Carbon Innovation Conference. Zhejiang Wuchan Huanneng Pujiang Thermal Power Co., Ltd. was rated as a water-saving enterprise in Zhejiang Province. Tongxiang Taiais Environmental Protection Energy Co., Ltd. was included in the 2"&amp;"022 provincial industrial Internet platform creation list. The platform screens and filters the user's historical heat usage data to provide real-time guidance for the operation of the main production equipment of the entire plant, improving the efficienc"&amp;"y of the entire plant by an average of 0.3. It is expected to reduce raw coal consumption by 1,200 tons per year. At the same time, the company was also awarded 1 first prize and 2 second prizes for national power industry equipment management innovation "&amp;"achievements by the China Electric Power Equipment Management Association.")</f>
        <v>In 2022, Jiaxing Xinjiaais Thermal Power Co., Ltd. was rated as a provincial production and manufacturing transformation demonstration project and was selected as an excellent dual-carbon case recommendation in Zhejiang Province and released and promoted at the China Green and Low-Carbon Innovation Conference. Zhejiang Wuchan Huanneng Pujiang Thermal Power Co., Ltd. was rated as a water-saving enterprise in Zhejiang Province. Tongxiang Taiais Environmental Protection Energy Co., Ltd. was included in the 2022 provincial industrial Internet platform creation list. The platform screens and filters the user's historical heat usage data to provide real-time guidance for the operation of the main production equipment of the entire plant, improving the efficiency of the entire plant by an average of 0.3. It is expected to reduce raw coal consumption by 1,200 tons per year. At the same time, the company was also awarded 1 first prize and 2 second prizes for national power industry equipment management innovation achievements by the China Electric Power Equipment Management Association.</v>
      </c>
      <c r="B6000" s="1" t="str">
        <f ca="1">IFERROR(__xludf.DUMMYFUNCTION("GOOGLETRANSLATE(A6000, ""zh"", ""en"")"),"Energy and resource consumption")</f>
        <v>Energy and resource consumption</v>
      </c>
      <c r="C6000" s="1" t="str">
        <f ca="1">IFERROR(__xludf.DUMMYFUNCTION("GOOGLETRANSLATE(E6000, ""zh"", ""en"")"),"Quantitative Text")</f>
        <v>Quantitative Text</v>
      </c>
    </row>
    <row r="6001" spans="1:3" ht="13" x14ac:dyDescent="0.15">
      <c r="A6001" s="1" t="str">
        <f ca="1">IFERROR(__xludf.DUMMYFUNCTION("GOOGLETRANSLATE(A6001, ""zh"", ""en"")"),"The company strictly abides by the laws and regulations on employment, compensation, and social insurance in its own country and the countries where it operates. It establishes a competitive salary and benefits system and a fair and equitable performance "&amp;"appraisal system, pays various basic social insurances and housing provident funds for employees, establishes an enterprise annuity system, and purchases personal accident insurance, major disease insurance, safety liability insurance, and supplementary m"&amp;"edical insurance for employees and their children. It establishes a global medical insurance system for expatriates. Employees can enjoy medical treatment and emergency rescue services in most countries and regions around the world. It also provides healt"&amp;"h checkups, paid leave, assistance for difficulties, assistance for major diseases, and other benefits. The multi-level and comprehensive salary and benefits security system provides employees with a safer and more decent working environment, relieves the"&amp;"ir worries, and continuously enhances their sense of achievement and happiness.")</f>
        <v>The company strictly abides by the laws and regulations on employment, compensation, and social insurance in its own country and the countries where it operates. It establishes a competitive salary and benefits system and a fair and equitable performance appraisal system, pays various basic social insurances and housing provident funds for employees, establishes an enterprise annuity system, and purchases personal accident insurance, major disease insurance, safety liability insurance, and supplementary medical insurance for employees and their children. It establishes a global medical insurance system for expatriates. Employees can enjoy medical treatment and emergency rescue services in most countries and regions around the world. It also provides health checkups, paid leave, assistance for difficulties, assistance for major diseases, and other benefits. The multi-level and comprehensive salary and benefits security system provides employees with a safer and more decent working environment, relieves their worries, and continuously enhances their sense of achievement and happiness.</v>
      </c>
      <c r="B6001" s="1" t="str">
        <f ca="1">IFERROR(__xludf.DUMMYFUNCTION("GOOGLETRANSLATE(A6001, ""zh"", ""en"")"),"staff")</f>
        <v>staff</v>
      </c>
      <c r="C6001" s="1" t="str">
        <f ca="1">IFERROR(__xludf.DUMMYFUNCTION("GOOGLETRANSLATE(E6001, ""zh"", ""en"")"),"Qualitative text")</f>
        <v>Qualitative text</v>
      </c>
    </row>
    <row r="6002" spans="1:3" ht="13" x14ac:dyDescent="0.15">
      <c r="A6002" s="1" t="str">
        <f ca="1">IFERROR(__xludf.DUMMYFUNCTION("GOOGLETRANSLATE(A6002, ""zh"", ""en"")"),"Second, we will promote supply chain partners to fulfill their social responsibilities. As a national pilot enterprise for supply chain innovation and application, the company insists on taking the industrial supply chain as the basis, customer needs as t"&amp;"he center, physical warehousing as the support, logistics services as the guarantee, and supporting related value-added services to innovate and develop a circular supply chain, creating an integrated supply chain service platform that connects online and"&amp;" offline, integrates services of the sky network and the ground network, and synergizes and coexists. We will go deep into the production, supply, marketing, transaction and logistics links of the industrial chain, optimize business processes, extend the "&amp;"service chain, and provide customers with supply chain services that integrate procurement, distribution, warehousing, transportation, processing and delivery. We will strive to build a supply chain ecosystem and give full play to the role of China Storag"&amp;"e in transmitting credit and promoting funds, serving the real economy, reducing social transaction costs, and promoting the orderly development of the bulk commodity industry.")</f>
        <v>Second, we will promote supply chain partners to fulfill their social responsibilities. As a national pilot enterprise for supply chain innovation and application, the company insists on taking the industrial supply chain as the basis, customer needs as the center, physical warehousing as the support, logistics services as the guarantee, and supporting related value-added services to innovate and develop a circular supply chain, creating an integrated supply chain service platform that connects online and offline, integrates services of the sky network and the ground network, and synergizes and coexists. We will go deep into the production, supply, marketing, transaction and logistics links of the industrial chain, optimize business processes, extend the service chain, and provide customers with supply chain services that integrate procurement, distribution, warehousing, transportation, processing and delivery. We will strive to build a supply chain ecosystem and give full play to the role of China Storage in transmitting credit and promoting funds, serving the real economy, reducing social transaction costs, and promoting the orderly development of the bulk commodity industry.</v>
      </c>
      <c r="B6002" s="1" t="str">
        <f ca="1">IFERROR(__xludf.DUMMYFUNCTION("GOOGLETRANSLATE(A6002, ""zh"", ""en"")"),"supply chain management")</f>
        <v>supply chain management</v>
      </c>
      <c r="C6002" s="1" t="str">
        <f ca="1">IFERROR(__xludf.DUMMYFUNCTION("GOOGLETRANSLATE(E6002, ""zh"", ""en"")"),"Qualitative text")</f>
        <v>Qualitative text</v>
      </c>
    </row>
    <row r="6003" spans="1:3" ht="13" x14ac:dyDescent="0.15">
      <c r="A6003" s="1" t="str">
        <f ca="1">IFERROR(__xludf.DUMMYFUNCTION("GOOGLETRANSLATE(A6003, ""zh"", ""en"")"),"Case Study: Guangzhou Petrochemical continues to promote energy conservation and carbon reduction implementation projects. China Petrochemical Corporation (Sinopec Group) China Petrochemical Corporation 3940 Corporate Governance strengthens security lines"&amp;", addresses climate change, respects human rights, cultivates talent, protects the environment, and fulfills social responsibilities. Strictly controls coal use. The company strictly controls thermal coal consumption, formulating an action plan for energy"&amp;" conservation, carbon reduction, and efficiency improvement of coal-fired thermal power units from the perspectives of low-carbon fuel substitution, operation optimization, upgrading, transformation, integration, and optimization. Ensure energy efficiency"&amp;" improvement of coal-fired units. Use low-carbon fuels such as natural gas fuel gas to replace high-carbon fuels such as coal coke. Promote natural gas cogeneration and natural gas trigeneration. Strengthen thermal power cooperation with surrounding enter"&amp;"prises. Replace self-produced thermal power with purchased high-efficiency thermal power to improve thermal power utilization efficiency.")</f>
        <v>Case Study: Guangzhou Petrochemical continues to promote energy conservation and carbon reduction implementation projects. China Petrochemical Corporation (Sinopec Group) China Petrochemical Corporation 3940 Corporate Governance strengthens security lines, addresses climate change, respects human rights, cultivates talent, protects the environment, and fulfills social responsibilities. Strictly controls coal use. The company strictly controls thermal coal consumption, formulating an action plan for energy conservation, carbon reduction, and efficiency improvement of coal-fired thermal power units from the perspectives of low-carbon fuel substitution, operation optimization, upgrading, transformation, integration, and optimization. Ensure energy efficiency improvement of coal-fired units. Use low-carbon fuels such as natural gas fuel gas to replace high-carbon fuels such as coal coke. Promote natural gas cogeneration and natural gas trigeneration. Strengthen thermal power cooperation with surrounding enterprises. Replace self-produced thermal power with purchased high-efficiency thermal power to improve thermal power utilization efficiency.</v>
      </c>
      <c r="B6003" s="1" t="str">
        <f ca="1">IFERROR(__xludf.DUMMYFUNCTION("GOOGLETRANSLATE(A6003, ""zh"", ""en"")"),"carbon emissions")</f>
        <v>carbon emissions</v>
      </c>
      <c r="C6003" s="1" t="str">
        <f ca="1">IFERROR(__xludf.DUMMYFUNCTION("GOOGLETRANSLATE(E6003, ""zh"", ""en"")"),"Qualitative text")</f>
        <v>Qualitative text</v>
      </c>
    </row>
    <row r="6004" spans="1:3" ht="13" x14ac:dyDescent="0.15">
      <c r="A6004" s="1" t="str">
        <f ca="1">IFERROR(__xludf.DUMMYFUNCTION("GOOGLETRANSLATE(A6004, ""zh"", ""en"")"),"Employee Composition Employment Training and Development EMPLOYMENT TRAINING AND DEVELOPMENT Social Risk Management S College graduates and above 41 50 years old 16252 31 40 years old 9892 4869 The company has a total of 24247 employees, 8545 women, 15702"&amp;" men, 6870 undergraduates, 1661 postgraduates and above 51 years old and above 2195 gender, education level, and employees under 30 years old 7291 0149 The company cares about the welfare of its employees, builds a social insurance system covering five in"&amp;"surances and one fund for all employees, and fully pays for pension insurance, medical insurance, unemployment insurance, work-related injury insurance, maternity insurance, housing provident fund, etc. for all employees.")</f>
        <v>Employee Composition Employment Training and Development EMPLOYMENT TRAINING AND DEVELOPMENT Social Risk Management S College graduates and above 41 50 years old 16252 31 40 years old 9892 4869 The company has a total of 24247 employees, 8545 women, 15702 men, 6870 undergraduates, 1661 postgraduates and above 51 years old and above 2195 gender, education level, and employees under 30 years old 7291 0149 The company cares about the welfare of its employees, builds a social insurance system covering five insurances and one fund for all employees, and fully pays for pension insurance, medical insurance, unemployment insurance, work-related injury insurance, maternity insurance, housing provident fund, etc. for all employees.</v>
      </c>
      <c r="B6004" s="1" t="str">
        <f ca="1">IFERROR(__xludf.DUMMYFUNCTION("GOOGLETRANSLATE(A6004, ""zh"", ""en"")"),"staff")</f>
        <v>staff</v>
      </c>
      <c r="C6004" s="1" t="str">
        <f ca="1">IFERROR(__xludf.DUMMYFUNCTION("GOOGLETRANSLATE(E6004, ""zh"", ""en"")"),"Quantitative Text")</f>
        <v>Quantitative Text</v>
      </c>
    </row>
    <row r="6005" spans="1:3" ht="13" x14ac:dyDescent="0.15">
      <c r="A6005" s="1" t="str">
        <f ca="1">IFERROR(__xludf.DUMMYFUNCTION("GOOGLETRANSLATE(A6005, ""zh"", ""en"")"),"Mainland China, Hong Kong, China, Japan 63.6 Petrochemical 18.2 Finance 63.6 63.65 1 60 years old 27.3 27.3 6 1 70 years old 9.1 9.1 71 years old and above 9.1 Finance 9.1 Legal Female 9.1 Male 90.9 Chairman 1 Vice Chairman 1 Executive Director 3 Non-exec"&amp;"utive Directors 2 Independent Non-executive Directors 4 Gender Professional Background Diversity of the Board of Directors Country and Region Age Position The Company's Board of Directors consists of five special committees: Nomination Committee, Audit Co"&amp;"mmittee, Assessment and Remuneration Committee, Investment and Development Committee, and Sustainability Committee. The composition, division of labor, and implementation of each committee are detailed in the 2022 Company Annual Report. The main responsib"&amp;"ilities of the above committees are to provide support for the decision-making of the Board of Directors.")</f>
        <v>Mainland China, Hong Kong, China, Japan 63.6 Petrochemical 18.2 Finance 63.6 63.65 1 60 years old 27.3 27.3 6 1 70 years old 9.1 9.1 71 years old and above 9.1 Finance 9.1 Legal Female 9.1 Male 90.9 Chairman 1 Vice Chairman 1 Executive Director 3 Non-executive Directors 2 Independent Non-executive Directors 4 Gender Professional Background Diversity of the Board of Directors Country and Region Age Position The Company's Board of Directors consists of five special committees: Nomination Committee, Audit Committee, Assessment and Remuneration Committee, Investment and Development Committee, and Sustainability Committee. The composition, division of labor, and implementation of each committee are detailed in the 2022 Company Annual Report. The main responsibilities of the above committees are to provide support for the decision-making of the Board of Directors.</v>
      </c>
      <c r="B6005" s="1" t="str">
        <f ca="1">IFERROR(__xludf.DUMMYFUNCTION("GOOGLETRANSLATE(A6005, ""zh"", ""en"")"),"Organizational structure and operations")</f>
        <v>Organizational structure and operations</v>
      </c>
      <c r="C6005" s="1" t="str">
        <f ca="1">IFERROR(__xludf.DUMMYFUNCTION("GOOGLETRANSLATE(E6005, ""zh"", ""en"")"),"Qualitative text")</f>
        <v>Qualitative text</v>
      </c>
    </row>
    <row r="6006" spans="1:3" ht="13" x14ac:dyDescent="0.15">
      <c r="A6006" s="1" t="str">
        <f ca="1">IFERROR(__xludf.DUMMYFUNCTION("GOOGLETRANSLATE(A6006, ""zh"", ""en"")"),"Indicator unit 2020 2021 2022 Crude oil consumption million tons 1.07 1.07 1.06 Natural gas consumption billion cubic meters 3.78 4.06 4.40 Purchased electricity consumption billion kWh 30.83 33.80 33.88 Raw coal consumption million tons 15.00 35.00 38.19"&amp;" Industrial fresh water consumption million cubic meters 643.20 636.16 629.10 Industrial fresh water consumption intensity Note 2 30 5.60 232.10 189.59 Energy and resources Note 1 Note 1 The statistical scope will be adjusted accordingly based on the comp"&amp;"any's asset acquisition. In addition, the company's production and operation scale will increase in 2022, and new production capacity will be released, so some energy consumption will increase.")</f>
        <v>Indicator unit 2020 2021 2022 Crude oil consumption million tons 1.07 1.07 1.06 Natural gas consumption billion cubic meters 3.78 4.06 4.40 Purchased electricity consumption billion kWh 30.83 33.80 33.88 Raw coal consumption million tons 15.00 35.00 38.19 Industrial fresh water consumption million cubic meters 643.20 636.16 629.10 Industrial fresh water consumption intensity Note 2 30 5.60 232.10 189.59 Energy and resources Note 1 Note 1 The statistical scope will be adjusted accordingly based on the company's asset acquisition. In addition, the company's production and operation scale will increase in 2022, and new production capacity will be released, so some energy consumption will increase.</v>
      </c>
      <c r="B6006" s="1" t="str">
        <f ca="1">IFERROR(__xludf.DUMMYFUNCTION("GOOGLETRANSLATE(A6006, ""zh"", ""en"")"),"Energy and resource consumption")</f>
        <v>Energy and resource consumption</v>
      </c>
      <c r="C6006" s="1" t="str">
        <f ca="1">IFERROR(__xludf.DUMMYFUNCTION("GOOGLETRANSLATE(E6006, ""zh"", ""en"")"),"Quantitative Text")</f>
        <v>Quantitative Text</v>
      </c>
    </row>
    <row r="6007" spans="1:3" ht="13" x14ac:dyDescent="0.15">
      <c r="A6007" s="1" t="str">
        <f ca="1">IFERROR(__xludf.DUMMYFUNCTION("GOOGLETRANSLATE(A6007, ""zh"", ""en"")"),"As a national pilot enterprise for supply chain innovation and application, the company insists on taking the industrial supply chain as its foundation, customer needs as its center, physical warehousing as its support, logistics services as its guarantee"&amp;", expanding value-added services such as supporting transactions and financial services, and innovating and developing information services based on big data. It creates an integrated supply chain service platform that connects online and offline, integra"&amp;"tes services of the sky network and the ground network, and achieves synergistic symbiosis. It penetrates deeply into the production, supply, marketing, transaction and logistics links of the industrial chain, optimizes business processes, extends the ser"&amp;"vice chain, and provides customers with supply chain services that integrate procurement, distribution, warehousing, transportation, processing and delivery. It strives to build a supply chain ecosystem, give full play to the role of China Storage in tran"&amp;"smitting credit and promoting funds, serve the real economy, reduce social transaction costs, and promote the orderly development of the bulk commodity industry.")</f>
        <v>As a national pilot enterprise for supply chain innovation and application, the company insists on taking the industrial supply chain as its foundation, customer needs as its center, physical warehousing as its support, logistics services as its guarantee, expanding value-added services such as supporting transactions and financial services, and innovating and developing information services based on big data. It creates an integrated supply chain service platform that connects online and offline, integrates services of the sky network and the ground network, and achieves synergistic symbiosis. It penetrates deeply into the production, supply, marketing, transaction and logistics links of the industrial chain, optimizes business processes, extends the service chain, and provides customers with supply chain services that integrate procurement, distribution, warehousing, transportation, processing and delivery. It strives to build a supply chain ecosystem, give full play to the role of China Storage in transmitting credit and promoting funds, serve the real economy, reduce social transaction costs, and promote the orderly development of the bulk commodity industry.</v>
      </c>
      <c r="B6007" s="1" t="str">
        <f ca="1">IFERROR(__xludf.DUMMYFUNCTION("GOOGLETRANSLATE(A6007, ""zh"", ""en"")"),"supply chain management")</f>
        <v>supply chain management</v>
      </c>
      <c r="C6007" s="1" t="str">
        <f ca="1">IFERROR(__xludf.DUMMYFUNCTION("GOOGLETRANSLATE(E6007, ""zh"", ""en"")"),"Qualitative text")</f>
        <v>Qualitative text</v>
      </c>
    </row>
    <row r="6008" spans="1:3" ht="13" x14ac:dyDescent="0.15">
      <c r="A6008" s="1" t="str">
        <f ca="1">IFERROR(__xludf.DUMMYFUNCTION("GOOGLETRANSLATE(A6008, ""zh"", ""en"")"),"Shanghai Electric encourages employees to work in a green way, reduce driving, take public transportation and ride bicycles as much as possible, give priority to purchasing and using green and environmentally friendly office products, reduce pollution emi"&amp;"ssions and energy consumption, use automatic sensing lighting systems, rainwater recycling systems and other energy devices in the company's public areas, reasonably renovate and update equipment, and regularly maintain office equipment to extend its serv"&amp;"ice life. The company's office areas all use double-layer windows, energy-saving curtains, control the water temperature of central air conditioners, appropriately lower the indoor temperature in winter and increase it in summer to reduce energy consumpti"&amp;"on, promote the use of paperless office mode, and create an automated management system for the entire life cycle of meetings, covering meeting notifications, reception plans, receipt feedback, sign-in, meeting minutes review, etc. Simultaneously launch t"&amp;"he use of electronic lunch vouchers.")</f>
        <v>Shanghai Electric encourages employees to work in a green way, reduce driving, take public transportation and ride bicycles as much as possible, give priority to purchasing and using green and environmentally friendly office products, reduce pollution emissions and energy consumption, use automatic sensing lighting systems, rainwater recycling systems and other energy devices in the company's public areas, reasonably renovate and update equipment, and regularly maintain office equipment to extend its service life. The company's office areas all use double-layer windows, energy-saving curtains, control the water temperature of central air conditioners, appropriately lower the indoor temperature in winter and increase it in summer to reduce energy consumption, promote the use of paperless office mode, and create an automated management system for the entire life cycle of meetings, covering meeting notifications, reception plans, receipt feedback, sign-in, meeting minutes review, etc. Simultaneously launch the use of electronic lunch vouchers.</v>
      </c>
      <c r="B6008" s="1" t="str">
        <f ca="1">IFERROR(__xludf.DUMMYFUNCTION("GOOGLETRANSLATE(A6008, ""zh"", ""en"")"),"staff")</f>
        <v>staff</v>
      </c>
      <c r="C6008" s="1" t="str">
        <f ca="1">IFERROR(__xludf.DUMMYFUNCTION("GOOGLETRANSLATE(E6008, ""zh"", ""en"")"),"Qualitative text")</f>
        <v>Qualitative text</v>
      </c>
    </row>
    <row r="6009" spans="1:3" ht="13" x14ac:dyDescent="0.15">
      <c r="A6009" s="1" t="str">
        <f ca="1">IFERROR(__xludf.DUMMYFUNCTION("GOOGLETRANSLATE(A6009, ""zh"", ""en"")"),"The main business income in the Belt and Road region was RMB 158.15 million. The China Storage Intelligent Transportation Network Freight Platform reduced the cost for cargo owners by an average of 10%. During the reporting period, the company recruited a"&amp;" total of 603 personnel of various types with a total purchase amount of RMB 40.39 million, reducing the time for drivers to find goods. 69. There are more than 18,000 merchants settled in the spot market in Shaanxi Province on a long-term basis, which ha"&amp;"s driven the employment of about 13,000 local people. 4344 China Storage Development Co., Ltd. 2022 Social Responsibility and ESG Report. The company has long adhered to the customer-centric principle and the customer-first concept. It has formulated and "&amp;"implemented service management regulations, customer complaint management regulations and other customer service management systems. With its attentive, meticulous and wholehearted service, it has won the trust and support of customers and won a good repu"&amp;"tation.")</f>
        <v>The main business income in the Belt and Road region was RMB 158.15 million. The China Storage Intelligent Transportation Network Freight Platform reduced the cost for cargo owners by an average of 10%. During the reporting period, the company recruited a total of 603 personnel of various types with a total purchase amount of RMB 40.39 million, reducing the time for drivers to find goods. 69. There are more than 18,000 merchants settled in the spot market in Shaanxi Province on a long-term basis, which has driven the employment of about 13,000 local people. 4344 China Storage Development Co., Ltd. 2022 Social Responsibility and ESG Report. The company has long adhered to the customer-centric principle and the customer-first concept. It has formulated and implemented service management regulations, customer complaint management regulations and other customer service management systems. With its attentive, meticulous and wholehearted service, it has won the trust and support of customers and won a good reputation.</v>
      </c>
      <c r="B6009" s="1" t="str">
        <f ca="1">IFERROR(__xludf.DUMMYFUNCTION("GOOGLETRANSLATE(A6009, ""zh"", ""en"")"),"Customers and Consumers")</f>
        <v>Customers and Consumers</v>
      </c>
      <c r="C6009" s="1" t="str">
        <f ca="1">IFERROR(__xludf.DUMMYFUNCTION("GOOGLETRANSLATE(E6009, ""zh"", ""en"")"),"Quantitative Text")</f>
        <v>Quantitative Text</v>
      </c>
    </row>
    <row r="6010" spans="1:3" ht="13" x14ac:dyDescent="0.15">
      <c r="A6010" s="1" t="str">
        <f ca="1">IFERROR(__xludf.DUMMYFUNCTION("GOOGLETRANSLATE(A6010, ""zh"", ""en"")"),"Since its establishment in 2018, the base has received nearly 100,000 public visits and provided investment education products to nearly 150 million investors. It has conducted 33 investor education activities in 100 schools, in compliance with the specia"&amp;"l evaluation requirements for securities companies fulfilling their social responsibilities. The 2021-2022 annual evaluation result is A for Essence Securities, a national-level investor education base. Guotong Taikang Trust's consumer protection educatio"&amp;"n cartoon ambassador, Xiao Baobei, is a case study. Guotong Taikang Trust launched Xiao Baobei to assist in investment education. To improve the popularity and scenario-based expression of financial education, Guotong Taikang Trust launched Xiao Baobei, a"&amp;" consumer protection education cartoon ambassador, and designed and produced a six-episode Consumer Protection School animation series based on her image, achieving effective popularization of financial education and promoting the popularization of financ"&amp;"ial education.")</f>
        <v>Since its establishment in 2018, the base has received nearly 100,000 public visits and provided investment education products to nearly 150 million investors. It has conducted 33 investor education activities in 100 schools, in compliance with the special evaluation requirements for securities companies fulfilling their social responsibilities. The 2021-2022 annual evaluation result is A for Essence Securities, a national-level investor education base. Guotong Taikang Trust's consumer protection education cartoon ambassador, Xiao Baobei, is a case study. Guotong Taikang Trust launched Xiao Baobei to assist in investment education. To improve the popularity and scenario-based expression of financial education, Guotong Taikang Trust launched Xiao Baobei, a consumer protection education cartoon ambassador, and designed and produced a six-episode Consumer Protection School animation series based on her image, achieving effective popularization of financial education and promoting the popularization of financial education.</v>
      </c>
      <c r="B6010" s="1" t="str">
        <f ca="1">IFERROR(__xludf.DUMMYFUNCTION("GOOGLETRANSLATE(A6010, ""zh"", ""en"")"),"Public welfare and volunteer service")</f>
        <v>Public welfare and volunteer service</v>
      </c>
      <c r="C6010" s="1" t="str">
        <f ca="1">IFERROR(__xludf.DUMMYFUNCTION("GOOGLETRANSLATE(E6010, ""zh"", ""en"")"),"Quantitative Text")</f>
        <v>Quantitative Text</v>
      </c>
    </row>
    <row r="6011" spans="1:3" ht="13" x14ac:dyDescent="0.15">
      <c r="A6011" s="1" t="str">
        <f ca="1">IFERROR(__xludf.DUMMYFUNCTION("GOOGLETRANSLATE(A6011, ""zh"", ""en"")"),"Relying on the resources integrated by the online freight platform and real logistics business scenarios, China Storage Intelligent Logistics has upgraded and built a digital supply chain platform based on digital credit on the basis of mastering the core"&amp;" logistics data in the supply chain. It provides various services such as material procurement, sales, logistics, invoicing, settlement, financing, etc. for upstream and downstream enterprises in the supply chain, solves key credit issues in the operation"&amp;" of the supply chain, builds a safe, convenient, efficient and green digital supply chain ecosystem, helps key industries improve the digitalization level of logistics supply chain, solves the difficulties and bottlenecks of digital transformation, streng"&amp;"thens the digital coordination and linkage of upstream and downstream of the industrial chain, comprehensively improves the quality and efficiency of development, enhances the competitiveness of my country's key industries, ensures the reasonable supply o"&amp;"f social transportation capacity, effectively reduces the total social logistics cost, and significantly reduces automobile exhaust carbon emissions.")</f>
        <v>Relying on the resources integrated by the online freight platform and real logistics business scenarios, China Storage Intelligent Logistics has upgraded and built a digital supply chain platform based on digital credit on the basis of mastering the core logistics data in the supply chain. It provides various services such as material procurement, sales, logistics, invoicing, settlement, financing, etc. for upstream and downstream enterprises in the supply chain, solves key credit issues in the operation of the supply chain, builds a safe, convenient, efficient and green digital supply chain ecosystem, helps key industries improve the digitalization level of logistics supply chain, solves the difficulties and bottlenecks of digital transformation, strengthens the digital coordination and linkage of upstream and downstream of the industrial chain, comprehensively improves the quality and efficiency of development, enhances the competitiveness of my country's key industries, ensures the reasonable supply of social transportation capacity, effectively reduces the total social logistics cost, and significantly reduces automobile exhaust carbon emissions.</v>
      </c>
      <c r="B6011" s="1" t="str">
        <f ca="1">IFERROR(__xludf.DUMMYFUNCTION("GOOGLETRANSLATE(A6011, ""zh"", ""en"")"),"supply chain management")</f>
        <v>supply chain management</v>
      </c>
      <c r="C6011" s="1" t="str">
        <f ca="1">IFERROR(__xludf.DUMMYFUNCTION("GOOGLETRANSLATE(E6011, ""zh"", ""en"")"),"Qualitative text")</f>
        <v>Qualitative text</v>
      </c>
    </row>
    <row r="6012" spans="1:3" ht="13" x14ac:dyDescent="0.15">
      <c r="A6012" s="1" t="str">
        <f ca="1">IFERROR(__xludf.DUMMYFUNCTION("GOOGLETRANSLATE(A6012, ""zh"", ""en"")"),"Year 16 20 years old 21 30 years old 31 40 years old 41 50 years old S5 15 5 6 60 years old Total 61 years old and above 20 22 31 12 47 51 51 48 L2 89 21 0 31 28 34 88 38 39 9 20 21 90 12 15 71 40 42 67 68 1.8 48 10 9 42 80 36 27 9 20 20 6Z 9 8 28 12 58 4"&amp;"6 38 31 9 53 11 18 E 9 3 2 2 58 16 18 Employment of 9 underage workers Strictly implement the national regulations on the protection of minors Highly educated talents As of December 31, 2022, the proportion of employees with a doctorate or above in the gr"&amp;"oup reached 55.12%, and the total number of talents reached 586, an increase of 29.65% year-on-year")</f>
        <v>Year 16 20 years old 21 30 years old 31 40 years old 41 50 years old S5 15 5 6 60 years old Total 61 years old and above 20 22 31 12 47 51 51 48 L2 89 21 0 31 28 34 88 38 39 9 20 21 90 12 15 71 40 42 67 68 1.8 48 10 9 42 80 36 27 9 20 20 6Z 9 8 28 12 58 46 38 31 9 53 11 18 E 9 3 2 2 58 16 18 Employment of 9 underage workers Strictly implement the national regulations on the protection of minors Highly educated talents As of December 31, 2022, the proportion of employees with a doctorate or above in the group reached 55.12%, and the total number of talents reached 586, an increase of 29.65% year-on-year</v>
      </c>
      <c r="B6012" s="1" t="str">
        <f ca="1">IFERROR(__xludf.DUMMYFUNCTION("GOOGLETRANSLATE(A6012, ""zh"", ""en"")"),"staff")</f>
        <v>staff</v>
      </c>
      <c r="C6012" s="1" t="str">
        <f ca="1">IFERROR(__xludf.DUMMYFUNCTION("GOOGLETRANSLATE(E6012, ""zh"", ""en"")"),"Quantitative Text")</f>
        <v>Quantitative Text</v>
      </c>
    </row>
    <row r="6013" spans="1:3" ht="13" x14ac:dyDescent="0.15">
      <c r="A6013" s="1" t="str">
        <f ca="1">IFERROR(__xludf.DUMMYFUNCTION("GOOGLETRANSLATE(A6013, ""zh"", ""en"")"),"Established a Diversity, Equity, and Inclusion (DEI) Committee, organized DEI training for all employees, worked hard to promote festival culture during traditional Chinese holidays in Canada, organized and encouraged employees to actively participate in "&amp;"traditional cultural activities, carried out festival publicity and introductions on National Indigenous Day, and demonstrated the company's efforts to establish harmonious relations with Indigenous peoples and promote community development. Participated "&amp;"in the launch of the Dragon Boat Race organized by the Calgary Dragon Boat Association, held a virtual challenge around the Great Wall, promoted employee health, invited employees and their families to the Calgary Zoo to celebrate traditional Canadian fes"&amp;"tivals, and organized LiveWell themed events. In 2022, our project companies in Canada carried out a series of activities that respect local culture and promote cultural integration, and worked hard to shape a diverse, fair, and inclusive corporate cultur"&amp;"e.")</f>
        <v>Established a Diversity, Equity, and Inclusion (DEI) Committee, organized DEI training for all employees, worked hard to promote festival culture during traditional Chinese holidays in Canada, organized and encouraged employees to actively participate in traditional cultural activities, carried out festival publicity and introductions on National Indigenous Day, and demonstrated the company's efforts to establish harmonious relations with Indigenous peoples and promote community development. Participated in the launch of the Dragon Boat Race organized by the Calgary Dragon Boat Association, held a virtual challenge around the Great Wall, promoted employee health, invited employees and their families to the Calgary Zoo to celebrate traditional Canadian festivals, and organized LiveWell themed events. In 2022, our project companies in Canada carried out a series of activities that respect local culture and promote cultural integration, and worked hard to shape a diverse, fair, and inclusive corporate culture.</v>
      </c>
      <c r="B6013" s="1" t="str">
        <f ca="1">IFERROR(__xludf.DUMMYFUNCTION("GOOGLETRANSLATE(A6013, ""zh"", ""en"")"),"staff")</f>
        <v>staff</v>
      </c>
      <c r="C6013" s="1" t="str">
        <f ca="1">IFERROR(__xludf.DUMMYFUNCTION("GOOGLETRANSLATE(E6013, ""zh"", ""en"")"),"Qualitative text")</f>
        <v>Qualitative text</v>
      </c>
    </row>
    <row r="6014" spans="1:3" ht="13" x14ac:dyDescent="0.15">
      <c r="A6014" s="1" t="str">
        <f ca="1">IFERROR(__xludf.DUMMYFUNCTION("GOOGLETRANSLATE(A6014, ""zh"", ""en"")"),"The company's precise services accelerate cost reduction and efficiency improvement. The 2022 Zhejiang Listed Companies' Best Internal Control Award Top 10 Stock Code Company Name 2022 Ranking 601877600023600704000411002430002001002120601018600160601865 C"&amp;"hint Electric Zhejiang Energy Power Materials Zhongda Inter Group Hangzhou Oxygen Co., Ltd. Xinhecheng Yunda Co., Ltd. Ningbo Port Juhua Co., Ltd. Foyao Group 1234567891017 Innovative management system and mechanism for clean state-owned enterprises. The "&amp;"company continuously improves and enhances its scientific and technological innovation management system and introduces R&amp;D expense management measures to guide member companies to increase R&amp;D investment. Annual R&amp;D investment reached 811 million yuan, a"&amp;" year-on-year increase of 44.88%.")</f>
        <v>The company's precise services accelerate cost reduction and efficiency improvement. The 2022 Zhejiang Listed Companies' Best Internal Control Award Top 10 Stock Code Company Name 2022 Ranking 601877600023600704000411002430002001002120601018600160601865 Chint Electric Zhejiang Energy Power Materials Zhongda Inter Group Hangzhou Oxygen Co., Ltd. Xinhecheng Yunda Co., Ltd. Ningbo Port Juhua Co., Ltd. Foyao Group 1234567891017 Innovative management system and mechanism for clean state-owned enterprises. The company continuously improves and enhances its scientific and technological innovation management system and introduces R&amp;D expense management measures to guide member companies to increase R&amp;D investment. Annual R&amp;D investment reached 811 million yuan, a year-on-year increase of 44.88%.</v>
      </c>
      <c r="B6014" s="1" t="str">
        <f ca="1">IFERROR(__xludf.DUMMYFUNCTION("GOOGLETRANSLATE(A6014, ""zh"", ""en"")"),"Technological innovation")</f>
        <v>Technological innovation</v>
      </c>
      <c r="C6014" s="1" t="str">
        <f ca="1">IFERROR(__xludf.DUMMYFUNCTION("GOOGLETRANSLATE(E6014, ""zh"", ""en"")"),"Quantitative Text")</f>
        <v>Quantitative Text</v>
      </c>
    </row>
    <row r="6015" spans="1:3" ht="13" x14ac:dyDescent="0.15">
      <c r="A6015" s="1" t="str">
        <f ca="1">IFERROR(__xludf.DUMMYFUNCTION("GOOGLETRANSLATE(A6015, ""zh"", ""en"")"),"Customer Satisfaction: In September 2022, COSL participated in the 46th Indonesian National Petroleum Exhibition (IPA) and actively exchanged views with various oil and gas companies on the company's high-end self-developed technology, further enhancing t"&amp;"he understanding of Indonesian oil companies and international peers on the company's self-developed technology and brand influence. In 2022, COSL participated in the Asia-Pacific Drilling Technology Annual Conference (APDT) to showcase the company's tech"&amp;"nology and equipment capabilities, deepen communication with first-line IOC customers, and successfully establish cooperation with many international oil companies. COSL 2022 ESG Report 25: Adhering to innovation-driven development, COSL focuses on the st"&amp;"rategic positioning of becoming a leader in marine drilling technology and solidly promotes scientific and technological innovation to build a technological development pattern with mainstream technology, comprehensive main technology, outstanding charact"&amp;"eristic technology, and driving the iterative development of marine drilling technology.")</f>
        <v>Customer Satisfaction: In September 2022, COSL participated in the 46th Indonesian National Petroleum Exhibition (IPA) and actively exchanged views with various oil and gas companies on the company's high-end self-developed technology, further enhancing the understanding of Indonesian oil companies and international peers on the company's self-developed technology and brand influence. In 2022, COSL participated in the Asia-Pacific Drilling Technology Annual Conference (APDT) to showcase the company's technology and equipment capabilities, deepen communication with first-line IOC customers, and successfully establish cooperation with many international oil companies. COSL 2022 ESG Report 25: Adhering to innovation-driven development, COSL focuses on the strategic positioning of becoming a leader in marine drilling technology and solidly promotes scientific and technological innovation to build a technological development pattern with mainstream technology, comprehensive main technology, outstanding characteristic technology, and driving the iterative development of marine drilling technology.</v>
      </c>
      <c r="B6015" s="1" t="str">
        <f ca="1">IFERROR(__xludf.DUMMYFUNCTION("GOOGLETRANSLATE(A6015, ""zh"", ""en"")"),"Technological innovation")</f>
        <v>Technological innovation</v>
      </c>
      <c r="C6015" s="1" t="str">
        <f ca="1">IFERROR(__xludf.DUMMYFUNCTION("GOOGLETRANSLATE(E6015, ""zh"", ""en"")"),"Qualitative text")</f>
        <v>Qualitative text</v>
      </c>
    </row>
    <row r="6016" spans="1:3" ht="13" x14ac:dyDescent="0.15">
      <c r="A6016" s="1" t="str">
        <f ca="1">IFERROR(__xludf.DUMMYFUNCTION("GOOGLETRANSLATE(A6016, ""zh"", ""en"")"),"Indicator Unit 2022 2021 2020 Number of production safety accidents 193026 Number of recordable personal injury incidents 152918 OSHA recordable incident rate 0.04 0.08 0.06 Cumulative lost work day rate 1.96 2.56 1.68 Number of employee deaths 111 Number"&amp;" of contractor deaths 000 Production safety performance statistics 2020 2022 Note OSHA recordable incident rate Number of recordable incidents 200000 Total man-hours Cumulative lost work day rate Lost work day rate 200000 Total man-hours Security manageme"&amp;"nt system The company implements the internationalization strategy, strengthens the construction of international operation management capabilities, and adopts the internationally accepted system standard framework and language to establish an overseas pu"&amp;"blic safety system.")</f>
        <v>Indicator Unit 2022 2021 2020 Number of production safety accidents 193026 Number of recordable personal injury incidents 152918 OSHA recordable incident rate 0.04 0.08 0.06 Cumulative lost work day rate 1.96 2.56 1.68 Number of employee deaths 111 Number of contractor deaths 000 Production safety performance statistics 2020 2022 Note OSHA recordable incident rate Number of recordable incidents 200000 Total man-hours Cumulative lost work day rate Lost work day rate 200000 Total man-hours Security management system The company implements the internationalization strategy, strengthens the construction of international operation management capabilities, and adopts the internationally accepted system standard framework and language to establish an overseas public safety system.</v>
      </c>
      <c r="B6016" s="1" t="str">
        <f ca="1">IFERROR(__xludf.DUMMYFUNCTION("GOOGLETRANSLATE(A6016, ""zh"", ""en"")"),"staff")</f>
        <v>staff</v>
      </c>
      <c r="C6016" s="1" t="str">
        <f ca="1">IFERROR(__xludf.DUMMYFUNCTION("GOOGLETRANSLATE(E6016, ""zh"", ""en"")"),"Quantitative Text")</f>
        <v>Quantitative Text</v>
      </c>
    </row>
    <row r="6017" spans="1:3" ht="13" x14ac:dyDescent="0.15">
      <c r="A6017" s="1" t="str">
        <f ca="1">IFERROR(__xludf.DUMMYFUNCTION("GOOGLETRANSLATE(A6017, ""zh"", ""en"")"),"Case: Anxin Investment supports cutting-edge technological innovation in the industry, serving technological innovation enterprises with RMB 17.082 billion, serving manufacturing enterprises with RMB 55.080 billion, and serving infrastructure projects wit"&amp;"h RMB 144.275. Professional photographers use Zhixiang Optoelectronics scanners to scan and process museum collections to obtain a complete digital image. Xijing Technology helps Tianjin Port put into operation the world's first smart zero-carbon terminal"&amp;". Renowned thoracic surgery experts wear Liangliang Vision ARAI hearing-aid glasses to communicate with patients about diagnosis. Anxin Investment is an important window for Anxin Securities to support the real economy through finance. It has long adhered"&amp;" to serving national strategies, adapted to the development of the times, actively supported technological innovation, promoted green development, maintained a security system, provided financial momentum for the development of the real economy, and promo"&amp;"ted China's modernization.")</f>
        <v>Case: Anxin Investment supports cutting-edge technological innovation in the industry, serving technological innovation enterprises with RMB 17.082 billion, serving manufacturing enterprises with RMB 55.080 billion, and serving infrastructure projects with RMB 144.275. Professional photographers use Zhixiang Optoelectronics scanners to scan and process museum collections to obtain a complete digital image. Xijing Technology helps Tianjin Port put into operation the world's first smart zero-carbon terminal. Renowned thoracic surgery experts wear Liangliang Vision ARAI hearing-aid glasses to communicate with patients about diagnosis. Anxin Investment is an important window for Anxin Securities to support the real economy through finance. It has long adhered to serving national strategies, adapted to the development of the times, actively supported technological innovation, promoted green development, maintained a security system, provided financial momentum for the development of the real economy, and promoted China's modernization.</v>
      </c>
      <c r="B6017" s="1" t="str">
        <f ca="1">IFERROR(__xludf.DUMMYFUNCTION("GOOGLETRANSLATE(A6017, ""zh"", ""en"")"),"Technological innovation")</f>
        <v>Technological innovation</v>
      </c>
      <c r="C6017" s="1" t="str">
        <f ca="1">IFERROR(__xludf.DUMMYFUNCTION("GOOGLETRANSLATE(E6017, ""zh"", ""en"")"),"Quantitative Text")</f>
        <v>Quantitative Text</v>
      </c>
    </row>
    <row r="6018" spans="1:3" ht="13" x14ac:dyDescent="0.15">
      <c r="A6018" s="1" t="str">
        <f ca="1">IFERROR(__xludf.DUMMYFUNCTION("GOOGLETRANSLATE(A6018, ""zh"", ""en"")"),"The Group EHS Committee is led by the Group President's Office to supervise Fosun Pharma and its member companies to strengthen EHS5 management, establish a major accident reporting system, organize and approve major safety management, strengthen leadersh"&amp;"ip team building, cadre team building and institutional development, handle and conduct post-accident investigations, analyze and rectify the prevention work of all production accidents and environmental pollution incidents, formulate specific work requir"&amp;"ements, regularly collect Fosun Pharma and its member companies' annual EHS indicators, and regularly review the completion status. Propose annual or phased EHS performance indicators, organize internal EHS inspections, identify and implement major proble"&amp;"ms, and implement green manufacturing requirements. Deeply implement EHS awareness, rectification and implementation of green manufacturing projects. Define EHS management for personnel at all levels of headquarters and member companies. The Party Committ"&amp;"ee and the Trade Union are part of the EHS Committee.")</f>
        <v>The Group EHS Committee is led by the Group President's Office to supervise Fosun Pharma and its member companies to strengthen EHS5 management, establish a major accident reporting system, organize and approve major safety management, strengthen leadership team building, cadre team building and institutional development, handle and conduct post-accident investigations, analyze and rectify the prevention work of all production accidents and environmental pollution incidents, formulate specific work requirements, regularly collect Fosun Pharma and its member companies' annual EHS indicators, and regularly review the completion status. Propose annual or phased EHS performance indicators, organize internal EHS inspections, identify and implement major problems, and implement green manufacturing requirements. Deeply implement EHS awareness, rectification and implementation of green manufacturing projects. Define EHS management for personnel at all levels of headquarters and member companies. The Party Committee and the Trade Union are part of the EHS Committee.</v>
      </c>
      <c r="B6018" s="1" t="str">
        <f ca="1">IFERROR(__xludf.DUMMYFUNCTION("GOOGLETRANSLATE(A6018, ""zh"", ""en"")"),"Environmental Policy")</f>
        <v>Environmental Policy</v>
      </c>
      <c r="C6018" s="1" t="str">
        <f ca="1">IFERROR(__xludf.DUMMYFUNCTION("GOOGLETRANSLATE(E6018, ""zh"", ""en"")"),"Qualitative text")</f>
        <v>Qualitative text</v>
      </c>
    </row>
    <row r="6019" spans="1:3" ht="13" x14ac:dyDescent="0.15">
      <c r="A6019" s="1" t="str">
        <f ca="1">IFERROR(__xludf.DUMMYFUNCTION("GOOGLETRANSLATE(A6019, ""zh"", ""en"")"),"Case: Sinopec launches the Saihanba Ecological Demonstration Forest Internet Voluntary Tree Planting Project. 285,323,118,050 square meters, 1.939 million trees, 1.869 million square meters, 163,154,176,105,200. Sinopec Corporation. Sinopec Corporation 43"&amp;"44. Corporate Governance: Building a Strong Security Line, Addressing Climate Change, Respecting Human Rights, and Talent Cultivation, Environmental Protection, Fulfilling Social Responsibilities, and Promoting Energy Transformation. Green and Clean Energ"&amp;"y Strategy. Natural Gas. Sinopec takes green and clean energy as one of its development strategies, adheres to ecological priority, green transformation, and clean development, actively promotes energy transformation and development, and is committed to b"&amp;"uilding a clean, low-carbon, safe, and efficient modern energy system and production, supply, storage, and marketing system to achieve a clean, diversified, and secure energy supply.")</f>
        <v>Case: Sinopec launches the Saihanba Ecological Demonstration Forest Internet Voluntary Tree Planting Project. 285,323,118,050 square meters, 1.939 million trees, 1.869 million square meters, 163,154,176,105,200. Sinopec Corporation. Sinopec Corporation 4344. Corporate Governance: Building a Strong Security Line, Addressing Climate Change, Respecting Human Rights, and Talent Cultivation, Environmental Protection, Fulfilling Social Responsibilities, and Promoting Energy Transformation. Green and Clean Energy Strategy. Natural Gas. Sinopec takes green and clean energy as one of its development strategies, adheres to ecological priority, green transformation, and clean development, actively promotes energy transformation and development, and is committed to building a clean, low-carbon, safe, and efficient modern energy system and production, supply, storage, and marketing system to achieve a clean, diversified, and secure energy supply.</v>
      </c>
      <c r="B6019" s="1" t="str">
        <f ca="1">IFERROR(__xludf.DUMMYFUNCTION("GOOGLETRANSLATE(A6019, ""zh"", ""en"")"),"Energy and resource consumption")</f>
        <v>Energy and resource consumption</v>
      </c>
      <c r="C6019" s="1" t="str">
        <f ca="1">IFERROR(__xludf.DUMMYFUNCTION("GOOGLETRANSLATE(E6019, ""zh"", ""en"")"),"Quantitative Text")</f>
        <v>Quantitative Text</v>
      </c>
    </row>
    <row r="6020" spans="1:3" ht="13" x14ac:dyDescent="0.15">
      <c r="A6020" s="1" t="str">
        <f ca="1">IFERROR(__xludf.DUMMYFUNCTION("GOOGLETRANSLATE(A6020, ""zh"", ""en"")"),"Security capability testing and verification platform. PC security products. Market penetration rate: 100 million. Average monthly active users: 1st in the security market. PC browsers. Market penetration rate: 100 million. Average monthly active users: 1"&amp;"00 million. Digital anti-fraud services exceed early warning accuracy. Accumulated anti-fraud early warning data pushed out, empowering national and local anti-fraud centers. Visit the ESG management topic to see responsibility, security first, people-ori"&amp;"ented, mutual benefit and win-win. GRI content index: www..cn.. Coverage: Fraud case scenarios. As of (date), a Henan university has built an industrial Internet laboratory. The global neural network aligns with national conditions and supports practical "&amp;"network security. The digital security capability testing and verification platform provides digital security teaching and scientific research support, covering scenarios such as information technology innovation, big data, artificial intelligence, the In"&amp;"ternet of Things, and the Industrial Internet.")</f>
        <v>Security capability testing and verification platform. PC security products. Market penetration rate: 100 million. Average monthly active users: 1st in the security market. PC browsers. Market penetration rate: 100 million. Average monthly active users: 100 million. Digital anti-fraud services exceed early warning accuracy. Accumulated anti-fraud early warning data pushed out, empowering national and local anti-fraud centers. Visit the ESG management topic to see responsibility, security first, people-oriented, mutual benefit and win-win. GRI content index: www..cn.. Coverage: Fraud case scenarios. As of (date), a Henan university has built an industrial Internet laboratory. The global neural network aligns with national conditions and supports practical network security. The digital security capability testing and verification platform provides digital security teaching and scientific research support, covering scenarios such as information technology innovation, big data, artificial intelligence, the Internet of Things, and the Industrial Internet.</v>
      </c>
      <c r="B6020" s="1" t="str">
        <f ca="1">IFERROR(__xludf.DUMMYFUNCTION("GOOGLETRANSLATE(A6020, ""zh"", ""en"")"),"Data security")</f>
        <v>Data security</v>
      </c>
      <c r="C6020" s="1" t="str">
        <f ca="1">IFERROR(__xludf.DUMMYFUNCTION("GOOGLETRANSLATE(E6020, ""zh"", ""en"")"),"Quantitative Text")</f>
        <v>Quantitative Text</v>
      </c>
    </row>
    <row r="6021" spans="1:3" ht="13" x14ac:dyDescent="0.15">
      <c r="A6021" s="1" t="str">
        <f ca="1">IFERROR(__xludf.DUMMYFUNCTION("GOOGLETRANSLATE(A6021, ""zh"", ""en"")"),"Actively improve monitoring, diagnosis, energy auditing, and maintenance systems; establish classified statistical records; regularly analyze energy consumption data; deeply explore energy-saving potential; steadily advance waste management; properly hand"&amp;"le all types of hazardous and harmless waste; strengthen the promotion of green environmental protection concepts; organize and carry out energy conservation publicity week activities with the theme of ""Green, Low-Carbon, Energy Conservation First, Imple"&amp;"ment the Double Carbon Action and Build a Beautiful Home""; raise employees' awareness of energy conservation and emission reduction; persist in carrying out energy-saving technology transformation; select high-efficiency and environmentally friendly equi"&amp;"pment; develop and apply carbon emission management systems; establish a bottom-up and regular monthly reporting mechanism; comprehensively review the energy and resource consumption status of the entire bank in 2022; and actively discuss with carbon emis"&amp;"sion experts to optimize energy consumption statistical standards.")</f>
        <v>Actively improve monitoring, diagnosis, energy auditing, and maintenance systems; establish classified statistical records; regularly analyze energy consumption data; deeply explore energy-saving potential; steadily advance waste management; properly handle all types of hazardous and harmless waste; strengthen the promotion of green environmental protection concepts; organize and carry out energy conservation publicity week activities with the theme of "Green, Low-Carbon, Energy Conservation First, Implement the Double Carbon Action and Build a Beautiful Home"; raise employees' awareness of energy conservation and emission reduction; persist in carrying out energy-saving technology transformation; select high-efficiency and environmentally friendly equipment; develop and apply carbon emission management systems; establish a bottom-up and regular monthly reporting mechanism; comprehensively review the energy and resource consumption status of the entire bank in 2022; and actively discuss with carbon emission experts to optimize energy consumption statistical standards.</v>
      </c>
      <c r="B6021" s="1" t="str">
        <f ca="1">IFERROR(__xludf.DUMMYFUNCTION("GOOGLETRANSLATE(A6021, ""zh"", ""en"")"),"Energy and resource consumption")</f>
        <v>Energy and resource consumption</v>
      </c>
      <c r="C6021" s="1" t="str">
        <f ca="1">IFERROR(__xludf.DUMMYFUNCTION("GOOGLETRANSLATE(E6021, ""zh"", ""en"")"),"Qualitative text")</f>
        <v>Qualitative text</v>
      </c>
    </row>
    <row r="6022" spans="1:3" ht="13" x14ac:dyDescent="0.15">
      <c r="A6022" s="1" t="str">
        <f ca="1">IFERROR(__xludf.DUMMYFUNCTION("GOOGLETRANSLATE(A6022, ""zh"", ""en"")"),"2022d GRI 203 Indirect Economic Impacts GRI 3 Material Topics 2021 33 Management of Material Topics pp.24 30 pp.114 119 GRI 203 Indirect Economic Impacts 2031 Infrastructure Investment and Support Services pp.114 119 2016 2032 Significant Indirect Economi"&amp;"c Impacts pp.114 119 GRI 204 Procurement Practices GRI 3 Material Topics 33 Management of Material Topics pp.28 30 pp.64 69 2021 Fosun Pharma Supplier Code of Conduct GRI 204 Procurement Practices 2016 2041 Proportion of expenditure on purchases from loca"&amp;"l suppliers 2041a 2041b Statistics not yet available 2041c Proportion of expenditure on purchases from local suppliers")</f>
        <v>2022d GRI 203 Indirect Economic Impacts GRI 3 Material Topics 2021 33 Management of Material Topics pp.24 30 pp.114 119 GRI 203 Indirect Economic Impacts 2031 Infrastructure Investment and Support Services pp.114 119 2016 2032 Significant Indirect Economic Impacts pp.114 119 GRI 204 Procurement Practices GRI 3 Material Topics 33 Management of Material Topics pp.28 30 pp.64 69 2021 Fosun Pharma Supplier Code of Conduct GRI 204 Procurement Practices 2016 2041 Proportion of expenditure on purchases from local suppliers 2041a 2041b Statistics not yet available 2041c Proportion of expenditure on purchases from local suppliers</v>
      </c>
      <c r="B6022" s="1" t="str">
        <f ca="1">IFERROR(__xludf.DUMMYFUNCTION("GOOGLETRANSLATE(A6022, ""zh"", ""en"")"),"supply chain management")</f>
        <v>supply chain management</v>
      </c>
      <c r="C6022" s="1" t="str">
        <f ca="1">IFERROR(__xludf.DUMMYFUNCTION("GOOGLETRANSLATE(E6022, ""zh"", ""en"")"),"Quantitative Text")</f>
        <v>Quantitative Text</v>
      </c>
    </row>
    <row r="6023" spans="1:3" ht="13" x14ac:dyDescent="0.15">
      <c r="A6023" s="1" t="str">
        <f ca="1">IFERROR(__xludf.DUMMYFUNCTION("GOOGLETRANSLATE(A6023, ""zh"", ""en"")"),"87860203040506 Protecting the Planet, Exploring a Green and Low-Carbon Future, Promoting Diversified and Inclusive Development through Human-Order Integration, Responsible Sourcing, Building a Sustainable Supply Chain, Intelligent Experiences, Leading a B"&amp;"etter Life, Uniting Hearts and Minds to Promote Equitable Development 01 Global Collaboration: Sustainable Governance Ecosystem, Haier Smart Home Co., Ltd. Environmental, Social and Governance Report, Haier America GEA Launches Blue Wave Charity Project, "&amp;"BlueWave, Haier Europe Donates to a Local Foundation in Serbia, GEA Continues to Promote Blue Wave Charity Project in 2022, BlueWave Committed to Dedicate 20,000 Hours to Community Volunteer Activities within One Year, Expanding the Scope of Volunteer Act"&amp;"ivities from the United States to Globally, Supporting Public Schools, Non-profit Organizations, and Communities Worldwide")</f>
        <v>87860203040506 Protecting the Planet, Exploring a Green and Low-Carbon Future, Promoting Diversified and Inclusive Development through Human-Order Integration, Responsible Sourcing, Building a Sustainable Supply Chain, Intelligent Experiences, Leading a Better Life, Uniting Hearts and Minds to Promote Equitable Development 01 Global Collaboration: Sustainable Governance Ecosystem, Haier Smart Home Co., Ltd. Environmental, Social and Governance Report, Haier America GEA Launches Blue Wave Charity Project, BlueWave, Haier Europe Donates to a Local Foundation in Serbia, GEA Continues to Promote Blue Wave Charity Project in 2022, BlueWave Committed to Dedicate 20,000 Hours to Community Volunteer Activities within One Year, Expanding the Scope of Volunteer Activities from the United States to Globally, Supporting Public Schools, Non-profit Organizations, and Communities Worldwide</v>
      </c>
      <c r="B6023" s="1" t="str">
        <f ca="1">IFERROR(__xludf.DUMMYFUNCTION("GOOGLETRANSLATE(A6023, ""zh"", ""en"")"),"Public welfare and volunteer service")</f>
        <v>Public welfare and volunteer service</v>
      </c>
      <c r="C6023" s="1" t="str">
        <f ca="1">IFERROR(__xludf.DUMMYFUNCTION("GOOGLETRANSLATE(E6023, ""zh"", ""en"")"),"Quantitative Text")</f>
        <v>Quantitative Text</v>
      </c>
    </row>
    <row r="6024" spans="1:3" ht="13" x14ac:dyDescent="0.15">
      <c r="A6024" s="1" t="str">
        <f ca="1">IFERROR(__xludf.DUMMYFUNCTION("GOOGLETRANSLATE(A6024, ""zh"", ""en"")"),"The company has 16 varieties and 23 specifications that have passed the consistency evaluation, including 4 products deemed to be equivalent and winning bids in the national centralized procurement. The company has obtained dual-channel pharmacy settlemen"&amp;"t qualifications in 8 cities, among which Renfu Guanshan Critical Care Pharmacy has been identified as a designated pharmacy in the third batch of provincial medical insurance inter-provincial medical treatment.")</f>
        <v>The company has 16 varieties and 23 specifications that have passed the consistency evaluation, including 4 products deemed to be equivalent and winning bids in the national centralized procurement. The company has obtained dual-channel pharmacy settlement qualifications in 8 cities, among which Renfu Guanshan Critical Care Pharmacy has been identified as a designated pharmacy in the third batch of provincial medical insurance inter-provincial medical treatment.</v>
      </c>
      <c r="B6024" s="1" t="str">
        <f ca="1">IFERROR(__xludf.DUMMYFUNCTION("GOOGLETRANSLATE(A6024, ""zh"", ""en"")"),"Product quality")</f>
        <v>Product quality</v>
      </c>
      <c r="C6024" s="1" t="str">
        <f ca="1">IFERROR(__xludf.DUMMYFUNCTION("GOOGLETRANSLATE(E6024, ""zh"", ""en"")"),"Quantitative Text")</f>
        <v>Quantitative Text</v>
      </c>
    </row>
    <row r="6025" spans="1:3" ht="13" x14ac:dyDescent="0.15">
      <c r="A6025" s="1" t="str">
        <f ca="1">IFERROR(__xludf.DUMMYFUNCTION("GOOGLETRANSLATE(A6025, ""zh"", ""en"")"),"Cancer pain education raises public awareness. Cancer pain is one of the most common and unbearable symptoms for cancer patients. To enable the general public to scientifically and rationally prevent and treat cancer pain, Yichang Renfu, in collaboration "&amp;"with the oncology and pain departments of major tertiary hospitals, carried out multi-channel cancer pain education in 2022. It released a series of popular science videos on ""How Much Do You Know About Cancer Pain"" with over 3,000 hits, distributed nea"&amp;"rly 10,000 patient education manuals in nearly 100 hospitals, posted popular science posters in more than 50 hospitals, and held more than 20 patient education sessions or free clinics.")</f>
        <v>Cancer pain education raises public awareness. Cancer pain is one of the most common and unbearable symptoms for cancer patients. To enable the general public to scientifically and rationally prevent and treat cancer pain, Yichang Renfu, in collaboration with the oncology and pain departments of major tertiary hospitals, carried out multi-channel cancer pain education in 2022. It released a series of popular science videos on "How Much Do You Know About Cancer Pain" with over 3,000 hits, distributed nearly 10,000 patient education manuals in nearly 100 hospitals, posted popular science posters in more than 50 hospitals, and held more than 20 patient education sessions or free clinics.</v>
      </c>
      <c r="B6025" s="1" t="str">
        <f ca="1">IFERROR(__xludf.DUMMYFUNCTION("GOOGLETRANSLATE(A6025, ""zh"", ""en"")"),"Public welfare and volunteer service")</f>
        <v>Public welfare and volunteer service</v>
      </c>
      <c r="C6025" s="1" t="str">
        <f ca="1">IFERROR(__xludf.DUMMYFUNCTION("GOOGLETRANSLATE(E6025, ""zh"", ""en"")"),"Quantitative Text")</f>
        <v>Quantitative Text</v>
      </c>
    </row>
    <row r="6026" spans="1:3" ht="13" x14ac:dyDescent="0.15">
      <c r="A6026" s="1" t="str">
        <f ca="1">IFERROR(__xludf.DUMMYFUNCTION("GOOGLETRANSLATE(A6026, ""zh"", ""en"")"),"Intellectual property protection At the same time, the company has won many innovation honors awards, including 5 China Patent Excellence Awards, 3 Beijing Invention Patent First Prize and Third Prize, and 3 Beijing Science and Technology Award Second Pri"&amp;"ze and Third Prize. By the end of 2022, it has obtained more than 6,500 patent authorizations, more than 6,000 trademark registrations, and more than 6,000 copyrights. It protects its own intellectual property rights. As the vice president unit of the Chi"&amp;"na Patent Protection Association, a senior group member unit of the China Intellectual Property Research Association, a director unit of the China Trademark Association, and the vice president unit of the Beijing Intellectual Property Protection Associati"&amp;"on, the company actively participates in the revision of my country's patent and trademark laws and regulations and solicits opinions and discusses them, and through its own practice, it is committed to promoting innovation in the industry and the country"&amp;" and promoting the improvement of the intellectual property environment.")</f>
        <v>Intellectual property protection At the same time, the company has won many innovation honors awards, including 5 China Patent Excellence Awards, 3 Beijing Invention Patent First Prize and Third Prize, and 3 Beijing Science and Technology Award Second Prize and Third Prize. By the end of 2022, it has obtained more than 6,500 patent authorizations, more than 6,000 trademark registrations, and more than 6,000 copyrights. It protects its own intellectual property rights. As the vice president unit of the China Patent Protection Association, a senior group member unit of the China Intellectual Property Research Association, a director unit of the China Trademark Association, and the vice president unit of the Beijing Intellectual Property Protection Association, the company actively participates in the revision of my country's patent and trademark laws and regulations and solicits opinions and discusses them, and through its own practice, it is committed to promoting innovation in the industry and the country and promoting the improvement of the intellectual property environment.</v>
      </c>
      <c r="B6026" s="1" t="str">
        <f ca="1">IFERROR(__xludf.DUMMYFUNCTION("GOOGLETRANSLATE(A6026, ""zh"", ""en"")"),"Intellectual Property Protection")</f>
        <v>Intellectual Property Protection</v>
      </c>
      <c r="C6026" s="1" t="str">
        <f ca="1">IFERROR(__xludf.DUMMYFUNCTION("GOOGLETRANSLATE(E6026, ""zh"", ""en"")"),"Quantitative Text")</f>
        <v>Quantitative Text</v>
      </c>
    </row>
    <row r="6027" spans="1:3" ht="13" x14ac:dyDescent="0.15">
      <c r="A6027" s="1" t="str">
        <f ca="1">IFERROR(__xludf.DUMMYFUNCTION("GOOGLETRANSLATE(A6027, ""zh"", ""en"")"),"In addition to statutory benefits, we provide a wide range of non-salary benefits to all employees, including full-time, part-time and temporary employees. We provide welfare dormitories for employees and assist them in applying for government talent hous"&amp;"ing or talent housing subsidies to alleviate their housing pressure. We have set up a gym within the company and offer dance, yoga, aerobics and other exercise courses to encourage employees to combine work and rest. We regularly hold annual meetings, tra"&amp;"ditional festival activities, team-building activities, etc. to improve the foundation of corporate culture and create a harmonious and healthy working atmosphere. We organize amateur cultural activities based on employees' personal interests and hobbies "&amp;"to cultivate team spirit and balance their work and life. We truly care about the physical health of our employees and regularly organize occupational health examinations and provide traditional Chinese medicine services in the park to continuously enhanc"&amp;"e employees' sense of happiness and belonging.")</f>
        <v>In addition to statutory benefits, we provide a wide range of non-salary benefits to all employees, including full-time, part-time and temporary employees. We provide welfare dormitories for employees and assist them in applying for government talent housing or talent housing subsidies to alleviate their housing pressure. We have set up a gym within the company and offer dance, yoga, aerobics and other exercise courses to encourage employees to combine work and rest. We regularly hold annual meetings, traditional festival activities, team-building activities, etc. to improve the foundation of corporate culture and create a harmonious and healthy working atmosphere. We organize amateur cultural activities based on employees' personal interests and hobbies to cultivate team spirit and balance their work and life. We truly care about the physical health of our employees and regularly organize occupational health examinations and provide traditional Chinese medicine services in the park to continuously enhance employees' sense of happiness and belonging.</v>
      </c>
      <c r="B6027" s="1" t="str">
        <f ca="1">IFERROR(__xludf.DUMMYFUNCTION("GOOGLETRANSLATE(A6027, ""zh"", ""en"")"),"staff")</f>
        <v>staff</v>
      </c>
      <c r="C6027" s="1" t="str">
        <f ca="1">IFERROR(__xludf.DUMMYFUNCTION("GOOGLETRANSLATE(E6027, ""zh"", ""en"")"),"Qualitative text")</f>
        <v>Qualitative text</v>
      </c>
    </row>
    <row r="6028" spans="1:3" ht="13" x14ac:dyDescent="0.15">
      <c r="A6028" s="1" t="str">
        <f ca="1">IFERROR(__xludf.DUMMYFUNCTION("GOOGLETRANSLATE(A6028, ""zh"", ""en"")"),"More than 930,000 attacks were intercepted. The information security of Essence Securities, Guotou Taikang Trust, and Guotou UBS Fund passed the ISO27001 international certification. IT services passed the ISO20000 international certification. Cutting-edg"&amp;"e technologies such as cloud computing, big data, and intelligence are constantly being introduced into information system security management. Training on the personal information protection law system and key topics was held, with nearly 200 people from"&amp;" relevant departments participating. Confidentiality regulations and other systems were established to stipulate confidentiality requirements for customer information, internal control measures, job responsibilities, etc. Network information security, dat"&amp;"a security, and personal information protection publicity activities were carried out for employees and investors. Guotou Capital's 2022 ESG report: Let's work together to build a better society. 5859 Business Innovation Guotou Capital focuses on digital "&amp;"empowerment organizations and urges invested companies to formulate and complete the 14th Five-Year Plan for digital transformation.")</f>
        <v>More than 930,000 attacks were intercepted. The information security of Essence Securities, Guotou Taikang Trust, and Guotou UBS Fund passed the ISO27001 international certification. IT services passed the ISO20000 international certification. Cutting-edge technologies such as cloud computing, big data, and intelligence are constantly being introduced into information system security management. Training on the personal information protection law system and key topics was held, with nearly 200 people from relevant departments participating. Confidentiality regulations and other systems were established to stipulate confidentiality requirements for customer information, internal control measures, job responsibilities, etc. Network information security, data security, and personal information protection publicity activities were carried out for employees and investors. Guotou Capital's 2022 ESG report: Let's work together to build a better society. 5859 Business Innovation Guotou Capital focuses on digital empowerment organizations and urges invested companies to formulate and complete the 14th Five-Year Plan for digital transformation.</v>
      </c>
      <c r="B6028" s="1" t="str">
        <f ca="1">IFERROR(__xludf.DUMMYFUNCTION("GOOGLETRANSLATE(A6028, ""zh"", ""en"")"),"Data security")</f>
        <v>Data security</v>
      </c>
      <c r="C6028" s="1" t="str">
        <f ca="1">IFERROR(__xludf.DUMMYFUNCTION("GOOGLETRANSLATE(E6028, ""zh"", ""en"")"),"Qualitative text")</f>
        <v>Qualitative text</v>
      </c>
    </row>
    <row r="6029" spans="1:3" ht="13" x14ac:dyDescent="0.15">
      <c r="A6029" s="1" t="str">
        <f ca="1">IFERROR(__xludf.DUMMYFUNCTION("GOOGLETRANSLATE(A6029, ""zh"", ""en"")"),"Promote green partnerships across the supply chain. COSL 2022 ESG Report 31 Promote green development Adhere to safety bottom lines, ensure occupational health, and practice safety and environmental protection. COSL 2022 ESG Report 32 Promote green develo"&amp;"pment Environmental management Establish environmental protection systems Environmental impact assessment Environmental education and training The company conscientiously implements the Environmental Protection Law and other laws, regulations, and normati"&amp;"ve documents on air, water, and soil pollution prevention and control. The existing environmental protection management system is split and integrated according to management professional types. New water management, solid waste management, recycling and "&amp;"reuse management, exhaust gas and noise emission management system documents are revised. Environmental protection management system documents promote the standardization of environmental protection work, strengthen pollution prevention and control manage"&amp;"ment, focus on ecological environment and resource protection, and reduce the impact of production and operation activities on the ecological environment.")</f>
        <v>Promote green partnerships across the supply chain. COSL 2022 ESG Report 31 Promote green development Adhere to safety bottom lines, ensure occupational health, and practice safety and environmental protection. COSL 2022 ESG Report 32 Promote green development Environmental management Establish environmental protection systems Environmental impact assessment Environmental education and training The company conscientiously implements the Environmental Protection Law and other laws, regulations, and normative documents on air, water, and soil pollution prevention and control. The existing environmental protection management system is split and integrated according to management professional types. New water management, solid waste management, recycling and reuse management, exhaust gas and noise emission management system documents are revised. Environmental protection management system documents promote the standardization of environmental protection work, strengthen pollution prevention and control management, focus on ecological environment and resource protection, and reduce the impact of production and operation activities on the ecological environment.</v>
      </c>
      <c r="B6029" s="1" t="str">
        <f ca="1">IFERROR(__xludf.DUMMYFUNCTION("GOOGLETRANSLATE(A6029, ""zh"", ""en"")"),"Environmental Policy")</f>
        <v>Environmental Policy</v>
      </c>
      <c r="C6029" s="1" t="str">
        <f ca="1">IFERROR(__xludf.DUMMYFUNCTION("GOOGLETRANSLATE(E6029, ""zh"", ""en"")"),"Qualitative text")</f>
        <v>Qualitative text</v>
      </c>
    </row>
    <row r="6030" spans="1:3" ht="13" x14ac:dyDescent="0.15">
      <c r="A6030" s="1" t="str">
        <f ca="1">IFERROR(__xludf.DUMMYFUNCTION("GOOGLETRANSLATE(A6030, ""zh"", ""en"")"),"The legal and compliant disposal rate of solid waste reached 100%. Solid waste disposal reached 248.5 million tons. General solid waste volume reached 94.3 million tons. Hazardous waste volume reached 100. Note: The above data are the solid waste volumes "&amp;"entrusted by the company to a third-party agency with relevant qualifications for disposal. 100%. General solid waste compliance disposal rate: 100%. Hazardous waste compliance disposal rate: Chemical oxygen demand (COD) emissions reached 10,000 tons. 0.5"&amp;"0. China National Petroleum Corporation 2022 Environmental, Social and Governance Report 64. Biodiversity Conservation We actively respond to global initiatives and international conventions such as the United Nations 2030 Agenda for Sustainable Developme"&amp;"nt and the Convention on Biological Diversity, as well as the Chinese government's opinions on further strengthening biodiversity conservation. We firmly establish the concept of ecological civilization that respects, adapts to, and protects nature.")</f>
        <v>The legal and compliant disposal rate of solid waste reached 100%. Solid waste disposal reached 248.5 million tons. General solid waste volume reached 94.3 million tons. Hazardous waste volume reached 100. Note: The above data are the solid waste volumes entrusted by the company to a third-party agency with relevant qualifications for disposal. 100%. General solid waste compliance disposal rate: 100%. Hazardous waste compliance disposal rate: Chemical oxygen demand (COD) emissions reached 10,000 tons. 0.50. China National Petroleum Corporation 2022 Environmental, Social and Governance Report 64. Biodiversity Conservation We actively respond to global initiatives and international conventions such as the United Nations 2030 Agenda for Sustainable Development and the Convention on Biological Diversity, as well as the Chinese government's opinions on further strengthening biodiversity conservation. We firmly establish the concept of ecological civilization that respects, adapts to, and protects nature.</v>
      </c>
      <c r="B6030" s="1" t="str">
        <f ca="1">IFERROR(__xludf.DUMMYFUNCTION("GOOGLETRANSLATE(A6030, ""zh"", ""en"")"),"Waste Management")</f>
        <v>Waste Management</v>
      </c>
      <c r="C6030" s="1" t="str">
        <f ca="1">IFERROR(__xludf.DUMMYFUNCTION("GOOGLETRANSLATE(E6030, ""zh"", ""en"")"),"Quantitative Text")</f>
        <v>Quantitative Text</v>
      </c>
    </row>
    <row r="6031" spans="1:3" ht="13" x14ac:dyDescent="0.15">
      <c r="A6031" s="1" t="str">
        <f ca="1">IFERROR(__xludf.DUMMYFUNCTION("GOOGLETRANSLATE(A6031, ""zh"", ""en"")"),"Major scientific and technological achievements include the development of the first 1500Nm3h alkaline water electrolysis hydrogen production equipment, the development of 50Nm3h PEM water electrolysis hydrogen production equipment, the commissioning of t"&amp;"he first 8.5MW offshore semi-direct drive wind turbine, the development of S112 ultra-long offshore wind turbine blades, the commissioning of the Jinzhai 100MW energy storage power station, the development of high-power flywheel energy storage, the develo"&amp;"pment of high-speed single-pole rectifier generators and their systems, the development of high-capacity, long-life 8,000-cycle lithium-ion batteries, the commissioning of a 10,000Nm3h amine-based carbon dioxide capture device, the development of core equ"&amp;"ipment for sodium-cooled fast reactors, the commissioning of integrated ultra-low emission technology and equipment for flue gas, the development of pervaporation membrane technology for the resource recovery of waste water-based coating solvents, the fir"&amp;"st set of A-type axle box bearings for subways, and the development of high-speed, low-energy-consumption bearings for new energy vehicles.")</f>
        <v>Major scientific and technological achievements include the development of the first 1500Nm3h alkaline water electrolysis hydrogen production equipment, the development of 50Nm3h PEM water electrolysis hydrogen production equipment, the commissioning of the first 8.5MW offshore semi-direct drive wind turbine, the development of S112 ultra-long offshore wind turbine blades, the commissioning of the Jinzhai 100MW energy storage power station, the development of high-power flywheel energy storage, the development of high-speed single-pole rectifier generators and their systems, the development of high-capacity, long-life 8,000-cycle lithium-ion batteries, the commissioning of a 10,000Nm3h amine-based carbon dioxide capture device, the development of core equipment for sodium-cooled fast reactors, the commissioning of integrated ultra-low emission technology and equipment for flue gas, the development of pervaporation membrane technology for the resource recovery of waste water-based coating solvents, the first set of A-type axle box bearings for subways, and the development of high-speed, low-energy-consumption bearings for new energy vehicles.</v>
      </c>
      <c r="B6031" s="1" t="str">
        <f ca="1">IFERROR(__xludf.DUMMYFUNCTION("GOOGLETRANSLATE(A6031, ""zh"", ""en"")"),"Technological innovation")</f>
        <v>Technological innovation</v>
      </c>
      <c r="C6031" s="1" t="str">
        <f ca="1">IFERROR(__xludf.DUMMYFUNCTION("GOOGLETRANSLATE(E6031, ""zh"", ""en"")"),"Qualitative text")</f>
        <v>Qualitative text</v>
      </c>
    </row>
    <row r="6032" spans="1:3" ht="13" x14ac:dyDescent="0.15">
      <c r="A6032" s="1" t="str">
        <f ca="1">IFERROR(__xludf.DUMMYFUNCTION("GOOGLETRANSLATE(A6032, ""zh"", ""en"")"),"33320203040506Protecting the PlanetExploring a Green and Low-Carbon FutureIntegrating People and GoalsPromoting Diversified and Inclusive DevelopmentResponsible ProcurementBuilding a Sustainable Supply ChainSmart ExperienceLeading a Better LifeUniting Hea"&amp;"rts and SoulsPromoting Equitable Development01Global CollaborationSustainable GovernanceEcosystemHaier Smart Home Co., Ltd.Environmental, Social and Governance ReportHaier Smart Home strictly abides by the Environmental Protection Law of the People's Repu"&amp;"blic of ChinaWater Pollution Prevention and Control Law of the People's Republic of ChinaAir Pollution Prevention and Control Law of the People's Republic of ChinaSolid Waste Pollution Prevention and Control Law and other relevant laws and regulations in "&amp;"other locations of operations worldwideContinuously improve the environmental management systemThrough clarifying pollutant control and treatment procedures, promoting waste reduction technology transformation projects, and other means to reduce the disch"&amp;"arge of wastewater, waste gas, hazardous waste, and harmless waste.")</f>
        <v>33320203040506Protecting the PlanetExploring a Green and Low-Carbon FutureIntegrating People and GoalsPromoting Diversified and Inclusive DevelopmentResponsible ProcurementBuilding a Sustainable Supply ChainSmart ExperienceLeading a Better LifeUniting Hearts and SoulsPromoting Equitable Development01Global CollaborationSustainable GovernanceEcosystemHaier Smart Home Co., Ltd.Environmental, Social and Governance ReportHaier Smart Home strictly abides by the Environmental Protection Law of the People's Republic of ChinaWater Pollution Prevention and Control Law of the People's Republic of ChinaAir Pollution Prevention and Control Law of the People's Republic of ChinaSolid Waste Pollution Prevention and Control Law and other relevant laws and regulations in other locations of operations worldwideContinuously improve the environmental management systemThrough clarifying pollutant control and treatment procedures, promoting waste reduction technology transformation projects, and other means to reduce the discharge of wastewater, waste gas, hazardous waste, and harmless waste.</v>
      </c>
      <c r="B6032" s="1" t="str">
        <f ca="1">IFERROR(__xludf.DUMMYFUNCTION("GOOGLETRANSLATE(A6032, ""zh"", ""en"")"),"Waste Management")</f>
        <v>Waste Management</v>
      </c>
      <c r="C6032" s="1" t="str">
        <f ca="1">IFERROR(__xludf.DUMMYFUNCTION("GOOGLETRANSLATE(E6032, ""zh"", ""en"")"),"Qualitative text")</f>
        <v>Qualitative text</v>
      </c>
    </row>
    <row r="6033" spans="1:3" ht="13" x14ac:dyDescent="0.15">
      <c r="A6033" s="1" t="str">
        <f ca="1">IFERROR(__xludf.DUMMYFUNCTION("GOOGLETRANSLATE(A6033, ""zh"", ""en"")"),"Strengthen communication and exchanges to jointly address climate change. Chairman Dai Houliang was invited to attend and speak at the 2022 BRICS Business Forum's Symposium on Accelerating Green Transformation and Promoting Global Sustainable Development."&amp;" He also attended the Shanghai International Import Expo and the China Petroleum International Cooperation Forum and delivered a keynote speech on expanding open cooperation, jointly meeting challenges, and jointly safeguarding energy supply security in t"&amp;"he green and low-carbon transition. He participated in the International High-end Forum on Green and Low-Carbon Energy Transformation and shared the company's green and low-carbon transformation practices. He participated in policy consultations with the "&amp;"Hong Kong Stock Exchange, conducted exchanges and communications with MSCI, and actively participated in the work of the China Association of Public Companies (hereinafter referred to as the China Association for Public Companies). Mr. Wang Hua, the compa"&amp;"ny's CFO and Secretary of the Board of Directors, was elected Deputy Director of the ESG Professional Committee of the China Association for Public Companies and shared the company's practices at the inaugural meeting.")</f>
        <v>Strengthen communication and exchanges to jointly address climate change. Chairman Dai Houliang was invited to attend and speak at the 2022 BRICS Business Forum's Symposium on Accelerating Green Transformation and Promoting Global Sustainable Development. He also attended the Shanghai International Import Expo and the China Petroleum International Cooperation Forum and delivered a keynote speech on expanding open cooperation, jointly meeting challenges, and jointly safeguarding energy supply security in the green and low-carbon transition. He participated in the International High-end Forum on Green and Low-Carbon Energy Transformation and shared the company's green and low-carbon transformation practices. He participated in policy consultations with the Hong Kong Stock Exchange, conducted exchanges and communications with MSCI, and actively participated in the work of the China Association of Public Companies (hereinafter referred to as the China Association for Public Companies). Mr. Wang Hua, the company's CFO and Secretary of the Board of Directors, was elected Deputy Director of the ESG Professional Committee of the China Association for Public Companies and shared the company's practices at the inaugural meeting.</v>
      </c>
      <c r="B6033" s="1" t="str">
        <f ca="1">IFERROR(__xludf.DUMMYFUNCTION("GOOGLETRANSLATE(A6033, ""zh"", ""en"")"),"Addressing climate change")</f>
        <v>Addressing climate change</v>
      </c>
      <c r="C6033" s="1" t="str">
        <f ca="1">IFERROR(__xludf.DUMMYFUNCTION("GOOGLETRANSLATE(E6033, ""zh"", ""en"")"),"Qualitative text")</f>
        <v>Qualitative text</v>
      </c>
    </row>
    <row r="6034" spans="1:3" ht="13" x14ac:dyDescent="0.15">
      <c r="A6034" s="1" t="str">
        <f ca="1">IFERROR(__xludf.DUMMYFUNCTION("GOOGLETRANSLATE(A6034, ""zh"", ""en"")"),"Strictly investigate and deal with corruption. Number of anti-corruption trainings: 10,000 people. Coverage of anti-corruption trainings: 10,000 people. Number of disciplinary and legal education trainings: 10,000 people. Number of participants in discipl"&amp;"inary and legal education trainings: 10,000 people. Total number of public entries in the annual business disclosure information system: 10,000. Indicators: 105.21001.385.2533.782020118.71001.486.9444.092021119.51001.488.2489.372022 Supply chain anti-corr"&amp;"uption compliance. The company has formulated a series of management systems related to the anti-corruption code of conduct for suppliers and contractors, such as the management regulations for signing the letter of responsibility for honest employment, t"&amp;"he management methods for the construction project market integrity system, the management regulations for construction project bidding and tendering, the management methods for material procurement and supply resources, etc.")</f>
        <v>Strictly investigate and deal with corruption. Number of anti-corruption trainings: 10,000 people. Coverage of anti-corruption trainings: 10,000 people. Number of disciplinary and legal education trainings: 10,000 people. Number of participants in disciplinary and legal education trainings: 10,000 people. Total number of public entries in the annual business disclosure information system: 10,000. Indicators: 105.21001.385.2533.782020118.71001.486.9444.092021119.51001.488.2489.372022 Supply chain anti-corruption compliance. The company has formulated a series of management systems related to the anti-corruption code of conduct for suppliers and contractors, such as the management regulations for signing the letter of responsibility for honest employment, the management methods for the construction project market integrity system, the management regulations for construction project bidding and tendering, the management methods for material procurement and supply resources, etc.</v>
      </c>
      <c r="B6034" s="1" t="str">
        <f ca="1">IFERROR(__xludf.DUMMYFUNCTION("GOOGLETRANSLATE(A6034, ""zh"", ""en"")"),"Anti-corruption and anti-money laundering")</f>
        <v>Anti-corruption and anti-money laundering</v>
      </c>
      <c r="C6034" s="1" t="str">
        <f ca="1">IFERROR(__xludf.DUMMYFUNCTION("GOOGLETRANSLATE(E6034, ""zh"", ""en"")"),"Quantitative Text")</f>
        <v>Quantitative Text</v>
      </c>
    </row>
    <row r="6035" spans="1:3" ht="13" x14ac:dyDescent="0.15">
      <c r="A6035" s="1" t="str">
        <f ca="1">IFERROR(__xludf.DUMMYFUNCTION("GOOGLETRANSLATE(A6035, ""zh"", ""en"")"),"Live water is being introduced into rural revitalization to consolidate poverty alleviation achievements. Insurance and futures provide price protection for rural industrial development. In 2022, the company assisted Muyuan Foodstuff Co., Ltd., a global l"&amp;"eader in the hog industry, in completing a RMB 6 billion private placement to promote modern agricultural development. It also assisted the China Development Bank in issuing RMB 8 billion in rural revitalization-themed financial bonds to support beautiful"&amp;" villages, rural infrastructure construction, and public services. It also assisted Lionbridge Financial Leasing China Co., Ltd. in establishing the Shenzhen Stock Exchange's first rural revitalization asset-backed special plan with an issuance size of RM"&amp;"B 1.167 billion. Over 70% of the funds raised will be used to deploy transport vehicles for production and business activities in areas that have been out of poverty for less than five years. Financial services will be provided to lessees in need, promoti"&amp;"ng stable employment for the rural population and optimizing the rural employment structure.")</f>
        <v>Live water is being introduced into rural revitalization to consolidate poverty alleviation achievements. Insurance and futures provide price protection for rural industrial development. In 2022, the company assisted Muyuan Foodstuff Co., Ltd., a global leader in the hog industry, in completing a RMB 6 billion private placement to promote modern agricultural development. It also assisted the China Development Bank in issuing RMB 8 billion in rural revitalization-themed financial bonds to support beautiful villages, rural infrastructure construction, and public services. It also assisted Lionbridge Financial Leasing China Co., Ltd. in establishing the Shenzhen Stock Exchange's first rural revitalization asset-backed special plan with an issuance size of RMB 1.167 billion. Over 70% of the funds raised will be used to deploy transport vehicles for production and business activities in areas that have been out of poverty for less than five years. Financial services will be provided to lessees in need, promoting stable employment for the rural population and optimizing the rural employment structure.</v>
      </c>
      <c r="B6035" s="1" t="str">
        <f ca="1">IFERROR(__xludf.DUMMYFUNCTION("GOOGLETRANSLATE(A6035, ""zh"", ""en"")"),"Rural assistance")</f>
        <v>Rural assistance</v>
      </c>
      <c r="C6035" s="1" t="str">
        <f ca="1">IFERROR(__xludf.DUMMYFUNCTION("GOOGLETRANSLATE(E6035, ""zh"", ""en"")"),"Quantitative Text")</f>
        <v>Quantitative Text</v>
      </c>
    </row>
    <row r="6036" spans="1:3" ht="13" x14ac:dyDescent="0.15">
      <c r="A6036" s="1" t="str">
        <f ca="1">IFERROR(__xludf.DUMMYFUNCTION("GOOGLETRANSLATE(A6036, ""zh"", ""en"")"),"Intellectual property safeguards development and independent innovation leads the future. Intellectual property salon event themed on jointly creating the outstanding quality of digital craftsmanship. In 2022, 1,681 patent applications were filed, 904 pat"&amp;"ents were authorized, 6,289 valid patents were owned, and a total of 2,580 invention patents were owned. As of the end of 2022, Shanghai Electric Group Co., Ltd. 57 In 2022, Shanghai Electric had three patents that won the China Annual Patent Award. Award"&amp;": Patent Name: Winning Company: Patent Introduction: China Annual Patent First Prize: A tower boiler with two reheaters, Shanghai Boiler Plant Co., Ltd. This patent ingeniously adopts a parallel arrangement of multiple high-temperature heating surfaces to"&amp;" cleverly solve the contradiction between heat transfer requirements and layout. It adopts a simple and flexible flue gas and steam coordinated control temperature adjustment method and a new truss tower furnace steel structure.")</f>
        <v>Intellectual property safeguards development and independent innovation leads the future. Intellectual property salon event themed on jointly creating the outstanding quality of digital craftsmanship. In 2022, 1,681 patent applications were filed, 904 patents were authorized, 6,289 valid patents were owned, and a total of 2,580 invention patents were owned. As of the end of 2022, Shanghai Electric Group Co., Ltd. 57 In 2022, Shanghai Electric had three patents that won the China Annual Patent Award. Award: Patent Name: Winning Company: Patent Introduction: China Annual Patent First Prize: A tower boiler with two reheaters, Shanghai Boiler Plant Co., Ltd. This patent ingeniously adopts a parallel arrangement of multiple high-temperature heating surfaces to cleverly solve the contradiction between heat transfer requirements and layout. It adopts a simple and flexible flue gas and steam coordinated control temperature adjustment method and a new truss tower furnace steel structure.</v>
      </c>
      <c r="B6036" s="1" t="str">
        <f ca="1">IFERROR(__xludf.DUMMYFUNCTION("GOOGLETRANSLATE(A6036, ""zh"", ""en"")"),"Intellectual Property Protection")</f>
        <v>Intellectual Property Protection</v>
      </c>
      <c r="C6036" s="1" t="str">
        <f ca="1">IFERROR(__xludf.DUMMYFUNCTION("GOOGLETRANSLATE(E6036, ""zh"", ""en"")"),"Quantitative Text")</f>
        <v>Quantitative Text</v>
      </c>
    </row>
    <row r="6037" spans="1:3" ht="13" x14ac:dyDescent="0.15">
      <c r="A6037" s="1" t="str">
        <f ca="1">IFERROR(__xludf.DUMMYFUNCTION("GOOGLETRANSLATE(A6037, ""zh"", ""en"")"),"At the commendation ceremony at the Zhejiang Provincial People's Congress Hall, Wang Gang, member of the Standing Committee of the Zhejiang Provincial Party Committee and Minister of the Provincial Party Committee Propaganda Department, praised the winner"&amp;"s as outstanding representatives of filial piety culture, two pioneering models, and role models for the whole society to learn from. He sent a message to the winners, saying that under the guidance of the spirit of the 20th National Congress, they will s"&amp;"trive to move towards the second century of struggle. On June 30, 2022, the signing ceremony of the common prosperity pension cooperation agreement was held. In the journey of the great rejuvenation of the Chinese nation, the power of filial piety will le"&amp;"ad the entire society into a more civilized, warmer and better new era. The group will achieve full coverage of pension projects in 26 counties in mountainous areas by the end of the 14th Five-Year Plan through exporting pension operation services, buildi"&amp;"ng a pension standard system, upgrading pension hardware facilities, and training pension practitioners. It will strive to weave an umbrella-shaped pension service network for institutions, communities and homes to promote the realization of common prospe"&amp;"rity for the elderly in mountains and seas.")</f>
        <v>At the commendation ceremony at the Zhejiang Provincial People's Congress Hall, Wang Gang, member of the Standing Committee of the Zhejiang Provincial Party Committee and Minister of the Provincial Party Committee Propaganda Department, praised the winners as outstanding representatives of filial piety culture, two pioneering models, and role models for the whole society to learn from. He sent a message to the winners, saying that under the guidance of the spirit of the 20th National Congress, they will strive to move towards the second century of struggle. On June 30, 2022, the signing ceremony of the common prosperity pension cooperation agreement was held. In the journey of the great rejuvenation of the Chinese nation, the power of filial piety will lead the entire society into a more civilized, warmer and better new era. The group will achieve full coverage of pension projects in 26 counties in mountainous areas by the end of the 14th Five-Year Plan through exporting pension operation services, building a pension standard system, upgrading pension hardware facilities, and training pension practitioners. It will strive to weave an umbrella-shaped pension service network for institutions, communities and homes to promote the realization of common prosperity for the elderly in mountains and seas.</v>
      </c>
      <c r="B6037" s="1" t="str">
        <f ca="1">IFERROR(__xludf.DUMMYFUNCTION("GOOGLETRANSLATE(A6037, ""zh"", ""en"")"),"Public welfare and volunteer service")</f>
        <v>Public welfare and volunteer service</v>
      </c>
      <c r="C6037" s="1" t="str">
        <f ca="1">IFERROR(__xludf.DUMMYFUNCTION("GOOGLETRANSLATE(E6037, ""zh"", ""en"")"),"Qualitative text")</f>
        <v>Qualitative text</v>
      </c>
    </row>
    <row r="6038" spans="1:3" ht="13" x14ac:dyDescent="0.15">
      <c r="A6038" s="1" t="str">
        <f ca="1">IFERROR(__xludf.DUMMYFUNCTION("GOOGLETRANSLATE(A6038, ""zh"", ""en"")"),"Social Responsibility Work System 31 Social Responsibility Management Social Responsibility Work System Responsibility Performance and Stakeholder Communication Social Organization Responsibility Integration External Corporate Social Responsibility Initia"&amp;"tives 3334 2022 Social Responsibility and ESG Report of China National Storage &amp; Reservoir Development Co., Ltd. Implementation Rules for the Responsibilities of the First Person in Charge of Rule of Law Construction Formulated by the Company Implementati"&amp;"on Plan for the Implementation of the Responsibilities of the First Person in Charge of Rule of Law Central Enterprises Performance Assessment Method for the First Person in Charge of Rule of Law Central Enterprises Requirements The principal person in ch"&amp;"arge of each assessment body in the system should include the performance of the responsibilities of the first person in charge of promoting the rule of law construction in the annual performance report. The company will conduct regular inspections and sp"&amp;"ecial supervision on the progress of the rule of law construction of each assessment body and incorporate it into the performance assessment of business performance. At the same time, assessment and evaluation indicators have been formulated.")</f>
        <v>Social Responsibility Work System 31 Social Responsibility Management Social Responsibility Work System Responsibility Performance and Stakeholder Communication Social Organization Responsibility Integration External Corporate Social Responsibility Initiatives 3334 2022 Social Responsibility and ESG Report of China National Storage &amp; Reservoir Development Co., Ltd. Implementation Rules for the Responsibilities of the First Person in Charge of Rule of Law Construction Formulated by the Company Implementation Plan for the Implementation of the Responsibilities of the First Person in Charge of Rule of Law Central Enterprises Performance Assessment Method for the First Person in Charge of Rule of Law Central Enterprises Requirements The principal person in charge of each assessment body in the system should include the performance of the responsibilities of the first person in charge of promoting the rule of law construction in the annual performance report. The company will conduct regular inspections and special supervision on the progress of the rule of law construction of each assessment body and incorporate it into the performance assessment of business performance. At the same time, assessment and evaluation indicators have been formulated.</v>
      </c>
      <c r="B6038" s="1" t="str">
        <f ca="1">IFERROR(__xludf.DUMMYFUNCTION("GOOGLETRANSLATE(A6038, ""zh"", ""en"")"),"Legal proceedings and external sanctions")</f>
        <v>Legal proceedings and external sanctions</v>
      </c>
      <c r="C6038" s="1" t="str">
        <f ca="1">IFERROR(__xludf.DUMMYFUNCTION("GOOGLETRANSLATE(E6038, ""zh"", ""en"")"),"Qualitative text")</f>
        <v>Qualitative text</v>
      </c>
    </row>
    <row r="6039" spans="1:3" ht="13" x14ac:dyDescent="0.15">
      <c r="A6039" s="1" t="str">
        <f ca="1">IFERROR(__xludf.DUMMYFUNCTION("GOOGLETRANSLATE(A6039, ""zh"", ""en"")"),"The total annual natural gas consumption is 1609868 cubic meters, steam tons are 1900712, and the total annual energy consumption is 80291.4 tons of standard coal. Clean energy is 11749103.9 kWh. The comprehensive energy consumption per unit output value "&amp;"is 10,000 tons of standard coal. The data scope includes the domestic Huangdao, Jiangmen, and Guiyang Industrial Parks. In order to solidly promote energy conservation and carbon reduction, continuously improve energy performance and help achieve carbon p"&amp;"eak and carbon neutrality, the company has established a professional group headed by the president. The members of the professional group are composed of core personnel from R&amp;D, procurement, manufacturing and other sectors. External experts are invited "&amp;"to participate in energy-saving diagnosis and audit every year. The professional group deeply promotes green design, green manufacturing, and green supply chain, continuously explores and practices new energy-saving technologies, new processes, and new ma"&amp;"terials, vigorously develops green energy, expands the scale of energy storage, and realizes smart energy management.")</f>
        <v>The total annual natural gas consumption is 1609868 cubic meters, steam tons are 1900712, and the total annual energy consumption is 80291.4 tons of standard coal. Clean energy is 11749103.9 kWh. The comprehensive energy consumption per unit output value is 10,000 tons of standard coal. The data scope includes the domestic Huangdao, Jiangmen, and Guiyang Industrial Parks. In order to solidly promote energy conservation and carbon reduction, continuously improve energy performance and help achieve carbon peak and carbon neutrality, the company has established a professional group headed by the president. The members of the professional group are composed of core personnel from R&amp;D, procurement, manufacturing and other sectors. External experts are invited to participate in energy-saving diagnosis and audit every year. The professional group deeply promotes green design, green manufacturing, and green supply chain, continuously explores and practices new energy-saving technologies, new processes, and new materials, vigorously develops green energy, expands the scale of energy storage, and realizes smart energy management.</v>
      </c>
      <c r="B6039" s="1" t="str">
        <f ca="1">IFERROR(__xludf.DUMMYFUNCTION("GOOGLETRANSLATE(A6039, ""zh"", ""en"")"),"Energy and resource consumption")</f>
        <v>Energy and resource consumption</v>
      </c>
      <c r="C6039" s="1" t="str">
        <f ca="1">IFERROR(__xludf.DUMMYFUNCTION("GOOGLETRANSLATE(E6039, ""zh"", ""en"")"),"Quantitative Text")</f>
        <v>Quantitative Text</v>
      </c>
    </row>
    <row r="6040" spans="1:3" ht="13" x14ac:dyDescent="0.15">
      <c r="A6040" s="1" t="str">
        <f ca="1">IFERROR(__xludf.DUMMYFUNCTION("GOOGLETRANSLATE(A6040, ""zh"", ""en"")"),"4950 Shenma Industrial Co., Ltd. Social Responsibility Management Stakeholder Expectation Communication Mechanism Identification of Important Topics Ranking of Important Topics Responding to national policies by implementing national development strategie"&amp;"s and policies, studying General Secretary Xi Jinping's regular reports, accepting supervision and inspection, conducting investigations and inspections, holding discussions, and speaking to the Secretary and important leaders, conducting peer benchmarkin"&amp;"g and other related activities, and ranking potential important topics. Formulate stakeholder communication, government compliance, legal tax payment, meeting, and sharing documents such as public media to identify topics that can reflect the impact of th"&amp;"e company's business on the economy and the environment. Obtain specific opinions and expectations from stakeholders, promote anti-corruption and promote integrity, understand the priority issues of concern to various stakeholders, conduct key environment"&amp;"al and social impact assessments, or potential important topics related to the company's shareholder meeting, information disclosure, quarterly reports, annual reports, and decision-making.")</f>
        <v>4950 Shenma Industrial Co., Ltd. Social Responsibility Management Stakeholder Expectation Communication Mechanism Identification of Important Topics Ranking of Important Topics Responding to national policies by implementing national development strategies and policies, studying General Secretary Xi Jinping's regular reports, accepting supervision and inspection, conducting investigations and inspections, holding discussions, and speaking to the Secretary and important leaders, conducting peer benchmarking and other related activities, and ranking potential important topics. Formulate stakeholder communication, government compliance, legal tax payment, meeting, and sharing documents such as public media to identify topics that can reflect the impact of the company's business on the economy and the environment. Obtain specific opinions and expectations from stakeholders, promote anti-corruption and promote integrity, understand the priority issues of concern to various stakeholders, conduct key environmental and social impact assessments, or potential important topics related to the company's shareholder meeting, information disclosure, quarterly reports, annual reports, and decision-making.</v>
      </c>
      <c r="B6040" s="1" t="str">
        <f ca="1">IFERROR(__xludf.DUMMYFUNCTION("GOOGLETRANSLATE(A6040, ""zh"", ""en"")"),"Organizational structure and operations")</f>
        <v>Organizational structure and operations</v>
      </c>
      <c r="C6040" s="1" t="str">
        <f ca="1">IFERROR(__xludf.DUMMYFUNCTION("GOOGLETRANSLATE(E6040, ""zh"", ""en"")"),"Qualitative text")</f>
        <v>Qualitative text</v>
      </c>
    </row>
    <row r="6041" spans="1:3" ht="13" x14ac:dyDescent="0.15">
      <c r="A6041" s="1" t="str">
        <f ca="1">IFERROR(__xludf.DUMMYFUNCTION("GOOGLETRANSLATE(A6041, ""zh"", ""en"")"),"Low High High Importance to stakeholders Importance to the company's sustainable development 1914101317621162181532781541112 Governance Board of Directors Governance 1 Compliance operations 2 Operating performance 3 Technological innovation 4 Integrity ri"&amp;"sk prevention and control 5 Supply chain management 6 Environmental and energy transition 7 Climate change 8 Carbon emission management 9 Waste management 10 Water resources 11 Biodiversity protection 13 Oil spill risk management 12 Land resources 14 Soci"&amp;"al security 15 Human rights 16 Service quality 17 Health 18 Employee training 19 Community contribution 21 Compensation 209 Material issues matrix PetroChina Company Limited 2022 Environmental, Social and Governance Report 4 Principle of consistency This "&amp;"report adheres to the principle of consistency to ensure comparability of data disclosed over the years.")</f>
        <v>Low High High Importance to stakeholders Importance to the company's sustainable development 1914101317621162181532781541112 Governance Board of Directors Governance 1 Compliance operations 2 Operating performance 3 Technological innovation 4 Integrity risk prevention and control 5 Supply chain management 6 Environmental and energy transition 7 Climate change 8 Carbon emission management 9 Waste management 10 Water resources 11 Biodiversity protection 13 Oil spill risk management 12 Land resources 14 Social security 15 Human rights 16 Service quality 17 Health 18 Employee training 19 Community contribution 21 Compensation 209 Material issues matrix PetroChina Company Limited 2022 Environmental, Social and Governance Report 4 Principle of consistency This report adheres to the principle of consistency to ensure comparability of data disclosed over the years.</v>
      </c>
      <c r="B6041" s="1" t="str">
        <f ca="1">IFERROR(__xludf.DUMMYFUNCTION("GOOGLETRANSLATE(A6041, ""zh"", ""en"")"),"Organizational structure and operations")</f>
        <v>Organizational structure and operations</v>
      </c>
      <c r="C6041" s="1" t="str">
        <f ca="1">IFERROR(__xludf.DUMMYFUNCTION("GOOGLETRANSLATE(E6041, ""zh"", ""en"")"),"Qualitative text")</f>
        <v>Qualitative text</v>
      </c>
    </row>
    <row r="6042" spans="1:3" ht="13" x14ac:dyDescent="0.15">
      <c r="A6042" s="1" t="str">
        <f ca="1">IFERROR(__xludf.DUMMYFUNCTION("GOOGLETRANSLATE(A6042, ""zh"", ""en"")"),"Increased operating costs Decreased portfolio value Decreased portfolio value Increased credit risk Decreased operating income Depreciation of fixed assets Increased credit risk Decreased portfolio value Decreased operating income Decreased ratings Decrea"&amp;"sed brand value Decreased investor confidence Decreased operating income Increased credit risk Decreased portfolio value Medium- to long-term Acute physical risks Policy and legal risks Chronic physical risks Market risks Reputation risks Technological ri"&amp;"sks Specific description of risks Impact cycle Potential financial impact Response 29 CITIC Securities 2022 Annual Social Responsibility Report Opportunities Specific description of risks Impact cycle Potential financial impact Response In order to implem"&amp;"ent the country's major decisions on dual carbon development, relevant policies such as carbon neutrality, climate change investment and financing have been successively introduced, which have a guiding role in green financial business and market and brin"&amp;"g new development opportunities to the company.")</f>
        <v>Increased operating costs Decreased portfolio value Decreased portfolio value Increased credit risk Decreased operating income Depreciation of fixed assets Increased credit risk Decreased portfolio value Decreased operating income Decreased ratings Decreased brand value Decreased investor confidence Decreased operating income Increased credit risk Decreased portfolio value Medium- to long-term Acute physical risks Policy and legal risks Chronic physical risks Market risks Reputation risks Technological risks Specific description of risks Impact cycle Potential financial impact Response 29 CITIC Securities 2022 Annual Social Responsibility Report Opportunities Specific description of risks Impact cycle Potential financial impact Response In order to implement the country's major decisions on dual carbon development, relevant policies such as carbon neutrality, climate change investment and financing have been successively introduced, which have a guiding role in green financial business and market and bring new development opportunities to the company.</v>
      </c>
      <c r="B6042" s="1" t="str">
        <f ca="1">IFERROR(__xludf.DUMMYFUNCTION("GOOGLETRANSLATE(A6042, ""zh"", ""en"")"),"Green Finance")</f>
        <v>Green Finance</v>
      </c>
      <c r="C6042" s="1" t="str">
        <f ca="1">IFERROR(__xludf.DUMMYFUNCTION("GOOGLETRANSLATE(E6042, ""zh"", ""en"")"),"Qualitative text")</f>
        <v>Qualitative text</v>
      </c>
    </row>
    <row r="6043" spans="1:3" ht="13" x14ac:dyDescent="0.15">
      <c r="A6043" s="1" t="str">
        <f ca="1">IFERROR(__xludf.DUMMYFUNCTION("GOOGLETRANSLATE(A6043, ""zh"", ""en"")"),"Water resource utilization Strengthen the protection of local water sources Reserve backup water resources Improve water resource recycling Three major water resource rational utilization measures During the reporting period, the water intake of various w"&amp;"ater sources in Tibet Mount Everest is as follows 2022 2021 Unit total water consumption 76912006982500 cubic meters Total water intake 25637202500000 cubic meters Recycled water 51274804482500 cubic meters Water recycling rate 66.6764.20 Percentage Visit"&amp;" Tibet Mount Everest Corporate governance Environment Industry Co-construction of Employee Community 23 The company's wastewater sources mainly come from mining and ore smelting production processes. The drainage location is mainly the stream downstream o"&amp;"f the tailings pond. The main pollutants in the wastewater include oil pollutants, metal ions, acid and alkali pollutants, cyanide and dissolved oxygen, etc.")</f>
        <v>Water resource utilization Strengthen the protection of local water sources Reserve backup water resources Improve water resource recycling Three major water resource rational utilization measures During the reporting period, the water intake of various water sources in Tibet Mount Everest is as follows 2022 2021 Unit total water consumption 76912006982500 cubic meters Total water intake 25637202500000 cubic meters Recycled water 51274804482500 cubic meters Water recycling rate 66.6764.20 Percentage Visit Tibet Mount Everest Corporate governance Environment Industry Co-construction of Employee Community 23 The company's wastewater sources mainly come from mining and ore smelting production processes. The drainage location is mainly the stream downstream of the tailings pond. The main pollutants in the wastewater include oil pollutants, metal ions, acid and alkali pollutants, cyanide and dissolved oxygen, etc.</v>
      </c>
      <c r="B6043" s="1" t="str">
        <f ca="1">IFERROR(__xludf.DUMMYFUNCTION("GOOGLETRANSLATE(A6043, ""zh"", ""en"")"),"Water resources")</f>
        <v>Water resources</v>
      </c>
      <c r="C6043" s="1" t="str">
        <f ca="1">IFERROR(__xludf.DUMMYFUNCTION("GOOGLETRANSLATE(E6043, ""zh"", ""en"")"),"Quantitative Text")</f>
        <v>Quantitative Text</v>
      </c>
    </row>
    <row r="6044" spans="1:3" ht="13" x14ac:dyDescent="0.15">
      <c r="A6044" s="1" t="str">
        <f ca="1">IFERROR(__xludf.DUMMYFUNCTION("GOOGLETRANSLATE(A6044, ""zh"", ""en"")"),"2021 2022 2020 339634263960412055895445114578283372933 COSL 2022 ESG Report 48 Equal Employment, Remuneration and Benefits Democratic Management The Company strictly abides by the Labor Law of the People's Republic of China and other relevant domestic law"&amp;"s and regulations, as well as the relevant laws, regulations and systems of the countries where its operations are located. It follows the principles of legality, equality, voluntariness, consensus, honesty and trustworthiness when signing labor contracts"&amp;" with its employees. It pursues an equal and non-discriminatory employment policy and treats employees of different nationalities, races, genders, religious beliefs and cultural backgrounds fairly and impartially. It resolutely eliminates the use of child"&amp;" labor and all forms of forced labor and strictly implements the special provisions of the state on labor protection for female employees to ensure that female employees have equal remuneration, benefits and career development opportunities.")</f>
        <v>2021 2022 2020 339634263960412055895445114578283372933 COSL 2022 ESG Report 48 Equal Employment, Remuneration and Benefits Democratic Management The Company strictly abides by the Labor Law of the People's Republic of China and other relevant domestic laws and regulations, as well as the relevant laws, regulations and systems of the countries where its operations are located. It follows the principles of legality, equality, voluntariness, consensus, honesty and trustworthiness when signing labor contracts with its employees. It pursues an equal and non-discriminatory employment policy and treats employees of different nationalities, races, genders, religious beliefs and cultural backgrounds fairly and impartially. It resolutely eliminates the use of child labor and all forms of forced labor and strictly implements the special provisions of the state on labor protection for female employees to ensure that female employees have equal remuneration, benefits and career development opportunities.</v>
      </c>
      <c r="B6044" s="1" t="str">
        <f ca="1">IFERROR(__xludf.DUMMYFUNCTION("GOOGLETRANSLATE(A6044, ""zh"", ""en"")"),"staff")</f>
        <v>staff</v>
      </c>
      <c r="C6044" s="1" t="str">
        <f ca="1">IFERROR(__xludf.DUMMYFUNCTION("GOOGLETRANSLATE(E6044, ""zh"", ""en"")"),"Qualitative text")</f>
        <v>Qualitative text</v>
      </c>
    </row>
    <row r="6045" spans="1:3" ht="13" x14ac:dyDescent="0.15">
      <c r="A6045" s="1" t="str">
        <f ca="1">IFERROR(__xludf.DUMMYFUNCTION("GOOGLETRANSLATE(A6045, ""zh"", ""en"")"),"In response to sudden crises, functional departments involved in risky projects and incidents arising from daily operations, the Group has established crisis public relations response work, incorporated embedded internal control processes for prior approv"&amp;"al and in-process guidance, and conducted crisis assessments and response plans immediately. Audits have strengthened audit services based on the progress of incidents and the extent of information disclosure, enhancing the breadth and depth of risk contr"&amp;"ol warnings. At the same time, the Anti-Corruption Supervision Department has established public reporting channels and actively communicated with the public through internal and external online or offline meetings. Training and education are provided to "&amp;"all Group employees, with continuous communication with media practitioners, investors, and stakeholders to mitigate corruption and actively build multi-stage and multi-dimensional communication channels to safeguard corporate reputation.")</f>
        <v>In response to sudden crises, functional departments involved in risky projects and incidents arising from daily operations, the Group has established crisis public relations response work, incorporated embedded internal control processes for prior approval and in-process guidance, and conducted crisis assessments and response plans immediately. Audits have strengthened audit services based on the progress of incidents and the extent of information disclosure, enhancing the breadth and depth of risk control warnings. At the same time, the Anti-Corruption Supervision Department has established public reporting channels and actively communicated with the public through internal and external online or offline meetings. Training and education are provided to all Group employees, with continuous communication with media practitioners, investors, and stakeholders to mitigate corruption and actively build multi-stage and multi-dimensional communication channels to safeguard corporate reputation.</v>
      </c>
      <c r="B6045" s="1" t="str">
        <f ca="1">IFERROR(__xludf.DUMMYFUNCTION("GOOGLETRANSLATE(A6045, ""zh"", ""en"")"),"Reporting System")</f>
        <v>Reporting System</v>
      </c>
      <c r="C6045" s="1" t="str">
        <f ca="1">IFERROR(__xludf.DUMMYFUNCTION("GOOGLETRANSLATE(E6045, ""zh"", ""en"")"),"Qualitative text")</f>
        <v>Qualitative text</v>
      </c>
    </row>
    <row r="6046" spans="1:3" ht="13" x14ac:dyDescent="0.15">
      <c r="A6046" s="1" t="str">
        <f ca="1">IFERROR(__xludf.DUMMYFUNCTION("GOOGLETRANSLATE(A6046, ""zh"", ""en"")"),"In 2022, we obtained 18 green and low-carbon home appliance certifications, including full-life cycle green actions, design and R&amp;D centers, manufacturing parks, recycling and processing factories, packaging and logistics enterprises, end-users, low-carbo"&amp;"n design, low-carbon production, scrap recycling, packaging and transportation, waste recycling 31300203040506 Protecting the planet, exploring a green and low-carbon future, integrating people and singles, promoting diversified and inclusive development,"&amp;" responsible procurement, creating a sustainable supply chain, intelligent experience, leading a better life, uniting hearts and minds, and promoting equitable development 01 Global collaborative sustainable governance ecology Haier Smart Home Co., Ltd. E"&amp;"nvironmental, Social and Governance Report Energy Management We comply with the Energy Conservation Law of the People's Republic of China and relevant laws and regulations in our global operations, formulate energy management manuals, and use automated in"&amp;"formation technology to centrally manage the main resource consumption of our factories.")</f>
        <v>In 2022, we obtained 18 green and low-carbon home appliance certifications, including full-life cycle green actions, design and R&amp;D centers, manufacturing parks, recycling and processing factories, packaging and logistics enterprises, end-users, low-carbon design, low-carbon production, scrap recycling, packaging and transportation, waste recycling 31300203040506 Protecting the planet, exploring a green and low-carbon future, integrating people and singles, promoting diversified and inclusive development, responsible procurement, creating a sustainable supply chain, intelligent experience, leading a better life, uniting hearts and minds, and promoting equitable development 01 Global collaborative sustainable governance ecology Haier Smart Home Co., Ltd. Environmental, Social and Governance Report Energy Management We comply with the Energy Conservation Law of the People's Republic of China and relevant laws and regulations in our global operations, formulate energy management manuals, and use automated information technology to centrally manage the main resource consumption of our factories.</v>
      </c>
      <c r="B6046" s="1" t="str">
        <f ca="1">IFERROR(__xludf.DUMMYFUNCTION("GOOGLETRANSLATE(A6046, ""zh"", ""en"")"),"Energy and resource consumption")</f>
        <v>Energy and resource consumption</v>
      </c>
      <c r="C6046" s="1" t="str">
        <f ca="1">IFERROR(__xludf.DUMMYFUNCTION("GOOGLETRANSLATE(E6046, ""zh"", ""en"")"),"Qualitative text")</f>
        <v>Qualitative text</v>
      </c>
    </row>
    <row r="6047" spans="1:3" ht="13" x14ac:dyDescent="0.15">
      <c r="A6047" s="1" t="str">
        <f ca="1">IFERROR(__xludf.DUMMYFUNCTION("GOOGLETRANSLATE(A6047, ""zh"", ""en"")"),"Sinopec Corporation Sinopec Corporation 3536 Corporate Governance: Building a Strong Safety Line, Addressing Climate Change, Respecting Human Rights and Talent Cultivation, Protecting the Environment, and Fulfilling Social Responsibilities. Reduce CO2 Emi"&amp;"ssions. Accumulate CO2 sequestration by 2023. Implement new energy projects totaling equivalent to standard coal in 2022. Capture CO2, recycle and utilize methane to reduce CO2 emissions. Strategic Indicators and Targets for Climate Action. The Company ha"&amp;"s made green and clean energy one of the six strategic areas of its 14th Five-Year Plan. Focus on the transition from traditional energy to clean energy, adhere to ecological priorities, promote green transformation, and promote clean development. Promote"&amp;" clean fossil energy, decarbonize clean energy production processes, and vigorously reduce energy consumption and emission intensity. Resolutely move towards the net zero goal, making Sinopec a new benchmark for green, clean, and low-carbon development in"&amp;" the industry.")</f>
        <v>Sinopec Corporation Sinopec Corporation 3536 Corporate Governance: Building a Strong Safety Line, Addressing Climate Change, Respecting Human Rights and Talent Cultivation, Protecting the Environment, and Fulfilling Social Responsibilities. Reduce CO2 Emissions. Accumulate CO2 sequestration by 2023. Implement new energy projects totaling equivalent to standard coal in 2022. Capture CO2, recycle and utilize methane to reduce CO2 emissions. Strategic Indicators and Targets for Climate Action. The Company has made green and clean energy one of the six strategic areas of its 14th Five-Year Plan. Focus on the transition from traditional energy to clean energy, adhere to ecological priorities, promote green transformation, and promote clean development. Promote clean fossil energy, decarbonize clean energy production processes, and vigorously reduce energy consumption and emission intensity. Resolutely move towards the net zero goal, making Sinopec a new benchmark for green, clean, and low-carbon development in the industry.</v>
      </c>
      <c r="B6047" s="1" t="str">
        <f ca="1">IFERROR(__xludf.DUMMYFUNCTION("GOOGLETRANSLATE(A6047, ""zh"", ""en"")"),"Addressing climate change")</f>
        <v>Addressing climate change</v>
      </c>
      <c r="C6047" s="1" t="str">
        <f ca="1">IFERROR(__xludf.DUMMYFUNCTION("GOOGLETRANSLATE(E6047, ""zh"", ""en"")"),"Qualitative text")</f>
        <v>Qualitative text</v>
      </c>
    </row>
    <row r="6048" spans="1:3" ht="13" x14ac:dyDescent="0.15">
      <c r="A6048" s="1" t="str">
        <f ca="1">IFERROR(__xludf.DUMMYFUNCTION("GOOGLETRANSLATE(A6048, ""zh"", ""en"")"),"Amount of penalty received for social incidents such as labor and human rights corruption 05556 Shenma Industrial Co., Ltd. 2021 Social Responsibility Report Appendix Feedback Form Appendix Index Table Appendix Feedback Form Report Contents United Nations"&amp;" Sustainable Development Goals CASS CSR4.0 GRIS Standard Report Description P1.1 P1.2 P1.3 A61014554 Dear Reader Leader's Message P21 P2.2 1021415 Hello, thank you very much for taking the time to read Shenma Co., Ltd. 2021 Social Responsibility Report. I"&amp;"n order to continuously improve the company's ability and level of fulfilling its social responsibilities, we sincerely hope to receive your valuable opinions so that we can continuously improve our social responsibility work. About Us P4.P4.4 G1.1 G1.2")</f>
        <v>Amount of penalty received for social incidents such as labor and human rights corruption 05556 Shenma Industrial Co., Ltd. 2021 Social Responsibility Report Appendix Feedback Form Appendix Index Table Appendix Feedback Form Report Contents United Nations Sustainable Development Goals CASS CSR4.0 GRIS Standard Report Description P1.1 P1.2 P1.3 A61014554 Dear Reader Leader's Message P21 P2.2 1021415 Hello, thank you very much for taking the time to read Shenma Co., Ltd. 2021 Social Responsibility Report. In order to continuously improve the company's ability and level of fulfilling its social responsibilities, we sincerely hope to receive your valuable opinions so that we can continuously improve our social responsibility work. About Us P4.P4.4 G1.1 G1.2</v>
      </c>
      <c r="B6048" s="1" t="str">
        <f ca="1">IFERROR(__xludf.DUMMYFUNCTION("GOOGLETRANSLATE(A6048, ""zh"", ""en"")"),"Legal proceedings and external sanctions")</f>
        <v>Legal proceedings and external sanctions</v>
      </c>
      <c r="C6048" s="1" t="str">
        <f ca="1">IFERROR(__xludf.DUMMYFUNCTION("GOOGLETRANSLATE(E6048, ""zh"", ""en"")"),"Quantitative Text")</f>
        <v>Quantitative Text</v>
      </c>
    </row>
    <row r="6049" spans="1:3" ht="13" x14ac:dyDescent="0.15">
      <c r="A6049" s="1" t="str">
        <f ca="1">IFERROR(__xludf.DUMMYFUNCTION("GOOGLETRANSLATE(A6049, ""zh"", ""en"")"),"Dongyuan Group, China's community operation leader, Dongyuan Zhixin, urban renewal operation service provider, industry leader, strength certification, intelligent manufacturing sector, special vehicle manufacturing, robot Internet of Things, urban operat"&amp;"ion sector, real estate development, urban renewal industrial park, culture and art community operation, No. 1, outstanding comprehensive strength, ranked first in new community cultural operation for four consecutive years, 2022 real estate development c"&amp;"omprehensive strength TOP49, CRIC 2022 China's real estate companies brand value TOP30, E-Han Think Tank 2022 China's top 40 real estate companies in terms of delivery power, E-Han Think Tank 2022 China's top 20 real estate companies with super product po"&amp;"wer, E-Han Think Tank 2022 China's top ten delivery power works, Dongyuan Dexin Jiuzhangfu, CRIC 20220809, Dongyuan Renzhi was established in 2003 and is a business unit of Dima Group specializing in property management services.")</f>
        <v>Dongyuan Group, China's community operation leader, Dongyuan Zhixin, urban renewal operation service provider, industry leader, strength certification, intelligent manufacturing sector, special vehicle manufacturing, robot Internet of Things, urban operation sector, real estate development, urban renewal industrial park, culture and art community operation, No. 1, outstanding comprehensive strength, ranked first in new community cultural operation for four consecutive years, 2022 real estate development comprehensive strength TOP49, CRIC 2022 China's real estate companies brand value TOP30, E-Han Think Tank 2022 China's top 40 real estate companies in terms of delivery power, E-Han Think Tank 2022 China's top 20 real estate companies with super product power, E-Han Think Tank 2022 China's top ten delivery power works, Dongyuan Dexin Jiuzhangfu, CRIC 20220809, Dongyuan Renzhi was established in 2003 and is a business unit of Dima Group specializing in property management services.</v>
      </c>
      <c r="B6049" s="1" t="str">
        <f ca="1">IFERROR(__xludf.DUMMYFUNCTION("GOOGLETRANSLATE(A6049, ""zh"", ""en"")"),"Sustainable certification")</f>
        <v>Sustainable certification</v>
      </c>
      <c r="C6049" s="1" t="str">
        <f ca="1">IFERROR(__xludf.DUMMYFUNCTION("GOOGLETRANSLATE(E6049, ""zh"", ""en"")"),"Quantitative Text")</f>
        <v>Quantitative Text</v>
      </c>
    </row>
    <row r="6050" spans="1:3" ht="13" x14ac:dyDescent="0.15">
      <c r="A6050" s="1" t="str">
        <f ca="1">IFERROR(__xludf.DUMMYFUNCTION("GOOGLETRANSLATE(A6050, ""zh"", ""en"")"),"Conducted 1,243 first-topic studies, 20 Party Committee Central Group studies, 436 special Party lectures, and 1,184 themed Party Day activities. 2022 ESG Report of SDIC Capital strengthens the foundation of sustainable development. 3435 Financial service"&amp;"s for green development, deeply cultivating green finance. SDIC Capital actively integrates into and serves the national carbon peak and carbon neutrality goals. In accordance with the strategic route of building the financial and service industries into "&amp;"boosters of green development, leading financial capital to support the development of low-carbon industries and continuously improving the benefits of green investment, it strengthens the management of environmental and climate risks in financial busines"&amp;"s, innovates and enriches the spectrum of green financial products, enhances green financial service capabilities, and increases efforts to promote the layout of green investment, green trust, green guarantee, green leasing and other businesses. Support a"&amp;"nd promote the development of a green economy through diversified financial products and services.")</f>
        <v>Conducted 1,243 first-topic studies, 20 Party Committee Central Group studies, 436 special Party lectures, and 1,184 themed Party Day activities. 2022 ESG Report of SDIC Capital strengthens the foundation of sustainable development. 3435 Financial services for green development, deeply cultivating green finance. SDIC Capital actively integrates into and serves the national carbon peak and carbon neutrality goals. In accordance with the strategic route of building the financial and service industries into boosters of green development, leading financial capital to support the development of low-carbon industries and continuously improving the benefits of green investment, it strengthens the management of environmental and climate risks in financial business, innovates and enriches the spectrum of green financial products, enhances green financial service capabilities, and increases efforts to promote the layout of green investment, green trust, green guarantee, green leasing and other businesses. Support and promote the development of a green economy through diversified financial products and services.</v>
      </c>
      <c r="B6050" s="1" t="str">
        <f ca="1">IFERROR(__xludf.DUMMYFUNCTION("GOOGLETRANSLATE(A6050, ""zh"", ""en"")"),"Green Finance")</f>
        <v>Green Finance</v>
      </c>
      <c r="C6050" s="1" t="str">
        <f ca="1">IFERROR(__xludf.DUMMYFUNCTION("GOOGLETRANSLATE(E6050, ""zh"", ""en"")"),"Quantitative Text")</f>
        <v>Quantitative Text</v>
      </c>
    </row>
    <row r="6051" spans="1:3" ht="13" x14ac:dyDescent="0.15">
      <c r="A6051" s="1" t="str">
        <f ca="1">IFERROR(__xludf.DUMMYFUNCTION("GOOGLETRANSLATE(A6051, ""zh"", ""en"")"),"Stakeholder Communication Highlights: Participated in over 50 domestic and international strategic meetings and conducted multi-channel exchanges with institutional investors to convey the Group's mid- to long-term strategic vision. Hosted approximately 1"&amp;"0 on-site non-disease research sessions with institutional investors and conducted over 170 online and telephone roadshows domestically and internationally. Fosun Pharma held its 2021 Annual Performance Review Meeting on the SSE Roadshow Platform to detai"&amp;"l the Group's 2021 operating results and roadmap, and to further broaden the Group's interaction channels with investors and its business framework. Fosun Pharma's official website included the Company's annual report presentation materials in the Investo"&amp;"r Relations section to help investors better understand this episode. The patient developed a fever two days prior to taking Azvudine and responded to questions and suggestions from small and medium-sized investors through channels such as the investor ho"&amp;"tline and e-interactive platform.")</f>
        <v>Stakeholder Communication Highlights: Participated in over 50 domestic and international strategic meetings and conducted multi-channel exchanges with institutional investors to convey the Group's mid- to long-term strategic vision. Hosted approximately 10 on-site non-disease research sessions with institutional investors and conducted over 170 online and telephone roadshows domestically and internationally. Fosun Pharma held its 2021 Annual Performance Review Meeting on the SSE Roadshow Platform to detail the Group's 2021 operating results and roadmap, and to further broaden the Group's interaction channels with investors and its business framework. Fosun Pharma's official website included the Company's annual report presentation materials in the Investor Relations section to help investors better understand this episode. The patient developed a fever two days prior to taking Azvudine and responded to questions and suggestions from small and medium-sized investors through channels such as the investor hotline and e-interactive platform.</v>
      </c>
      <c r="B6051" s="1" t="str">
        <f ca="1">IFERROR(__xludf.DUMMYFUNCTION("GOOGLETRANSLATE(A6051, ""zh"", ""en"")"),"Information Disclosure and Investor Communication")</f>
        <v>Information Disclosure and Investor Communication</v>
      </c>
      <c r="C6051" s="1" t="str">
        <f ca="1">IFERROR(__xludf.DUMMYFUNCTION("GOOGLETRANSLATE(E6051, ""zh"", ""en"")"),"Qualitative text")</f>
        <v>Qualitative text</v>
      </c>
    </row>
    <row r="6052" spans="1:3" ht="13" x14ac:dyDescent="0.15">
      <c r="A6052" s="1" t="str">
        <f ca="1">IFERROR(__xludf.DUMMYFUNCTION("GOOGLETRANSLATE(A6052, ""zh"", ""en"")"),"Focus on network and information security, security certification and compliance center, information security contacts of various platforms, industry sectors, information security contacts of various overseas regions, information security technology cente"&amp;"r, privacy center, Internet of Things security technology center, application to data security, information security committee, information security management organizational structure, information security management committee, Haier Smart Home Global Di"&amp;"gital Technology Platform, Global Information Security Platform. In 2022, the company established a cloud security center that integrates continuous monitoring, deep defense, comprehensive analysis and rapid response capabilities. It can effectively detec"&amp;"t and prevent virus propagation, hacker attacks, ransomware encryption and other risk events, realize integrated and automated security operation closed-loop protection, network equipment security in multi-cloud environments, quickly respond to hacker pen"&amp;"etration, network attacks and phishing attacks, and generate security threat intelligence, providing important reference for security decision-making.")</f>
        <v>Focus on network and information security, security certification and compliance center, information security contacts of various platforms, industry sectors, information security contacts of various overseas regions, information security technology center, privacy center, Internet of Things security technology center, application to data security, information security committee, information security management organizational structure, information security management committee, Haier Smart Home Global Digital Technology Platform, Global Information Security Platform. In 2022, the company established a cloud security center that integrates continuous monitoring, deep defense, comprehensive analysis and rapid response capabilities. It can effectively detect and prevent virus propagation, hacker attacks, ransomware encryption and other risk events, realize integrated and automated security operation closed-loop protection, network equipment security in multi-cloud environments, quickly respond to hacker penetration, network attacks and phishing attacks, and generate security threat intelligence, providing important reference for security decision-making.</v>
      </c>
      <c r="B6052" s="1" t="str">
        <f ca="1">IFERROR(__xludf.DUMMYFUNCTION("GOOGLETRANSLATE(A6052, ""zh"", ""en"")"),"Data security")</f>
        <v>Data security</v>
      </c>
      <c r="C6052" s="1" t="str">
        <f ca="1">IFERROR(__xludf.DUMMYFUNCTION("GOOGLETRANSLATE(E6052, ""zh"", ""en"")"),"Qualitative text")</f>
        <v>Qualitative text</v>
      </c>
    </row>
    <row r="6053" spans="1:3" ht="13" x14ac:dyDescent="0.15">
      <c r="A6053" s="1" t="str">
        <f ca="1">IFERROR(__xludf.DUMMYFUNCTION("GOOGLETRANSLATE(A6053, ""zh"", ""en"")"),"Building harmonious labor relations, safeguarding employees' legitimate rights and interests, strengthening human rights protection for overseas employees, the proportion of female employees is 314.2, the proportion of ethnic minority employees is 6,548, "&amp;"and 100 proposals from employee representatives were collected in 2022. The implementation and response rate of proposals is 2,902, and cases have been filed. Sinopec Corporation Sinopec Corporation 8,182 Corporate governance builds a solid safety line, r"&amp;"esponds to climate change, respects human rights and cultivates talents, protects the environment, and fulfills social responsibilities. Human capital management Sinopec continues to improve its salary and benefits system, strengthens human resources risk"&amp;" management, avoids the risk of talent loss, actively introduces high-level talents, focuses on the construction of a team of scientific and technological talents, and continuously promotes the construction of a dynamic talent team. It has taken solid and"&amp;" powerful steps to build an important talent gathering center and innovation highland in the energy and chemical industry.")</f>
        <v>Building harmonious labor relations, safeguarding employees' legitimate rights and interests, strengthening human rights protection for overseas employees, the proportion of female employees is 314.2, the proportion of ethnic minority employees is 6,548, and 100 proposals from employee representatives were collected in 2022. The implementation and response rate of proposals is 2,902, and cases have been filed. Sinopec Corporation Sinopec Corporation 8,182 Corporate governance builds a solid safety line, responds to climate change, respects human rights and cultivates talents, protects the environment, and fulfills social responsibilities. Human capital management Sinopec continues to improve its salary and benefits system, strengthens human resources risk management, avoids the risk of talent loss, actively introduces high-level talents, focuses on the construction of a team of scientific and technological talents, and continuously promotes the construction of a dynamic talent team. It has taken solid and powerful steps to build an important talent gathering center and innovation highland in the energy and chemical industry.</v>
      </c>
      <c r="B6053" s="1" t="str">
        <f ca="1">IFERROR(__xludf.DUMMYFUNCTION("GOOGLETRANSLATE(A6053, ""zh"", ""en"")"),"staff")</f>
        <v>staff</v>
      </c>
      <c r="C6053" s="1" t="str">
        <f ca="1">IFERROR(__xludf.DUMMYFUNCTION("GOOGLETRANSLATE(E6053, ""zh"", ""en"")"),"Quantitative Text")</f>
        <v>Quantitative Text</v>
      </c>
    </row>
    <row r="6054" spans="1:3" ht="13" x14ac:dyDescent="0.15">
      <c r="A6054" s="1" t="str">
        <f ca="1">IFERROR(__xludf.DUMMYFUNCTION("GOOGLETRANSLATE(A6054, ""zh"", ""en"")"),"Respect life and strive for excellence. Quality policy: Quality first, pursuit of excellence. Five-year quality strategy: 2021-2025. Stable and continuous quality system evaluation and improvement. Ensure quality in-depth compliance. Strengthen quality ca"&amp;"pability growth and quality culture construction. Build a full life cycle quality management system. Establish a group quality management platform. Promote international quality management. Efficiently build a group digital information system. Launch a qu"&amp;"ality talent promotion plan. 42 Innovation for Good Health. Continuous innovation. Enjoy health throughout the life cycle. The life cycle of a drug refers to the entire life cycle of the product from the drug's post-research service system, drug developme"&amp;"nt, registration evaluation, market use, re-evaluation, product development, technology transfer, commercial production, post-marketing supervision, and the entire process until the drug is withdrawn from the market due to market reasons.")</f>
        <v>Respect life and strive for excellence. Quality policy: Quality first, pursuit of excellence. Five-year quality strategy: 2021-2025. Stable and continuous quality system evaluation and improvement. Ensure quality in-depth compliance. Strengthen quality capability growth and quality culture construction. Build a full life cycle quality management system. Establish a group quality management platform. Promote international quality management. Efficiently build a group digital information system. Launch a quality talent promotion plan. 42 Innovation for Good Health. Continuous innovation. Enjoy health throughout the life cycle. The life cycle of a drug refers to the entire life cycle of the product from the drug's post-research service system, drug development, registration evaluation, market use, re-evaluation, product development, technology transfer, commercial production, post-marketing supervision, and the entire process until the drug is withdrawn from the market due to market reasons.</v>
      </c>
      <c r="B6054" s="1" t="str">
        <f ca="1">IFERROR(__xludf.DUMMYFUNCTION("GOOGLETRANSLATE(A6054, ""zh"", ""en"")"),"Product quality")</f>
        <v>Product quality</v>
      </c>
      <c r="C6054" s="1" t="str">
        <f ca="1">IFERROR(__xludf.DUMMYFUNCTION("GOOGLETRANSLATE(E6054, ""zh"", ""en"")"),"Qualitative text")</f>
        <v>Qualitative text</v>
      </c>
    </row>
    <row r="6055" spans="1:3" ht="13" x14ac:dyDescent="0.15">
      <c r="A6055" s="1" t="str">
        <f ca="1">IFERROR(__xludf.DUMMYFUNCTION("GOOGLETRANSLATE(A6055, ""zh"", ""en"")"),"Provisions on Disciplinary Actions for Employee Violations of Discipline and Regulations; Trial Measures for Supervision and Enforcement of Discipline by the Discipline Inspection and Supervision Group; Opinions on Strengthening Routine Supervision by Dis"&amp;"cipline Inspection and Supervision Agencies; Trial Measures for Accountability for Irregular Operations and Investments; Regulations on Accountability Working Procedures for Accountability; Trial Measures for the Handling of Reports and Complaints by Disc"&amp;"ipline Inspection and Supervision Agencies; Provisions on the Management of Business Operations by Relatives of Managers (to be formulated and implemented in 2022); Measures for Daily Supervision Interviews (to be formulated and implemented in 2022); Meas"&amp;"ures for Recording and Reporting of Managers' Interference in Major Matters (to be formulated and implemented in 2022); Sinopec's Current Major Anti-Corruption Documents; Sinopec strictly abides by China's anti-corruption laws and regulations, the United "&amp;"Nations Convention against Corruption, and applicable anti-corruption and anti-bribery laws and regulations in the countries and regions where it operates. We adhere to the company's and our business partners' regulations and commitments on honest conduct"&amp;" and anti-corruption, and continuously strengthen the development of a culture of integrity.")</f>
        <v>Provisions on Disciplinary Actions for Employee Violations of Discipline and Regulations; Trial Measures for Supervision and Enforcement of Discipline by the Discipline Inspection and Supervision Group; Opinions on Strengthening Routine Supervision by Discipline Inspection and Supervision Agencies; Trial Measures for Accountability for Irregular Operations and Investments; Regulations on Accountability Working Procedures for Accountability; Trial Measures for the Handling of Reports and Complaints by Discipline Inspection and Supervision Agencies; Provisions on the Management of Business Operations by Relatives of Managers (to be formulated and implemented in 2022); Measures for Daily Supervision Interviews (to be formulated and implemented in 2022); Measures for Recording and Reporting of Managers' Interference in Major Matters (to be formulated and implemented in 2022); Sinopec's Current Major Anti-Corruption Documents; Sinopec strictly abides by China's anti-corruption laws and regulations, the United Nations Convention against Corruption, and applicable anti-corruption and anti-bribery laws and regulations in the countries and regions where it operates. We adhere to the company's and our business partners' regulations and commitments on honest conduct and anti-corruption, and continuously strengthen the development of a culture of integrity.</v>
      </c>
      <c r="B6055" s="1" t="str">
        <f ca="1">IFERROR(__xludf.DUMMYFUNCTION("GOOGLETRANSLATE(A6055, ""zh"", ""en"")"),"Anti-corruption and anti-money laundering")</f>
        <v>Anti-corruption and anti-money laundering</v>
      </c>
      <c r="C6055" s="1" t="str">
        <f ca="1">IFERROR(__xludf.DUMMYFUNCTION("GOOGLETRANSLATE(E6055, ""zh"", ""en"")"),"Qualitative text")</f>
        <v>Qualitative text</v>
      </c>
    </row>
    <row r="6056" spans="1:3" ht="13" x14ac:dyDescent="0.15">
      <c r="A6056" s="1" t="str">
        <f ca="1">IFERROR(__xludf.DUMMYFUNCTION("GOOGLETRANSLATE(A6056, ""zh"", ""en"")"),"Private banking collaborates with Shanghai Big Data Intelligence Center to carry out a data analysis project on private banking retirement customer insights. Based on big data analysis, high-level insights into 25 categories of private banking retirement "&amp;"customer groups are formed. A potential customer mining model is established. In terms of special zone construction, based on the mobile banking ecosystem resources, a private banking retirement financial planning zone is created, integrating retirement f"&amp;"inancial planning, a panoramic view of personal retirement, and a shelf of retirement financial products and other functions. Externally, it assists customers in independently and reasonably planning their retirement funds. Internally, it empowers them to"&amp;" enhance professional service capabilities and improve operational quality and efficiency. In terms of capacity building, it relies on ""I Want to Prepare for Retirement"", customer journey project planning, wealth defense and attack transmission, and a s"&amp;"eries of views sharing on retirement financial planning to enhance private banking's comprehensive retirement services, asset allocation, product optimization, and system tool support capacity building.")</f>
        <v>Private banking collaborates with Shanghai Big Data Intelligence Center to carry out a data analysis project on private banking retirement customer insights. Based on big data analysis, high-level insights into 25 categories of private banking retirement customer groups are formed. A potential customer mining model is established. In terms of special zone construction, based on the mobile banking ecosystem resources, a private banking retirement financial planning zone is created, integrating retirement financial planning, a panoramic view of personal retirement, and a shelf of retirement financial products and other functions. Externally, it assists customers in independently and reasonably planning their retirement funds. Internally, it empowers them to enhance professional service capabilities and improve operational quality and efficiency. In terms of capacity building, it relies on "I Want to Prepare for Retirement", customer journey project planning, wealth defense and attack transmission, and a series of views sharing on retirement financial planning to enhance private banking's comprehensive retirement services, asset allocation, product optimization, and system tool support capacity building.</v>
      </c>
      <c r="B6056" s="1" t="str">
        <f ca="1">IFERROR(__xludf.DUMMYFUNCTION("GOOGLETRANSLATE(A6056, ""zh"", ""en"")"),"Customers and Consumers")</f>
        <v>Customers and Consumers</v>
      </c>
      <c r="C6056" s="1" t="str">
        <f ca="1">IFERROR(__xludf.DUMMYFUNCTION("GOOGLETRANSLATE(E6056, ""zh"", ""en"")"),"Qualitative text")</f>
        <v>Qualitative text</v>
      </c>
    </row>
    <row r="6057" spans="1:3" ht="13" x14ac:dyDescent="0.15">
      <c r="A6057" s="1" t="str">
        <f ca="1">IFERROR(__xludf.DUMMYFUNCTION("GOOGLETRANSLATE(A6057, ""zh"", ""en"")"),"More than 4,600 employee innovation proposals were submitted. 1,085 external technology talents were attracted, and more than 800 of them were adopted, a year-on-year increase of 14.1. 2022 2022 0203040506 Protect the planet and explore a green and low-ca"&amp;"rbon future. Promote diversified and inclusive development through responsible procurement. Create a sustainable supply chain. Smart experience leads to a better life. Unite hearts and minds to promote equitable development. 01 Global collaborative and su"&amp;"stainable governance ecology 5554 Haier Smart Home Co., Ltd. Environmental, Social and Governance Report Improve the training and development system. We attach great importance to talent training, build a tiered talent training system, and provide employe"&amp;"es with rich learning resources through courses, training, special training, secondment and exchange, etc. We promote talent growth in multiple dimensions according to different needs and help employees improve their professional quality, professional abi"&amp;"lity and leadership ability.")</f>
        <v>More than 4,600 employee innovation proposals were submitted. 1,085 external technology talents were attracted, and more than 800 of them were adopted, a year-on-year increase of 14.1. 2022 2022 0203040506 Protect the planet and explore a green and low-carbon future. Promote diversified and inclusive development through responsible procurement. Create a sustainable supply chain. Smart experience leads to a better life. Unite hearts and minds to promote equitable development. 01 Global collaborative and sustainable governance ecology 5554 Haier Smart Home Co., Ltd. Environmental, Social and Governance Report Improve the training and development system. We attach great importance to talent training, build a tiered talent training system, and provide employees with rich learning resources through courses, training, special training, secondment and exchange, etc. We promote talent growth in multiple dimensions according to different needs and help employees improve their professional quality, professional ability and leadership ability.</v>
      </c>
      <c r="B6057" s="1" t="str">
        <f ca="1">IFERROR(__xludf.DUMMYFUNCTION("GOOGLETRANSLATE(A6057, ""zh"", ""en"")"),"staff")</f>
        <v>staff</v>
      </c>
      <c r="C6057" s="1" t="str">
        <f ca="1">IFERROR(__xludf.DUMMYFUNCTION("GOOGLETRANSLATE(E6057, ""zh"", ""en"")"),"Quantitative Text")</f>
        <v>Quantitative Text</v>
      </c>
    </row>
    <row r="6058" spans="1:3" ht="13" x14ac:dyDescent="0.15">
      <c r="A6058" s="1" t="str">
        <f ca="1">IFERROR(__xludf.DUMMYFUNCTION("GOOGLETRANSLATE(A6058, ""zh"", ""en"")"),"Employee composition as of December 31, 2021 Professional composition Education level 1.211.5610.39 Dipping plant production personnel Administrative personnel Technical personnel Sales personnel Financial personnel Master's degree Undergraduate degree Ju"&amp;"nior college High school and below New employees as of December 31, 2021 New employees New male employees New female employees Employee turnover rate 385304 Occupational health, remuneration and benefits In order to ensure the occupational health of every"&amp;" employee, the company headquarters and most of its subsidiaries have passed the IS045001 occupational health and safety management system certification and abide by the relevant laws and regulations in the company. Continue to do a good job in income dis"&amp;"tribution and salary and financial incentives, give full play to the role of remuneration, deepen the reform of the wage distribution system, and continuously optimize the system standards. Carry out the company's annual internal audit to ensure that the "&amp;"health and safety rights of employees are not infringed.")</f>
        <v>Employee composition as of December 31, 2021 Professional composition Education level 1.211.5610.39 Dipping plant production personnel Administrative personnel Technical personnel Sales personnel Financial personnel Master's degree Undergraduate degree Junior college High school and below New employees as of December 31, 2021 New employees New male employees New female employees Employee turnover rate 385304 Occupational health, remuneration and benefits In order to ensure the occupational health of every employee, the company headquarters and most of its subsidiaries have passed the IS045001 occupational health and safety management system certification and abide by the relevant laws and regulations in the company. Continue to do a good job in income distribution and salary and financial incentives, give full play to the role of remuneration, deepen the reform of the wage distribution system, and continuously optimize the system standards. Carry out the company's annual internal audit to ensure that the health and safety rights of employees are not infringed.</v>
      </c>
      <c r="B6058" s="1" t="str">
        <f ca="1">IFERROR(__xludf.DUMMYFUNCTION("GOOGLETRANSLATE(A6058, ""zh"", ""en"")"),"staff")</f>
        <v>staff</v>
      </c>
      <c r="C6058" s="1" t="str">
        <f ca="1">IFERROR(__xludf.DUMMYFUNCTION("GOOGLETRANSLATE(E6058, ""zh"", ""en"")"),"Quantitative Text")</f>
        <v>Quantitative Text</v>
      </c>
    </row>
    <row r="6059" spans="1:3" ht="13" x14ac:dyDescent="0.15">
      <c r="A6059" s="1" t="str">
        <f ca="1">IFERROR(__xludf.DUMMYFUNCTION("GOOGLETRANSLATE(A6059, ""zh"", ""en"")"),"1042022Social Responsibility Report Career Development Y Channel Space Selection Features Orderly, Flexible and Dynamic Provides Sufficient Space for Employees' Career Development Free Choice of Development Path Management Talents Technical Talents Multip"&amp;"le Paths Free Choice Tailored to Their Own Characteristics Management Development Channel Technical Development Channel Deputy General Manager Minister Deputy Minister Division Director Deputy Division Director Assistant Chief Engineer Deputy Chief Engine"&amp;"er Professional Chief Engineer Professional Deputy Chief Engineer Chief Engineer Senior Engineer First-Level Specialist Second-Level Specialist Third-Level Specialist Administrator Assistant Administrator First-Level Engineer Second-Level Engineer Third-L"&amp;"evel Engineer Technician Assistant Technician Chief Engineer Deputy Chief Engineer Professional Chief Engineer Professional Deputy Chief Engineer Chief Engineer Talent Cultivation Mutual Promotion and Advancement Cultivate Innovative Talents for Cutting-E"&amp;"dge Technologies Provide Diverse Training Methods and Incentive Mechanisms to Promote the Common Progress of Employees and Enterprises")</f>
        <v>1042022Social Responsibility Report Career Development Y Channel Space Selection Features Orderly, Flexible and Dynamic Provides Sufficient Space for Employees' Career Development Free Choice of Development Path Management Talents Technical Talents Multiple Paths Free Choice Tailored to Their Own Characteristics Management Development Channel Technical Development Channel Deputy General Manager Minister Deputy Minister Division Director Deputy Division Director Assistant Chief Engineer Deputy Chief Engineer Professional Chief Engineer Professional Deputy Chief Engineer Chief Engineer Senior Engineer First-Level Specialist Second-Level Specialist Third-Level Specialist Administrator Assistant Administrator First-Level Engineer Second-Level Engineer Third-Level Engineer Technician Assistant Technician Chief Engineer Deputy Chief Engineer Professional Chief Engineer Professional Deputy Chief Engineer Chief Engineer Talent Cultivation Mutual Promotion and Advancement Cultivate Innovative Talents for Cutting-Edge Technologies Provide Diverse Training Methods and Incentive Mechanisms to Promote the Common Progress of Employees and Enterprises</v>
      </c>
      <c r="B6059" s="1" t="str">
        <f ca="1">IFERROR(__xludf.DUMMYFUNCTION("GOOGLETRANSLATE(A6059, ""zh"", ""en"")"),"staff")</f>
        <v>staff</v>
      </c>
      <c r="C6059" s="1" t="str">
        <f ca="1">IFERROR(__xludf.DUMMYFUNCTION("GOOGLETRANSLATE(E6059, ""zh"", ""en"")"),"Qualitative text")</f>
        <v>Qualitative text</v>
      </c>
    </row>
    <row r="6060" spans="1:3" ht="13" x14ac:dyDescent="0.15">
      <c r="A6060" s="1" t="str">
        <f ca="1">IFERROR(__xludf.DUMMYFUNCTION("GOOGLETRANSLATE(A6060, ""zh"", ""en"")"),"Category 2022 Audit Supplier API 11 Packaging Material B Excipients Consumables Equipment Total Green Procurement Quality Cost Delivery Service Environment Supplier Green Supplier Management Basic Principles Pilot 3 Implement EHS Compliance with Suppliers"&amp;" Reduce Environmental Load Raw Materials Environmental Investment and Operation Promote Energy Conservation and Emission Reduction Supply Chain Green Collaboration Resource Recycling Excipients 434 Audits Environmental Information Disclosure Promote Envir"&amp;"onmentally Friendly Living 6 2022 3 Packaging Green Supply Chain Initiative Greening Fosun's Green Supply Chain Project 2022 Corporate Social Responsibility Report 69 Responsible Employer Attract People Through Development, Unite People Through Career, Cu"&amp;"ltivate People Through Work, and Assess People Through Performance is Fosun Pharma Group's talent perspective.")</f>
        <v>Category 2022 Audit Supplier API 11 Packaging Material B Excipients Consumables Equipment Total Green Procurement Quality Cost Delivery Service Environment Supplier Green Supplier Management Basic Principles Pilot 3 Implement EHS Compliance with Suppliers Reduce Environmental Load Raw Materials Environmental Investment and Operation Promote Energy Conservation and Emission Reduction Supply Chain Green Collaboration Resource Recycling Excipients 434 Audits Environmental Information Disclosure Promote Environmentally Friendly Living 6 2022 3 Packaging Green Supply Chain Initiative Greening Fosun's Green Supply Chain Project 2022 Corporate Social Responsibility Report 69 Responsible Employer Attract People Through Development, Unite People Through Career, Cultivate People Through Work, and Assess People Through Performance is Fosun Pharma Group's talent perspective.</v>
      </c>
      <c r="B6060" s="1" t="str">
        <f ca="1">IFERROR(__xludf.DUMMYFUNCTION("GOOGLETRANSLATE(A6060, ""zh"", ""en"")"),"staff")</f>
        <v>staff</v>
      </c>
      <c r="C6060" s="1" t="str">
        <f ca="1">IFERROR(__xludf.DUMMYFUNCTION("GOOGLETRANSLATE(E6060, ""zh"", ""en"")"),"Qualitative text")</f>
        <v>Qualitative text</v>
      </c>
    </row>
    <row r="6061" spans="1:3" ht="13" x14ac:dyDescent="0.15">
      <c r="A6061" s="1" t="str">
        <f ca="1">IFERROR(__xludf.DUMMYFUNCTION("GOOGLETRANSLATE(A6061, ""zh"", ""en"")"),"Regulations on the Signing of Responsibility Letters for Integrity in Employment; Regulations on the Management of the Construction Project Market Integrity System; Regulations on the Management of Construction Project Bidding and Tendering; Regulations o"&amp;"n the Management of Material Procurement and Supply Resources; Regulations on the Anti-Corruption and Compliance of Suppliers and Contractors; Sinopec Corporation; Sinopec Corporation 2324 Corporate Governance; Building a Solid Security Line; Addressing C"&amp;"limate Change; Respecting Human Rights and Cultivating Talents; Protecting the Environment; Fulfilling Social Responsibilities; Petition and Reporting Mechanism; Tax Governance; The Company formulates tax management measures and other relevant systems; Ad"&amp;"here to the principle of paying taxes in accordance with the law; Conscientiously fulfill tax obligations; Strictly abide by the relevant tax policies and regulations of the countries or regions where the business is located; Company management systems an"&amp;"d operating specifications are supported by true and complete tax-related information; Accurately and timely pay all taxes in accordance with the law; Disclose tax information in accordance with regulations; Ensure compliance with the regulatory requireme"&amp;"nts of the tax authorities.")</f>
        <v>Regulations on the Signing of Responsibility Letters for Integrity in Employment; Regulations on the Management of the Construction Project Market Integrity System; Regulations on the Management of Construction Project Bidding and Tendering; Regulations on the Management of Material Procurement and Supply Resources; Regulations on the Anti-Corruption and Compliance of Suppliers and Contractors; Sinopec Corporation; Sinopec Corporation 2324 Corporate Governance; Building a Solid Security Line; Addressing Climate Change; Respecting Human Rights and Cultivating Talents; Protecting the Environment; Fulfilling Social Responsibilities; Petition and Reporting Mechanism; Tax Governance; The Company formulates tax management measures and other relevant systems; Adhere to the principle of paying taxes in accordance with the law; Conscientiously fulfill tax obligations; Strictly abide by the relevant tax policies and regulations of the countries or regions where the business is located; Company management systems and operating specifications are supported by true and complete tax-related information; Accurately and timely pay all taxes in accordance with the law; Disclose tax information in accordance with regulations; Ensure compliance with the regulatory requirements of the tax authorities.</v>
      </c>
      <c r="B6061" s="1" t="str">
        <f ca="1">IFERROR(__xludf.DUMMYFUNCTION("GOOGLETRANSLATE(A6061, ""zh"", ""en"")"),"Tax transparency")</f>
        <v>Tax transparency</v>
      </c>
      <c r="C6061" s="1" t="str">
        <f ca="1">IFERROR(__xludf.DUMMYFUNCTION("GOOGLETRANSLATE(E6061, ""zh"", ""en"")"),"Qualitative text")</f>
        <v>Qualitative text</v>
      </c>
    </row>
    <row r="6062" spans="1:3" ht="13" x14ac:dyDescent="0.15">
      <c r="A6062" s="1" t="str">
        <f ca="1">IFERROR(__xludf.DUMMYFUNCTION("GOOGLETRANSLATE(A6062, ""zh"", ""en"")"),"Case Studies: Shared Pallet Recycling, FFS Heavy Film Packaging Bag Thinning, Solid Waste Volume (Thousand Tons), Hazardous Waste Volume (Thousand Tons), Solid Waste Compliance Disposal Rate, Hazardous Solid Waste Outsourcing Disposal Rate, Indicators 171"&amp;"0.8731.110010020201931.6461.010010020212036.9515.01001002022, Sinopec Corporation, Sinopec Corporation 6162 Corporate Governance: Building a Strong Safety Line, Responding to Climate Change, Respecting Human Rights and Talent Cultivation, Environmental Pr"&amp;"otection, Fulfilling Social Responsibilities, and Preventing Hydrocarbon Leaks. The company has formulated the HSE Management System Manual, Sinopec Environmental Management and Protection Regulations, Sinopec Pollution Prevention and Control Management R"&amp;"egulations, and other management regulations to guide its affiliated enterprises in systematically carrying out hydrocarbon leakage prevention work.")</f>
        <v>Case Studies: Shared Pallet Recycling, FFS Heavy Film Packaging Bag Thinning, Solid Waste Volume (Thousand Tons), Hazardous Waste Volume (Thousand Tons), Solid Waste Compliance Disposal Rate, Hazardous Solid Waste Outsourcing Disposal Rate, Indicators 1710.8731.110010020201931.6461.010010020212036.9515.01001002022, Sinopec Corporation, Sinopec Corporation 6162 Corporate Governance: Building a Strong Safety Line, Responding to Climate Change, Respecting Human Rights and Talent Cultivation, Environmental Protection, Fulfilling Social Responsibilities, and Preventing Hydrocarbon Leaks. The company has formulated the HSE Management System Manual, Sinopec Environmental Management and Protection Regulations, Sinopec Pollution Prevention and Control Management Regulations, and other management regulations to guide its affiliated enterprises in systematically carrying out hydrocarbon leakage prevention work.</v>
      </c>
      <c r="B6062" s="1" t="str">
        <f ca="1">IFERROR(__xludf.DUMMYFUNCTION("GOOGLETRANSLATE(A6062, ""zh"", ""en"")"),"Waste Management")</f>
        <v>Waste Management</v>
      </c>
      <c r="C6062" s="1" t="str">
        <f ca="1">IFERROR(__xludf.DUMMYFUNCTION("GOOGLETRANSLATE(E6062, ""zh"", ""en"")"),"Quantitative Text")</f>
        <v>Quantitative Text</v>
      </c>
    </row>
    <row r="6063" spans="1:3" ht="13" x14ac:dyDescent="0.15">
      <c r="A6063" s="1" t="str">
        <f ca="1">IFERROR(__xludf.DUMMYFUNCTION("GOOGLETRANSLATE(A6063, ""zh"", ""en"")"),"Please send to: COSL Administration Department, No. 201, Haiyou Street, Yanjiao, Sanhe City, Hebei Province, China Your information Name Work Unit Position Contact number Email Feedback 1. Your overall evaluation of the company's ESG report is good, good,"&amp;" fair, and average 2. Do you think this report can reflect the company's significant impact on the economy, society, and environment? High, relatively high, fair, low, and low 3. What do you think of the clarity, accuracy, and completeness of the informat"&amp;"ion, data, and indicators disclosed in this report? Good, good, fair, poor, and unknown 4. In which responsibility issues do you think the company performs best? Responsibility management, corporate governance, QHSE management, customer service, employee "&amp;"development, and social contribution 5. Which aspect of this report are you most satisfied with? 6. What information would you like to know more about? 7. What suggestions do you have for our future reports? COSL 2022 ESG Report 66")</f>
        <v>Please send to: COSL Administration Department, No. 201, Haiyou Street, Yanjiao, Sanhe City, Hebei Province, China Your information Name Work Unit Position Contact number Email Feedback 1. Your overall evaluation of the company's ESG report is good, good, fair, and average 2. Do you think this report can reflect the company's significant impact on the economy, society, and environment? High, relatively high, fair, low, and low 3. What do you think of the clarity, accuracy, and completeness of the information, data, and indicators disclosed in this report? Good, good, fair, poor, and unknown 4. In which responsibility issues do you think the company performs best? Responsibility management, corporate governance, QHSE management, customer service, employee development, and social contribution 5. Which aspect of this report are you most satisfied with? 6. What information would you like to know more about? 7. What suggestions do you have for our future reports? COSL 2022 ESG Report 66</v>
      </c>
      <c r="B6063" s="1" t="str">
        <f ca="1">IFERROR(__xludf.DUMMYFUNCTION("GOOGLETRANSLATE(A6063, ""zh"", ""en"")"),"irrelevant text")</f>
        <v>irrelevant text</v>
      </c>
      <c r="C6063" s="1" t="str">
        <f ca="1">IFERROR(__xludf.DUMMYFUNCTION("GOOGLETRANSLATE(E6063, ""zh"", ""en"")"),"irrelevant text")</f>
        <v>irrelevant text</v>
      </c>
    </row>
    <row r="6064" spans="1:3" ht="13" x14ac:dyDescent="0.15">
      <c r="A6064" s="1" t="str">
        <f ca="1">IFERROR(__xludf.DUMMYFUNCTION("GOOGLETRANSLATE(A6064, ""zh"", ""en"")"),"Composition and Diversity of Board Members Male 3 years 3 years Executive Director Non-executive Director Independent Non-executive Director 2 years 1 year 555960697079 Female 714243512223 Gender Identity Age Group Years of Service 0 20 30 40 50 61 7 16 P"&amp;"rotecting the Planet Explore a Green and Low-Carbon Future Promoting Diversified and Inclusive Development Responsible Procurement Creating a Sustainable Supply Chain Intelligent Experience Leading to a Better Life Uniting Hearts and Souls Promoting Equit"&amp;"able Development 01 Global Collaboration Sustainable Governance Ecosystem Haier Smart Home Co., Ltd. Environmental, Social and Governance Report ESG Governance Structure Good ESG governance is of great significance in ensuring the stable operation of the "&amp;"enterprise, responding to unexpected crises and seizing development opportunities. The company has established an ESG governance structure consisting of governance, management and execution layers covering overseas systems.")</f>
        <v>Composition and Diversity of Board Members Male 3 years 3 years Executive Director Non-executive Director Independent Non-executive Director 2 years 1 year 555960697079 Female 714243512223 Gender Identity Age Group Years of Service 0 20 30 40 50 61 7 16 Protecting the Planet Explore a Green and Low-Carbon Future Promoting Diversified and Inclusive Development Responsible Procurement Creating a Sustainable Supply Chain Intelligent Experience Leading to a Better Life Uniting Hearts and Souls Promoting Equitable Development 01 Global Collaboration Sustainable Governance Ecosystem Haier Smart Home Co., Ltd. Environmental, Social and Governance Report ESG Governance Structure Good ESG governance is of great significance in ensuring the stable operation of the enterprise, responding to unexpected crises and seizing development opportunities. The company has established an ESG governance structure consisting of governance, management and execution layers covering overseas systems.</v>
      </c>
      <c r="B6064" s="1" t="str">
        <f ca="1">IFERROR(__xludf.DUMMYFUNCTION("GOOGLETRANSLATE(A6064, ""zh"", ""en"")"),"Organizational structure and operations")</f>
        <v>Organizational structure and operations</v>
      </c>
      <c r="C6064" s="1" t="str">
        <f ca="1">IFERROR(__xludf.DUMMYFUNCTION("GOOGLETRANSLATE(E6064, ""zh"", ""en"")"),"Quantitative Text")</f>
        <v>Quantitative Text</v>
      </c>
    </row>
    <row r="6065" spans="1:3" ht="13" x14ac:dyDescent="0.15">
      <c r="A6065" s="1" t="str">
        <f ca="1">IFERROR(__xludf.DUMMYFUNCTION("GOOGLETRANSLATE(A6065, ""zh"", ""en"")"),"Enhance the appeal of corporate culture, unite employees, and boost brand influence. Drive performance and ensure implementation. Focus on grassroots efforts, address practical issues facing employees, compile a commemorative book, and pass on the legacy "&amp;"of our struggle. Commend overseas personnel to inspire enthusiasm for work. Organize a public collection campaign to create a strong atmosphere. Award commemorative medals to promote cultural identity. Hold a cultural performance to gather strength for pr"&amp;"ogress. Film a film on development achievements to disseminate our company culture. Six ""One"" activities: Leading the charge for 20 years, continuing our struggle and writing a new chapter. COSL's 2022 ESG Report 11 focuses on rigorous, practical, and r"&amp;"apid innovation, creating a positive political environment for clean and upright work and entrepreneurship. Focus closely on old and new issues strongly reflected by grassroots organizations, establish a burden-reduction list, implement a ""planned campai"&amp;"gn,"" vigorously rectify and inspect 15 typical issues, issue documents frequently, and foster a positive atmosphere of investigation, on-site inspection, and practical meetings.")</f>
        <v>Enhance the appeal of corporate culture, unite employees, and boost brand influence. Drive performance and ensure implementation. Focus on grassroots efforts, address practical issues facing employees, compile a commemorative book, and pass on the legacy of our struggle. Commend overseas personnel to inspire enthusiasm for work. Organize a public collection campaign to create a strong atmosphere. Award commemorative medals to promote cultural identity. Hold a cultural performance to gather strength for progress. Film a film on development achievements to disseminate our company culture. Six "One" activities: Leading the charge for 20 years, continuing our struggle and writing a new chapter. COSL's 2022 ESG Report 11 focuses on rigorous, practical, and rapid innovation, creating a positive political environment for clean and upright work and entrepreneurship. Focus closely on old and new issues strongly reflected by grassroots organizations, establish a burden-reduction list, implement a "planned campaign," vigorously rectify and inspect 15 typical issues, issue documents frequently, and foster a positive atmosphere of investigation, on-site inspection, and practical meetings.</v>
      </c>
      <c r="B6065" s="1" t="str">
        <f ca="1">IFERROR(__xludf.DUMMYFUNCTION("GOOGLETRANSLATE(A6065, ""zh"", ""en"")"),"staff")</f>
        <v>staff</v>
      </c>
      <c r="C6065" s="1" t="str">
        <f ca="1">IFERROR(__xludf.DUMMYFUNCTION("GOOGLETRANSLATE(E6065, ""zh"", ""en"")"),"Qualitative text")</f>
        <v>Qualitative text</v>
      </c>
    </row>
    <row r="6066" spans="1:3" ht="13" x14ac:dyDescent="0.15">
      <c r="A6066" s="1" t="str">
        <f ca="1">IFERROR(__xludf.DUMMYFUNCTION("GOOGLETRANSLATE(A6066, ""zh"", ""en"")"),"The three major principles of business ethics and anti-corruption and anti-fraud include the zero-tolerance principle, the principle of everyone fighting fraud, and the ABC accountability principle. Entering the ESG management topic, we can see responsibi"&amp;"lity, safety first, people-oriented, and mutual benefit and win-win. The GRI content index aims to improve risk management. The company has issued relevant risk systems covering the basic structure and content of the company's internal control system, sta"&amp;"ndardizing the work process of the risk management department, and facilitating communication, coordination, and inspection between departments. The company attaches importance to risk awareness promotion and improves the risk management awareness and lev"&amp;"el of all employees through regular training and case sharing. Commercial business line anti-fraud training Whistleblower protection To create a fair competition and transparent business environment, the company has formulated whistleblower protection and"&amp;" reward regulations to encourage all employees and business partners to actively participate in the company's integrity construction and supervision.")</f>
        <v>The three major principles of business ethics and anti-corruption and anti-fraud include the zero-tolerance principle, the principle of everyone fighting fraud, and the ABC accountability principle. Entering the ESG management topic, we can see responsibility, safety first, people-oriented, and mutual benefit and win-win. The GRI content index aims to improve risk management. The company has issued relevant risk systems covering the basic structure and content of the company's internal control system, standardizing the work process of the risk management department, and facilitating communication, coordination, and inspection between departments. The company attaches importance to risk awareness promotion and improves the risk management awareness and level of all employees through regular training and case sharing. Commercial business line anti-fraud training Whistleblower protection To create a fair competition and transparent business environment, the company has formulated whistleblower protection and reward regulations to encourage all employees and business partners to actively participate in the company's integrity construction and supervision.</v>
      </c>
      <c r="B6066" s="1" t="str">
        <f ca="1">IFERROR(__xludf.DUMMYFUNCTION("GOOGLETRANSLATE(A6066, ""zh"", ""en"")"),"Anti-corruption and anti-money laundering")</f>
        <v>Anti-corruption and anti-money laundering</v>
      </c>
      <c r="C6066" s="1" t="str">
        <f ca="1">IFERROR(__xludf.DUMMYFUNCTION("GOOGLETRANSLATE(E6066, ""zh"", ""en"")"),"Qualitative text")</f>
        <v>Qualitative text</v>
      </c>
    </row>
    <row r="6067" spans="1:3" ht="13" x14ac:dyDescent="0.15">
      <c r="A6067" s="1" t="str">
        <f ca="1">IFERROR(__xludf.DUMMYFUNCTION("GOOGLETRANSLATE(A6067, ""zh"", ""en"")"),"COSL 2022 ESG Report 7: Strengthen Party Building to Lead, Improve Governance Structure, Comply with Laws and Regulations, Manage Enterprises with Comprehensive Risk Management, and Practice Integrity in Corporate Governance. COSL 2022 ESG Report 8: Stren"&amp;"gthen Party Building to Lead, Focus on the 20th National Congress of the Communist Party of China, and Rapidly Launch a Wave of Study, Publicity, and Implementation. In 2022, COSL will always adhere to the guidance of Xi Jinping Thought on Socialism with "&amp;"Chinese Characteristics for a New Era, and thoroughly implement the spirit of the Sixth Plenary Session of the 19th CPC Central Committee, the Sixth Plenary Session of the 19th Central Commission for Discipline Inspection, and the 20th National Congress o"&amp;"f the Communist Party of China. Guided by the Party's political development, with the promotion of high-quality development as the main theme, and the integration and consolidation of Party building as the main line, with the ""Four Whethers"" as the most"&amp;" important criteria for measuring grassroots Party building, adhering to the three principles, insisting on focusing on methods and processes in Party work, focusing on impact and increasing effectiveness in Party work, and providing strong political and "&amp;"organizational guarantees for building a world-class energy services company with Chinese characteristics.")</f>
        <v>COSL 2022 ESG Report 7: Strengthen Party Building to Lead, Improve Governance Structure, Comply with Laws and Regulations, Manage Enterprises with Comprehensive Risk Management, and Practice Integrity in Corporate Governance. COSL 2022 ESG Report 8: Strengthen Party Building to Lead, Focus on the 20th National Congress of the Communist Party of China, and Rapidly Launch a Wave of Study, Publicity, and Implementation. In 2022, COSL will always adhere to the guidance of Xi Jinping Thought on Socialism with Chinese Characteristics for a New Era, and thoroughly implement the spirit of the Sixth Plenary Session of the 19th CPC Central Committee, the Sixth Plenary Session of the 19th Central Commission for Discipline Inspection, and the 20th National Congress of the Communist Party of China. Guided by the Party's political development, with the promotion of high-quality development as the main theme, and the integration and consolidation of Party building as the main line, with the "Four Whethers" as the most important criteria for measuring grassroots Party building, adhering to the three principles, insisting on focusing on methods and processes in Party work, focusing on impact and increasing effectiveness in Party work, and providing strong political and organizational guarantees for building a world-class energy services company with Chinese characteristics.</v>
      </c>
      <c r="B6067" s="1" t="str">
        <f ca="1">IFERROR(__xludf.DUMMYFUNCTION("GOOGLETRANSLATE(A6067, ""zh"", ""en"")"),"Organizational structure and operations")</f>
        <v>Organizational structure and operations</v>
      </c>
      <c r="C6067" s="1" t="str">
        <f ca="1">IFERROR(__xludf.DUMMYFUNCTION("GOOGLETRANSLATE(E6067, ""zh"", ""en"")"),"Qualitative text")</f>
        <v>Qualitative text</v>
      </c>
    </row>
    <row r="6068" spans="1:3" ht="13" x14ac:dyDescent="0.15">
      <c r="A6068" s="1" t="str">
        <f ca="1">IFERROR(__xludf.DUMMYFUNCTION("GOOGLETRANSLATE(A6068, ""zh"", ""en"")"),"Emissions: 400,900 tons, a decrease of 6.35% year-on-year; Emission intensity: 0.4%; Emission intensity: 11% year-on-year; Total greenhouse gas methane emissions: 160.56%; Direct emissions: Scope 1: 119.68%; Indirect emissions: Scope 2: 40.88%; Unit: Mill"&amp;"ion tons of CO2 equivalent; Domestic unit oil and gas production: Greenhouse gas emissions: 0.24 tons of CO2 equivalent; Tons of oil equivalent; Conventional flare extinguishing project; Overall closed process modification project; Wellbore exhaust gas re"&amp;"covery project; Methane emission monitoring and accounting system construction; Leak detection and repair; LDAR system construction project; Construction operation gas emission control project; Methane emission control; Social responsibility actions; Seve"&amp;"n major actions of China Petroleum Corporation for methane emission control; Climate change and energy transition; 45 Carbon Asset Management Company actively participates in the construction of the national carbon market and is one of the first 10 compan"&amp;"ies to participate in the national carbon market trading.")</f>
        <v>Emissions: 400,900 tons, a decrease of 6.35% year-on-year; Emission intensity: 0.4%; Emission intensity: 11% year-on-year; Total greenhouse gas methane emissions: 160.56%; Direct emissions: Scope 1: 119.68%; Indirect emissions: Scope 2: 40.88%; Unit: Million tons of CO2 equivalent; Domestic unit oil and gas production: Greenhouse gas emissions: 0.24 tons of CO2 equivalent; Tons of oil equivalent; Conventional flare extinguishing project; Overall closed process modification project; Wellbore exhaust gas recovery project; Methane emission monitoring and accounting system construction; Leak detection and repair; LDAR system construction project; Construction operation gas emission control project; Methane emission control; Social responsibility actions; Seven major actions of China Petroleum Corporation for methane emission control; Climate change and energy transition; 45 Carbon Asset Management Company actively participates in the construction of the national carbon market and is one of the first 10 companies to participate in the national carbon market trading.</v>
      </c>
      <c r="B6068" s="1" t="str">
        <f ca="1">IFERROR(__xludf.DUMMYFUNCTION("GOOGLETRANSLATE(A6068, ""zh"", ""en"")"),"carbon emissions")</f>
        <v>carbon emissions</v>
      </c>
      <c r="C6068" s="1" t="str">
        <f ca="1">IFERROR(__xludf.DUMMYFUNCTION("GOOGLETRANSLATE(E6068, ""zh"", ""en"")"),"Quantitative Text")</f>
        <v>Quantitative Text</v>
      </c>
    </row>
    <row r="6069" spans="1:3" ht="13" x14ac:dyDescent="0.15">
      <c r="A6069" s="1" t="str">
        <f ca="1">IFERROR(__xludf.DUMMYFUNCTION("GOOGLETRANSLATE(A6069, ""zh"", ""en"")"),"http://group1.ccb.com/cn/ccbtoday/common/include/report.html Contact Information: Public Relations and Corporate Culture Department, China Construction Bank Corporation, 25 Financial Street, Xicheng District, Beijing, China, Postal Code: 100033 Fax: 86106"&amp;"6212659 Further Reading: For more information on the Bank's Environmental, Social and Governance (ESG) activities, please visit the following website: http://www3.ccb.com/cn/group/esg/index.html China Construction Bank Corporation 2022 Social Responsibili"&amp;"ty Report 4 Chairman's Message 2022 is an extremely important year in the history of the Party and the country. It is also a year in which CCB has deepened its implementation of the new development philosophy, promoted new financial initiatives, and achie"&amp;"ved fruitful results in serving the great cause of the new era.")</f>
        <v>http://group1.ccb.com/cn/ccbtoday/common/include/report.html Contact Information: Public Relations and Corporate Culture Department, China Construction Bank Corporation, 25 Financial Street, Xicheng District, Beijing, China, Postal Code: 100033 Fax: 861066212659 Further Reading: For more information on the Bank's Environmental, Social and Governance (ESG) activities, please visit the following website: http://www3.ccb.com/cn/group/esg/index.html China Construction Bank Corporation 2022 Social Responsibility Report 4 Chairman's Message 2022 is an extremely important year in the history of the Party and the country. It is also a year in which CCB has deepened its implementation of the new development philosophy, promoted new financial initiatives, and achieved fruitful results in serving the great cause of the new era.</v>
      </c>
      <c r="B6069" s="1" t="str">
        <f ca="1">IFERROR(__xludf.DUMMYFUNCTION("GOOGLETRANSLATE(A6069, ""zh"", ""en"")"),"irrelevant text")</f>
        <v>irrelevant text</v>
      </c>
      <c r="C6069" s="1" t="str">
        <f ca="1">IFERROR(__xludf.DUMMYFUNCTION("GOOGLETRANSLATE(E6069, ""zh"", ""en"")"),"irrelevant text")</f>
        <v>irrelevant text</v>
      </c>
    </row>
    <row r="6070" spans="1:3" ht="13" x14ac:dyDescent="0.15">
      <c r="A6070" s="1" t="str">
        <f ca="1">IFERROR(__xludf.DUMMYFUNCTION("GOOGLETRANSLATE(A6070, ""zh"", ""en"")"),"Major issues addressed: Community Investment; HKEX ESG Indicator B8; Community Investment 2022 Target Achievement: Invested RMB 6 million to build 20 Hope Primary Schools nationwide; Actively participated in charitable activities at home and abroad; Donat"&amp;"ed materials and cash to local charitable organizations and charitable activities in Poland, the UK, Italy, Indonesia, Serbia, Pakistan, and other countries; Goal Description for the Next 13 Years: Empowering educational development; Upgrading the Hope Pr"&amp;"oject's construction model; Increasing the number of Hope Primary Schools built nationwide by 20; Responding to the call for common prosperity; Supporting rural revitalization; Persisting in helping the needy and demonstrating responsibility; Our Goals: R"&amp;"esponse to SDG Goals; Uniting hearts and minds to promote equitable social development; Haier Smart Home actively participates in community public welfare projects such as health education, rural development, and volunteer services; Striving to create soc"&amp;"ial value, fulfilling social responsibility, and gathering sincerity and honesty to contribute to building a fairer and better society; Haier Energy")</f>
        <v>Major issues addressed: Community Investment; HKEX ESG Indicator B8; Community Investment 2022 Target Achievement: Invested RMB 6 million to build 20 Hope Primary Schools nationwide; Actively participated in charitable activities at home and abroad; Donated materials and cash to local charitable organizations and charitable activities in Poland, the UK, Italy, Indonesia, Serbia, Pakistan, and other countries; Goal Description for the Next 13 Years: Empowering educational development; Upgrading the Hope Project's construction model; Increasing the number of Hope Primary Schools built nationwide by 20; Responding to the call for common prosperity; Supporting rural revitalization; Persisting in helping the needy and demonstrating responsibility; Our Goals: Response to SDG Goals; Uniting hearts and minds to promote equitable social development; Haier Smart Home actively participates in community public welfare projects such as health education, rural development, and volunteer services; Striving to create social value, fulfilling social responsibility, and gathering sincerity and honesty to contribute to building a fairer and better society; Haier Energy</v>
      </c>
      <c r="B6070" s="1" t="str">
        <f ca="1">IFERROR(__xludf.DUMMYFUNCTION("GOOGLETRANSLATE(A6070, ""zh"", ""en"")"),"Public welfare and volunteer service")</f>
        <v>Public welfare and volunteer service</v>
      </c>
      <c r="C6070" s="1" t="str">
        <f ca="1">IFERROR(__xludf.DUMMYFUNCTION("GOOGLETRANSLATE(E6070, ""zh"", ""en"")"),"Quantitative Text")</f>
        <v>Quantitative Text</v>
      </c>
    </row>
    <row r="6071" spans="1:3" ht="13" x14ac:dyDescent="0.15">
      <c r="A6071" s="1" t="str">
        <f ca="1">IFERROR(__xludf.DUMMYFUNCTION("GOOGLETRANSLATE(A6071, ""zh"", ""en"")"),"Our Future Plan 89880203040506 Protecting the Planet Exploring a Green and Low-Carbon Future Promoting Diversified and Inclusive Development through ""People-Order Integration"" Creating a Sustainable Supply Chain Intelligent Experiences Leading a Better "&amp;"Life Uniting Hearts and Minds Promoting Equitable Development 01 Global Collaboration Sustainable Governance Ecosystem Haier Smart Home Co., Ltd. Environmental, Social and Governance Report Appendix Appendix 1 Hong Kong Stock Exchange ESG Reporting Guidel"&amp;"ines Index Scope Topics Disclosure Requirements Index Governance Structure A statement issued by the Board of Directors containing the following: 1. Disclosure of the Board's oversight of environmental, social and governance matters; 2. The Board's enviro"&amp;"nmental, social and governance management policies and strategies, including the process for assessing, prioritizing and managing significant environmental, social and governance matters, including risks to the issuer's business; and 3. How the Board revi"&amp;"ews progress against environmental, social and governance targets and explains how they relate to the issuer's business.")</f>
        <v>Our Future Plan 89880203040506 Protecting the Planet Exploring a Green and Low-Carbon Future Promoting Diversified and Inclusive Development through "People-Order Integration" Creating a Sustainable Supply Chain Intelligent Experiences Leading a Better Life Uniting Hearts and Minds Promoting Equitable Development 01 Global Collaboration Sustainable Governance Ecosystem Haier Smart Home Co., Ltd. Environmental, Social and Governance Report Appendix Appendix 1 Hong Kong Stock Exchange ESG Reporting Guidelines Index Scope Topics Disclosure Requirements Index Governance Structure A statement issued by the Board of Directors containing the following: 1. Disclosure of the Board's oversight of environmental, social and governance matters; 2. The Board's environmental, social and governance management policies and strategies, including the process for assessing, prioritizing and managing significant environmental, social and governance matters, including risks to the issuer's business; and 3. How the Board reviews progress against environmental, social and governance targets and explains how they relate to the issuer's business.</v>
      </c>
      <c r="B6071" s="1" t="str">
        <f ca="1">IFERROR(__xludf.DUMMYFUNCTION("GOOGLETRANSLATE(A6071, ""zh"", ""en"")"),"Organizational structure and operations")</f>
        <v>Organizational structure and operations</v>
      </c>
      <c r="C6071" s="1" t="str">
        <f ca="1">IFERROR(__xludf.DUMMYFUNCTION("GOOGLETRANSLATE(E6071, ""zh"", ""en"")"),"Qualitative text")</f>
        <v>Qualitative text</v>
      </c>
    </row>
    <row r="6072" spans="1:3" ht="13" x14ac:dyDescent="0.15">
      <c r="A6072" s="1" t="str">
        <f ca="1">IFERROR(__xludf.DUMMYFUNCTION("GOOGLETRANSLATE(A6072, ""zh"", ""en"")"),"Enter the ESG management topic and see responsibility, safety first, people-oriented, mutual benefit and win-win. GRI content index...Divided by gender...Divided by age...Divided by education level. Figure: Learning and development planning builds career "&amp;"advancement channels. Three empowerment directions and five types of learning projects. Leadership focuses on pain points in an orderly and traceable manner. General strength, professional literacy, comprehensive professional development, job competency, "&amp;"professional sharing. Leadership Star Rank Project relies on competency to focus on key groups. Safe Planet Defense Society, new employees, online learning, mapping, performance improvement, close to business, quantitative output, business customization, "&amp;"problem-oriented customization, development growth accelerator, STP leadership accelerator, focusing on single-point knowledge and skills, fragmented learning. Based on different ways of employee value contribution, the company divides career development "&amp;"channels into management channels and professional channels. Within the professional channel, different professional sequences are divided based on ability requirements and work content differences.")</f>
        <v>Enter the ESG management topic and see responsibility, safety first, people-oriented, mutual benefit and win-win. GRI content index...Divided by gender...Divided by age...Divided by education level. Figure: Learning and development planning builds career advancement channels. Three empowerment directions and five types of learning projects. Leadership focuses on pain points in an orderly and traceable manner. General strength, professional literacy, comprehensive professional development, job competency, professional sharing. Leadership Star Rank Project relies on competency to focus on key groups. Safe Planet Defense Society, new employees, online learning, mapping, performance improvement, close to business, quantitative output, business customization, problem-oriented customization, development growth accelerator, STP leadership accelerator, focusing on single-point knowledge and skills, fragmented learning. Based on different ways of employee value contribution, the company divides career development channels into management channels and professional channels. Within the professional channel, different professional sequences are divided based on ability requirements and work content differences.</v>
      </c>
      <c r="B6072" s="1" t="str">
        <f ca="1">IFERROR(__xludf.DUMMYFUNCTION("GOOGLETRANSLATE(A6072, ""zh"", ""en"")"),"staff")</f>
        <v>staff</v>
      </c>
      <c r="C6072" s="1" t="str">
        <f ca="1">IFERROR(__xludf.DUMMYFUNCTION("GOOGLETRANSLATE(E6072, ""zh"", ""en"")"),"Qualitative text")</f>
        <v>Qualitative text</v>
      </c>
    </row>
    <row r="6073" spans="1:3" ht="13" x14ac:dyDescent="0.15">
      <c r="A6073" s="1" t="str">
        <f ca="1">IFERROR(__xludf.DUMMYFUNCTION("GOOGLETRANSLATE(A6073, ""zh"", ""en"")"),"Greenhouse gas accounting is presented on a carbon dioxide equivalent basis and is calculated in accordance with the carbon accounting coefficients of the National Development and Reform Commission of the People's Republic of China, the Intergovernmental "&amp;"Panel on Climate Change (IPCC) 2006 Guidelines for National Greenhouse Gas Inventories (2019 Revision), and the IFI Dataset of Default Grid Factors v.3.1 published by the International Financial Institutions (IFIs). 5. Scope 1 greenhouse gas emissions are"&amp;" greenhouse gas emissions directly resulting from the company's consumption of natural gas, liquefied petroleum gas, diesel, etc. Scope 2 greenhouse gas emissions are greenhouse gas emissions resulting from the consumption of purchased electricity and ste"&amp;"am.")</f>
        <v>Greenhouse gas accounting is presented on a carbon dioxide equivalent basis and is calculated in accordance with the carbon accounting coefficients of the National Development and Reform Commission of the People's Republic of China, the Intergovernmental Panel on Climate Change (IPCC) 2006 Guidelines for National Greenhouse Gas Inventories (2019 Revision), and the IFI Dataset of Default Grid Factors v.3.1 published by the International Financial Institutions (IFIs). 5. Scope 1 greenhouse gas emissions are greenhouse gas emissions directly resulting from the company's consumption of natural gas, liquefied petroleum gas, diesel, etc. Scope 2 greenhouse gas emissions are greenhouse gas emissions resulting from the consumption of purchased electricity and steam.</v>
      </c>
      <c r="B6073" s="1" t="str">
        <f ca="1">IFERROR(__xludf.DUMMYFUNCTION("GOOGLETRANSLATE(A6073, ""zh"", ""en"")"),"carbon emissions")</f>
        <v>carbon emissions</v>
      </c>
      <c r="C6073" s="1" t="str">
        <f ca="1">IFERROR(__xludf.DUMMYFUNCTION("GOOGLETRANSLATE(E6073, ""zh"", ""en"")"),"Qualitative text")</f>
        <v>Qualitative text</v>
      </c>
    </row>
    <row r="6074" spans="1:3" ht="13" x14ac:dyDescent="0.15">
      <c r="A6074" s="1" t="str">
        <f ca="1">IFERROR(__xludf.DUMMYFUNCTION("GOOGLETRANSLATE(A6074, ""zh"", ""en"")"),"10.206.564.356.8918.9020.0411.686.424.077.8312.5319.77ESG Indicator Unit 20212022By age Age under 30Age 30-50Age 50 and aboveBy regionMainland ChinaHong Kong, Macao and TaiwanOthersNoteESG Indicator UnitDataPersonPersonPersonDay1001000000000100100B2. Heal"&amp;"th and SafetyB2.1 Number and ratio of work-related deaths each year in the past three yearsB3. Development and TrainingB3.1 Percentage of employees trained by gender and employee categoryB2.2 Number of work days lost due to work-related injuries this year"&amp;"1ESG Indicator Unit 2022202166CITIC Securities 2022 Annual Social Responsibility ReportNoteThe statistical scope is CITIC Securities' parent company, excluding branches.")</f>
        <v>10.206.564.356.8918.9020.0411.686.424.077.8312.5319.77ESG Indicator Unit 20212022By age Age under 30Age 30-50Age 50 and aboveBy regionMainland ChinaHong Kong, Macao and TaiwanOthersNoteESG Indicator UnitDataPersonPersonPersonDay1001000000000100100B2. Health and SafetyB2.1 Number and ratio of work-related deaths each year in the past three yearsB3. Development and TrainingB3.1 Percentage of employees trained by gender and employee categoryB2.2 Number of work days lost due to work-related injuries this year1ESG Indicator Unit 2022202166CITIC Securities 2022 Annual Social Responsibility ReportNoteThe statistical scope is CITIC Securities' parent company, excluding branches.</v>
      </c>
      <c r="B6074" s="1" t="str">
        <f ca="1">IFERROR(__xludf.DUMMYFUNCTION("GOOGLETRANSLATE(A6074, ""zh"", ""en"")"),"staff")</f>
        <v>staff</v>
      </c>
      <c r="C6074" s="1" t="str">
        <f ca="1">IFERROR(__xludf.DUMMYFUNCTION("GOOGLETRANSLATE(E6074, ""zh"", ""en"")"),"Quantitative Text")</f>
        <v>Quantitative Text</v>
      </c>
    </row>
    <row r="6075" spans="1:3" ht="13" x14ac:dyDescent="0.15">
      <c r="A6075" s="1" t="str">
        <f ca="1">IFERROR(__xludf.DUMMYFUNCTION("GOOGLETRANSLATE(A6075, ""zh"", ""en"")"),"Governance Structure Items and Weights Weights Key Performance Indicators Death Rate per Million Man-Hours Major Production Safety Liability Accidents Investment Plan Control Major Environmental Liability Incidents Internal Control System Operation Evalua"&amp;"tion Domestic Oil and Gas Equivalent Reserve Replacement Rate Oil and Gas Production Per Capita Net Profit Economic Value Added Average Return on Invested Capital Net Profit Before Tax Free Cash Flow Energy and Water Savings Chemical Oxygen Demand (COD) A"&amp;"mmonia Nitrogen Emissions Sulfur Dioxide Emissions Nitrogen Oxide Emissions 1010101510151010221.51.51.51.5China National Petroleum Corporation 2022 Environmental, Social and Governance Report 18 Board of Directors General Meeting of Shareholders Board of "&amp;"Supervisors Company Management Nomination Committee Audit Committee Appraisal and Remuneration Committee Investment and Development Committee Sustainable Development Committee Corporate Governance Structure Chart Shareholders and General Meeting of Shareh"&amp;"olders The general meeting of shareholders is the highest authority of the company and exercises its powers in accordance with the law")</f>
        <v>Governance Structure Items and Weights Weights Key Performance Indicators Death Rate per Million Man-Hours Major Production Safety Liability Accidents Investment Plan Control Major Environmental Liability Incidents Internal Control System Operation Evaluation Domestic Oil and Gas Equivalent Reserve Replacement Rate Oil and Gas Production Per Capita Net Profit Economic Value Added Average Return on Invested Capital Net Profit Before Tax Free Cash Flow Energy and Water Savings Chemical Oxygen Demand (COD) Ammonia Nitrogen Emissions Sulfur Dioxide Emissions Nitrogen Oxide Emissions 1010101510151010221.51.51.51.5China National Petroleum Corporation 2022 Environmental, Social and Governance Report 18 Board of Directors General Meeting of Shareholders Board of Supervisors Company Management Nomination Committee Audit Committee Appraisal and Remuneration Committee Investment and Development Committee Sustainable Development Committee Corporate Governance Structure Chart Shareholders and General Meeting of Shareholders The general meeting of shareholders is the highest authority of the company and exercises its powers in accordance with the law</v>
      </c>
      <c r="B6075" s="1" t="str">
        <f ca="1">IFERROR(__xludf.DUMMYFUNCTION("GOOGLETRANSLATE(A6075, ""zh"", ""en"")"),"Organizational structure and operations")</f>
        <v>Organizational structure and operations</v>
      </c>
      <c r="C6075" s="1" t="str">
        <f ca="1">IFERROR(__xludf.DUMMYFUNCTION("GOOGLETRANSLATE(E6075, ""zh"", ""en"")"),"Qualitative text")</f>
        <v>Qualitative text</v>
      </c>
    </row>
    <row r="6076" spans="1:3" ht="13" x14ac:dyDescent="0.15">
      <c r="A6076" s="1" t="str">
        <f ca="1">IFERROR(__xludf.DUMMYFUNCTION("GOOGLETRANSLATE(A6076, ""zh"", ""en"")"),"The company and its important subsidiaries' major waste gas pollutant emission level indicators Emission unit Total emissions VOCs NOx50 Particulate matter Non-methane total hydrocarbons Emission outlet Tons Tons Tons Tons Tons Tons Shenma Dizi Cloth Z076"&amp;" 49 cases Cord Fabric Development Company Nylon Chemical Company New photovoltaic power station project Fuzi Cloth Development Co., Ltd. 16.99 12.51 8931 Nylon Chemical Company 33.5 5.4 4.729 Cord Fabric Development Company Utilize rooftop resources to ad"&amp;"d Bolemai Company 3.79 48.631 MW photovoltaic power station project The current photovoltaic power generation capacity is Engineering Plastics Company 5.19 3.16 2.17 12.3 MW Annual power generation can reach 13 million kWh Reducing carbon emissions by 6,8"&amp;"00 tons Engineering Plastics Technology Company 3.92 1.44 0.04 317 10.022 Annual electricity cost savings of more than 2 million Nylon Technology Company 0.63 2.7 yuan")</f>
        <v>The company and its important subsidiaries' major waste gas pollutant emission level indicators Emission unit Total emissions VOCs NOx50 Particulate matter Non-methane total hydrocarbons Emission outlet Tons Tons Tons Tons Tons Tons Shenma Dizi Cloth Z076 49 cases Cord Fabric Development Company Nylon Chemical Company New photovoltaic power station project Fuzi Cloth Development Co., Ltd. 16.99 12.51 8931 Nylon Chemical Company 33.5 5.4 4.729 Cord Fabric Development Company Utilize rooftop resources to add Bolemai Company 3.79 48.631 MW photovoltaic power station project The current photovoltaic power generation capacity is Engineering Plastics Company 5.19 3.16 2.17 12.3 MW Annual power generation can reach 13 million kWh Reducing carbon emissions by 6,800 tons Engineering Plastics Technology Company 3.92 1.44 0.04 317 10.022 Annual electricity cost savings of more than 2 million Nylon Technology Company 0.63 2.7 yuan</v>
      </c>
      <c r="B6076" s="1" t="str">
        <f ca="1">IFERROR(__xludf.DUMMYFUNCTION("GOOGLETRANSLATE(A6076, ""zh"", ""en"")"),"Waste Management")</f>
        <v>Waste Management</v>
      </c>
      <c r="C6076" s="1" t="str">
        <f ca="1">IFERROR(__xludf.DUMMYFUNCTION("GOOGLETRANSLATE(E6076, ""zh"", ""en"")"),"Quantitative Text")</f>
        <v>Quantitative Text</v>
      </c>
    </row>
    <row r="6077" spans="1:3" ht="13" x14ac:dyDescent="0.15">
      <c r="A6077" s="1" t="str">
        <f ca="1">IFERROR(__xludf.DUMMYFUNCTION("GOOGLETRANSLATE(A6077, ""zh"", ""en"")"),"General Meeting of Shareholders, Board of Directors, Office of Directors, Professional Committee, Planning Department, General Office, Integrity Supervision Department, Shanghai Short Star Pharmaceutical Group Co., Ltd., Shanghai Fu is located in Shenzhen"&amp;" or local products and manufacturing inspection division, medical character new pharmaceutical business management committee, development of China Qili hard service limit international exchange personnel edge financial risk power source Note 2 This is the"&amp;" group accumulation limit as of 2022 Figure 1 The above blue degree ancestors are all parallel first-level base gate 14 Innovation for Gcod Health Continuous Innovation Enjoy Health Corporate Governance During the reporting period, in accordance with the "&amp;"Securities Listing Rules of the Stock Exchange of Hong Kong Limited of the People's Republic of China, Appendix 14 of the Securities Law of the People's Republic of China, the Corporate Governance Code and other relevant laws, the French Securities Regula"&amp;"tory Commission, the Listed Company Governance Code and normative documents, the requirements of the French Securities Regulatory Commission, the Shanghai Stock Exchange Stock Listing Rules, and improved the corporate governance structure and optimized in"&amp;"ternal management")</f>
        <v>General Meeting of Shareholders, Board of Directors, Office of Directors, Professional Committee, Planning Department, General Office, Integrity Supervision Department, Shanghai Short Star Pharmaceutical Group Co., Ltd., Shanghai Fu is located in Shenzhen or local products and manufacturing inspection division, medical character new pharmaceutical business management committee, development of China Qili hard service limit international exchange personnel edge financial risk power source Note 2 This is the group accumulation limit as of 2022 Figure 1 The above blue degree ancestors are all parallel first-level base gate 14 Innovation for Gcod Health Continuous Innovation Enjoy Health Corporate Governance During the reporting period, in accordance with the Securities Listing Rules of the Stock Exchange of Hong Kong Limited of the People's Republic of China, Appendix 14 of the Securities Law of the People's Republic of China, the Corporate Governance Code and other relevant laws, the French Securities Regulatory Commission, the Listed Company Governance Code and normative documents, the requirements of the French Securities Regulatory Commission, the Shanghai Stock Exchange Stock Listing Rules, and improved the corporate governance structure and optimized internal management</v>
      </c>
      <c r="B6077" s="1" t="str">
        <f ca="1">IFERROR(__xludf.DUMMYFUNCTION("GOOGLETRANSLATE(A6077, ""zh"", ""en"")"),"Organizational structure and operations")</f>
        <v>Organizational structure and operations</v>
      </c>
      <c r="C6077" s="1" t="str">
        <f ca="1">IFERROR(__xludf.DUMMYFUNCTION("GOOGLETRANSLATE(E6077, ""zh"", ""en"")"),"Qualitative text")</f>
        <v>Qualitative text</v>
      </c>
    </row>
    <row r="6078" spans="1:3" ht="13" x14ac:dyDescent="0.15">
      <c r="A6078" s="1" t="str">
        <f ca="1">IFERROR(__xludf.DUMMYFUNCTION("GOOGLETRANSLATE(A6078, ""zh"", ""en"")"),"29 Governance Structure and Maintenance pp.14-17 210 The title and selection of the highest governance body p.16 Scope of Authority and Implementation Rules of the Nominating Committee of the Board of Directors of Fosun Pharma 3 p.16 211 Scope of Authorit"&amp;"y and Implementation Rules of the Nominating Committee of the Board of Directors of Fosun Pharma 212 The supervisory role of the highest governance body in managing impact pp.15-17 pp.27-29 213 Delegation of Responsibility for Managing Impact 214 The role"&amp;" of the highest governance body in sustainability reporting p.27 215 Profitability Reporting p.15 216 Communication of Critical Concerns p.27 30 GRI General Disclosure 217 Common Knowledge of the Highest Governance Body p.27 218 Performance Evaluation of "&amp;"the Highest Governance Body p.17 p.27 Responsibilities of the Remuneration and Evaluation Committee of the Board of Directors of Fosun Pharma 216 No relevant internal information is currently available")</f>
        <v>29 Governance Structure and Maintenance pp.14-17 210 The title and selection of the highest governance body p.16 Scope of Authority and Implementation Rules of the Nominating Committee of the Board of Directors of Fosun Pharma 3 p.16 211 Scope of Authority and Implementation Rules of the Nominating Committee of the Board of Directors of Fosun Pharma 212 The supervisory role of the highest governance body in managing impact pp.15-17 pp.27-29 213 Delegation of Responsibility for Managing Impact 214 The role of the highest governance body in sustainability reporting p.27 215 Profitability Reporting p.15 216 Communication of Critical Concerns p.27 30 GRI General Disclosure 217 Common Knowledge of the Highest Governance Body p.27 218 Performance Evaluation of the Highest Governance Body p.17 p.27 Responsibilities of the Remuneration and Evaluation Committee of the Board of Directors of Fosun Pharma 216 No relevant internal information is currently available</v>
      </c>
      <c r="B6078" s="1" t="str">
        <f ca="1">IFERROR(__xludf.DUMMYFUNCTION("GOOGLETRANSLATE(A6078, ""zh"", ""en"")"),"Organizational structure and operations")</f>
        <v>Organizational structure and operations</v>
      </c>
      <c r="C6078" s="1" t="str">
        <f ca="1">IFERROR(__xludf.DUMMYFUNCTION("GOOGLETRANSLATE(E6078, ""zh"", ""en"")"),"Qualitative text")</f>
        <v>Qualitative text</v>
      </c>
    </row>
    <row r="6079" spans="1:3" ht="13" x14ac:dyDescent="0.15">
      <c r="A6079" s="1" t="str">
        <f ca="1">IFERROR(__xludf.DUMMYFUNCTION("GOOGLETRANSLATE(A6079, ""zh"", ""en"")"),"The company strengthens the hazard risk classification and implements hazard rectification according to high, medium and low risk levels to ensure that on-site hazard risks are controllable. It deeply explores the human factors and management deficiencies"&amp;" that cause hazards, systematically analyzes to find hazard occurrence trends, conducts targeted control to eliminate hazards, and carries out hazard management. Network applications rely on big data to implement network monitoring of the timely rectifica"&amp;"tion of hazards to ensure that hazard management is controlled. Supervision and inspection are used as a breakthrough to deepen hazard investigation and management. Temporary hazard control measures are formulated and rectified within a specified period. "&amp;"Regular verification of rectification results is carried out. A mechanism is implemented to treat major hazards as accidents. Hazards that have not been rectified on time for a long time are investigated and held accountable as accidents to fully ensure o"&amp;"perational safety. A points system is established for COSL to address inadequate hazard management. Criteria for determining the points system are formulated and dynamically updated. This is combined with the annual special rectification of unsafe behavio"&amp;"rs. On-site managers and safety supervisors are relied upon to assign points to unsafe behaviors on site and safeguard on-site operational safety.")</f>
        <v>The company strengthens the hazard risk classification and implements hazard rectification according to high, medium and low risk levels to ensure that on-site hazard risks are controllable. It deeply explores the human factors and management deficiencies that cause hazards, systematically analyzes to find hazard occurrence trends, conducts targeted control to eliminate hazards, and carries out hazard management. Network applications rely on big data to implement network monitoring of the timely rectification of hazards to ensure that hazard management is controlled. Supervision and inspection are used as a breakthrough to deepen hazard investigation and management. Temporary hazard control measures are formulated and rectified within a specified period. Regular verification of rectification results is carried out. A mechanism is implemented to treat major hazards as accidents. Hazards that have not been rectified on time for a long time are investigated and held accountable as accidents to fully ensure operational safety. A points system is established for COSL to address inadequate hazard management. Criteria for determining the points system are formulated and dynamically updated. This is combined with the annual special rectification of unsafe behaviors. On-site managers and safety supervisors are relied upon to assign points to unsafe behaviors on site and safeguard on-site operational safety.</v>
      </c>
      <c r="B6079" s="1" t="str">
        <f ca="1">IFERROR(__xludf.DUMMYFUNCTION("GOOGLETRANSLATE(A6079, ""zh"", ""en"")"),"staff")</f>
        <v>staff</v>
      </c>
      <c r="C6079" s="1" t="str">
        <f ca="1">IFERROR(__xludf.DUMMYFUNCTION("GOOGLETRANSLATE(E6079, ""zh"", ""en"")"),"Qualitative text")</f>
        <v>Qualitative text</v>
      </c>
    </row>
    <row r="6080" spans="1:3" ht="13" x14ac:dyDescent="0.15">
      <c r="A6080" s="1" t="str">
        <f ca="1">IFERROR(__xludf.DUMMYFUNCTION("GOOGLETRANSLATE(A6080, ""zh"", ""en"")"),"Indicator Unit 2022 2021 2020 Carbon dioxide greenhouse gas emissions tons 1151780.481133346.001022833.541 Carbon dioxide greenhouse gas emission reduction tons 35377.0035060.007469.3 Yuan Output value Carbon dioxide emissions tons Ten thousand Yuan 0.447"&amp;"10.52300.5480 Total direct greenhouse gas emissions tons 1129716.041115057.00 Total indirect greenhouse gas emissions tons 22064.4418289.00 Statistics of greenhouse gas emissions in China's sea areas 202022 COSL 2022 ESG Report 34 Underwater operations re"&amp;"quire the use of 12 sets of electrical equipment including trenchers. The normal mode is to operate on an offshore vessel and install three 1200KW generators on the main deck to connect to the grid for power supply.")</f>
        <v>Indicator Unit 2022 2021 2020 Carbon dioxide greenhouse gas emissions tons 1151780.481133346.001022833.541 Carbon dioxide greenhouse gas emission reduction tons 35377.0035060.007469.3 Yuan Output value Carbon dioxide emissions tons Ten thousand Yuan 0.44710.52300.5480 Total direct greenhouse gas emissions tons 1129716.041115057.00 Total indirect greenhouse gas emissions tons 22064.4418289.00 Statistics of greenhouse gas emissions in China's sea areas 202022 COSL 2022 ESG Report 34 Underwater operations require the use of 12 sets of electrical equipment including trenchers. The normal mode is to operate on an offshore vessel and install three 1200KW generators on the main deck to connect to the grid for power supply.</v>
      </c>
      <c r="B6080" s="1" t="str">
        <f ca="1">IFERROR(__xludf.DUMMYFUNCTION("GOOGLETRANSLATE(A6080, ""zh"", ""en"")"),"carbon emissions")</f>
        <v>carbon emissions</v>
      </c>
      <c r="C6080" s="1" t="str">
        <f ca="1">IFERROR(__xludf.DUMMYFUNCTION("GOOGLETRANSLATE(E6080, ""zh"", ""en"")"),"Quantitative Text")</f>
        <v>Quantitative Text</v>
      </c>
    </row>
    <row r="6081" spans="1:3" ht="13" x14ac:dyDescent="0.15">
      <c r="A6081" s="1" t="str">
        <f ca="1">IFERROR(__xludf.DUMMYFUNCTION("GOOGLETRANSLATE(A6081, ""zh"", ""en"")"),"Supplier Resource Management Supplier Risk Management Supplier Evaluation Number of COSL Suppliers by Region 202022 Annual Unit Total Number of Suppliers at the End of the Year Major Cities Distribution in Overseas and Domestic Tianjin Beijing Guangdong S"&amp;"hanghai Others 2022 75284734279469043138516411242021 73394490284967142040716511862020 6312327030427644524591971170 The company is committed to building a safe, stable, cost-effective, high-quality, efficient, digital and intelligent supply chain, from pro"&amp;"curement of demand categories to supplier contract execution, warehousing logistics, import and export digitalization, performance and compliance and other key aspects of supply chain management, standardizing the basic standards, procedures and processes"&amp;" of supply chain management, and continuously improving and building a comprehensive and integrated intelligent oilfield services industry chain supply chain system.")</f>
        <v>Supplier Resource Management Supplier Risk Management Supplier Evaluation Number of COSL Suppliers by Region 202022 Annual Unit Total Number of Suppliers at the End of the Year Major Cities Distribution in Overseas and Domestic Tianjin Beijing Guangdong Shanghai Others 2022 75284734279469043138516411242021 73394490284967142040716511862020 6312327030427644524591971170 The company is committed to building a safe, stable, cost-effective, high-quality, efficient, digital and intelligent supply chain, from procurement of demand categories to supplier contract execution, warehousing logistics, import and export digitalization, performance and compliance and other key aspects of supply chain management, standardizing the basic standards, procedures and processes of supply chain management, and continuously improving and building a comprehensive and integrated intelligent oilfield services industry chain supply chain system.</v>
      </c>
      <c r="B6081" s="1" t="str">
        <f ca="1">IFERROR(__xludf.DUMMYFUNCTION("GOOGLETRANSLATE(A6081, ""zh"", ""en"")"),"supply chain management")</f>
        <v>supply chain management</v>
      </c>
      <c r="C6081" s="1" t="str">
        <f ca="1">IFERROR(__xludf.DUMMYFUNCTION("GOOGLETRANSLATE(E6081, ""zh"", ""en"")"),"Quantitative Text")</f>
        <v>Quantitative Text</v>
      </c>
    </row>
    <row r="6082" spans="1:3" ht="13" x14ac:dyDescent="0.15">
      <c r="A6082" s="1" t="str">
        <f ca="1">IFERROR(__xludf.DUMMYFUNCTION("GOOGLETRANSLATE(A6082, ""zh"", ""en"")"),"To improve management efficiency, the company adopts ERP system software to realize automatic data collection, processing, aggregation and analysis, uses OA system to complete business processing, official document circulation and employee performance app"&amp;"raisal and evaluation, uses video conferencing equipment for cross-regional collaboration and communication, establishes an enterprise internal control information platform based on process management, strengthens the awareness of compliance concept among"&amp;" all employees through internal training, regular assessment, etc., regularly organizes compliance knowledge tests, and actively participates in various activities organized by relevant government departments. The company strictly implements national laws"&amp;", regulations and relevant provisions in personnel recruitment and employment, employee training, salary and benefits, etc., identifies and evaluates potential risks, formulates corresponding control measures and supervises their implementation, and regul"&amp;"arly updates relevant information to ensure that the internal control system is consistent with the company's business development goals, business strategies and risk management levels. The company attaches importance to the culture of compliance operatio"&amp;"ns and has established a complete compliance management system.")</f>
        <v>To improve management efficiency, the company adopts ERP system software to realize automatic data collection, processing, aggregation and analysis, uses OA system to complete business processing, official document circulation and employee performance appraisal and evaluation, uses video conferencing equipment for cross-regional collaboration and communication, establishes an enterprise internal control information platform based on process management, strengthens the awareness of compliance concept among all employees through internal training, regular assessment, etc., regularly organizes compliance knowledge tests, and actively participates in various activities organized by relevant government departments. The company strictly implements national laws, regulations and relevant provisions in personnel recruitment and employment, employee training, salary and benefits, etc., identifies and evaluates potential risks, formulates corresponding control measures and supervises their implementation, and regularly updates relevant information to ensure that the internal control system is consistent with the company's business development goals, business strategies and risk management levels. The company attaches importance to the culture of compliance operations and has established a complete compliance management system.</v>
      </c>
      <c r="B6082" s="1" t="str">
        <f ca="1">IFERROR(__xludf.DUMMYFUNCTION("GOOGLETRANSLATE(A6082, ""zh"", ""en"")"),"Legal proceedings and external sanctions")</f>
        <v>Legal proceedings and external sanctions</v>
      </c>
      <c r="C6082" s="1" t="str">
        <f ca="1">IFERROR(__xludf.DUMMYFUNCTION("GOOGLETRANSLATE(E6082, ""zh"", ""en"")"),"Qualitative text")</f>
        <v>Qualitative text</v>
      </c>
    </row>
    <row r="6083" spans="1:3" ht="13" x14ac:dyDescent="0.15">
      <c r="A6083" s="1" t="str">
        <f ca="1">IFERROR(__xludf.DUMMYFUNCTION("GOOGLETRANSLATE(A6083, ""zh"", ""en"")"),"Please help us complete the relevant questions in the feedback form and provide us with your information by choosing the following methods: Multiple Choice Questions Please tick the corresponding box Open-ended Questions Name 1. What aspect of this report"&amp;" do you find most satisfying? 2. What other information do you think you need to know that is not reflected in this report? 3. What suggestions do you have for our future sustainability reports? Workplace Position Contact Number Email Fax Mail Office of t"&amp;"he Board of Directors, Sinopec Corporation, 22 Chaoyangmen North Street, Chaoyang District, Beijing 100728 Options Very good Good Average Poor Very poor 1. This report comprehensively and accurately reflects Sinopec's significant impact on the economic, s"&amp;"ocial and environmental environment 2. This report responds to and discloses issues of concern to stakeholders 3. The information, indicators and data disclosed in this report are clear, accurate and complete 4. The readability of this report, i.e. the lo"&amp;"gical main line of the report, content design, language and layout design")</f>
        <v>Please help us complete the relevant questions in the feedback form and provide us with your information by choosing the following methods: Multiple Choice Questions Please tick the corresponding box Open-ended Questions Name 1. What aspect of this report do you find most satisfying? 2. What other information do you think you need to know that is not reflected in this report? 3. What suggestions do you have for our future sustainability reports? Workplace Position Contact Number Email Fax Mail Office of the Board of Directors, Sinopec Corporation, 22 Chaoyangmen North Street, Chaoyang District, Beijing 100728 Options Very good Good Average Poor Very poor 1. This report comprehensively and accurately reflects Sinopec's significant impact on the economic, social and environmental environment 2. This report responds to and discloses issues of concern to stakeholders 3. The information, indicators and data disclosed in this report are clear, accurate and complete 4. The readability of this report, i.e. the logical main line of the report, content design, language and layout design</v>
      </c>
      <c r="B6083" s="1" t="str">
        <f ca="1">IFERROR(__xludf.DUMMYFUNCTION("GOOGLETRANSLATE(A6083, ""zh"", ""en"")"),"irrelevant text")</f>
        <v>irrelevant text</v>
      </c>
      <c r="C6083" s="1" t="str">
        <f ca="1">IFERROR(__xludf.DUMMYFUNCTION("GOOGLETRANSLATE(E6083, ""zh"", ""en"")"),"irrelevant text")</f>
        <v>irrelevant text</v>
      </c>
    </row>
    <row r="6084" spans="1:3" ht="13" x14ac:dyDescent="0.15">
      <c r="A6084" s="1" t="str">
        <f ca="1">IFERROR(__xludf.DUMMYFUNCTION("GOOGLETRANSLATE(A6084, ""zh"", ""en"")"),"Quality Bottom Line Requirements: 1. Quality cannot make all companies prosper, but it can make all companies suffer. 2. Users are the sole judge of quality. 3. Technological innovation is the foundation of product quality. 4. Treating suppliers well is t"&amp;"reating yourself well. 5. Quality is character. Introduction: The evolution and expansion of total quality management theory and practice in the new era. To achieve sustainable development and excellence for enterprises, we will promote quality. 6. Innova"&amp;"tion is important, but innovation must not be used as an excuse to change quality standards and traditional but applicable methods. 7. Quality is the traffic light for corporate performance. 21CorporateSocialResponsibilityReport2022SocialResponsibilityDou"&amp;"bleZeroPrinciple andFourNo-PassPrincipleIn terms of material quality control, 50 supplier general managers and quality-related management personnel received Hisense's quality concept, quality awareness and quality tool series courses, ""FourNo-Pass"" trai"&amp;"ning, a total of 509 people were trained, deepening their quality awareness.")</f>
        <v>Quality Bottom Line Requirements: 1. Quality cannot make all companies prosper, but it can make all companies suffer. 2. Users are the sole judge of quality. 3. Technological innovation is the foundation of product quality. 4. Treating suppliers well is treating yourself well. 5. Quality is character. Introduction: The evolution and expansion of total quality management theory and practice in the new era. To achieve sustainable development and excellence for enterprises, we will promote quality. 6. Innovation is important, but innovation must not be used as an excuse to change quality standards and traditional but applicable methods. 7. Quality is the traffic light for corporate performance. 21CorporateSocialResponsibilityReport2022SocialResponsibilityDoubleZeroPrinciple andFourNo-PassPrincipleIn terms of material quality control, 50 supplier general managers and quality-related management personnel received Hisense's quality concept, quality awareness and quality tool series courses, "FourNo-Pass" training, a total of 509 people were trained, deepening their quality awareness.</v>
      </c>
      <c r="B6084" s="1" t="str">
        <f ca="1">IFERROR(__xludf.DUMMYFUNCTION("GOOGLETRANSLATE(A6084, ""zh"", ""en"")"),"Product quality")</f>
        <v>Product quality</v>
      </c>
      <c r="C6084" s="1" t="str">
        <f ca="1">IFERROR(__xludf.DUMMYFUNCTION("GOOGLETRANSLATE(E6084, ""zh"", ""en"")"),"Quantitative Text")</f>
        <v>Quantitative Text</v>
      </c>
    </row>
    <row r="6085" spans="1:3" ht="13" x14ac:dyDescent="0.15">
      <c r="A6085" s="1" t="str">
        <f ca="1">IFERROR(__xludf.DUMMYFUNCTION("GOOGLETRANSLATE(A6085, ""zh"", ""en"")"),"Compliance training coverage rate 100 Key actions for compliance management in 2022 Modify and improve the detailed rules for legal and compliant operation assessments, implement strict assessments and hard fulfillment, strengthen compliance value orienta"&amp;"tion, improve compliance regulations and guidelines in key business areas, and strengthen and improve the compliance management system from seven aspects: compliance system construction, responsibility implementation, risk control, business compliance sup"&amp;"ervision, accountability, resource guarantee and cultural training. Organize and carry out comprehensive and diverse forms of compliance training and publicity. Compile compliance responsibility lists for departments and positions, compliance review lists"&amp;", compliance risk lists and process control lists, implement compliance responsibilities, improve the effectiveness of risk control, carry out compliance management, strengthen annual actions and special governance of compliance management issues in busin"&amp;"ess operations, comprehensively investigate and rectify illegal and irregular issues, and eliminate compliance risk hazards. Corporate governance 23 Rules and regulations system The company continuously optimizes and improves the rules and regulations sys"&amp;"tem, and builds a systematic, complete, scientific and standardized, and effective rules and regulations system covering all aspects and links of production and operation management.")</f>
        <v>Compliance training coverage rate 100 Key actions for compliance management in 2022 Modify and improve the detailed rules for legal and compliant operation assessments, implement strict assessments and hard fulfillment, strengthen compliance value orientation, improve compliance regulations and guidelines in key business areas, and strengthen and improve the compliance management system from seven aspects: compliance system construction, responsibility implementation, risk control, business compliance supervision, accountability, resource guarantee and cultural training. Organize and carry out comprehensive and diverse forms of compliance training and publicity. Compile compliance responsibility lists for departments and positions, compliance review lists, compliance risk lists and process control lists, implement compliance responsibilities, improve the effectiveness of risk control, carry out compliance management, strengthen annual actions and special governance of compliance management issues in business operations, comprehensively investigate and rectify illegal and irregular issues, and eliminate compliance risk hazards. Corporate governance 23 Rules and regulations system The company continuously optimizes and improves the rules and regulations system, and builds a systematic, complete, scientific and standardized, and effective rules and regulations system covering all aspects and links of production and operation management.</v>
      </c>
      <c r="B6085" s="1" t="str">
        <f ca="1">IFERROR(__xludf.DUMMYFUNCTION("GOOGLETRANSLATE(A6085, ""zh"", ""en"")"),"Legal proceedings and external sanctions")</f>
        <v>Legal proceedings and external sanctions</v>
      </c>
      <c r="C6085" s="1" t="str">
        <f ca="1">IFERROR(__xludf.DUMMYFUNCTION("GOOGLETRANSLATE(E6085, ""zh"", ""en"")"),"Qualitative text")</f>
        <v>Qualitative text</v>
      </c>
    </row>
    <row r="6086" spans="1:3" ht="13" x14ac:dyDescent="0.15">
      <c r="A6086" s="1" t="str">
        <f ca="1">IFERROR(__xludf.DUMMYFUNCTION("GOOGLETRANSLATE(A6086, ""zh"", ""en"")"),"We have established a diversified anti-corruption and compliance training system that combines on-site training, online courses, and electronic publications. The training covers two major categories: professional training, such as international and nation"&amp;"al professional qualifications, and business scenario-based technical training.")</f>
        <v>We have established a diversified anti-corruption and compliance training system that combines on-site training, online courses, and electronic publications. The training covers two major categories: professional training, such as international and national professional qualifications, and business scenario-based technical training.</v>
      </c>
      <c r="B6086" s="1" t="str">
        <f ca="1">IFERROR(__xludf.DUMMYFUNCTION("GOOGLETRANSLATE(A6086, ""zh"", ""en"")"),"Anti-corruption and anti-money laundering")</f>
        <v>Anti-corruption and anti-money laundering</v>
      </c>
      <c r="C6086" s="1" t="str">
        <f ca="1">IFERROR(__xludf.DUMMYFUNCTION("GOOGLETRANSLATE(E6086, ""zh"", ""en"")"),"Qualitative text")</f>
        <v>Qualitative text</v>
      </c>
    </row>
    <row r="6087" spans="1:3" ht="13" x14ac:dyDescent="0.15">
      <c r="A6087" s="1" t="str">
        <f ca="1">IFERROR(__xludf.DUMMYFUNCTION("GOOGLETRANSLATE(A6087, ""zh"", ""en"")"),"Reporting Email: Compliancehaier.com; Chinese Website: https://www.haierchina.ethicspoint.com; English Website: https://secure.ethicspoint.eudomain; Reporting Channels for Fraud-Related Clues and Issues; Reporting Channels for Compliance-Related Concerns "&amp;"and Issues; iHaier Reporting Portal; Fraud Reporting Email: jubaohaier.com; Reporting Website: www.haierchina.ethicspoint.com")</f>
        <v>Reporting Email: Compliancehaier.com; Chinese Website: https://www.haierchina.ethicspoint.com; English Website: https://secure.ethicspoint.eudomain; Reporting Channels for Fraud-Related Clues and Issues; Reporting Channels for Compliance-Related Concerns and Issues; iHaier Reporting Portal; Fraud Reporting Email: jubaohaier.com; Reporting Website: www.haierchina.ethicspoint.com</v>
      </c>
      <c r="B6087" s="1" t="str">
        <f ca="1">IFERROR(__xludf.DUMMYFUNCTION("GOOGLETRANSLATE(A6087, ""zh"", ""en"")"),"Reporting System")</f>
        <v>Reporting System</v>
      </c>
      <c r="C6087" s="1" t="str">
        <f ca="1">IFERROR(__xludf.DUMMYFUNCTION("GOOGLETRANSLATE(E6087, ""zh"", ""en"")"),"Qualitative text")</f>
        <v>Qualitative text</v>
      </c>
    </row>
    <row r="6088" spans="1:3" ht="13" x14ac:dyDescent="0.15">
      <c r="A6088" s="1" t="str">
        <f ca="1">IFERROR(__xludf.DUMMYFUNCTION("GOOGLETRANSLATE(A6088, ""zh"", ""en"")"),"Sign a safety and fire protection work responsibility letter with on-site project personnel and outsourced personnel to clarify safety and fire protection responsibilities. Sign promotion, salary, bonus, and welfare clauses with shortlisted outsourcing su"&amp;"ppliers to protect the legitimate interests of outsourced employees. Require suppliers to have ISO14001 environmental management system certification and give priority to suppliers with excellent performance in environmental and low-carbon management. Sig"&amp;"n a contract and information security confidentiality agreement with the selected suppliers. Sign an information security confidentiality agreement with on-site personnel. Information security operation notice for third-party personnel. Information securi"&amp;"ty risk management. Security risk management. Supplier employee rights management. Environmental risk management. 51. CITIC Securities 2022 Annual Social Responsibility Report II. Digital Transformation. The Fintech Development Plan 2022-2025 issued by th"&amp;"e People's Bank of China clearly states that it is necessary to inject digital elements into the entire process of financial services based on strengthening the application of financial data elements, focusing on technology-driven and data-enabled financi"&amp;"al innovation.")</f>
        <v>Sign a safety and fire protection work responsibility letter with on-site project personnel and outsourced personnel to clarify safety and fire protection responsibilities. Sign promotion, salary, bonus, and welfare clauses with shortlisted outsourcing suppliers to protect the legitimate interests of outsourced employees. Require suppliers to have ISO14001 environmental management system certification and give priority to suppliers with excellent performance in environmental and low-carbon management. Sign a contract and information security confidentiality agreement with the selected suppliers. Sign an information security confidentiality agreement with on-site personnel. Information security operation notice for third-party personnel. Information security risk management. Security risk management. Supplier employee rights management. Environmental risk management. 51. CITIC Securities 2022 Annual Social Responsibility Report II. Digital Transformation. The Fintech Development Plan 2022-2025 issued by the People's Bank of China clearly states that it is necessary to inject digital elements into the entire process of financial services based on strengthening the application of financial data elements, focusing on technology-driven and data-enabled financial innovation.</v>
      </c>
      <c r="B6088" s="1" t="str">
        <f ca="1">IFERROR(__xludf.DUMMYFUNCTION("GOOGLETRANSLATE(A6088, ""zh"", ""en"")"),"Data security")</f>
        <v>Data security</v>
      </c>
      <c r="C6088" s="1" t="str">
        <f ca="1">IFERROR(__xludf.DUMMYFUNCTION("GOOGLETRANSLATE(E6088, ""zh"", ""en"")"),"Qualitative text")</f>
        <v>Qualitative text</v>
      </c>
    </row>
    <row r="6089" spans="1:3" ht="13" x14ac:dyDescent="0.15">
      <c r="A6089" s="1" t="str">
        <f ca="1">IFERROR(__xludf.DUMMYFUNCTION("GOOGLETRANSLATE(A6089, ""zh"", ""en"")"),"To further improve corporate governance, in accordance with the relevant regulations of the China Securities Regulatory Commission and the Shanghai Stock Exchange, and to implement the requirements of the Three-Year Action Plan for State-owned Enterprise "&amp;"Reform and the ""Double Hundred Action Plan"" and the actual situation of the company, the board of directors of the company revised the company's articles of association, the rules of procedure for the shareholders' meeting of China National Petroleum Co"&amp;"rporation, the authorization management measures and decision-making list of the board of directors of China National Petroleum Corporation, the management measures for raised funds of China National Petroleum Corporation, the insider information manageme"&amp;"nt system of China National Petroleum Corporation, the independent director system of China National Petroleum Corporation, the working rules of the Audit and Risk Management Committee of the Board of Directors of China National Petroleum Corporation, the"&amp;" working rules of the Nomination Committee of the Board of Directors of China National Petroleum Corporation, the working rules of the Remuneration and Appraisal Committee of the Board of Directors of China National Petroleum Corporation, the working rule"&amp;"s of the Strategic and Investment Management Committee of the Board of Directors of China National Petroleum Corporation, the working rules of the General Manager of China National Petroleum Corporation, the investor relations management work system of Ch"&amp;"ina National Petroleum Corporation, the information disclosure management system of China National Petroleum Corporation, and the information disclosure management system of China National Petroleum Corporation's interbank bond market debt financing instr"&amp;"ument. China National Petroleum Corporation's board of directors proposal management measures have been formulated.")</f>
        <v>To further improve corporate governance, in accordance with the relevant regulations of the China Securities Regulatory Commission and the Shanghai Stock Exchange, and to implement the requirements of the Three-Year Action Plan for State-owned Enterprise Reform and the "Double Hundred Action Plan" and the actual situation of the company, the board of directors of the company revised the company's articles of association, the rules of procedure for the shareholders' meeting of China National Petroleum Corporation, the authorization management measures and decision-making list of the board of directors of China National Petroleum Corporation, the management measures for raised funds of China National Petroleum Corporation, the insider information management system of China National Petroleum Corporation, the independent director system of China National Petroleum Corporation, the working rules of the Audit and Risk Management Committee of the Board of Directors of China National Petroleum Corporation, the working rules of the Nomination Committee of the Board of Directors of China National Petroleum Corporation, the working rules of the Remuneration and Appraisal Committee of the Board of Directors of China National Petroleum Corporation, the working rules of the Strategic and Investment Management Committee of the Board of Directors of China National Petroleum Corporation, the working rules of the General Manager of China National Petroleum Corporation, the investor relations management work system of China National Petroleum Corporation, the information disclosure management system of China National Petroleum Corporation, and the information disclosure management system of China National Petroleum Corporation's interbank bond market debt financing instrument. China National Petroleum Corporation's board of directors proposal management measures have been formulated.</v>
      </c>
      <c r="B6089" s="1" t="str">
        <f ca="1">IFERROR(__xludf.DUMMYFUNCTION("GOOGLETRANSLATE(A6089, ""zh"", ""en"")"),"Organizational structure and operations")</f>
        <v>Organizational structure and operations</v>
      </c>
      <c r="C6089" s="1" t="str">
        <f ca="1">IFERROR(__xludf.DUMMYFUNCTION("GOOGLETRANSLATE(E6089, ""zh"", ""en"")"),"Qualitative text")</f>
        <v>Qualitative text</v>
      </c>
    </row>
    <row r="6090" spans="1:3" ht="13" x14ac:dyDescent="0.15">
      <c r="A6090" s="1" t="str">
        <f ca="1">IFERROR(__xludf.DUMMYFUNCTION("GOOGLETRANSLATE(A6090, ""zh"", ""en"")"),"2 Environmental Performance Green Loan Situation 2022 2021 2020 Green loan balance 100 million yuan 27501.04 19631.29 13427.07 Equivalent to 10,000 tons of standard coal reduction 13505.21 12427.57 3506.48 10,000 tons of carbon dioxide equivalent reductio"&amp;"n 13530.46 12509.58 7388.66 10,000 tons of COD reduction 427.43 394.93 99.37 10,000 tons of ammonia nitrogen reduction 10,000 tons 67.0759.394.80 Sulfur dioxide emission reduction 10,000 tons 390.48359.2787.23 Nitrogen oxide emission reduction 10,000 tons"&amp;" 485.51457.0390.22 Water saving 10,000 tons 25066.6522844.5511333.87 Note: In accordance with the notice on the green financing statistics system issued by the China Banking and Insurance Regulatory Commission, the Bank will update the statistical caliber"&amp;" of green loan-related indicators starting from 2021.")</f>
        <v>2 Environmental Performance Green Loan Situation 2022 2021 2020 Green loan balance 100 million yuan 27501.04 19631.29 13427.07 Equivalent to 10,000 tons of standard coal reduction 13505.21 12427.57 3506.48 10,000 tons of carbon dioxide equivalent reduction 13530.46 12509.58 7388.66 10,000 tons of COD reduction 427.43 394.93 99.37 10,000 tons of ammonia nitrogen reduction 10,000 tons 67.0759.394.80 Sulfur dioxide emission reduction 10,000 tons 390.48359.2787.23 Nitrogen oxide emission reduction 10,000 tons 485.51457.0390.22 Water saving 10,000 tons 25066.6522844.5511333.87 Note: In accordance with the notice on the green financing statistics system issued by the China Banking and Insurance Regulatory Commission, the Bank will update the statistical caliber of green loan-related indicators starting from 2021.</v>
      </c>
      <c r="B6090" s="1" t="str">
        <f ca="1">IFERROR(__xludf.DUMMYFUNCTION("GOOGLETRANSLATE(A6090, ""zh"", ""en"")"),"Green Finance")</f>
        <v>Green Finance</v>
      </c>
      <c r="C6090" s="1" t="str">
        <f ca="1">IFERROR(__xludf.DUMMYFUNCTION("GOOGLETRANSLATE(E6090, ""zh"", ""en"")"),"Quantitative Text")</f>
        <v>Quantitative Text</v>
      </c>
    </row>
    <row r="6091" spans="1:3" ht="13" x14ac:dyDescent="0.15">
      <c r="A6091" s="1" t="str">
        <f ca="1">IFERROR(__xludf.DUMMYFUNCTION("GOOGLETRANSLATE(A6091, ""zh"", ""en"")"),"Investment banking business: the first commercial bank carbon neutral green finance bond, ICBC green finance bond of 10 billion yuan, the first low-carbon transformation green corporate bond, Baosteel green corporate bond of 500 million yuan, the first gr"&amp;"een technology innovation exchangeable corporate bond, China Three Gorges Corporation green technology innovation exchangeable bond of 10 billion yuan, the largest carbon neutral commercial real estate mortgage-backed securities (CMBS), Jinmao Kaichen CMB"&amp;"S of 8.7 billion yuan, the first central enterprise green technology innovation corporate bond issued by the Shanghai Stock Exchange after the release of the China Green Bond Principles, China Chengtong green technology innovation bond of 2.5 billion yuan"&amp;", and high participation in Shenzhen's offshore RMB local government bonds of 5 billion yuan, including a 5-year blue bond, the first blue bond issued by the Shenzhen Municipal Government in the offshore bond market. Assisted Bank of China in pricing a US"&amp;"$500 million green bond based on the updated version of the Common Sustainable Finance Classification Report through its Frankfurt branch, and assisted Bank of China Paris branch in issuing a US$300 million 3-year biodiversity-themed green bond.")</f>
        <v>Investment banking business: the first commercial bank carbon neutral green finance bond, ICBC green finance bond of 10 billion yuan, the first low-carbon transformation green corporate bond, Baosteel green corporate bond of 500 million yuan, the first green technology innovation exchangeable corporate bond, China Three Gorges Corporation green technology innovation exchangeable bond of 10 billion yuan, the largest carbon neutral commercial real estate mortgage-backed securities (CMBS), Jinmao Kaichen CMBS of 8.7 billion yuan, the first central enterprise green technology innovation corporate bond issued by the Shanghai Stock Exchange after the release of the China Green Bond Principles, China Chengtong green technology innovation bond of 2.5 billion yuan, and high participation in Shenzhen's offshore RMB local government bonds of 5 billion yuan, including a 5-year blue bond, the first blue bond issued by the Shenzhen Municipal Government in the offshore bond market. Assisted Bank of China in pricing a US$500 million green bond based on the updated version of the Common Sustainable Finance Classification Report through its Frankfurt branch, and assisted Bank of China Paris branch in issuing a US$300 million 3-year biodiversity-themed green bond.</v>
      </c>
      <c r="B6091" s="1" t="str">
        <f ca="1">IFERROR(__xludf.DUMMYFUNCTION("GOOGLETRANSLATE(A6091, ""zh"", ""en"")"),"Green Finance")</f>
        <v>Green Finance</v>
      </c>
      <c r="C6091" s="1" t="str">
        <f ca="1">IFERROR(__xludf.DUMMYFUNCTION("GOOGLETRANSLATE(E6091, ""zh"", ""en"")"),"Quantitative Text")</f>
        <v>Quantitative Text</v>
      </c>
    </row>
    <row r="6092" spans="1:3" ht="13" x14ac:dyDescent="0.15">
      <c r="A6092" s="1" t="str">
        <f ca="1">IFERROR(__xludf.DUMMYFUNCTION("GOOGLETRANSLATE(A6092, ""zh"", ""en"")"),"Waste situation 2022 2021 2020 Non-hazardous waste tons 713.33 272.17 689.65 Waste electronic information products tons 229.47 167.26 445.03 Waste vehicles tons 457.35 79.19 229.83 Waste batteries tons 10.62 10.06 4.35 Waste office supplies tons 15.89 15."&amp;"66 10.44 Total non-hazardous waste consumption per employee in the whole year tons 0.008 0.003 0.007 Hazardous waste tons 37.09 37.46 36.06 Waste toner cartridges tons 37.09 37.46 36.06 Total hazardous waste consumption per employee in the year tons 0.000"&amp;" 4 0.000 4 0.000 4 Note 1. The statistical scope includes the head office, 10 city branches (Beijing, Tianjin, Shanghai, Chongqing, Dalian, Ningbo, Qingdao, Xiamen, Shenzhen, Suzhou), and the headquarters offices of all 27 provinces and regions under its "&amp;"jurisdiction.")</f>
        <v>Waste situation 2022 2021 2020 Non-hazardous waste tons 713.33 272.17 689.65 Waste electronic information products tons 229.47 167.26 445.03 Waste vehicles tons 457.35 79.19 229.83 Waste batteries tons 10.62 10.06 4.35 Waste office supplies tons 15.89 15.66 10.44 Total non-hazardous waste consumption per employee in the whole year tons 0.008 0.003 0.007 Hazardous waste tons 37.09 37.46 36.06 Waste toner cartridges tons 37.09 37.46 36.06 Total hazardous waste consumption per employee in the year tons 0.000 4 0.000 4 0.000 4 Note 1. The statistical scope includes the head office, 10 city branches (Beijing, Tianjin, Shanghai, Chongqing, Dalian, Ningbo, Qingdao, Xiamen, Shenzhen, Suzhou), and the headquarters offices of all 27 provinces and regions under its jurisdiction.</v>
      </c>
      <c r="B6092" s="1" t="str">
        <f ca="1">IFERROR(__xludf.DUMMYFUNCTION("GOOGLETRANSLATE(A6092, ""zh"", ""en"")"),"Waste Management")</f>
        <v>Waste Management</v>
      </c>
      <c r="C6092" s="1" t="str">
        <f ca="1">IFERROR(__xludf.DUMMYFUNCTION("GOOGLETRANSLATE(E6092, ""zh"", ""en"")"),"Quantitative Text")</f>
        <v>Quantitative Text</v>
      </c>
    </row>
    <row r="6093" spans="1:3" ht="13" x14ac:dyDescent="0.15">
      <c r="A6093" s="1" t="str">
        <f ca="1">IFERROR(__xludf.DUMMYFUNCTION("GOOGLETRANSLATE(A6093, ""zh"", ""en"")"),"Water consumption: 141,417.53 tons Gasoline consumption for owned vehicles: 326,051.62 liters Natural gas consumption: 21,433 cubic meters Electricity consumption: 19,637,953 kWh Scope 2 greenhouse gas emissions: 17,805.75 tons CO2 equivalent Scope 1 gree"&amp;"nhouse gas emissions: 816.31 tons CO2 equivalent The company and its investee companies use electronic means to communicate and contact with each other at work, reducing the frequency of on-site meetings. Offices are dark during non-working hours and holi"&amp;"days to reduce energy consumption and have dedicated personnel for inspections. A paperless office model is implemented. All processes and materials related to signing, meeting documents, approval, and reimbursement are circulated through the OA system. I"&amp;"f necessary, paper documents must be printed on both sides. The related expenses are included in the costs of the using department. Internal notices, friendly reminders, and energy-saving tips are used to encourage employees to conserve water, electricity"&amp;", and energy consumption. Social and public transportation are encouraged. Executives do not have dedicated vehicles for official travel, and unified scheduling arrangements are made if necessary.")</f>
        <v>Water consumption: 141,417.53 tons Gasoline consumption for owned vehicles: 326,051.62 liters Natural gas consumption: 21,433 cubic meters Electricity consumption: 19,637,953 kWh Scope 2 greenhouse gas emissions: 17,805.75 tons CO2 equivalent Scope 1 greenhouse gas emissions: 816.31 tons CO2 equivalent The company and its investee companies use electronic means to communicate and contact with each other at work, reducing the frequency of on-site meetings. Offices are dark during non-working hours and holidays to reduce energy consumption and have dedicated personnel for inspections. A paperless office model is implemented. All processes and materials related to signing, meeting documents, approval, and reimbursement are circulated through the OA system. If necessary, paper documents must be printed on both sides. The related expenses are included in the costs of the using department. Internal notices, friendly reminders, and energy-saving tips are used to encourage employees to conserve water, electricity, and energy consumption. Social and public transportation are encouraged. Executives do not have dedicated vehicles for official travel, and unified scheduling arrangements are made if necessary.</v>
      </c>
      <c r="B6093" s="1" t="str">
        <f ca="1">IFERROR(__xludf.DUMMYFUNCTION("GOOGLETRANSLATE(A6093, ""zh"", ""en"")"),"Energy and resource consumption")</f>
        <v>Energy and resource consumption</v>
      </c>
      <c r="C6093" s="1" t="str">
        <f ca="1">IFERROR(__xludf.DUMMYFUNCTION("GOOGLETRANSLATE(E6093, ""zh"", ""en"")"),"Quantitative Text")</f>
        <v>Quantitative Text</v>
      </c>
    </row>
    <row r="6094" spans="1:3" ht="13" x14ac:dyDescent="0.15">
      <c r="A6094" s="1" t="str">
        <f ca="1">IFERROR(__xludf.DUMMYFUNCTION("GOOGLETRANSLATE(A6094, ""zh"", ""en"")"),"Sustainability Report of Tibet Mount Everest Resources Co., Ltd. Table of Contents 33 Preface About This Report Chairman’s Statement 45678109 Visit Tibet Mount Everest Company Introduction Global Layout of One Body and Two Domains Tibet Mount Everest’s Pa"&amp;"th to Sustainable Development Sustainable Development Practices External Honors 11121417 Company Sincere Governance Corporate Governance ESG Governance Business Ethics 192021252627 Harmonious Coexistence with Nature Environmental Management Resource Manag"&amp;"ement Climate Change Ecological Restoration Emission Management 32333435 Employee Shared Growth Employee Rights Promotion and Training Employee Benefits Health and Safety 363839 Community Mutual Aid and Friendship Community Building Humanistic Care 41 App"&amp;"endix Appendix GRI Standard Index Table 4545293031 Industry Joint Development Quality Management Supply Chain Management Technological Cooperation and Innovation 31 Visit Tibet Mount Everest Corporate Governance Environment Industry Joint Construction of "&amp;"Employee Community 3 Time Range January 1, 2022 to December 31, 2022 hereinafter referred to as the Reporting Period")</f>
        <v>Sustainability Report of Tibet Mount Everest Resources Co., Ltd. Table of Contents 33 Preface About This Report Chairman’s Statement 45678109 Visit Tibet Mount Everest Company Introduction Global Layout of One Body and Two Domains Tibet Mount Everest’s Path to Sustainable Development Sustainable Development Practices External Honors 11121417 Company Sincere Governance Corporate Governance ESG Governance Business Ethics 192021252627 Harmonious Coexistence with Nature Environmental Management Resource Management Climate Change Ecological Restoration Emission Management 32333435 Employee Shared Growth Employee Rights Promotion and Training Employee Benefits Health and Safety 363839 Community Mutual Aid and Friendship Community Building Humanistic Care 41 Appendix Appendix GRI Standard Index Table 4545293031 Industry Joint Development Quality Management Supply Chain Management Technological Cooperation and Innovation 31 Visit Tibet Mount Everest Corporate Governance Environment Industry Joint Construction of Employee Community 3 Time Range January 1, 2022 to December 31, 2022 hereinafter referred to as the Reporting Period</v>
      </c>
      <c r="B6094" s="1" t="str">
        <f ca="1">IFERROR(__xludf.DUMMYFUNCTION("GOOGLETRANSLATE(A6094, ""zh"", ""en"")"),"staff")</f>
        <v>staff</v>
      </c>
      <c r="C6094" s="1" t="str">
        <f ca="1">IFERROR(__xludf.DUMMYFUNCTION("GOOGLETRANSLATE(E6094, ""zh"", ""en"")"),"Qualitative text")</f>
        <v>Qualitative text</v>
      </c>
    </row>
    <row r="6095" spans="1:3" ht="13" x14ac:dyDescent="0.15">
      <c r="A6095" s="1" t="str">
        <f ca="1">IFERROR(__xludf.DUMMYFUNCTION("GOOGLETRANSLATE(A6095, ""zh"", ""en"")"),"Project name Beneficiary number Person-time Subsidy amount Yuan City General B Security Plan 453932380000 See Shanghai, Taste Shanghai, Love Shanghai Activity 431078782800333 Training class graduation award 2040000 Visits to children of overseas employees"&amp;" 21063000 Service to employees Project results Help employees in need 3275329 Help people in need of life RMB 10,000 amount 147265 Help people in need of serious illness RMB 10,000 amount 30550.9 Help people in need of education RMB 10,000 amount 151753.9"&amp;" Physical examinations for employees of restructured enterprises RMB 10,000 amount Co-create a good atmosphere of loving and respecting talents Shanghai Electric Group Co., Ltd. 101 Improve talent welfare and security services, actively help women find em"&amp;"ployment, and protect the rights and interests of female employees Shanghai Electric, based on the existing group talent apartments, Lingang public rental housing and municipal public rental housing policies, comprehensively improves talent service guaran"&amp;"tees to maximize the housing needs of young employees, actively solves the housing problems of young backbones, and promotes the implementation of talent training, retention and introduction")</f>
        <v>Project name Beneficiary number Person-time Subsidy amount Yuan City General B Security Plan 453932380000 See Shanghai, Taste Shanghai, Love Shanghai Activity 431078782800333 Training class graduation award 2040000 Visits to children of overseas employees 21063000 Service to employees Project results Help employees in need 3275329 Help people in need of life RMB 10,000 amount 147265 Help people in need of serious illness RMB 10,000 amount 30550.9 Help people in need of education RMB 10,000 amount 151753.9 Physical examinations for employees of restructured enterprises RMB 10,000 amount Co-create a good atmosphere of loving and respecting talents Shanghai Electric Group Co., Ltd. 101 Improve talent welfare and security services, actively help women find employment, and protect the rights and interests of female employees Shanghai Electric, based on the existing group talent apartments, Lingang public rental housing and municipal public rental housing policies, comprehensively improves talent service guarantees to maximize the housing needs of young employees, actively solves the housing problems of young backbones, and promotes the implementation of talent training, retention and introduction</v>
      </c>
      <c r="B6095" s="1" t="str">
        <f ca="1">IFERROR(__xludf.DUMMYFUNCTION("GOOGLETRANSLATE(A6095, ""zh"", ""en"")"),"staff")</f>
        <v>staff</v>
      </c>
      <c r="C6095" s="1" t="str">
        <f ca="1">IFERROR(__xludf.DUMMYFUNCTION("GOOGLETRANSLATE(E6095, ""zh"", ""en"")"),"Quantitative Text")</f>
        <v>Quantitative Text</v>
      </c>
    </row>
    <row r="6096" spans="1:3" ht="13" x14ac:dyDescent="0.15">
      <c r="A6096" s="1" t="str">
        <f ca="1">IFERROR(__xludf.DUMMYFUNCTION("GOOGLETRANSLATE(A6096, ""zh"", ""en"")"),"Emergency Plan Privacy Protection Risk Scenarios Emergency Plan Supply Chain Service Provider Issues Leading to Leakage of Important Company Data Leakage of Employee Personal Data External Attacks Leading to Data Leakage through Illegal Use of Public Clou"&amp;"d Services 1. Interrupt Risk Behavior 2. Determine the Scope of Leakage Impact 3. Perform Reporting Work 4. Identify the Problem and Take Emergency Reinforcement Measures 5. Assess the Impact and Develop Remedial Measures 6. Inform Users of the Risks Esta"&amp;"blish a Channel for Reporting Abnormal Events 50 CITIC Securities 2022 Annual Social Responsibility Report Supplier ESG-Related Risk Management Process 7. Supply Chain Management CITIC Securities always adheres to the principles of fairness, justice and o"&amp;"penness in its procurement work. The company strictly abides by the Bidding Law, the Government Procurement Law and other laws and regulations to formulate CITIC Securities Co., Ltd.'s procurement management system, CITIC Securities Co., Ltd.'s procuremen"&amp;"t management operating procedures, information system procurement management methods and other related systems, and continuously optimizes supplier management policies and systems to create a good supplier cooperation ecosystem.")</f>
        <v>Emergency Plan Privacy Protection Risk Scenarios Emergency Plan Supply Chain Service Provider Issues Leading to Leakage of Important Company Data Leakage of Employee Personal Data External Attacks Leading to Data Leakage through Illegal Use of Public Cloud Services 1. Interrupt Risk Behavior 2. Determine the Scope of Leakage Impact 3. Perform Reporting Work 4. Identify the Problem and Take Emergency Reinforcement Measures 5. Assess the Impact and Develop Remedial Measures 6. Inform Users of the Risks Establish a Channel for Reporting Abnormal Events 50 CITIC Securities 2022 Annual Social Responsibility Report Supplier ESG-Related Risk Management Process 7. Supply Chain Management CITIC Securities always adheres to the principles of fairness, justice and openness in its procurement work. The company strictly abides by the Bidding Law, the Government Procurement Law and other laws and regulations to formulate CITIC Securities Co., Ltd.'s procurement management system, CITIC Securities Co., Ltd.'s procurement management operating procedures, information system procurement management methods and other related systems, and continuously optimizes supplier management policies and systems to create a good supplier cooperation ecosystem.</v>
      </c>
      <c r="B6096" s="1" t="str">
        <f ca="1">IFERROR(__xludf.DUMMYFUNCTION("GOOGLETRANSLATE(A6096, ""zh"", ""en"")"),"supply chain management")</f>
        <v>supply chain management</v>
      </c>
      <c r="C6096" s="1" t="str">
        <f ca="1">IFERROR(__xludf.DUMMYFUNCTION("GOOGLETRANSLATE(E6096, ""zh"", ""en"")"),"Qualitative text")</f>
        <v>Qualitative text</v>
      </c>
    </row>
    <row r="6097" spans="1:3" ht="13" x14ac:dyDescent="0.15">
      <c r="A6097" s="1" t="str">
        <f ca="1">IFERROR(__xludf.DUMMYFUNCTION("GOOGLETRANSLATE(A6097, ""zh"", ""en"")"),"Protect the rights and interests of employees, focus on talent cultivation, care for employees, practice public welfare and charity, SDG16 Tianzheng MW 2021 Social Responsibility Report Shenma Industrial Co., Ltd. Build a better home together to protect t"&amp;"he rights and interests of employees. 2021 Shenma Co., Ltd. excluding subsidiaries, average salary situation of male and female employees, annual average monthly salary of male employees, RMB, average monthly salary of female employees, RMB, highest month"&amp;"ly salary, RMB, local minimum wage, RMB 2021 5620562041518.331900 Equal employment The company strictly abides by relevant laws and regulations, ensuring that all kinds of social insurance and other national statutory benefits for employees are paid on ti"&amp;"me and in full, while providing additional paid Shenma Co., Ltd. respects the legal rights and interests of every employee, standardizes employee recruitment processes and management procedures, eliminates the employment of child labor, prohibits employme"&amp;"nt discrimination, strictly implements national holidays, marriage leave, maternity leave, personal leave and childcare leave, and promptly optimizes the maternity leave and related benefits of female employees according to the latest policies to ensure t"&amp;"he legal family of female employees. Policies on gender, age and ethnicity, etc.")</f>
        <v>Protect the rights and interests of employees, focus on talent cultivation, care for employees, practice public welfare and charity, SDG16 Tianzheng MW 2021 Social Responsibility Report Shenma Industrial Co., Ltd. Build a better home together to protect the rights and interests of employees. 2021 Shenma Co., Ltd. excluding subsidiaries, average salary situation of male and female employees, annual average monthly salary of male employees, RMB, average monthly salary of female employees, RMB, highest monthly salary, RMB, local minimum wage, RMB 2021 5620562041518.331900 Equal employment The company strictly abides by relevant laws and regulations, ensuring that all kinds of social insurance and other national statutory benefits for employees are paid on time and in full, while providing additional paid Shenma Co., Ltd. respects the legal rights and interests of every employee, standardizes employee recruitment processes and management procedures, eliminates the employment of child labor, prohibits employment discrimination, strictly implements national holidays, marriage leave, maternity leave, personal leave and childcare leave, and promptly optimizes the maternity leave and related benefits of female employees according to the latest policies to ensure the legal family of female employees. Policies on gender, age and ethnicity, etc.</v>
      </c>
      <c r="B6097" s="1" t="str">
        <f ca="1">IFERROR(__xludf.DUMMYFUNCTION("GOOGLETRANSLATE(A6097, ""zh"", ""en"")"),"staff")</f>
        <v>staff</v>
      </c>
      <c r="C6097" s="1" t="str">
        <f ca="1">IFERROR(__xludf.DUMMYFUNCTION("GOOGLETRANSLATE(E6097, ""zh"", ""en"")"),"Quantitative Text")</f>
        <v>Quantitative Text</v>
      </c>
    </row>
    <row r="6098" spans="1:3" ht="13" x14ac:dyDescent="0.15">
      <c r="A6098" s="1" t="str">
        <f ca="1">IFERROR(__xludf.DUMMYFUNCTION("GOOGLETRANSLATE(A6098, ""zh"", ""en"")"),"To combat corruption and foster a clean financial culture, the Bank actively cooperates with the reform of the disciplinary inspection and supervisory system. We are improving the accountability mechanism based on a three-pronged approach, strengthening a"&amp;"ccountability procedures and optimizing accountability entities and standards. We adhere to the principle of strictness, rigor, and appropriateness in punishing irregularities. We strengthen institutional implementation through precise and effective accou"&amp;"ntability, ensuring policy implementation, and fostering a clean and upright operating environment across the Bank.")</f>
        <v>To combat corruption and foster a clean financial culture, the Bank actively cooperates with the reform of the disciplinary inspection and supervisory system. We are improving the accountability mechanism based on a three-pronged approach, strengthening accountability procedures and optimizing accountability entities and standards. We adhere to the principle of strictness, rigor, and appropriateness in punishing irregularities. We strengthen institutional implementation through precise and effective accountability, ensuring policy implementation, and fostering a clean and upright operating environment across the Bank.</v>
      </c>
      <c r="B6098" s="1" t="str">
        <f ca="1">IFERROR(__xludf.DUMMYFUNCTION("GOOGLETRANSLATE(A6098, ""zh"", ""en"")"),"Anti-corruption and anti-money laundering")</f>
        <v>Anti-corruption and anti-money laundering</v>
      </c>
      <c r="C6098" s="1" t="str">
        <f ca="1">IFERROR(__xludf.DUMMYFUNCTION("GOOGLETRANSLATE(E6098, ""zh"", ""en"")"),"Qualitative text")</f>
        <v>Qualitative text</v>
      </c>
    </row>
    <row r="6099" spans="1:3" ht="13" x14ac:dyDescent="0.15">
      <c r="A6099" s="1" t="str">
        <f ca="1">IFERROR(__xludf.DUMMYFUNCTION("GOOGLETRANSLATE(A6099, ""zh"", ""en"")"),"Note: Statistics on waste gas emissions include flare emissions. Environmental protection 63. Our goals: Main measures: Legal and compliant disposal of solid waste; Implementation of clean production technology; Reduction of oil-based mud usage through st"&amp;"ratified drilling; Promotion of drilling mud disposal while drilling technology and downhole oil removal technology; Implementation of clean production measures such as ground box-type well repair operations; Substantially reduce the generation of solid w"&amp;"aste, especially hazardous waste; Increase comprehensive utilization of solid waste such as oily waste and standardize the construction of disposal facilities; Introduce third-party institutions to carry out solid waste disposal and utilization; Ensure th"&amp;"at the entire process of solid waste disposal and utilization complies with the law; Establish a unified solid waste full-process management and control platform; Realize the fine management and monitoring of the entire process of general industrial solid"&amp;" waste and hazardous waste; Solid waste disposal, wastewater discharge management and recycling; The company attaches great importance to the pollution prevention and control of solid waste, especially hazardous waste; Strictly abide by the National Solid"&amp;" Waste Pollution Prevention and Control Law; Conduct information-based dynamic management and control of the entire process of solid waste generation, collection, storage, transportation, transfer, utilization and disposal.")</f>
        <v>Note: Statistics on waste gas emissions include flare emissions. Environmental protection 63. Our goals: Main measures: Legal and compliant disposal of solid waste; Implementation of clean production technology; Reduction of oil-based mud usage through stratified drilling; Promotion of drilling mud disposal while drilling technology and downhole oil removal technology; Implementation of clean production measures such as ground box-type well repair operations; Substantially reduce the generation of solid waste, especially hazardous waste; Increase comprehensive utilization of solid waste such as oily waste and standardize the construction of disposal facilities; Introduce third-party institutions to carry out solid waste disposal and utilization; Ensure that the entire process of solid waste disposal and utilization complies with the law; Establish a unified solid waste full-process management and control platform; Realize the fine management and monitoring of the entire process of general industrial solid waste and hazardous waste; Solid waste disposal, wastewater discharge management and recycling; The company attaches great importance to the pollution prevention and control of solid waste, especially hazardous waste; Strictly abide by the National Solid Waste Pollution Prevention and Control Law; Conduct information-based dynamic management and control of the entire process of solid waste generation, collection, storage, transportation, transfer, utilization and disposal.</v>
      </c>
      <c r="B6099" s="1" t="str">
        <f ca="1">IFERROR(__xludf.DUMMYFUNCTION("GOOGLETRANSLATE(A6099, ""zh"", ""en"")"),"Waste Management")</f>
        <v>Waste Management</v>
      </c>
      <c r="C6099" s="1" t="str">
        <f ca="1">IFERROR(__xludf.DUMMYFUNCTION("GOOGLETRANSLATE(E6099, ""zh"", ""en"")"),"Qualitative text")</f>
        <v>Qualitative text</v>
      </c>
    </row>
    <row r="6100" spans="1:3" ht="13" x14ac:dyDescent="0.15">
      <c r="A6100" s="1" t="str">
        <f ca="1">IFERROR(__xludf.DUMMYFUNCTION("GOOGLETRANSLATE(A6100, ""zh"", ""en"")"),"Overview of the new talent policy for the new track 514 major aspects of the policy planning and budgeting Resonate with each other Make good industry and talent planning and implement them simultaneously New track human resource budget management separat"&amp;"ely Establish and optimize agile team management structure Benchmark advanced collaborative response Boldly break through and innovate talent introduction methods Support with talent funds Deepen contractual management of the management level Focus on the"&amp;" top to activate the team Pilot breakthrough Open implementation of various medium- and long-term incentive measures Focus on the implementation of special incentives for scientific and technological personnel Encourage the implementation of various types"&amp;" of announcements and leadership, cabinet formation Value quantification is open and transparent Encourage open competition for recruitment and employment Promote internal talent flow Strengthen the integration of industry, academia, research and applicat"&amp;"ion Break down barriers Open cooperation Live and work in peace and contentment Establish diversified talent guarantees and services Encourage various industries to make full use of the group's new talent policy Talent highland Talent introduction Innovat"&amp;"ion incentives Flexible use of talent Resource guarantee 12345 Encourage high-end technical talents at all levels to announce the results and enjoy the corresponding job level and job benefits of scientific and technological experts during the announcemen"&amp;"t period Give teams more autonomy in budget control, bonus distribution, etc.")</f>
        <v>Overview of the new talent policy for the new track 514 major aspects of the policy planning and budgeting Resonate with each other Make good industry and talent planning and implement them simultaneously New track human resource budget management separately Establish and optimize agile team management structure Benchmark advanced collaborative response Boldly break through and innovate talent introduction methods Support with talent funds Deepen contractual management of the management level Focus on the top to activate the team Pilot breakthrough Open implementation of various medium- and long-term incentive measures Focus on the implementation of special incentives for scientific and technological personnel Encourage the implementation of various types of announcements and leadership, cabinet formation Value quantification is open and transparent Encourage open competition for recruitment and employment Promote internal talent flow Strengthen the integration of industry, academia, research and application Break down barriers Open cooperation Live and work in peace and contentment Establish diversified talent guarantees and services Encourage various industries to make full use of the group's new talent policy Talent highland Talent introduction Innovation incentives Flexible use of talent Resource guarantee 12345 Encourage high-end technical talents at all levels to announce the results and enjoy the corresponding job level and job benefits of scientific and technological experts during the announcement period Give teams more autonomy in budget control, bonus distribution, etc.</v>
      </c>
      <c r="B6100" s="1" t="str">
        <f ca="1">IFERROR(__xludf.DUMMYFUNCTION("GOOGLETRANSLATE(A6100, ""zh"", ""en"")"),"Promoting employment")</f>
        <v>Promoting employment</v>
      </c>
      <c r="C6100" s="1" t="str">
        <f ca="1">IFERROR(__xludf.DUMMYFUNCTION("GOOGLETRANSLATE(E6100, ""zh"", ""en"")"),"Qualitative text")</f>
        <v>Qualitative text</v>
      </c>
    </row>
    <row r="6101" spans="1:3" ht="13" x14ac:dyDescent="0.15">
      <c r="A6101" s="1" t="str">
        <f ca="1">IFERROR(__xludf.DUMMYFUNCTION("GOOGLETRANSLATE(A6101, ""zh"", ""en"")"),"Total energy consumption Direct energy Gasoline Diesel Natural gas Indirect energy Purchased electricity Purchased heat Energy consumption per square meter Water consumption per square meter 40557.583075.08507.03108.052460.0037482.5037482.500.24128369.000"&amp;".8942424.093624.47553.63107.072963.7738799.6 238799.620.25143834.071.0454161.343437.60425.30238.912773.3950723.7444075.786647.960.29137837.001.00A2. Resource Usage ESG Indicator Unit 2020 2021 2022 Unless otherwise specified, the statistical scope of 2022"&amp;" data includes CITIC Securities Co., Ltd.")</f>
        <v>Total energy consumption Direct energy Gasoline Diesel Natural gas Indirect energy Purchased electricity Purchased heat Energy consumption per square meter Water consumption per square meter 40557.583075.08507.03108.052460.0037482.5037482.500.24128369.000.8942424.093624.47553.63107.072963.7738799.6 238799.620.25143834.071.0454161.343437.60425.30238.912773.3950723.7444075.786647.960.29137837.001.00A2. Resource Usage ESG Indicator Unit 2020 2021 2022 Unless otherwise specified, the statistical scope of 2022 data includes CITIC Securities Co., Ltd.</v>
      </c>
      <c r="B6101" s="1" t="str">
        <f ca="1">IFERROR(__xludf.DUMMYFUNCTION("GOOGLETRANSLATE(A6101, ""zh"", ""en"")"),"Energy and resource consumption")</f>
        <v>Energy and resource consumption</v>
      </c>
      <c r="C6101" s="1" t="str">
        <f ca="1">IFERROR(__xludf.DUMMYFUNCTION("GOOGLETRANSLATE(E6101, ""zh"", ""en"")"),"Quantitative Text")</f>
        <v>Quantitative Text</v>
      </c>
    </row>
    <row r="6102" spans="1:3" ht="13" x14ac:dyDescent="0.15">
      <c r="A6102" s="1" t="str">
        <f ca="1">IFERROR(__xludf.DUMMYFUNCTION("GOOGLETRANSLATE(A6102, ""zh"", ""en"")"),"Safety situation of each segment of Fosun Pharma Group: Total working hours, including the contractor segment; Number of lost time accidents; Lost time accident rate; Serious injuries; Minor injuries; Lost work days; Number of recordable accidents; Record"&amp;"able accident rate; Serious injuries and fatalities accident rate; Accident rate; Number of accidents; Other medicines: 62965070.14600.146245140.291; Medical and health services: 173354890000000; Medical equipment and medical diagnosis: 384889700000000; T"&amp;"otal: 6924401670.1010.1012450.202086; Innovation for Good Health: Continuous innovation and enjoyment of health; Accident case sharing and internal learning; Every encounter brings a benefit; Every experience brings wisdom; All member companies of Fosun P"&amp;"harma Group continue to carry out safety accident warning education; Fosun Pharma Group encourages all member companies to make full use of external accident case activities to carry out targeted learning and draw lessons from the repeated study of warnin"&amp;"g cases.")</f>
        <v>Safety situation of each segment of Fosun Pharma Group: Total working hours, including the contractor segment; Number of lost time accidents; Lost time accident rate; Serious injuries; Minor injuries; Lost work days; Number of recordable accidents; Recordable accident rate; Serious injuries and fatalities accident rate; Accident rate; Number of accidents; Other medicines: 62965070.14600.146245140.291; Medical and health services: 173354890000000; Medical equipment and medical diagnosis: 384889700000000; Total: 6924401670.1010.1012450.202086; Innovation for Good Health: Continuous innovation and enjoyment of health; Accident case sharing and internal learning; Every encounter brings a benefit; Every experience brings wisdom; All member companies of Fosun Pharma Group continue to carry out safety accident warning education; Fosun Pharma Group encourages all member companies to make full use of external accident case activities to carry out targeted learning and draw lessons from the repeated study of warning cases.</v>
      </c>
      <c r="B6102" s="1" t="str">
        <f ca="1">IFERROR(__xludf.DUMMYFUNCTION("GOOGLETRANSLATE(A6102, ""zh"", ""en"")"),"staff")</f>
        <v>staff</v>
      </c>
      <c r="C6102" s="1" t="str">
        <f ca="1">IFERROR(__xludf.DUMMYFUNCTION("GOOGLETRANSLATE(E6102, ""zh"", ""en"")"),"Quantitative Text")</f>
        <v>Quantitative Text</v>
      </c>
    </row>
    <row r="6103" spans="1:3" ht="13" x14ac:dyDescent="0.15">
      <c r="A6103" s="1" t="str">
        <f ca="1">IFERROR(__xludf.DUMMYFUNCTION("GOOGLETRANSLATE(A6103, ""zh"", ""en"")"),"Mission, Vision, Core Values, Serving Health, Tomorrow, Making Good Medicines with Care, New Drugs, People-Oriented, Ingenuity, Quality, Innovation, Truth-Seeking, Cooperation and Sharing, January 1, September 5, December 1, December 28, China Red Cross P"&amp;"hilanthropy Medal, China Red Cross Society, Top 500 Chinese Manufacturing Enterprises, China Enterprise Confederation, China Entrepreneur Association, Social Responsibility Pioneer Enterprise Award, Cailianshe Biopharmaceutical Most Growth Listed Company,"&amp;" National Business Daily, April 25, Included in the 2021 Guangdong Province Key Trademark Protection List, Guangdong Trademark Association Key Trademark Protection Committee, July 1, 2021 Top 100 Chinese Chemical Pharmaceutical Enterprises, Expert Committ"&amp;"ee of the Top 100 Chinese Pharmaceutical Industry Companies, November 7, Top 100 Citizen Satisfaction Projects, Inclusive Chronic Disease Prevention and Control Project, Shenzhen Municipal Civilization Office, Shenzhen Municipal Caring Office, Organizatio"&amp;"ns, 12 Kangyuan Pharmaceutical Group Co., Ltd., 3.5 Honorary Awards, 13 2022 Social Responsibility Report, Kangyuan attaches great importance to sustainable development and insists on creating social value through compliant and stable operations.")</f>
        <v>Mission, Vision, Core Values, Serving Health, Tomorrow, Making Good Medicines with Care, New Drugs, People-Oriented, Ingenuity, Quality, Innovation, Truth-Seeking, Cooperation and Sharing, January 1, September 5, December 1, December 28, China Red Cross Philanthropy Medal, China Red Cross Society, Top 500 Chinese Manufacturing Enterprises, China Enterprise Confederation, China Entrepreneur Association, Social Responsibility Pioneer Enterprise Award, Cailianshe Biopharmaceutical Most Growth Listed Company, National Business Daily, April 25, Included in the 2021 Guangdong Province Key Trademark Protection List, Guangdong Trademark Association Key Trademark Protection Committee, July 1, 2021 Top 100 Chinese Chemical Pharmaceutical Enterprises, Expert Committee of the Top 100 Chinese Pharmaceutical Industry Companies, November 7, Top 100 Citizen Satisfaction Projects, Inclusive Chronic Disease Prevention and Control Project, Shenzhen Municipal Civilization Office, Shenzhen Municipal Caring Office, Organizations, 12 Kangyuan Pharmaceutical Group Co., Ltd., 3.5 Honorary Awards, 13 2022 Social Responsibility Report, Kangyuan attaches great importance to sustainable development and insists on creating social value through compliant and stable operations.</v>
      </c>
      <c r="B6103" s="1" t="str">
        <f ca="1">IFERROR(__xludf.DUMMYFUNCTION("GOOGLETRANSLATE(A6103, ""zh"", ""en"")"),"Sustainable certification")</f>
        <v>Sustainable certification</v>
      </c>
      <c r="C6103" s="1" t="str">
        <f ca="1">IFERROR(__xludf.DUMMYFUNCTION("GOOGLETRANSLATE(E6103, ""zh"", ""en"")"),"Qualitative text")</f>
        <v>Qualitative text</v>
      </c>
    </row>
    <row r="6104" spans="1:3" ht="13" x14ac:dyDescent="0.15">
      <c r="A6104" s="1" t="str">
        <f ca="1">IFERROR(__xludf.DUMMYFUNCTION("GOOGLETRANSLATE(A6104, ""zh"", ""en"")"),"Figure 28: Example of the ESG Rating Tool System Functionality for Corporate Clients. China Construction Bank Corporation 2022 Social Responsibility Report. Case Study: Issuance of the First Domestic Sustainable Development-Linked Financial Bond. On May 2"&amp;"3, 2022, CCB issued the first domestic sustainable development-linked green financial bond with an issuance size of RMB 10 billion. The coupon rate for the first two years is fixed at 2.60%. The coupon rate for the third year is linked to the completion o"&amp;"f preset key performance indicators (KPIs) and sustainable development performance targets (SPTs). That is, if the proportion of CCB's green loan balance to the adjusted total amount of loans and advances issued is no less than 11.50% by the end of 2024, "&amp;"the coupon rate for the third year will remain unchanged. If the target is not achieved, the coupon rate for the third year will be increased by 25bps. By setting key performance indicators (KPIs) and sustainable development performance targets (SPTs), CC"&amp;"B demonstrates to the society and investors its support for the green sector, its social responsibility to serve the development of the green economy, and its confidence in achieving sustainable development goals.")</f>
        <v>Figure 28: Example of the ESG Rating Tool System Functionality for Corporate Clients. China Construction Bank Corporation 2022 Social Responsibility Report. Case Study: Issuance of the First Domestic Sustainable Development-Linked Financial Bond. On May 23, 2022, CCB issued the first domestic sustainable development-linked green financial bond with an issuance size of RMB 10 billion. The coupon rate for the first two years is fixed at 2.60%. The coupon rate for the third year is linked to the completion of preset key performance indicators (KPIs) and sustainable development performance targets (SPTs). That is, if the proportion of CCB's green loan balance to the adjusted total amount of loans and advances issued is no less than 11.50% by the end of 2024, the coupon rate for the third year will remain unchanged. If the target is not achieved, the coupon rate for the third year will be increased by 25bps. By setting key performance indicators (KPIs) and sustainable development performance targets (SPTs), CCB demonstrates to the society and investors its support for the green sector, its social responsibility to serve the development of the green economy, and its confidence in achieving sustainable development goals.</v>
      </c>
      <c r="B6104" s="1" t="str">
        <f ca="1">IFERROR(__xludf.DUMMYFUNCTION("GOOGLETRANSLATE(A6104, ""zh"", ""en"")"),"Green Finance")</f>
        <v>Green Finance</v>
      </c>
      <c r="C6104" s="1" t="str">
        <f ca="1">IFERROR(__xludf.DUMMYFUNCTION("GOOGLETRANSLATE(E6104, ""zh"", ""en"")"),"Quantitative Text")</f>
        <v>Quantitative Text</v>
      </c>
    </row>
    <row r="6105" spans="1:3" ht="13" x14ac:dyDescent="0.15">
      <c r="A6105" s="1" t="str">
        <f ca="1">IFERROR(__xludf.DUMMYFUNCTION("GOOGLETRANSLATE(A6105, ""zh"", ""en"")"),"The content of the Group's energy conservation and emission reduction targets and the status of achievement are as follows: Kangyuan's 2022-2025 energy conservation and emission reduction work targets and achievement status Project indicators 2022-2024 ta"&amp;"rgets 2022 completion status 2025 final target Water Water consumption per 10,000 yuan of output value decreased by 1% compared with the previous year Completed 5% decrease compared with 2020 Electricity Electricity consumption per 10,000 yuan of output v"&amp;"alue decreased by 1% compared with the previous year Completed 5% decrease compared with 2020 Chemical oxygen demand Emissions per 10,000 yuan of output value decreased by 1% compared with the previous year Completed 5% decrease compared with 2020 Sulfur "&amp;"dioxide Emissions per 10,000 yuan of output value decreased by 2% compared with the previous year Completed 10% decrease compared with 2020 Hazardous waste disposal volume per 10,000 yuan of output value decreased by 0.5% compared with the previous year C"&amp;"ompleted 2% decrease compared with 2020 In order to continuously improve the company's environmental management level and performance, the Group has set annual environmental compliance operation targets to urge each production subsidiary to comply with em"&amp;"issions regulations based on three dimensions: compliance with wastewater and waste gas emissions, occurrence of major environmental pollution accidents, and environmental protection penalties throughout the year.")</f>
        <v>The content of the Group's energy conservation and emission reduction targets and the status of achievement are as follows: Kangyuan's 2022-2025 energy conservation and emission reduction work targets and achievement status Project indicators 2022-2024 targets 2022 completion status 2025 final target Water Water consumption per 10,000 yuan of output value decreased by 1% compared with the previous year Completed 5% decrease compared with 2020 Electricity Electricity consumption per 10,000 yuan of output value decreased by 1% compared with the previous year Completed 5% decrease compared with 2020 Chemical oxygen demand Emissions per 10,000 yuan of output value decreased by 1% compared with the previous year Completed 5% decrease compared with 2020 Sulfur dioxide Emissions per 10,000 yuan of output value decreased by 2% compared with the previous year Completed 10% decrease compared with 2020 Hazardous waste disposal volume per 10,000 yuan of output value decreased by 0.5% compared with the previous year Completed 2% decrease compared with 2020 In order to continuously improve the company's environmental management level and performance, the Group has set annual environmental compliance operation targets to urge each production subsidiary to comply with emissions regulations based on three dimensions: compliance with wastewater and waste gas emissions, occurrence of major environmental pollution accidents, and environmental protection penalties throughout the year.</v>
      </c>
      <c r="B6105" s="1" t="str">
        <f ca="1">IFERROR(__xludf.DUMMYFUNCTION("GOOGLETRANSLATE(A6105, ""zh"", ""en"")"),"Energy and resource consumption")</f>
        <v>Energy and resource consumption</v>
      </c>
      <c r="C6105" s="1" t="str">
        <f ca="1">IFERROR(__xludf.DUMMYFUNCTION("GOOGLETRANSLATE(E6105, ""zh"", ""en"")"),"Quantitative Text")</f>
        <v>Quantitative Text</v>
      </c>
    </row>
    <row r="6106" spans="1:3" ht="13" x14ac:dyDescent="0.15">
      <c r="A6106" s="1" t="str">
        <f ca="1">IFERROR(__xludf.DUMMYFUNCTION("GOOGLETRANSLATE(A6106, ""zh"", ""en"")"),"2022CorporateSocialResponsibilityReport77 Case Study Wanbang Pharmaceutical Optimizes T24 Teaching Operation System In 2022, Wanbang Pharmaceutical launched the Wanbang Teaching Operation System Project to help new graduates. Based on the previous T24 tea"&amp;"ching experience and the Fosun training system, it is called T24 (hereinafter referred to as T24) in more diverse results. It has output a complete set of presentable and replicable operation dimensions to become able to quickly understand and adapt to Fo"&amp;"sun's culture and capability requirements. The system is based on project requirements, core capabilities, cultural values ​​and other dimensions. Fosun Rener, initiated by the Human Resources Department, has carried out the optimization of T24 and formed"&amp;" four closed-loop operations of the T24 teaching system, including a curriculum system line to help learning and sustainability lines, an offline design training mentor empowerment line, and each T24 results evaluation line. Through the platforms of each "&amp;"stage, the theme activities and training of T24 education and selection are established, and teaching mentors are equipped to help train and observe and output a machine-based online learning growth path map.")</f>
        <v>2022CorporateSocialResponsibilityReport77 Case Study Wanbang Pharmaceutical Optimizes T24 Teaching Operation System In 2022, Wanbang Pharmaceutical launched the Wanbang Teaching Operation System Project to help new graduates. Based on the previous T24 teaching experience and the Fosun training system, it is called T24 (hereinafter referred to as T24) in more diverse results. It has output a complete set of presentable and replicable operation dimensions to become able to quickly understand and adapt to Fosun's culture and capability requirements. The system is based on project requirements, core capabilities, cultural values ​​and other dimensions. Fosun Rener, initiated by the Human Resources Department, has carried out the optimization of T24 and formed four closed-loop operations of the T24 teaching system, including a curriculum system line to help learning and sustainability lines, an offline design training mentor empowerment line, and each T24 results evaluation line. Through the platforms of each stage, the theme activities and training of T24 education and selection are established, and teaching mentors are equipped to help train and observe and output a machine-based online learning growth path map.</v>
      </c>
      <c r="B6106" s="1" t="str">
        <f ca="1">IFERROR(__xludf.DUMMYFUNCTION("GOOGLETRANSLATE(A6106, ""zh"", ""en"")"),"staff")</f>
        <v>staff</v>
      </c>
      <c r="C6106" s="1" t="str">
        <f ca="1">IFERROR(__xludf.DUMMYFUNCTION("GOOGLETRANSLATE(E6106, ""zh"", ""en"")"),"Qualitative text")</f>
        <v>Qualitative text</v>
      </c>
    </row>
    <row r="6107" spans="1:3" ht="13" x14ac:dyDescent="0.15">
      <c r="A6107" s="1" t="str">
        <f ca="1">IFERROR(__xludf.DUMMYFUNCTION("GOOGLETRANSLATE(A6107, ""zh"", ""en"")"),"Finance Department General Office Sales Company Annual Performance Indicators Unit 2019 2020 2021 Operating income RMB 1302218.43891200.001341514.32 Operating cost RMB 1185503.33736353.73942390.37 Total employee wages RMB 147517.0967704.4474754.06 Total s"&amp;"ocial security RMB 11036.6014853.77 26951.36 Tax payment RMB17039.7834165.9074715.85 Financial subsidy RMB2640.699500.624339.80 Donation to Cippus RMB322.74416.59265.20 Tax exemption RMB2389.504446.43 Note: This table is the consolidated data of Shenma Co"&amp;"., Ltd. Among them, Nylon Chemical Company was acquired by the company in 2020, so the 2019 data does not include Nylon Chemical Company.")</f>
        <v>Finance Department General Office Sales Company Annual Performance Indicators Unit 2019 2020 2021 Operating income RMB 1302218.43891200.001341514.32 Operating cost RMB 1185503.33736353.73942390.37 Total employee wages RMB 147517.0967704.4474754.06 Total social security RMB 11036.6014853.77 26951.36 Tax payment RMB17039.7834165.9074715.85 Financial subsidy RMB2640.699500.624339.80 Donation to Cippus RMB322.74416.59265.20 Tax exemption RMB2389.504446.43 Note: This table is the consolidated data of Shenma Co., Ltd. Among them, Nylon Chemical Company was acquired by the company in 2020, so the 2019 data does not include Nylon Chemical Company.</v>
      </c>
      <c r="B6107" s="1" t="str">
        <f ca="1">IFERROR(__xludf.DUMMYFUNCTION("GOOGLETRANSLATE(A6107, ""zh"", ""en"")"),"Tax transparency")</f>
        <v>Tax transparency</v>
      </c>
      <c r="C6107" s="1" t="str">
        <f ca="1">IFERROR(__xludf.DUMMYFUNCTION("GOOGLETRANSLATE(E6107, ""zh"", ""en"")"),"Quantitative Text")</f>
        <v>Quantitative Text</v>
      </c>
    </row>
    <row r="6108" spans="1:3" ht="13" x14ac:dyDescent="0.15">
      <c r="A6108" s="1" t="str">
        <f ca="1">IFERROR(__xludf.DUMMYFUNCTION("GOOGLETRANSLATE(A6108, ""zh"", ""en"")"),"Board of Directors www..cn Explore the ESG Management Special Topic and see responsibility, safety first, people first, mutual benefit and win-win. GRI Content Index. At the same time, the company continues to build a diverse board of directors. As of the"&amp;" end of the year, the company's board of directors consisted of 1,000 independent directors, 1,000 female directors, and 1,000 employees. (Figure 3) Structure Chart of the Three Meetings: Supervisory Board, General Meeting of Shareholders, Board of Direct"&amp;"ors, Strategy Committee, Nomination and Remuneration Committee, Audit Committee. Quantitative Corporate Governance Information for 2018: Male Directors, Female Directors, Independent Directors, and Non-Independent Directors. Disclosure by gender and by ty"&amp;"pe. Comprehensive internal control management, deepening internal control audits, and promoting compliance. www..cn Explore the ESG Management Special Topic and see responsibility, safety first, people first, mutual benefit and win-win. GRI Content Index."&amp;" Strictly abide by the Shanghai Stock Exchange's Guidelines for Internal Control of Listed Companies, the Basic Standards for Enterprise Internal Control, and other systems and regulations, establish a well-defined internal audit system with strict organi"&amp;"zation and responsibilities, strengthen supervision and inspection of the company's internal control implementation, and formulate an internal audit system to conduct comprehensive internal audits across all departments and business lines.")</f>
        <v>Board of Directors www..cn Explore the ESG Management Special Topic and see responsibility, safety first, people first, mutual benefit and win-win. GRI Content Index. At the same time, the company continues to build a diverse board of directors. As of the end of the year, the company's board of directors consisted of 1,000 independent directors, 1,000 female directors, and 1,000 employees. (Figure 3) Structure Chart of the Three Meetings: Supervisory Board, General Meeting of Shareholders, Board of Directors, Strategy Committee, Nomination and Remuneration Committee, Audit Committee. Quantitative Corporate Governance Information for 2018: Male Directors, Female Directors, Independent Directors, and Non-Independent Directors. Disclosure by gender and by type. Comprehensive internal control management, deepening internal control audits, and promoting compliance. www..cn Explore the ESG Management Special Topic and see responsibility, safety first, people first, mutual benefit and win-win. GRI Content Index. Strictly abide by the Shanghai Stock Exchange's Guidelines for Internal Control of Listed Companies, the Basic Standards for Enterprise Internal Control, and other systems and regulations, establish a well-defined internal audit system with strict organization and responsibilities, strengthen supervision and inspection of the company's internal control implementation, and formulate an internal audit system to conduct comprehensive internal audits across all departments and business lines.</v>
      </c>
      <c r="B6108" s="1" t="str">
        <f ca="1">IFERROR(__xludf.DUMMYFUNCTION("GOOGLETRANSLATE(A6108, ""zh"", ""en"")"),"Organizational structure and operations")</f>
        <v>Organizational structure and operations</v>
      </c>
      <c r="C6108" s="1" t="str">
        <f ca="1">IFERROR(__xludf.DUMMYFUNCTION("GOOGLETRANSLATE(E6108, ""zh"", ""en"")"),"Qualitative text")</f>
        <v>Qualitative text</v>
      </c>
    </row>
    <row r="6109" spans="1:3" ht="13" x14ac:dyDescent="0.15">
      <c r="A6109" s="1" t="str">
        <f ca="1">IFERROR(__xludf.DUMMYFUNCTION("GOOGLETRANSLATE(A6109, ""zh"", ""en"")"),"Case Study: Shenghu Energy proactively protects ecosystems and biodiversity. Major Actions for Biodiversity Conservation: Sinopec Corporation. Sinopec Corporation 6566 Corporate Governance: Building a Strong Safety Line, Addressing Climate Change, Respect"&amp;"ing Human Rights, Cultivating Talents, Protecting the Environment, and Fulfilling Social Responsibilities. Building a Strong Safety Line. 04 Safety Management System: Production Safety, Contractor Safety, Occupational Health, Logistics Safety, Information"&amp;" Security, and Public Safety. 67697071747576 Sinopec Corporation. Sinopec Corporation 6768 Corporate Governance: Building a Strong Safety Line, Addressing Climate Change, Respecting Human Rights, Cultivating Talents, Protecting the Environment, and Fulfil"&amp;"ling Social Responsibilities. Safety Management System: HSE Management System. Identifying and Response to Safety Risks. Sinopec aims for zero harm, zero pollution, and zero accidents. It follows the basic principle of organizational leadership, full resp"&amp;"onsibility of all employees, and risk control to lay a solid foundation. It adheres to the philosophy of putting safety first, prioritizing environmental protection, and ensuring physical and mental health through rigorous, meticulous, and consistent prac"&amp;"tice. It formulates and implements management measures such as the Sinopec HSE Management System Manual.")</f>
        <v>Case Study: Shenghu Energy proactively protects ecosystems and biodiversity. Major Actions for Biodiversity Conservation: Sinopec Corporation. Sinopec Corporation 6566 Corporate Governance: Building a Strong Safety Line, Addressing Climate Change, Respecting Human Rights, Cultivating Talents, Protecting the Environment, and Fulfilling Social Responsibilities. Building a Strong Safety Line. 04 Safety Management System: Production Safety, Contractor Safety, Occupational Health, Logistics Safety, Information Security, and Public Safety. 67697071747576 Sinopec Corporation. Sinopec Corporation 6768 Corporate Governance: Building a Strong Safety Line, Addressing Climate Change, Respecting Human Rights, Cultivating Talents, Protecting the Environment, and Fulfilling Social Responsibilities. Safety Management System: HSE Management System. Identifying and Response to Safety Risks. Sinopec aims for zero harm, zero pollution, and zero accidents. It follows the basic principle of organizational leadership, full responsibility of all employees, and risk control to lay a solid foundation. It adheres to the philosophy of putting safety first, prioritizing environmental protection, and ensuring physical and mental health through rigorous, meticulous, and consistent practice. It formulates and implements management measures such as the Sinopec HSE Management System Manual.</v>
      </c>
      <c r="B6109" s="1" t="str">
        <f ca="1">IFERROR(__xludf.DUMMYFUNCTION("GOOGLETRANSLATE(A6109, ""zh"", ""en"")"),"biodiversity")</f>
        <v>biodiversity</v>
      </c>
      <c r="C6109" s="1" t="str">
        <f ca="1">IFERROR(__xludf.DUMMYFUNCTION("GOOGLETRANSLATE(E6109, ""zh"", ""en"")"),"Qualitative text")</f>
        <v>Qualitative text</v>
      </c>
    </row>
    <row r="6110" spans="1:3" ht="13" x14ac:dyDescent="0.15">
      <c r="A6110" s="1" t="str">
        <f ca="1">IFERROR(__xludf.DUMMYFUNCTION("GOOGLETRANSLATE(A6110, ""zh"", ""en"")"),"Summary of the Company's Profit Distribution Plans Over the Years 2018-2022 Unit RMB 10,000 Dividend Date Number of Bonus Shares Per 10 Shares Dividend Per 10 Shares RMB including tax Number of Converted Shares Per 10 Shares Amount of Cash Dividend includ"&amp;"ing tax Share Repurchases Included in Cash Dividends Total Cash Dividends June 2022 02.00 2750 6.63 62.85 2756 9.48 June 2021 03.00 423 78.75 55 10.19 478 88.94 2020 May 01.70 240 14.63 1013 6.43 3414 1.05 June 2019 01.70 240 14.62 May 2018 01.50 217 8 1."&amp;"54 IV. Economic Responsibilities 1. Adjust the organizational structure and optimize the management structure In 2022, the company adjusted its organizational structure based on actual conditions and future development needs. The purpose is to optimize th"&amp;"e management structure, improve efficiency, reduce costs, and enable the company to better adapt to market demand and future development.")</f>
        <v>Summary of the Company's Profit Distribution Plans Over the Years 2018-2022 Unit RMB 10,000 Dividend Date Number of Bonus Shares Per 10 Shares Dividend Per 10 Shares RMB including tax Number of Converted Shares Per 10 Shares Amount of Cash Dividend including tax Share Repurchases Included in Cash Dividends Total Cash Dividends June 2022 02.00 2750 6.63 62.85 2756 9.48 June 2021 03.00 423 78.75 55 10.19 478 88.94 2020 May 01.70 240 14.63 1013 6.43 3414 1.05 June 2019 01.70 240 14.62 May 2018 01.50 217 8 1.54 IV. Economic Responsibilities 1. Adjust the organizational structure and optimize the management structure In 2022, the company adjusted its organizational structure based on actual conditions and future development needs. The purpose is to optimize the management structure, improve efficiency, reduce costs, and enable the company to better adapt to market demand and future development.</v>
      </c>
      <c r="B6110" s="1" t="str">
        <f ca="1">IFERROR(__xludf.DUMMYFUNCTION("GOOGLETRANSLATE(A6110, ""zh"", ""en"")"),"Organizational structure and operations")</f>
        <v>Organizational structure and operations</v>
      </c>
      <c r="C6110" s="1" t="str">
        <f ca="1">IFERROR(__xludf.DUMMYFUNCTION("GOOGLETRANSLATE(E6110, ""zh"", ""en"")"),"Qualitative text")</f>
        <v>Qualitative text</v>
      </c>
    </row>
    <row r="6111" spans="1:3" ht="13" x14ac:dyDescent="0.15">
      <c r="A6111" s="1" t="str">
        <f ca="1">IFERROR(__xludf.DUMMYFUNCTION("GOOGLETRANSLATE(A6111, ""zh"", ""en"")"),"The Board's Related Party Transactions, Social Responsibility and Consumer Rights Protection Committee is responsible for formulating ESG management policies and strategies, overseeing and guiding the Bank's fulfillment of its social responsibilities, gre"&amp;"en finance, inclusive finance, rural revitalization finance, housing leasing, consumer rights protection, and related party transactions. The Board's Strategic Development Committee is responsible for assisting the Board in formulating ESG strategic goals"&amp;" and fully considering ESG-related factors in the formulation of various strategic goals. The Board's Risk Management Committee actively guides ESG-related risk management, supervises the implementation of relevant risk reporting mechanisms, guides climat"&amp;"e transition risk stress testing, strengthens risk prevention and control in key areas, and promotes the deep integration of ESG factors into the comprehensive risk management system. The Board's Nomination and Remuneration Committee continuously tracks e"&amp;"mployee growth and development, as well as remuneration and benefits, regularly receives reports, and guides related work. The Board's Audit Committee regularly receives audit reports, supervises and evaluates internal control, and urges audits to fully p"&amp;"lay the role of the third line of defense, promotes the rectification of ESG-related issues, and continuously improves the soundness and effectiveness of the internal control system.")</f>
        <v>The Board's Related Party Transactions, Social Responsibility and Consumer Rights Protection Committee is responsible for formulating ESG management policies and strategies, overseeing and guiding the Bank's fulfillment of its social responsibilities, green finance, inclusive finance, rural revitalization finance, housing leasing, consumer rights protection, and related party transactions. The Board's Strategic Development Committee is responsible for assisting the Board in formulating ESG strategic goals and fully considering ESG-related factors in the formulation of various strategic goals. The Board's Risk Management Committee actively guides ESG-related risk management, supervises the implementation of relevant risk reporting mechanisms, guides climate transition risk stress testing, strengthens risk prevention and control in key areas, and promotes the deep integration of ESG factors into the comprehensive risk management system. The Board's Nomination and Remuneration Committee continuously tracks employee growth and development, as well as remuneration and benefits, regularly receives reports, and guides related work. The Board's Audit Committee regularly receives audit reports, supervises and evaluates internal control, and urges audits to fully play the role of the third line of defense, promotes the rectification of ESG-related issues, and continuously improves the soundness and effectiveness of the internal control system.</v>
      </c>
      <c r="B6111" s="1" t="str">
        <f ca="1">IFERROR(__xludf.DUMMYFUNCTION("GOOGLETRANSLATE(A6111, ""zh"", ""en"")"),"Organizational structure and operations")</f>
        <v>Organizational structure and operations</v>
      </c>
      <c r="C6111" s="1" t="str">
        <f ca="1">IFERROR(__xludf.DUMMYFUNCTION("GOOGLETRANSLATE(E6111, ""zh"", ""en"")"),"Qualitative text")</f>
        <v>Qualitative text</v>
      </c>
    </row>
    <row r="6112" spans="1:3" ht="13" x14ac:dyDescent="0.15">
      <c r="A6112" s="1" t="str">
        <f ca="1">IFERROR(__xludf.DUMMYFUNCTION("GOOGLETRANSLATE(A6112, ""zh"", ""en"")"),"956100 Protect consumer data security and privacy. Except for the personal information necessary to better serve customers and enhance consumer experience, no other customer data will be collected. Data collection and data storage. The collected informati"&amp;"on is encrypted through technical means and transmitted to the core area of ​​the company's headquarters data center for database storage. The database uses security components to encrypt and store information. The internal management system allows operat"&amp;"ors with corresponding permissions to log in and authenticate before information query and management can be performed. Personal privacy information is partially blocked in the customer information query and display interface. Information management perso"&amp;"nnel security capacity building is carried out. The company's network security management measures are formulated and relevant personnel are trained. A network security management system is established with senior management in charge of special positions"&amp;" and personnel in charge of special teams for regular management. Layers of defense are set up to maximize customer information security. Social Contribution 103 The company attaches importance to protecting intellectual property rights. It monitors and c"&amp;"onducts risk assessments on core and key trademarks every month. Based on the results, trademark applications such as registration invalidation objections are filed with the national trademark management department.")</f>
        <v>956100 Protect consumer data security and privacy. Except for the personal information necessary to better serve customers and enhance consumer experience, no other customer data will be collected. Data collection and data storage. The collected information is encrypted through technical means and transmitted to the core area of ​​the company's headquarters data center for database storage. The database uses security components to encrypt and store information. The internal management system allows operators with corresponding permissions to log in and authenticate before information query and management can be performed. Personal privacy information is partially blocked in the customer information query and display interface. Information management personnel security capacity building is carried out. The company's network security management measures are formulated and relevant personnel are trained. A network security management system is established with senior management in charge of special positions and personnel in charge of special teams for regular management. Layers of defense are set up to maximize customer information security. Social Contribution 103 The company attaches importance to protecting intellectual property rights. It monitors and conducts risk assessments on core and key trademarks every month. Based on the results, trademark applications such as registration invalidation objections are filed with the national trademark management department.</v>
      </c>
      <c r="B6112" s="1" t="str">
        <f ca="1">IFERROR(__xludf.DUMMYFUNCTION("GOOGLETRANSLATE(A6112, ""zh"", ""en"")"),"Data security")</f>
        <v>Data security</v>
      </c>
      <c r="C6112" s="1" t="str">
        <f ca="1">IFERROR(__xludf.DUMMYFUNCTION("GOOGLETRANSLATE(E6112, ""zh"", ""en"")"),"Qualitative text")</f>
        <v>Qualitative text</v>
      </c>
    </row>
    <row r="6113" spans="1:3" ht="13" x14ac:dyDescent="0.15">
      <c r="A6113" s="1" t="str">
        <f ca="1">IFERROR(__xludf.DUMMYFUNCTION("GOOGLETRANSLATE(A6113, ""zh"", ""en"")"),"Major issues addressed: Community Investment; HKEX ESG Indicators addressed: B8 Community Investment; 2022 Target Achievement Status: 20 Hope Primary Schools nationwide; Actively involved in charitable activities at home and abroad; Donated materials and "&amp;"cash to local charitable organizations and charitable activities in countries including Poland, the UK, Italy, Indonesia, Serbia, Pakistan; Cumulative community investment in domestic and overseas operating areas exceeded RMB19 million in 2022; 13-year go"&amp;"al: Empowering educational development; Upgrading the Hope Project's aid model; 20 new Hope Primary Schools nationwide; Responding to the call for common prosperity and supporting rural revitalization; Cumulative community investment exceeded RMB19 millio"&amp;"n; Persisting in helping those in need and demonstrating responsibility; Our Goal: 06 Haier Smart Home Co., Ltd. Environmental, Social and Governance Report; Committed to education and health; For many years, Haier Smart Home has focused on the growth and"&amp;" development of children. Relying on the Qingdao Haier Education Foundation, it has actively participated in public welfare projects to improve basic education and health, helping young people and children of all ages receive a good education and grow up "&amp;"safely and healthily.")</f>
        <v>Major issues addressed: Community Investment; HKEX ESG Indicators addressed: B8 Community Investment; 2022 Target Achievement Status: 20 Hope Primary Schools nationwide; Actively involved in charitable activities at home and abroad; Donated materials and cash to local charitable organizations and charitable activities in countries including Poland, the UK, Italy, Indonesia, Serbia, Pakistan; Cumulative community investment in domestic and overseas operating areas exceeded RMB19 million in 2022; 13-year goal: Empowering educational development; Upgrading the Hope Project's aid model; 20 new Hope Primary Schools nationwide; Responding to the call for common prosperity and supporting rural revitalization; Cumulative community investment exceeded RMB19 million; Persisting in helping those in need and demonstrating responsibility; Our Goal: 06 Haier Smart Home Co., Ltd. Environmental, Social and Governance Report; Committed to education and health; For many years, Haier Smart Home has focused on the growth and development of children. Relying on the Qingdao Haier Education Foundation, it has actively participated in public welfare projects to improve basic education and health, helping young people and children of all ages receive a good education and grow up safely and healthily.</v>
      </c>
      <c r="B6113" s="1" t="str">
        <f ca="1">IFERROR(__xludf.DUMMYFUNCTION("GOOGLETRANSLATE(A6113, ""zh"", ""en"")"),"Public welfare and volunteer service")</f>
        <v>Public welfare and volunteer service</v>
      </c>
      <c r="C6113" s="1" t="str">
        <f ca="1">IFERROR(__xludf.DUMMYFUNCTION("GOOGLETRANSLATE(E6113, ""zh"", ""en"")"),"Quantitative Text")</f>
        <v>Quantitative Text</v>
      </c>
    </row>
    <row r="6114" spans="1:3" ht="13" x14ac:dyDescent="0.15">
      <c r="A6114" s="1" t="str">
        <f ca="1">IFERROR(__xludf.DUMMYFUNCTION("GOOGLETRANSLATE(A6114, ""zh"", ""en"")"),"The Group has deployed full-lifecycle pharmacovigilance, increasing participation in NDA work and improving safety management from new drug development to post-marketing. It has established a comprehensive pharmacovigilance system based on international s"&amp;"tandards for pharmacovigilance, ensuring scientific support is more deeply integrated into the entire lifecycle of drugs, from development to post-marketing. It has also implemented an advanced global pharmacovigilance system to manage pharmacovigilance, "&amp;"better ensuring patient-related data and improving efficiency and compliance.")</f>
        <v>The Group has deployed full-lifecycle pharmacovigilance, increasing participation in NDA work and improving safety management from new drug development to post-marketing. It has established a comprehensive pharmacovigilance system based on international standards for pharmacovigilance, ensuring scientific support is more deeply integrated into the entire lifecycle of drugs, from development to post-marketing. It has also implemented an advanced global pharmacovigilance system to manage pharmacovigilance, better ensuring patient-related data and improving efficiency and compliance.</v>
      </c>
      <c r="B6114" s="1" t="str">
        <f ca="1">IFERROR(__xludf.DUMMYFUNCTION("GOOGLETRANSLATE(A6114, ""zh"", ""en"")"),"Product quality")</f>
        <v>Product quality</v>
      </c>
      <c r="C6114" s="1" t="str">
        <f ca="1">IFERROR(__xludf.DUMMYFUNCTION("GOOGLETRANSLATE(E6114, ""zh"", ""en"")"),"Quantitative Text")</f>
        <v>Quantitative Text</v>
      </c>
    </row>
    <row r="6115" spans="1:3" ht="13" x14ac:dyDescent="0.15">
      <c r="A6115" s="1" t="str">
        <f ca="1">IFERROR(__xludf.DUMMYFUNCTION("GOOGLETRANSLATE(A6115, ""zh"", ""en"")"),"We conducted dual-carbon-related surveys on the top 80 suppliers by purchase amount, and more than 200 suppliers provided feedback. 197 suppliers 2019 2020 2021 2022 68812832212022 Supplier audit compliance rate Company background Labor and employment saf"&amp;"ety protection Occupational health Environmental protection Fire protection Freedom of association Summary 609591839285749469680203040506 Protecting the planet Explore a green and low-carbon future People-oriented integration Promote diversified and inclu"&amp;"sive development Responsible procurement Create a sustainable supply chain Smart experience Lead a better life Unite hearts and minds to promote equitable development 01 Global collaborative sustainable governance ecology Haier Smart Home Co., Ltd. Enviro"&amp;"nmental, Social and Governance Report Elimination level 313 Haier Smart Home establishes a modular quality interconnected visual platform to realize the Internet of Things of supplier production quality data Focus on supplier quality performance Establish"&amp;" a supplier evaluation system based on big data technology Connect data from more than 20 business systems for real-time evaluation to avoid human intervention")</f>
        <v>We conducted dual-carbon-related surveys on the top 80 suppliers by purchase amount, and more than 200 suppliers provided feedback. 197 suppliers 2019 2020 2021 2022 68812832212022 Supplier audit compliance rate Company background Labor and employment safety protection Occupational health Environmental protection Fire protection Freedom of association Summary 609591839285749469680203040506 Protecting the planet Explore a green and low-carbon future People-oriented integration Promote diversified and inclusive development Responsible procurement Create a sustainable supply chain Smart experience Lead a better life Unite hearts and minds to promote equitable development 01 Global collaborative sustainable governance ecology Haier Smart Home Co., Ltd. Environmental, Social and Governance Report Elimination level 313 Haier Smart Home establishes a modular quality interconnected visual platform to realize the Internet of Things of supplier production quality data Focus on supplier quality performance Establish a supplier evaluation system based on big data technology Connect data from more than 20 business systems for real-time evaluation to avoid human intervention</v>
      </c>
      <c r="B6115" s="1" t="str">
        <f ca="1">IFERROR(__xludf.DUMMYFUNCTION("GOOGLETRANSLATE(A6115, ""zh"", ""en"")"),"supply chain management")</f>
        <v>supply chain management</v>
      </c>
      <c r="C6115" s="1" t="str">
        <f ca="1">IFERROR(__xludf.DUMMYFUNCTION("GOOGLETRANSLATE(E6115, ""zh"", ""en"")"),"Quantitative Text")</f>
        <v>Quantitative Text</v>
      </c>
    </row>
    <row r="6116" spans="1:3" ht="13" x14ac:dyDescent="0.15">
      <c r="A6116" s="1" t="str">
        <f ca="1">IFERROR(__xludf.DUMMYFUNCTION("GOOGLETRANSLATE(A6116, ""zh"", ""en"")"),"The resource usage of the company's production and manufacturing process in 2022 is as follows: 1. 2022 data: Total comprehensive energy consumption 2 MWh 1509924.85 Direct energy consumption MWh 350041.58 Indirect energy consumption MWh 1159883.27 millio"&amp;"n yuan Output value Comprehensive energy consumption kWh 10,000 yuan 62.01 Total water consumption 3 tons 6658624.25 million yuan Output value Water consumption tons 10,000 yuan 0.27 Total packaging consumption tons 369748.89 million yuan Output value Pac"&amp;"kaging consumption tons 10,000 yuan 0.02 Haier Smart Home builds a smart building power system Wastewater management High-value utilization of resources Reuse of plastic solid waste in unsortable materials Wooden pallets Ton bags and other waste products "&amp;"Before, during and after waste discharge Waste gas management Separate production and domestic sewage Transform sewage discharge equipment Establish a standardized sewage outlet Sewage is collected and treated to meet standards and discharged in complianc"&amp;"e with regulations and monitored in real time through the automatic sewage online monitoring system Monitoring data is connected to Haier's smart energy system to achieve 24-hour real-time early warning")</f>
        <v>The resource usage of the company's production and manufacturing process in 2022 is as follows: 1. 2022 data: Total comprehensive energy consumption 2 MWh 1509924.85 Direct energy consumption MWh 350041.58 Indirect energy consumption MWh 1159883.27 million yuan Output value Comprehensive energy consumption kWh 10,000 yuan 62.01 Total water consumption 3 tons 6658624.25 million yuan Output value Water consumption tons 10,000 yuan 0.27 Total packaging consumption tons 369748.89 million yuan Output value Packaging consumption tons 10,000 yuan 0.02 Haier Smart Home builds a smart building power system Wastewater management High-value utilization of resources Reuse of plastic solid waste in unsortable materials Wooden pallets Ton bags and other waste products Before, during and after waste discharge Waste gas management Separate production and domestic sewage Transform sewage discharge equipment Establish a standardized sewage outlet Sewage is collected and treated to meet standards and discharged in compliance with regulations and monitored in real time through the automatic sewage online monitoring system Monitoring data is connected to Haier's smart energy system to achieve 24-hour real-time early warning</v>
      </c>
      <c r="B6116" s="1" t="str">
        <f ca="1">IFERROR(__xludf.DUMMYFUNCTION("GOOGLETRANSLATE(A6116, ""zh"", ""en"")"),"Waste Management")</f>
        <v>Waste Management</v>
      </c>
      <c r="C6116" s="1" t="str">
        <f ca="1">IFERROR(__xludf.DUMMYFUNCTION("GOOGLETRANSLATE(E6116, ""zh"", ""en"")"),"Quantitative Text")</f>
        <v>Quantitative Text</v>
      </c>
    </row>
    <row r="6117" spans="1:3" ht="13" x14ac:dyDescent="0.15">
      <c r="A6117" s="1" t="str">
        <f ca="1">IFERROR(__xludf.DUMMYFUNCTION("GOOGLETRANSLATE(A6117, ""zh"", ""en"")"),"Enjoy health data processing, standardized reporting, registration data entry, quality review, medical assessment, data collection, E28 data elements, collection integrity, prioritization, severity assessment, repeatability retrieval, event description, d"&amp;"amage writing accuracy, sulfonation correlation assessment, clinical trial report receipt, report confirmation, AEPQC awareness, frequency assessment, post-marketing spontaneous reporting, post-marketing proactive collection reporting, literature reportin"&amp;"g, individual cases, ethics committee quality control, benefit-risk assessment, good special adverse drug reaction report number and adverse drug reaction information, pharmaceutical member companies take the initiative, our group attaches great importanc"&amp;"e to the safety of patients' medication and device use, all adverse drug reaction information can be collected in a timely manner, 100 serious adverse drug reactions and device adverse events are strictly monitored and handled.")</f>
        <v>Enjoy health data processing, standardized reporting, registration data entry, quality review, medical assessment, data collection, E28 data elements, collection integrity, prioritization, severity assessment, repeatability retrieval, event description, damage writing accuracy, sulfonation correlation assessment, clinical trial report receipt, report confirmation, AEPQC awareness, frequency assessment, post-marketing spontaneous reporting, post-marketing proactive collection reporting, literature reporting, individual cases, ethics committee quality control, benefit-risk assessment, good special adverse drug reaction report number and adverse drug reaction information, pharmaceutical member companies take the initiative, our group attaches great importance to the safety of patients' medication and device use, all adverse drug reaction information can be collected in a timely manner, 100 serious adverse drug reactions and device adverse events are strictly monitored and handled.</v>
      </c>
      <c r="B6117" s="1" t="str">
        <f ca="1">IFERROR(__xludf.DUMMYFUNCTION("GOOGLETRANSLATE(A6117, ""zh"", ""en"")"),"Product quality")</f>
        <v>Product quality</v>
      </c>
      <c r="C6117" s="1" t="str">
        <f ca="1">IFERROR(__xludf.DUMMYFUNCTION("GOOGLETRANSLATE(E6117, ""zh"", ""en"")"),"Qualitative text")</f>
        <v>Qualitative text</v>
      </c>
    </row>
    <row r="6118" spans="1:3" ht="13" x14ac:dyDescent="0.15">
      <c r="A6118" s="1" t="str">
        <f ca="1">IFERROR(__xludf.DUMMYFUNCTION("GOOGLETRANSLATE(A6118, ""zh"", ""en"")"),"Company Email: 600061sdic.com.cn Your information: Name, Company, Phone, Email, Comments: Your overall evaluation of SDIC Capital's 2022 ESG Report: Very Good, Good, Average, Poor, Very Poor. Do you believe that the information disclosed in SDIC Capital's"&amp;" 2022 ESG Report is very rich, relatively rich, average, relatively few, and very few? Do you believe that the quality of information disclosed in SDIC Capital's 2022 ESG Report is very high, relatively high, average, low, and very low? Do you hope that S"&amp;"DIC Capital's 2022 ESG Report will have a richer presentation format, management ideas, explanations, charts, data, cases, and special images? What topics would you like to see added to SDIC Capital's 2022 ESG Report? Economic: Specifically, environmental"&amp;": Specifically, social: Specifically, governance: Specifically, other: Specifically, SDIC Capital's 2022 ESG Report 76. Address: SDIC Financial Building, Building 2, Fuchengmen North Street, Xicheng District, Beijing, Postal Code: 100034. Telephone: 01083"&amp;"325163. Website: http://www.sdiccapital.com. Company WeChat Account. Company Official Website.")</f>
        <v>Company Email: 600061sdic.com.cn Your information: Name, Company, Phone, Email, Comments: Your overall evaluation of SDIC Capital's 2022 ESG Report: Very Good, Good, Average, Poor, Very Poor. Do you believe that the information disclosed in SDIC Capital's 2022 ESG Report is very rich, relatively rich, average, relatively few, and very few? Do you believe that the quality of information disclosed in SDIC Capital's 2022 ESG Report is very high, relatively high, average, low, and very low? Do you hope that SDIC Capital's 2022 ESG Report will have a richer presentation format, management ideas, explanations, charts, data, cases, and special images? What topics would you like to see added to SDIC Capital's 2022 ESG Report? Economic: Specifically, environmental: Specifically, social: Specifically, governance: Specifically, other: Specifically, SDIC Capital's 2022 ESG Report 76. Address: SDIC Financial Building, Building 2, Fuchengmen North Street, Xicheng District, Beijing, Postal Code: 100034. Telephone: 01083325163. Website: http://www.sdiccapital.com. Company WeChat Account. Company Official Website.</v>
      </c>
      <c r="B6118" s="1" t="str">
        <f ca="1">IFERROR(__xludf.DUMMYFUNCTION("GOOGLETRANSLATE(A6118, ""zh"", ""en"")"),"irrelevant text")</f>
        <v>irrelevant text</v>
      </c>
      <c r="C6118" s="1" t="str">
        <f ca="1">IFERROR(__xludf.DUMMYFUNCTION("GOOGLETRANSLATE(E6118, ""zh"", ""en"")"),"irrelevant text")</f>
        <v>irrelevant text</v>
      </c>
    </row>
    <row r="6119" spans="1:3" ht="13" x14ac:dyDescent="0.15">
      <c r="A6119" s="1" t="str">
        <f ca="1">IFERROR(__xludf.DUMMYFUNCTION("GOOGLETRANSLATE(A6119, ""zh"", ""en"")"),"Full-time employees 100 China 99.7 Operation and management personnel 29.06 Master's degree and above 4.99 Male employees 75.46 Under 25 years old 1.99 36 45 years old 23.88 Part-time employees 0 Countries and regions other than China 0.3 Professional and"&amp;" technical personnel 15.41 Bachelor's degree 37.39 Operational skills personnel 55.53 Associate degree 22.31 Technical secondary school and below 35.31 Female employees 24.54 26 35 years old 10.32 46 55 years old 50.89 56 years old and above 12.92 Employe"&amp;"e employment type Employee composition Employee ratio in different countries and regions Employee position category ratio Employee education ratio Employee gender ratio Employee age ratio Employee rights and development 73 Occupational health The company "&amp;"conscientiously implements the Occupational Disease Prevention and Control Law, implements the Healthy China 2030 Plan, formulates guiding opinions on strengthening employee health management, standardizes occupational health management, highlights occupa"&amp;"tional disease hazard prevention and control, conscientiously implements occupational disease hazard prevention measures in areas such as anti-toxication, dust removal, and noise reduction, provides employees with a safe and healthy working environment, a"&amp;"nd ensures their physical and mental health.")</f>
        <v>Full-time employees 100 China 99.7 Operation and management personnel 29.06 Master's degree and above 4.99 Male employees 75.46 Under 25 years old 1.99 36 45 years old 23.88 Part-time employees 0 Countries and regions other than China 0.3 Professional and technical personnel 15.41 Bachelor's degree 37.39 Operational skills personnel 55.53 Associate degree 22.31 Technical secondary school and below 35.31 Female employees 24.54 26 35 years old 10.32 46 55 years old 50.89 56 years old and above 12.92 Employee employment type Employee composition Employee ratio in different countries and regions Employee position category ratio Employee education ratio Employee gender ratio Employee age ratio Employee rights and development 73 Occupational health The company conscientiously implements the Occupational Disease Prevention and Control Law, implements the Healthy China 2030 Plan, formulates guiding opinions on strengthening employee health management, standardizes occupational health management, highlights occupational disease hazard prevention and control, conscientiously implements occupational disease hazard prevention measures in areas such as anti-toxication, dust removal, and noise reduction, provides employees with a safe and healthy working environment, and ensures their physical and mental health.</v>
      </c>
      <c r="B6119" s="1" t="str">
        <f ca="1">IFERROR(__xludf.DUMMYFUNCTION("GOOGLETRANSLATE(A6119, ""zh"", ""en"")"),"staff")</f>
        <v>staff</v>
      </c>
      <c r="C6119" s="1" t="str">
        <f ca="1">IFERROR(__xludf.DUMMYFUNCTION("GOOGLETRANSLATE(E6119, ""zh"", ""en"")"),"Quantitative Text")</f>
        <v>Quantitative Text</v>
      </c>
    </row>
    <row r="6120" spans="1:3" ht="13" x14ac:dyDescent="0.15">
      <c r="A6120" s="1" t="str">
        <f ca="1">IFERROR(__xludf.DUMMYFUNCTION("GOOGLETRANSLATE(A6120, ""zh"", ""en"")"),"COSL 2022 ESG Report 16 Company Risk Management Organizational Chart Shareholders' Meeting Chairman CEO Guidance Communication Monitoring Response Identification Assessment Report Report Communication Technology and Information Department Administration D"&amp;"epartment Human Resources Department Marketing and International Business Department Group Company Disciplinary Inspection Group Party Building Department Finance and Funding Department Planning and Development Department Quality and Safety Department Leg"&amp;"al and Compliance Department Materials and Equipment Department Domestic Subordinate Units Overseas Institutions Base Operation Company Project Group Fleet Operation Unit Fleet Team Operation Unit Risk Management Committee Vice President and Safety Direct"&amp;"or CFO Vice President and General Counsel Audit Department Risk Management Office Board of Directors Board of Supervisors Remuneration Committee Nomination Committee Audit Committee Strategic Investment Decision-making Risk Management Policy Compliance Op"&amp;"eration Risk Management Production Operation Risk Management Risk Management Risk Management System Development The Company establishes a Rule of Law Construction and Internal Control Compliance and Risk Management Committee under which is the Rule of Law"&amp;" Construction and Compliance Management Office Risk Management Office Each directly affiliated institution establishes a corresponding risk management organization, establishing a comprehensive risk management framework with the Board of Directors at its "&amp;"core.")</f>
        <v>COSL 2022 ESG Report 16 Company Risk Management Organizational Chart Shareholders' Meeting Chairman CEO Guidance Communication Monitoring Response Identification Assessment Report Report Communication Technology and Information Department Administration Department Human Resources Department Marketing and International Business Department Group Company Disciplinary Inspection Group Party Building Department Finance and Funding Department Planning and Development Department Quality and Safety Department Legal and Compliance Department Materials and Equipment Department Domestic Subordinate Units Overseas Institutions Base Operation Company Project Group Fleet Operation Unit Fleet Team Operation Unit Risk Management Committee Vice President and Safety Director CFO Vice President and General Counsel Audit Department Risk Management Office Board of Directors Board of Supervisors Remuneration Committee Nomination Committee Audit Committee Strategic Investment Decision-making Risk Management Policy Compliance Operation Risk Management Production Operation Risk Management Risk Management Risk Management System Development The Company establishes a Rule of Law Construction and Internal Control Compliance and Risk Management Committee under which is the Rule of Law Construction and Compliance Management Office Risk Management Office Each directly affiliated institution establishes a corresponding risk management organization, establishing a comprehensive risk management framework with the Board of Directors at its core.</v>
      </c>
      <c r="B6120" s="1" t="str">
        <f ca="1">IFERROR(__xludf.DUMMYFUNCTION("GOOGLETRANSLATE(A6120, ""zh"", ""en"")"),"Organizational structure and operations")</f>
        <v>Organizational structure and operations</v>
      </c>
      <c r="C6120" s="1" t="str">
        <f ca="1">IFERROR(__xludf.DUMMYFUNCTION("GOOGLETRANSLATE(E6120, ""zh"", ""en"")"),"Qualitative text")</f>
        <v>Qualitative text</v>
      </c>
    </row>
    <row r="6121" spans="1:3" ht="13" x14ac:dyDescent="0.15">
      <c r="A6121" s="1" t="str">
        <f ca="1">IFERROR(__xludf.DUMMYFUNCTION("GOOGLETRANSLATE(A6121, ""zh"", ""en"")"),"Indicator Target 2022 Progress GHG emissions Strive to achieve near-zero emissions around 2050 GHG emissions in 2022 are less than or equal to 169 million tons of CO2 equivalent Total GHG emissions 160 million tons of CO2 equivalent GHG emission intensity"&amp;" GHG emission intensity has decreased Domestic unit oil and gas production GHG emissions 0.24 tons of CO2 equivalent Ton of oil equivalent decreased by 4% year-on-year Methane emission intensity Methane emission intensity 0.40 decreased by 11% year-on-yea"&amp;"r By 2025, methane emission intensity will decrease by 50% to 0.25% compared with 2019 By 2035, methane emission intensity will decrease by 20% to 0.20% compared with 2025 Climate Change and Energy Transition 43 Towards Carbon Neutrality Case Study We foc"&amp;"us on carbon emissions and carbon footprint in production and operations Continuously improve the carbon emission management system Implement the Guiding Opinions on Strengthening Greenhouse Gas Emission Control Measures Carbon Trading Management Measures"&amp;" Greenhouse Gas Emission Statistics and Assessment Management Measures Greenhouse Gas Voluntary Emission Reduction Project Management Measures Established the company's carbon emission system")</f>
        <v>Indicator Target 2022 Progress GHG emissions Strive to achieve near-zero emissions around 2050 GHG emissions in 2022 are less than or equal to 169 million tons of CO2 equivalent Total GHG emissions 160 million tons of CO2 equivalent GHG emission intensity GHG emission intensity has decreased Domestic unit oil and gas production GHG emissions 0.24 tons of CO2 equivalent Ton of oil equivalent decreased by 4% year-on-year Methane emission intensity Methane emission intensity 0.40 decreased by 11% year-on-year By 2025, methane emission intensity will decrease by 50% to 0.25% compared with 2019 By 2035, methane emission intensity will decrease by 20% to 0.20% compared with 2025 Climate Change and Energy Transition 43 Towards Carbon Neutrality Case Study We focus on carbon emissions and carbon footprint in production and operations Continuously improve the carbon emission management system Implement the Guiding Opinions on Strengthening Greenhouse Gas Emission Control Measures Carbon Trading Management Measures Greenhouse Gas Emission Statistics and Assessment Management Measures Greenhouse Gas Voluntary Emission Reduction Project Management Measures Established the company's carbon emission system</v>
      </c>
      <c r="B6121" s="1" t="str">
        <f ca="1">IFERROR(__xludf.DUMMYFUNCTION("GOOGLETRANSLATE(A6121, ""zh"", ""en"")"),"carbon emissions")</f>
        <v>carbon emissions</v>
      </c>
      <c r="C6121" s="1" t="str">
        <f ca="1">IFERROR(__xludf.DUMMYFUNCTION("GOOGLETRANSLATE(E6121, ""zh"", ""en"")"),"Quantitative Text")</f>
        <v>Quantitative Text</v>
      </c>
    </row>
    <row r="6122" spans="1:3" ht="13" x14ac:dyDescent="0.15">
      <c r="A6122" s="1" t="str">
        <f ca="1">IFERROR(__xludf.DUMMYFUNCTION("GOOGLETRANSLATE(A6122, ""zh"", ""en"")"),"Independent directors strictly perform their duties in accordance with relevant domestic and foreign laws and regulations and the company's articles of association, conscientiously and diligently review all proposals and related documents submitted by the"&amp;" company, actively participate in shareholders' meetings, board of directors meetings and special committee meetings, express opinions independently and objectively, safeguard the legitimate rights and interests of all shareholders, especially the majorit"&amp;"y of small and medium-sized shareholders, carefully review the company's periodic reports, urge the company to disclose information in accordance with relevant laws and regulations and the company's information disclosure management system, ensure the tru"&amp;"thfulness, accuracy and completeness of the company's information disclosure, actively understand the company's operating status, financial performance and progress of major projects through video conferencing and high-level correspondence, continuously p"&amp;"ay attention to relevant information feedback from regulatory agencies, investors, media and the public, and promote management to fully pay attention to and understand the demands of stakeholders, especially the company's related-party transaction quota,"&amp;" investment budget plan and other matters. Independent directors participate in corporate governance. In 2022, the company held 5 meetings of the Board of Supervisors to review the company's financial report, ESG report, profit distribution plan, presiden"&amp;"t's business performance assessment, election of the Chairman of the Board of Supervisors and other proposals, and formed 15 resolutions.")</f>
        <v>Independent directors strictly perform their duties in accordance with relevant domestic and foreign laws and regulations and the company's articles of association, conscientiously and diligently review all proposals and related documents submitted by the company, actively participate in shareholders' meetings, board of directors meetings and special committee meetings, express opinions independently and objectively, safeguard the legitimate rights and interests of all shareholders, especially the majority of small and medium-sized shareholders, carefully review the company's periodic reports, urge the company to disclose information in accordance with relevant laws and regulations and the company's information disclosure management system, ensure the truthfulness, accuracy and completeness of the company's information disclosure, actively understand the company's operating status, financial performance and progress of major projects through video conferencing and high-level correspondence, continuously pay attention to relevant information feedback from regulatory agencies, investors, media and the public, and promote management to fully pay attention to and understand the demands of stakeholders, especially the company's related-party transaction quota, investment budget plan and other matters. Independent directors participate in corporate governance. In 2022, the company held 5 meetings of the Board of Supervisors to review the company's financial report, ESG report, profit distribution plan, president's business performance assessment, election of the Chairman of the Board of Supervisors and other proposals, and formed 15 resolutions.</v>
      </c>
      <c r="B6122" s="1" t="str">
        <f ca="1">IFERROR(__xludf.DUMMYFUNCTION("GOOGLETRANSLATE(A6122, ""zh"", ""en"")"),"Shareholder and creditor rights")</f>
        <v>Shareholder and creditor rights</v>
      </c>
      <c r="C6122" s="1" t="str">
        <f ca="1">IFERROR(__xludf.DUMMYFUNCTION("GOOGLETRANSLATE(E6122, ""zh"", ""en"")"),"Quantitative Text")</f>
        <v>Quantitative Text</v>
      </c>
    </row>
    <row r="6123" spans="1:3" ht="13" x14ac:dyDescent="0.15">
      <c r="A6123" s="1" t="str">
        <f ca="1">IFERROR(__xludf.DUMMYFUNCTION("GOOGLETRANSLATE(A6123, ""zh"", ""en"")"),"Major issues addressed: Employee rights, diversity and equal opportunities; Talent attraction; Employee health and safety; Employee training and development; Labor standards; Hong Kong Stock Exchange ESG indicators addressed: B1 Employment; B2 Health and "&amp;"Safety; B3 Development and Training; 2022 target achievement: Achieve 100% training coverage for all domestic employees; Average training time per person: 70.5 hours; 13-year goal: Flexible and diversified incentive mechanisms empower employees to develop"&amp;" rapidly; Precise care enhances employees' sense of happiness and accomplishment at work; Strive to achieve a 100% employee complaint response rate and 100% employee satisfaction; Actively implement employee life and health welfare systems; Pay attention "&amp;"to listening to employees' opinions and suggestions; Respond to employees' needs; Strive to achieve zero safety accidents; Ensure employee health and safety; Achieve zero serious injuries or above in production safety; Response to SDG Sustainable Developm"&amp;"ent Goals; Our Goals: Haier Smart Home Co., Ltd. Environmental, Social and Governance Report; Diverse and Inclusive Team Building; The company is committed to creating an inclusive work environment, building a diverse and inclusive, excellent team, and lo"&amp;"oking forward to the outstanding innovation that may come from the collision and integration of diverse cultures.")</f>
        <v>Major issues addressed: Employee rights, diversity and equal opportunities; Talent attraction; Employee health and safety; Employee training and development; Labor standards; Hong Kong Stock Exchange ESG indicators addressed: B1 Employment; B2 Health and Safety; B3 Development and Training; 2022 target achievement: Achieve 100% training coverage for all domestic employees; Average training time per person: 70.5 hours; 13-year goal: Flexible and diversified incentive mechanisms empower employees to develop rapidly; Precise care enhances employees' sense of happiness and accomplishment at work; Strive to achieve a 100% employee complaint response rate and 100% employee satisfaction; Actively implement employee life and health welfare systems; Pay attention to listening to employees' opinions and suggestions; Respond to employees' needs; Strive to achieve zero safety accidents; Ensure employee health and safety; Achieve zero serious injuries or above in production safety; Response to SDG Sustainable Development Goals; Our Goals: Haier Smart Home Co., Ltd. Environmental, Social and Governance Report; Diverse and Inclusive Team Building; The company is committed to creating an inclusive work environment, building a diverse and inclusive, excellent team, and looking forward to the outstanding innovation that may come from the collision and integration of diverse cultures.</v>
      </c>
      <c r="B6123" s="1" t="str">
        <f ca="1">IFERROR(__xludf.DUMMYFUNCTION("GOOGLETRANSLATE(A6123, ""zh"", ""en"")"),"staff")</f>
        <v>staff</v>
      </c>
      <c r="C6123" s="1" t="str">
        <f ca="1">IFERROR(__xludf.DUMMYFUNCTION("GOOGLETRANSLATE(E6123, ""zh"", ""en"")"),"Quantitative Text")</f>
        <v>Quantitative Text</v>
      </c>
    </row>
    <row r="6124" spans="1:3" ht="13" x14ac:dyDescent="0.15">
      <c r="A6124" s="1" t="str">
        <f ca="1">IFERROR(__xludf.DUMMYFUNCTION("GOOGLETRANSLATE(A6124, ""zh"", ""en"")"),"Case Study: Assisting teachers with care and compassion, promoting education with precision. Carrying out caring classes at four CNOOC COSL Hope Primary Schools in Hainan Province, carrying out a warm and co-building future dream themed group day event. W"&amp;"e visited four CNOOC COSL Hope Primary Schools in Hainan Province for Children's Day and held a ""Song of the Sea, Let Hope Fly"" themed group day event. We delivered caring micro-wish items to the Hope Primary Schools and held caring cultural craft class"&amp;"es. We donated uniforms, stationery, and water bottles to the Hope Primary Schools in Dianping Village, Zhushan County, Hubei Province, and Xunkou Village, Mancheng District, Hebei Province. 2022 In April 2022, the Haiyang Shiyou 642 vessel successfully r"&amp;"escued the Dongsheng 7 vessel and towed it to the port smoothly. In September 2022, the Nanhai 217 vessel successfully rescued two people in distress from the Guibei Fishing 61199 vessel. In November 2022, the Binhai 267 vessel successfully completed the "&amp;"rescue mission of a small boat in distress near the Jinxian 11A platform. COSL 2022 ESG Report 56 Since the establishment of the Blue Power Volunteer Service Team in 2014, COSL has planned and carried out volunteer services for nine consecutive years, con"&amp;"tinuously expanding the scope of volunteer services and contributing to the construction of a harmonious society.")</f>
        <v>Case Study: Assisting teachers with care and compassion, promoting education with precision. Carrying out caring classes at four CNOOC COSL Hope Primary Schools in Hainan Province, carrying out a warm and co-building future dream themed group day event. We visited four CNOOC COSL Hope Primary Schools in Hainan Province for Children's Day and held a "Song of the Sea, Let Hope Fly" themed group day event. We delivered caring micro-wish items to the Hope Primary Schools and held caring cultural craft classes. We donated uniforms, stationery, and water bottles to the Hope Primary Schools in Dianping Village, Zhushan County, Hubei Province, and Xunkou Village, Mancheng District, Hebei Province. 2022 In April 2022, the Haiyang Shiyou 642 vessel successfully rescued the Dongsheng 7 vessel and towed it to the port smoothly. In September 2022, the Nanhai 217 vessel successfully rescued two people in distress from the Guibei Fishing 61199 vessel. In November 2022, the Binhai 267 vessel successfully completed the rescue mission of a small boat in distress near the Jinxian 11A platform. COSL 2022 ESG Report 56 Since the establishment of the Blue Power Volunteer Service Team in 2014, COSL has planned and carried out volunteer services for nine consecutive years, continuously expanding the scope of volunteer services and contributing to the construction of a harmonious society.</v>
      </c>
      <c r="B6124" s="1" t="str">
        <f ca="1">IFERROR(__xludf.DUMMYFUNCTION("GOOGLETRANSLATE(A6124, ""zh"", ""en"")"),"Public welfare and volunteer service")</f>
        <v>Public welfare and volunteer service</v>
      </c>
      <c r="C6124" s="1" t="str">
        <f ca="1">IFERROR(__xludf.DUMMYFUNCTION("GOOGLETRANSLATE(E6124, ""zh"", ""en"")"),"Qualitative text")</f>
        <v>Qualitative text</v>
      </c>
    </row>
    <row r="6125" spans="1:3" ht="13" x14ac:dyDescent="0.15">
      <c r="A6125" s="1" t="str">
        <f ca="1">IFERROR(__xludf.DUMMYFUNCTION("GOOGLETRANSLATE(A6125, ""zh"", ""en"")"),"Employee Rights and Interests: Total Customer Satisfaction in Warehousing Business is 99.99%; As of the end of 2022, the company has a total of 4,951 employees on the job, of which 1,566 are female employees, accounting for 31.63%; 3,385 are male employee"&amp;"s, accounting for 68.37%; The entire system has accumulated 127,293.24 hours of learning through the China Storage Network University; The average learning hour per person is 46.73 hours; Total Customer Satisfaction in Transportation Business is 99.96; 24"&amp;"4 people are dispatched for labor; 258 people are employed in other forms; Complaint handling satisfaction is 1,004,546; China Storage Development Co., Ltd. 2022 Social Responsibility and ESG Report: Under the leadership of the Group Party Committee, Chin"&amp;"a Storage Co., Ltd. takes Xi Jinping Thought on Socialism with Chinese Characteristics for a New Era as its guidance, fully implements the spirit of the 19th National Congress of the Communist Party of China and all previous plenary sessions, keeps its or"&amp;"iginal aspiration and mission in mind, and thoroughly organizes the study of General Secretary Xi Jinping's important instructions and important expositions on poverty alleviation, resolutely implements the Central Committee's ""Four Not Removed"" require"&amp;"ments and the spirit of the Group's poverty alleviation work conference, effectively fulfills the responsibilities of central enterprises, and successfully completes all targeted poverty alleviation work in 2022, with a total investment of RMB 754,000 in "&amp;"poverty alleviation.")</f>
        <v>Employee Rights and Interests: Total Customer Satisfaction in Warehousing Business is 99.99%; As of the end of 2022, the company has a total of 4,951 employees on the job, of which 1,566 are female employees, accounting for 31.63%; 3,385 are male employees, accounting for 68.37%; The entire system has accumulated 127,293.24 hours of learning through the China Storage Network University; The average learning hour per person is 46.73 hours; Total Customer Satisfaction in Transportation Business is 99.96; 244 people are dispatched for labor; 258 people are employed in other forms; Complaint handling satisfaction is 1,004,546; China Storage Development Co., Ltd. 2022 Social Responsibility and ESG Report: Under the leadership of the Group Party Committee, China Storage Co., Ltd. takes Xi Jinping Thought on Socialism with Chinese Characteristics for a New Era as its guidance, fully implements the spirit of the 19th National Congress of the Communist Party of China and all previous plenary sessions, keeps its original aspiration and mission in mind, and thoroughly organizes the study of General Secretary Xi Jinping's important instructions and important expositions on poverty alleviation, resolutely implements the Central Committee's "Four Not Removed" requirements and the spirit of the Group's poverty alleviation work conference, effectively fulfills the responsibilities of central enterprises, and successfully completes all targeted poverty alleviation work in 2022, with a total investment of RMB 754,000 in poverty alleviation.</v>
      </c>
      <c r="B6125" s="1" t="str">
        <f ca="1">IFERROR(__xludf.DUMMYFUNCTION("GOOGLETRANSLATE(A6125, ""zh"", ""en"")"),"staff")</f>
        <v>staff</v>
      </c>
      <c r="C6125" s="1" t="str">
        <f ca="1">IFERROR(__xludf.DUMMYFUNCTION("GOOGLETRANSLATE(E6125, ""zh"", ""en"")"),"Quantitative Text")</f>
        <v>Quantitative Text</v>
      </c>
    </row>
    <row r="6126" spans="1:3" ht="13" x14ac:dyDescent="0.15">
      <c r="A6126" s="1" t="str">
        <f ca="1">IFERROR(__xludf.DUMMYFUNCTION("GOOGLETRANSLATE(A6126, ""zh"", ""en"")"),"The Safe Eye Project Platform was launched. A safety performance evaluation system was established. Safety capability evaluations were conducted. Daily safety work evaluations were conducted. Comprehensive safety performance evaluations were conducted. Th"&amp;"ose who violated national safety production laws and regulations and contractual agreements were strictly held accountable. Suppliers and contractors who failed the safety performance evaluation were dismissed. According to the principle of ""whoever issu"&amp;"es the contract, supervises, employs, and is responsible"", the safety supervision responsibilities of suppliers and contractors were strictly implemented. Special inspections were conducted on the safety management of suppliers and contractors. A supplie"&amp;"r and contractor access safety qualification review system was implemented. Safety performance records were established. A list of qualified suppliers and contractors was regularly published. Unqualified suppliers and contractors were promptly dismissed. "&amp;"A certification system was implemented for supplier and contractor management personnel. System construction was provided. HSE system audits were conducted. Training in safety management and emergency response was enhanced. Strict screening was carried ou"&amp;"t. Evaluation and assessment were conducted on China Petroleum's supply chain safety management process. We always uphold the principle that employee lives are above all else. We adhere to the people-oriented security concept of prevention and comprehensi"&amp;"ve treatment to ensure safety. We comprehensively improve the level of safe enterprise construction and safeguard employee lives and the smooth operation of production and operations.")</f>
        <v>The Safe Eye Project Platform was launched. A safety performance evaluation system was established. Safety capability evaluations were conducted. Daily safety work evaluations were conducted. Comprehensive safety performance evaluations were conducted. Those who violated national safety production laws and regulations and contractual agreements were strictly held accountable. Suppliers and contractors who failed the safety performance evaluation were dismissed. According to the principle of "whoever issues the contract, supervises, employs, and is responsible", the safety supervision responsibilities of suppliers and contractors were strictly implemented. Special inspections were conducted on the safety management of suppliers and contractors. A supplier and contractor access safety qualification review system was implemented. Safety performance records were established. A list of qualified suppliers and contractors was regularly published. Unqualified suppliers and contractors were promptly dismissed. A certification system was implemented for supplier and contractor management personnel. System construction was provided. HSE system audits were conducted. Training in safety management and emergency response was enhanced. Strict screening was carried out. Evaluation and assessment were conducted on China Petroleum's supply chain safety management process. We always uphold the principle that employee lives are above all else. We adhere to the people-oriented security concept of prevention and comprehensive treatment to ensure safety. We comprehensively improve the level of safe enterprise construction and safeguard employee lives and the smooth operation of production and operations.</v>
      </c>
      <c r="B6126" s="1" t="str">
        <f ca="1">IFERROR(__xludf.DUMMYFUNCTION("GOOGLETRANSLATE(A6126, ""zh"", ""en"")"),"staff")</f>
        <v>staff</v>
      </c>
      <c r="C6126" s="1" t="str">
        <f ca="1">IFERROR(__xludf.DUMMYFUNCTION("GOOGLETRANSLATE(E6126, ""zh"", ""en"")"),"Qualitative text")</f>
        <v>Qualitative text</v>
      </c>
    </row>
    <row r="6127" spans="1:3" ht="13" x14ac:dyDescent="0.15">
      <c r="A6127" s="1" t="str">
        <f ca="1">IFERROR(__xludf.DUMMYFUNCTION("GOOGLETRANSLATE(A6127, ""zh"", ""en"")"),"Chairman and CEO Class, Partner Training, Company Executive Department New Student Series, Leadership Development Series, Professional Development Series, New Student Onboarding Star Youth Training Program, Advanced Six Sigma Training, New Executive Integ"&amp;"ration Program, TTT Internal Trainer Training Program, EHS Training Class, Fosun One Training Camp, R&amp;D Manager Training Camp, ACCA Finance Class, Business Expert Member, Corporate Culture Integration Master, High Potential Rotational Training, Production"&amp;" Quality Director Class, General Professional Skills Series for Business Personnel, Communication Courses, Basic Courses, Management Courses, Fosun Cultural Values ​​for New Employees, 74 Innovation for Gcod Health, Continuous Innovation and Enjoyment of "&amp;"Health, New Student Series, Leadership Development Series, Leadership Development Series for every new Fosun Pharma employee, On-the-job training for experienced and senior personnel, Executive Luncheon, Targeted Student Roundtable Forum for Senior Manage"&amp;"rs and Key Talents, and 3 Management and Leadership Development Programs after their on-the-job, Accelerate Leadership Development, Continuous Focus and Assistance During the Months, Ensure the Smooth Development of New Employees, and Reserve Excellent Ma"&amp;"nagement Talents for the Group.")</f>
        <v>Chairman and CEO Class, Partner Training, Company Executive Department New Student Series, Leadership Development Series, Professional Development Series, New Student Onboarding Star Youth Training Program, Advanced Six Sigma Training, New Executive Integration Program, TTT Internal Trainer Training Program, EHS Training Class, Fosun One Training Camp, R&amp;D Manager Training Camp, ACCA Finance Class, Business Expert Member, Corporate Culture Integration Master, High Potential Rotational Training, Production Quality Director Class, General Professional Skills Series for Business Personnel, Communication Courses, Basic Courses, Management Courses, Fosun Cultural Values ​​for New Employees, 74 Innovation for Gcod Health, Continuous Innovation and Enjoyment of Health, New Student Series, Leadership Development Series, Leadership Development Series for every new Fosun Pharma employee, On-the-job training for experienced and senior personnel, Executive Luncheon, Targeted Student Roundtable Forum for Senior Managers and Key Talents, and 3 Management and Leadership Development Programs after their on-the-job, Accelerate Leadership Development, Continuous Focus and Assistance During the Months, Ensure the Smooth Development of New Employees, and Reserve Excellent Management Talents for the Group.</v>
      </c>
      <c r="B6127" s="1" t="str">
        <f ca="1">IFERROR(__xludf.DUMMYFUNCTION("GOOGLETRANSLATE(A6127, ""zh"", ""en"")"),"staff")</f>
        <v>staff</v>
      </c>
      <c r="C6127" s="1" t="str">
        <f ca="1">IFERROR(__xludf.DUMMYFUNCTION("GOOGLETRANSLATE(E6127, ""zh"", ""en"")"),"Qualitative text")</f>
        <v>Qualitative text</v>
      </c>
    </row>
    <row r="6128" spans="1:3" ht="13" x14ac:dyDescent="0.15">
      <c r="A6128" s="1" t="str">
        <f ca="1">IFERROR(__xludf.DUMMYFUNCTION("GOOGLETRANSLATE(A6128, ""zh"", ""en"")"),"Completed the 2022 Business English training course for new expatriates, with 27 newly assigned leading cadres participating in the training. Completed the 2022 special training course on improving the performance of Party branch secretaries, with 29 gras"&amp;"sroots Party organization leaders participating in the training. Completed the 2022 special training course on the deep integration of Party building and production and operation, with 31 Party secretaries and full-time deputy secretaries of second-level "&amp;"Party organizations participating in the training. Completed the 2022 COSL short-term training course on improving COSL's ability to implement the ""Two Consistent Principles."" 35 newly appointed Party committee-directed cadres participated in the traini"&amp;"ng. Held the 10th Strategic Reserve Talent Training Course, with 78 outstanding young backbones participating in the training. Launched the 2022 COSL Empowerment Academy, with a total of 3 sessions and 356 participants in special lectures. Completed the 2"&amp;"022 company's new employee induction training, with 398 new employees participating in the training. Completed the 2022 company's internal part-time lecturer TTT training, with a total of 3 sessions and 81 internal part-time lecturers completing the train"&amp;"ing and obtaining internal certification. Held 7 international well control training sessions, with 58 people obtaining certification. Held 5 assessor and verifier training courses, training 35 assessors and 35 verifiers.")</f>
        <v>Completed the 2022 Business English training course for new expatriates, with 27 newly assigned leading cadres participating in the training. Completed the 2022 special training course on improving the performance of Party branch secretaries, with 29 grassroots Party organization leaders participating in the training. Completed the 2022 special training course on the deep integration of Party building and production and operation, with 31 Party secretaries and full-time deputy secretaries of second-level Party organizations participating in the training. Completed the 2022 COSL short-term training course on improving COSL's ability to implement the "Two Consistent Principles." 35 newly appointed Party committee-directed cadres participated in the training. Held the 10th Strategic Reserve Talent Training Course, with 78 outstanding young backbones participating in the training. Launched the 2022 COSL Empowerment Academy, with a total of 3 sessions and 356 participants in special lectures. Completed the 2022 company's new employee induction training, with 398 new employees participating in the training. Completed the 2022 company's internal part-time lecturer TTT training, with a total of 3 sessions and 81 internal part-time lecturers completing the training and obtaining internal certification. Held 7 international well control training sessions, with 58 people obtaining certification. Held 5 assessor and verifier training courses, training 35 assessors and 35 verifiers.</v>
      </c>
      <c r="B6128" s="1" t="str">
        <f ca="1">IFERROR(__xludf.DUMMYFUNCTION("GOOGLETRANSLATE(A6128, ""zh"", ""en"")"),"staff")</f>
        <v>staff</v>
      </c>
      <c r="C6128" s="1" t="str">
        <f ca="1">IFERROR(__xludf.DUMMYFUNCTION("GOOGLETRANSLATE(E6128, ""zh"", ""en"")"),"Quantitative Text")</f>
        <v>Quantitative Text</v>
      </c>
    </row>
    <row r="6129" spans="1:3" ht="13" x14ac:dyDescent="0.15">
      <c r="A6129" s="1" t="str">
        <f ca="1">IFERROR(__xludf.DUMMYFUNCTION("GOOGLETRANSLATE(A6129, ""zh"", ""en"")"),"Indicator Unit 2022 2021 2020 Electricity 10,000 kWh 2969.31 2547.00 2332.15 Diesel tons 356752.11 352221.5 2319857.91 Natural gas cubic meters 338012.00 289100.00 358020.00 Fuel oil tons 000 Gasoline tons 207.07 289.10 222.14 Engine oil tons 38.92 46.66 "&amp;"45.26 Water consumption tons 1151 844.381 081583.181004742.41 Energy and Water Consumption Statistics 202022 COSL 2022 ESG Report 36 Exhaust Gas Management Wastewater Management Waste Management The Company strictly implements the relevant national and ho"&amp;"st country atmospheric laws, regulations and normative documents. All vessels and platforms have obtained air pollution prevention certificates issued by China Classification Society (CCS). During daily operations, qualified low-sulfur green fuel is insta"&amp;"lled and used in accordance with the requirements of the host country to reduce the emission of nitrogen oxides, sulfur oxides and other substances in the exhaust gas.")</f>
        <v>Indicator Unit 2022 2021 2020 Electricity 10,000 kWh 2969.31 2547.00 2332.15 Diesel tons 356752.11 352221.5 2319857.91 Natural gas cubic meters 338012.00 289100.00 358020.00 Fuel oil tons 000 Gasoline tons 207.07 289.10 222.14 Engine oil tons 38.92 46.66 45.26 Water consumption tons 1151 844.381 081583.181004742.41 Energy and Water Consumption Statistics 202022 COSL 2022 ESG Report 36 Exhaust Gas Management Wastewater Management Waste Management The Company strictly implements the relevant national and host country atmospheric laws, regulations and normative documents. All vessels and platforms have obtained air pollution prevention certificates issued by China Classification Society (CCS). During daily operations, qualified low-sulfur green fuel is installed and used in accordance with the requirements of the host country to reduce the emission of nitrogen oxides, sulfur oxides and other substances in the exhaust gas.</v>
      </c>
      <c r="B6129" s="1" t="str">
        <f ca="1">IFERROR(__xludf.DUMMYFUNCTION("GOOGLETRANSLATE(A6129, ""zh"", ""en"")"),"Waste Management")</f>
        <v>Waste Management</v>
      </c>
      <c r="C6129" s="1" t="str">
        <f ca="1">IFERROR(__xludf.DUMMYFUNCTION("GOOGLETRANSLATE(E6129, ""zh"", ""en"")"),"Quantitative Text")</f>
        <v>Quantitative Text</v>
      </c>
    </row>
    <row r="6130" spans="1:3" ht="13" x14ac:dyDescent="0.15">
      <c r="A6130" s="1" t="str">
        <f ca="1">IFERROR(__xludf.DUMMYFUNCTION("GOOGLETRANSLATE(A6130, ""zh"", ""en"")"),"Indicator unit 2022 2021 2020 Full-staff physical examination and health record coverage rate 99.68 99.63 99.6 Number of occupational health examinations 3754 3880 3673 Completion rate of occupational health examinations 100 100 100 Indicator unit 2022 20"&amp;"21 2020 Pre-employment occupational health examinations Personnel Personnel 237 257 226 Pre-employment occupational health examinations Completion rate of occupational health examinations 100 100 100 On-the-job occupational health examinations Personnel P"&amp;"ersonnel 326 9 337 7328 6 Completion rate of on-the-job occupational health examinations 100 100 100 Number of off-the-job occupational health examinations 248 252 164 Completion rate of off-the-job occupational health examinations 100 100 100 Statistics "&amp;"on health examinations of Chinese employees 2020 2022 Completion status of occupational health examinations for employees exposed to occupational disease hazards 2020 2022 Note: The number of occupational health examinations refers to the number of examin"&amp;"ations for employees exposed to occupational disease hazards. In 2022, the company will no longer count the occupational health examinations of contract workers, and the dispatching unit will be responsible for the statistics instead.")</f>
        <v>Indicator unit 2022 2021 2020 Full-staff physical examination and health record coverage rate 99.68 99.63 99.6 Number of occupational health examinations 3754 3880 3673 Completion rate of occupational health examinations 100 100 100 Indicator unit 2022 2021 2020 Pre-employment occupational health examinations Personnel Personnel 237 257 226 Pre-employment occupational health examinations Completion rate of occupational health examinations 100 100 100 On-the-job occupational health examinations Personnel Personnel 326 9 337 7328 6 Completion rate of on-the-job occupational health examinations 100 100 100 Number of off-the-job occupational health examinations 248 252 164 Completion rate of off-the-job occupational health examinations 100 100 100 Statistics on health examinations of Chinese employees 2020 2022 Completion status of occupational health examinations for employees exposed to occupational disease hazards 2020 2022 Note: The number of occupational health examinations refers to the number of examinations for employees exposed to occupational disease hazards. In 2022, the company will no longer count the occupational health examinations of contract workers, and the dispatching unit will be responsible for the statistics instead.</v>
      </c>
      <c r="B6130" s="1" t="str">
        <f ca="1">IFERROR(__xludf.DUMMYFUNCTION("GOOGLETRANSLATE(A6130, ""zh"", ""en"")"),"staff")</f>
        <v>staff</v>
      </c>
      <c r="C6130" s="1" t="str">
        <f ca="1">IFERROR(__xludf.DUMMYFUNCTION("GOOGLETRANSLATE(E6130, ""zh"", ""en"")"),"Quantitative Text")</f>
        <v>Quantitative Text</v>
      </c>
    </row>
    <row r="6131" spans="1:3" ht="13" x14ac:dyDescent="0.15">
      <c r="A6131" s="1" t="str">
        <f ca="1">IFERROR(__xludf.DUMMYFUNCTION("GOOGLETRANSLATE(A6131, ""zh"", ""en"")"),"0644 CITIC Securities 2022 Annual Social Responsibility Report Investor Equity Corporate Supervision Risk Management Committee Independent Control and Support Department Third Line of Defense Second Line of Defense First Line of Defense Product Committee "&amp;"Business Department Business Line Subsidiary Supervisory Board Asset-Liability Management Committee Capital Commitment Committee Management Supervision General Meeting of Shareholders Board of Directors Risk Management Committee Audit Department Complianc"&amp;"e Department Risk Management Department Legal Department Board Office Information Technology Center Strategic Planning Department Liquidation Department Planning and Finance Department Human Resources Department General Manager's Office Treasury Departmen"&amp;"t Administrative Person in Charge Subsidiary Person in Charge Internal Control Responsible Person Internal Control Management Person All Business Personnel In 2022, the Company formulated and revised a number of risk management systems, further improved t"&amp;"he level of management standardization, and continued to strengthen the guiding role of risk appetite on the business. The overall and various risk appetite indicators of the Company performed well, and no situations occurred that exceeded the Company's t"&amp;"olerance and major risk limits. Priority was given to improving the concentration risk management system and risk early warning management mechanism. System construction and event tracking of country risk management were implemented, and the Company's ris"&amp;"k prevention and response capabilities were continuously strengthened.")</f>
        <v>0644 CITIC Securities 2022 Annual Social Responsibility Report Investor Equity Corporate Supervision Risk Management Committee Independent Control and Support Department Third Line of Defense Second Line of Defense First Line of Defense Product Committee Business Department Business Line Subsidiary Supervisory Board Asset-Liability Management Committee Capital Commitment Committee Management Supervision General Meeting of Shareholders Board of Directors Risk Management Committee Audit Department Compliance Department Risk Management Department Legal Department Board Office Information Technology Center Strategic Planning Department Liquidation Department Planning and Finance Department Human Resources Department General Manager's Office Treasury Department Administrative Person in Charge Subsidiary Person in Charge Internal Control Responsible Person Internal Control Management Person All Business Personnel In 2022, the Company formulated and revised a number of risk management systems, further improved the level of management standardization, and continued to strengthen the guiding role of risk appetite on the business. The overall and various risk appetite indicators of the Company performed well, and no situations occurred that exceeded the Company's tolerance and major risk limits. Priority was given to improving the concentration risk management system and risk early warning management mechanism. System construction and event tracking of country risk management were implemented, and the Company's risk prevention and response capabilities were continuously strengthened.</v>
      </c>
      <c r="B6131" s="1" t="str">
        <f ca="1">IFERROR(__xludf.DUMMYFUNCTION("GOOGLETRANSLATE(A6131, ""zh"", ""en"")"),"Organizational structure and operations")</f>
        <v>Organizational structure and operations</v>
      </c>
      <c r="C6131" s="1" t="str">
        <f ca="1">IFERROR(__xludf.DUMMYFUNCTION("GOOGLETRANSLATE(E6131, ""zh"", ""en"")"),"Quantitative Text")</f>
        <v>Quantitative Text</v>
      </c>
    </row>
    <row r="6132" spans="1:3" ht="13" x14ac:dyDescent="0.15">
      <c r="A6132" s="1" t="str">
        <f ca="1">IFERROR(__xludf.DUMMYFUNCTION("GOOGLETRANSLATE(A6132, ""zh"", ""en"")"),"During the reporting period, the company held 3 general meetings of shareholders, 8 meetings of the board of directors, and 6 meetings of the board of supervisors. The topics included periodic reports, plans for non-public offerings, employee stock owners"&amp;"hip plans, and changes in the board of directors and supervisors. The company's directors have diverse backgrounds and include experts in technology, accounting, and management. They have mastered the following professional skills: mining technology, busi"&amp;"ness operations, accounting, finance, and taxation. Risk control. There are directors who have led large-scale mining project operations or technical mining. They have extensive experience in mining projects. They master a variety of mining technologies a"&amp;"nd are familiar with the various businesses carried out by the company. They have extensive experience in formulating and implementing corporate strategies. They understand the development of the industry and existing sustainable development policies. The"&amp;"y have extensive relevant experience in accounting and finance. They have the ability to analyze and evaluate key financial data, can effectively control internal financial and accounting risks, and have the ability to scientifically assess and control ri"&amp;"sks. They can help companies better avoid risks, reduce resource waste, and improve efficiency. Visit Tibet Mount Everest Corporate Governance Environment Industry Co-building Employee Community 13 Risk Management In order to improve Tibet Mount Everest's"&amp;" risk prevention capabilities and operational efficiency, the company has established an internal control management center")</f>
        <v>During the reporting period, the company held 3 general meetings of shareholders, 8 meetings of the board of directors, and 6 meetings of the board of supervisors. The topics included periodic reports, plans for non-public offerings, employee stock ownership plans, and changes in the board of directors and supervisors. The company's directors have diverse backgrounds and include experts in technology, accounting, and management. They have mastered the following professional skills: mining technology, business operations, accounting, finance, and taxation. Risk control. There are directors who have led large-scale mining project operations or technical mining. They have extensive experience in mining projects. They master a variety of mining technologies and are familiar with the various businesses carried out by the company. They have extensive experience in formulating and implementing corporate strategies. They understand the development of the industry and existing sustainable development policies. They have extensive relevant experience in accounting and finance. They have the ability to analyze and evaluate key financial data, can effectively control internal financial and accounting risks, and have the ability to scientifically assess and control risks. They can help companies better avoid risks, reduce resource waste, and improve efficiency. Visit Tibet Mount Everest Corporate Governance Environment Industry Co-building Employee Community 13 Risk Management In order to improve Tibet Mount Everest's risk prevention capabilities and operational efficiency, the company has established an internal control management center</v>
      </c>
      <c r="B6132" s="1" t="str">
        <f ca="1">IFERROR(__xludf.DUMMYFUNCTION("GOOGLETRANSLATE(A6132, ""zh"", ""en"")"),"Organizational structure and operations")</f>
        <v>Organizational structure and operations</v>
      </c>
      <c r="C6132" s="1" t="str">
        <f ca="1">IFERROR(__xludf.DUMMYFUNCTION("GOOGLETRANSLATE(E6132, ""zh"", ""en"")"),"Qualitative text")</f>
        <v>Qualitative text</v>
      </c>
    </row>
    <row r="6133" spans="1:3" ht="13" x14ac:dyDescent="0.15">
      <c r="A6133" s="1" t="str">
        <f ca="1">IFERROR(__xludf.DUMMYFUNCTION("GOOGLETRANSLATE(A6133, ""zh"", ""en"")"),"This year, the Group invested approximately RMB41.4268 million in occupational health and safety. The expenditures are categorized as follows: Occupational health and safety expenses: Production safety expenditures: RMB41.4268 million, of which RMB1.1316 "&amp;"million was spent on safety training and education; RMB991,500 was spent on safety emergency drills. Various EHS system documents and records were reviewed and supervised. Each EHS module implemented plans according to its targets. Documents were reviewed"&amp;". Hazard inspections were conducted at production sites. On-site safety control measures were effective. Personnel safety protection equipment was in place to reduce the possibility of accidents. On-site audits were conducted. Professional EHS recommendat"&amp;"ions were made for new, modified, and expanded projects. Safety management capabilities for the entire project process were enhanced. Internal EHS audits were conducted for new, modified, and expanded projects. 62 Kangyuan Pharmaceutical Group Co., Ltd. 7"&amp;".3.1 Occupational Health Kangyuan strictly implements and continuously improves occupational health management systems and operating procedures. Workplace occupational hazard monitoring and evaluation system, hazard source identification and evaluation ma"&amp;"nagement procedures, and other management systems identify, analyze, and control occupational hazards that may arise or exist during the work process.")</f>
        <v>This year, the Group invested approximately RMB41.4268 million in occupational health and safety. The expenditures are categorized as follows: Occupational health and safety expenses: Production safety expenditures: RMB41.4268 million, of which RMB1.1316 million was spent on safety training and education; RMB991,500 was spent on safety emergency drills. Various EHS system documents and records were reviewed and supervised. Each EHS module implemented plans according to its targets. Documents were reviewed. Hazard inspections were conducted at production sites. On-site safety control measures were effective. Personnel safety protection equipment was in place to reduce the possibility of accidents. On-site audits were conducted. Professional EHS recommendations were made for new, modified, and expanded projects. Safety management capabilities for the entire project process were enhanced. Internal EHS audits were conducted for new, modified, and expanded projects. 62 Kangyuan Pharmaceutical Group Co., Ltd. 7.3.1 Occupational Health Kangyuan strictly implements and continuously improves occupational health management systems and operating procedures. Workplace occupational hazard monitoring and evaluation system, hazard source identification and evaluation management procedures, and other management systems identify, analyze, and control occupational hazards that may arise or exist during the work process.</v>
      </c>
      <c r="B6133" s="1" t="str">
        <f ca="1">IFERROR(__xludf.DUMMYFUNCTION("GOOGLETRANSLATE(A6133, ""zh"", ""en"")"),"staff")</f>
        <v>staff</v>
      </c>
      <c r="C6133" s="1" t="str">
        <f ca="1">IFERROR(__xludf.DUMMYFUNCTION("GOOGLETRANSLATE(E6133, ""zh"", ""en"")"),"Quantitative Text")</f>
        <v>Quantitative Text</v>
      </c>
    </row>
    <row r="6134" spans="1:3" ht="13" x14ac:dyDescent="0.15">
      <c r="A6134" s="1" t="str">
        <f ca="1">IFERROR(__xludf.DUMMYFUNCTION("GOOGLETRANSLATE(A6134, ""zh"", ""en"")"),"Region Number of employees in 2020 Number of employees in 2021 Number of employees in 2022 Total number of men and women East China Shandong Jiangsu Anhui Xinjiang Fujian Shanghai 10637124211279657397057 South China Guangdong Guangxi Hainan 55705746669234"&amp;"54604 Central China Hubei Hunan Henan Jiangxi 47184891510029782122 North China Beijing Tianjin Hebei Shanxi Inner Mongolia 124918301786904882 Northwest Ningxia Xinjiang Qinghai Shaanxi Gansu 2122712 69152117 Southwest Sichuan Yunnan Guizhou Xisuan Chongqi"&amp;"ng 25402848290413841520 Northeast Liaoning Jilin Heilongjiang 20792050215011291021 Hong Kong, Macau and Taiwan 01819811 Overseas 525362046426514112852022 CorporateSocialResponsibilityReport73 Employee Learning and Development Talent is the core competitiv"&amp;"eness of the enterprise Fosun Pharma Working Environment")</f>
        <v>Region Number of employees in 2020 Number of employees in 2021 Number of employees in 2022 Total number of men and women East China Shandong Jiangsu Anhui Xinjiang Fujian Shanghai 10637124211279657397057 South China Guangdong Guangxi Hainan 5570574666923454604 Central China Hubei Hunan Henan Jiangxi 47184891510029782122 North China Beijing Tianjin Hebei Shanxi Inner Mongolia 124918301786904882 Northwest Ningxia Xinjiang Qinghai Shaanxi Gansu 2122712 69152117 Southwest Sichuan Yunnan Guizhou Xisuan Chongqing 25402848290413841520 Northeast Liaoning Jilin Heilongjiang 20792050215011291021 Hong Kong, Macau and Taiwan 01819811 Overseas 525362046426514112852022 CorporateSocialResponsibilityReport73 Employee Learning and Development Talent is the core competitiveness of the enterprise Fosun Pharma Working Environment</v>
      </c>
      <c r="B6134" s="1" t="str">
        <f ca="1">IFERROR(__xludf.DUMMYFUNCTION("GOOGLETRANSLATE(A6134, ""zh"", ""en"")"),"staff")</f>
        <v>staff</v>
      </c>
      <c r="C6134" s="1" t="str">
        <f ca="1">IFERROR(__xludf.DUMMYFUNCTION("GOOGLETRANSLATE(E6134, ""zh"", ""en"")"),"Quantitative Text")</f>
        <v>Quantitative Text</v>
      </c>
    </row>
    <row r="6135" spans="1:3" ht="13" x14ac:dyDescent="0.15">
      <c r="A6135" s="1" t="str">
        <f ca="1">IFERROR(__xludf.DUMMYFUNCTION("GOOGLETRANSLATE(A6135, ""zh"", ""en"")"),"Responsibilities: Establish and improve the Group's various EHS responsibility systems and have a veto power over EHS. The Enterprise EHS Special Committee covers the top management, mid-level executive team, and EHS functional departments. It formulates "&amp;"the EHS policies and systems of the member companies and the specific management and control measures. Ensure that the human, daily, and material resources necessary for the operation and control of the EHS management system are invested as planned. Addre"&amp;"ss issues encountered during the implementation of the work and hold regular internal work meetings. Timely coordinate internal management and solve difficulties encountered in the implementation of EHS work. The enterprise labor union participates in and"&amp;" supervises the implementation of the enterprise's EHS work as an employee representative. The enterprise effectively guarantees employees' due rights in health and safety and participates in enterprise accident investigations. 88 Innovation for Gcod Heal"&amp;"th: Continuous innovation, enjoyment of health, employee health protection. Protecting employee health is an important part of our work. To help employees strengthen their bodies and increase the number of flexible exercises, Fosun Pharma Group actively i"&amp;"mplements the main time of the enterprise occupational health. The group headquarters labor union offers Tai Chi and Yoga classes throughout the year. Responsibilities: Establish and improve the full-staff responsibility management system for occupational"&amp;" disease prevention and control.")</f>
        <v>Responsibilities: Establish and improve the Group's various EHS responsibility systems and have a veto power over EHS. The Enterprise EHS Special Committee covers the top management, mid-level executive team, and EHS functional departments. It formulates the EHS policies and systems of the member companies and the specific management and control measures. Ensure that the human, daily, and material resources necessary for the operation and control of the EHS management system are invested as planned. Address issues encountered during the implementation of the work and hold regular internal work meetings. Timely coordinate internal management and solve difficulties encountered in the implementation of EHS work. The enterprise labor union participates in and supervises the implementation of the enterprise's EHS work as an employee representative. The enterprise effectively guarantees employees' due rights in health and safety and participates in enterprise accident investigations. 88 Innovation for Gcod Health: Continuous innovation, enjoyment of health, employee health protection. Protecting employee health is an important part of our work. To help employees strengthen their bodies and increase the number of flexible exercises, Fosun Pharma Group actively implements the main time of the enterprise occupational health. The group headquarters labor union offers Tai Chi and Yoga classes throughout the year. Responsibilities: Establish and improve the full-staff responsibility management system for occupational disease prevention and control.</v>
      </c>
      <c r="B6135" s="1" t="str">
        <f ca="1">IFERROR(__xludf.DUMMYFUNCTION("GOOGLETRANSLATE(A6135, ""zh"", ""en"")"),"staff")</f>
        <v>staff</v>
      </c>
      <c r="C6135" s="1" t="str">
        <f ca="1">IFERROR(__xludf.DUMMYFUNCTION("GOOGLETRANSLATE(E6135, ""zh"", ""en"")"),"Qualitative text")</f>
        <v>Qualitative text</v>
      </c>
    </row>
    <row r="6136" spans="1:3" ht="13" x14ac:dyDescent="0.15">
      <c r="A6136" s="1" t="str">
        <f ca="1">IFERROR(__xludf.DUMMYFUNCTION("GOOGLETRANSLATE(A6136, ""zh"", ""en"")"),"Fosun Pharmaceutical Group Co., Ltd.'s collective wage bargaining agreement; Shanghai Fosun Pharmaceutical Group Co., Ltd.'s collective agreement on the protection of female employees' rights and interests; the opening of the new employee series; the lead"&amp;"ership development series; the professional development series; the general professional skills series; the four major training series, guaranteeing employee rights and interests in various aspects such as labor remuneration, labor safety, and health prot"&amp;"ection; and the 28 Innovation for Global Health programs. Continuous innovation and enjoyment of health further strengthen Fosun Pharma Group's support for material services from the perspectives of efficiency and quality. Highlights of procurement manage"&amp;"ment, especially the establishment of a procurement management system framework for R&amp;D services, to achieve cost reduction and efficiency improvement. The global R&amp;D center's R&amp;D system procurement management measures were released to standardize R&amp;D pro"&amp;"curement execution practices. In 2022, the Group handled a total of 41 supplier violations, and the Group responded. 2022 marks the beginning of China's comprehensive construction of socialist modernization, the establishment of a model and transparent su"&amp;"pplier procurement and management process, the start of a new national journey towards the second centenary goal, and the implementation of green supply chain management and supplier on-site affairs planning.")</f>
        <v>Fosun Pharmaceutical Group Co., Ltd.'s collective wage bargaining agreement; Shanghai Fosun Pharmaceutical Group Co., Ltd.'s collective agreement on the protection of female employees' rights and interests; the opening of the new employee series; the leadership development series; the professional development series; the general professional skills series; the four major training series, guaranteeing employee rights and interests in various aspects such as labor remuneration, labor safety, and health protection; and the 28 Innovation for Global Health programs. Continuous innovation and enjoyment of health further strengthen Fosun Pharma Group's support for material services from the perspectives of efficiency and quality. Highlights of procurement management, especially the establishment of a procurement management system framework for R&amp;D services, to achieve cost reduction and efficiency improvement. The global R&amp;D center's R&amp;D system procurement management measures were released to standardize R&amp;D procurement execution practices. In 2022, the Group handled a total of 41 supplier violations, and the Group responded. 2022 marks the beginning of China's comprehensive construction of socialist modernization, the establishment of a model and transparent supplier procurement and management process, the start of a new national journey towards the second centenary goal, and the implementation of green supply chain management and supplier on-site affairs planning.</v>
      </c>
      <c r="B6136" s="1" t="str">
        <f ca="1">IFERROR(__xludf.DUMMYFUNCTION("GOOGLETRANSLATE(A6136, ""zh"", ""en"")"),"supply chain management")</f>
        <v>supply chain management</v>
      </c>
      <c r="C6136" s="1" t="str">
        <f ca="1">IFERROR(__xludf.DUMMYFUNCTION("GOOGLETRANSLATE(E6136, ""zh"", ""en"")"),"Quantitative Text")</f>
        <v>Quantitative Text</v>
      </c>
    </row>
    <row r="6137" spans="1:3" ht="13" x14ac:dyDescent="0.15">
      <c r="A6137" s="1" t="str">
        <f ca="1">IFERROR(__xludf.DUMMYFUNCTION("GOOGLETRANSLATE(A6137, ""zh"", ""en"")"),"Responsible for the supervision and decision-making of the Group's ESG matters; ESG management vision, policies and strategies; regular review of ESG-related goals; etc.; Identify, determine and evaluate the Company's ESG-related risks and materiality ass"&amp;"essments; formulate the Company's sustainability strategy and goals; monitor, evaluate and review the Company's ESG-related policies; manage performance and progress on related goals; review the Company's public disclosure of performance on ESG-related ma"&amp;"tters; complete other matters authorized by the Board; ESG Expert Committee; ESG Management Committee; Environmental Group; Governance Group; Group Office; Board Office; Social Group; ESG Working Group; maintain ESG risk management and internal control sy"&amp;"stems; promote the implementation of ESG work and ESG strategies and goals; regularly collect ESG data and information; compile the 2022 ESG Report and the 2023 Social Responsibility Report. On January 11, 2023, Shanghai Electric held an ESG Management Co"&amp;"mmittee meeting. Participants included Liu Ping, Deputy Secretary of the Party Committee and President of Shanghai Electric; Zhu Zhaokai, Deputy Secretary of the Party Committee and Chairman of the Municipal Mechanical and Electrical Trade Union; Yang Hon"&amp;"g, Vice President, and several other Board members; members of the ESG Management Committee and the ESG Working Group.")</f>
        <v>Responsible for the supervision and decision-making of the Group's ESG matters; ESG management vision, policies and strategies; regular review of ESG-related goals; etc.; Identify, determine and evaluate the Company's ESG-related risks and materiality assessments; formulate the Company's sustainability strategy and goals; monitor, evaluate and review the Company's ESG-related policies; manage performance and progress on related goals; review the Company's public disclosure of performance on ESG-related matters; complete other matters authorized by the Board; ESG Expert Committee; ESG Management Committee; Environmental Group; Governance Group; Group Office; Board Office; Social Group; ESG Working Group; maintain ESG risk management and internal control systems; promote the implementation of ESG work and ESG strategies and goals; regularly collect ESG data and information; compile the 2022 ESG Report and the 2023 Social Responsibility Report. On January 11, 2023, Shanghai Electric held an ESG Management Committee meeting. Participants included Liu Ping, Deputy Secretary of the Party Committee and President of Shanghai Electric; Zhu Zhaokai, Deputy Secretary of the Party Committee and Chairman of the Municipal Mechanical and Electrical Trade Union; Yang Hong, Vice President, and several other Board members; members of the ESG Management Committee and the ESG Working Group.</v>
      </c>
      <c r="B6137" s="1" t="str">
        <f ca="1">IFERROR(__xludf.DUMMYFUNCTION("GOOGLETRANSLATE(A6137, ""zh"", ""en"")"),"Organizational structure and operations")</f>
        <v>Organizational structure and operations</v>
      </c>
      <c r="C6137" s="1" t="str">
        <f ca="1">IFERROR(__xludf.DUMMYFUNCTION("GOOGLETRANSLATE(E6137, ""zh"", ""en"")"),"Qualitative text")</f>
        <v>Qualitative text</v>
      </c>
    </row>
    <row r="6138" spans="1:3" ht="13" x14ac:dyDescent="0.15">
      <c r="A6138" s="1" t="str">
        <f ca="1">IFERROR(__xludf.DUMMYFUNCTION("GOOGLETRANSLATE(A6138, ""zh"", ""en"")"),"Pre-indicator deviation On-site risk control Result indicator severity Pre-indicator process indicator Result indicator Safety risk indicator system Emergency drills and exercises HSE training Employee competency assessment Work permit JSA risk analysis H"&amp;"idden danger management Contractor management Safety supervision and inspection Accident data Employee disease incidents OSHA data Leadership responsibility implementation Employee intervention Safety behavior observation Employee participation Hidden dan"&amp;"ger investigation Full employee safety participation CNOOC Oilfield Services 2022 ESG Report 41 Safety risk prevention and control Safety hazard investigation and management The company continues to consolidate and expand the normalized supervision and in"&amp;"spection mechanism and deeply promotes the full-staff supervision and management model. Elevate safety supervision to direct management by business units Strengthen the independence of safety supervision Reduce the routine work of safety supervision Promo"&amp;"te safety supervision to focus on main responsibilities and main business Ensure safety supervision 23 hours of off-site inspections Empower the on-site discipline inspection team of safety supervision Improve the effectiveness of safety supervision and m"&amp;"onitoring Give full play to the role of safety supervisors, safety awareness promoters, risk prevention whistleblowers, and health and safety guardians Achieve on-site full-staff supervision and monitoring Strengthen the control of various on-site risks E"&amp;"ffectively promote the implementation of the company's QHSE management measures and build a solid safety production firewall")</f>
        <v>Pre-indicator deviation On-site risk control Result indicator severity Pre-indicator process indicator Result indicator Safety risk indicator system Emergency drills and exercises HSE training Employee competency assessment Work permit JSA risk analysis Hidden danger management Contractor management Safety supervision and inspection Accident data Employee disease incidents OSHA data Leadership responsibility implementation Employee intervention Safety behavior observation Employee participation Hidden danger investigation Full employee safety participation CNOOC Oilfield Services 2022 ESG Report 41 Safety risk prevention and control Safety hazard investigation and management The company continues to consolidate and expand the normalized supervision and inspection mechanism and deeply promotes the full-staff supervision and management model. Elevate safety supervision to direct management by business units Strengthen the independence of safety supervision Reduce the routine work of safety supervision Promote safety supervision to focus on main responsibilities and main business Ensure safety supervision 23 hours of off-site inspections Empower the on-site discipline inspection team of safety supervision Improve the effectiveness of safety supervision and monitoring Give full play to the role of safety supervisors, safety awareness promoters, risk prevention whistleblowers, and health and safety guardians Achieve on-site full-staff supervision and monitoring Strengthen the control of various on-site risks Effectively promote the implementation of the company's QHSE management measures and build a solid safety production firewall</v>
      </c>
      <c r="B6138" s="1" t="str">
        <f ca="1">IFERROR(__xludf.DUMMYFUNCTION("GOOGLETRANSLATE(A6138, ""zh"", ""en"")"),"staff")</f>
        <v>staff</v>
      </c>
      <c r="C6138" s="1" t="str">
        <f ca="1">IFERROR(__xludf.DUMMYFUNCTION("GOOGLETRANSLATE(E6138, ""zh"", ""en"")"),"Qualitative text")</f>
        <v>Qualitative text</v>
      </c>
    </row>
    <row r="6139" spans="1:3" ht="13" x14ac:dyDescent="0.15">
      <c r="A6139" s="1" t="str">
        <f ca="1">IFERROR(__xludf.DUMMYFUNCTION("GOOGLETRANSLATE(A6139, ""zh"", ""en"")"),"The company actively responded to the National Industrial Energy Efficiency Improvement Action Plan, signed a commitment letter on energy conservation and carbon reduction for key industries, and formulated a company energy conservation and water conserva"&amp;"tion plan. The company invested 757 million yuan in energy conservation and water conservation technology transformation throughout the year. The oil, gas and new energy sectors effectively reduced fresh water consumption by strengthening wastewater reuse"&amp;" and reducing leakage. It promoted the application of water-saving technologies, widely applied advanced water-saving materials and technologies, carried out rational water use analysis, and improved water resource utilization efficiency. It actively deve"&amp;"loped and utilized unconventional water resources such as seawater and rainwater, carried out water system maintenance and transformation, improved water quality compliance, optimized operation plans, modified wastewater discharge treatment processes, red"&amp;"uced produced water discharge, carried out oil-water separation and filtration treatment on recycled wastewater, realized oil recovery water reinjection, and avoided groundwater and surface water pollution. It promoted clean production processes in the re"&amp;"fining, chemical and new materials sectors, optimized water use systems, improved water use efficiency, carried out water pipe network leakage rate testing, strengthened groundwater pipe network leak detection and plugging, reduced groundwater leakage rat"&amp;"e, adopted advanced circulating water treatment technologies, increased circulating water concentration multiples, reduced make-up water volume, emphasized wastewater treatment and reuse, implemented wastewater purification and reuse technology transforma"&amp;"tion, reduced wastewater discharge, and increased industrial water reuse rate.")</f>
        <v>The company actively responded to the National Industrial Energy Efficiency Improvement Action Plan, signed a commitment letter on energy conservation and carbon reduction for key industries, and formulated a company energy conservation and water conservation plan. The company invested 757 million yuan in energy conservation and water conservation technology transformation throughout the year. The oil, gas and new energy sectors effectively reduced fresh water consumption by strengthening wastewater reuse and reducing leakage. It promoted the application of water-saving technologies, widely applied advanced water-saving materials and technologies, carried out rational water use analysis, and improved water resource utilization efficiency. It actively developed and utilized unconventional water resources such as seawater and rainwater, carried out water system maintenance and transformation, improved water quality compliance, optimized operation plans, modified wastewater discharge treatment processes, reduced produced water discharge, carried out oil-water separation and filtration treatment on recycled wastewater, realized oil recovery water reinjection, and avoided groundwater and surface water pollution. It promoted clean production processes in the refining, chemical and new materials sectors, optimized water use systems, improved water use efficiency, carried out water pipe network leakage rate testing, strengthened groundwater pipe network leak detection and plugging, reduced groundwater leakage rate, adopted advanced circulating water treatment technologies, increased circulating water concentration multiples, reduced make-up water volume, emphasized wastewater treatment and reuse, implemented wastewater purification and reuse technology transformation, reduced wastewater discharge, and increased industrial water reuse rate.</v>
      </c>
      <c r="B6139" s="1" t="str">
        <f ca="1">IFERROR(__xludf.DUMMYFUNCTION("GOOGLETRANSLATE(A6139, ""zh"", ""en"")"),"Water resources")</f>
        <v>Water resources</v>
      </c>
      <c r="C6139" s="1" t="str">
        <f ca="1">IFERROR(__xludf.DUMMYFUNCTION("GOOGLETRANSLATE(E6139, ""zh"", ""en"")"),"Qualitative text")</f>
        <v>Qualitative text</v>
      </c>
    </row>
    <row r="6140" spans="1:3" ht="13" x14ac:dyDescent="0.15">
      <c r="A6140" s="1" t="str">
        <f ca="1">IFERROR(__xludf.DUMMYFUNCTION("GOOGLETRANSLATE(A6140, ""zh"", ""en"")"),"Figure: YAOY0U Fengri Occupational health and safety risk and accident management Main action strategies Conduct risk assessment Establish 5OP and emergency response system Plan and implement Employee training Open sugarcane source hazard investigation an"&amp;"d management Promote good practices Build safety culture EHS five-year strategic goals Work-related deaths, serious disability accidents Lost time accident rate Recordable accident rate Zero work-related deaths, zero serious disability accidents Technolog"&amp;"y 20212025 Annual lost time accident rate per million working hours Recordable accident rate in 2025 Reduce compared with 2020 and maintain at 0.3 or below 10800.447 Performance target completion status Performance target target value VS actual value 2021"&amp;" target value VS actual value 2022 work-related fatalities and serious disabilities 0V500VS0 Lost time accident rate 0.297VS0.170.282VS0.101 Recordable accident rate 0.484V50.3550.474VS0.202 Risk management Fosun Pharma Group adheres to the principle of s"&amp;"afety first and takes a comprehensive and strict management approach to the entire process of contractor business from the perspective of prevention. It strengthens and implements the main responsibility of the unit for safe production and establishes ent"&amp;"erprise-level risk management measures.")</f>
        <v>Figure: YAOY0U Fengri Occupational health and safety risk and accident management Main action strategies Conduct risk assessment Establish 5OP and emergency response system Plan and implement Employee training Open sugarcane source hazard investigation and management Promote good practices Build safety culture EHS five-year strategic goals Work-related deaths, serious disability accidents Lost time accident rate Recordable accident rate Zero work-related deaths, zero serious disability accidents Technology 20212025 Annual lost time accident rate per million working hours Recordable accident rate in 2025 Reduce compared with 2020 and maintain at 0.3 or below 10800.447 Performance target completion status Performance target target value VS actual value 2021 target value VS actual value 2022 work-related fatalities and serious disabilities 0V500VS0 Lost time accident rate 0.297VS0.170.282VS0.101 Recordable accident rate 0.484V50.3550.474VS0.202 Risk management Fosun Pharma Group adheres to the principle of safety first and takes a comprehensive and strict management approach to the entire process of contractor business from the perspective of prevention. It strengthens and implements the main responsibility of the unit for safe production and establishes enterprise-level risk management measures.</v>
      </c>
      <c r="B6140" s="1" t="str">
        <f ca="1">IFERROR(__xludf.DUMMYFUNCTION("GOOGLETRANSLATE(A6140, ""zh"", ""en"")"),"staff")</f>
        <v>staff</v>
      </c>
      <c r="C6140" s="1" t="str">
        <f ca="1">IFERROR(__xludf.DUMMYFUNCTION("GOOGLETRANSLATE(E6140, ""zh"", ""en"")"),"Quantitative Text")</f>
        <v>Quantitative Text</v>
      </c>
    </row>
    <row r="6141" spans="1:3" ht="13" x14ac:dyDescent="0.15">
      <c r="A6141" s="1" t="str">
        <f ca="1">IFERROR(__xludf.DUMMYFUNCTION("GOOGLETRANSLATE(A6141, ""zh"", ""en"")"),"Strengthen the collection, analysis and early warning of social security risk information, strengthen vulnerability assessments of social security management in key areas and key projects, identify and rectify risk loopholes and potential problems, upgrad"&amp;"e security measures, establish a unified and coordinated risk warning and emergency coordination and handling mechanism, strengthen overseas social security risk management, optimize overseas social security management systems, revise the social security "&amp;"management regulations for international business, and implement the emergency plan for foreign-related social security emergencies, complete the document compilation of version 2.0 of the social security management system, organize international business"&amp;" social security management assessments, carry out annual international business social security performance assessments for overseas project companies, carry out overseas employee safety education and training, carry out international business social sec"&amp;"urity management training, organize employees to participate in online training on security risk prevention, and organize 156 anti-terrorism safety trainings for overseas personnel throughout the year. China National Petroleum Corporation 2022 Environment"&amp;"al, Social and Governance Report 78 The company pays attention to the development needs of employees at different stages, attaches importance to employee career planning, continuously improves the talent growth system and mechanism, optimizes the talent g"&amp;"rowth environment, and focuses on the construction of a talent growth resource guarantee system to provide a broad stage for employees to realize their self-worth.")</f>
        <v>Strengthen the collection, analysis and early warning of social security risk information, strengthen vulnerability assessments of social security management in key areas and key projects, identify and rectify risk loopholes and potential problems, upgrade security measures, establish a unified and coordinated risk warning and emergency coordination and handling mechanism, strengthen overseas social security risk management, optimize overseas social security management systems, revise the social security management regulations for international business, and implement the emergency plan for foreign-related social security emergencies, complete the document compilation of version 2.0 of the social security management system, organize international business social security management assessments, carry out annual international business social security performance assessments for overseas project companies, carry out overseas employee safety education and training, carry out international business social security management training, organize employees to participate in online training on security risk prevention, and organize 156 anti-terrorism safety trainings for overseas personnel throughout the year. China National Petroleum Corporation 2022 Environmental, Social and Governance Report 78 The company pays attention to the development needs of employees at different stages, attaches importance to employee career planning, continuously improves the talent growth system and mechanism, optimizes the talent growth environment, and focuses on the construction of a talent growth resource guarantee system to provide a broad stage for employees to realize their self-worth.</v>
      </c>
      <c r="B6141" s="1" t="str">
        <f ca="1">IFERROR(__xludf.DUMMYFUNCTION("GOOGLETRANSLATE(A6141, ""zh"", ""en"")"),"staff")</f>
        <v>staff</v>
      </c>
      <c r="C6141" s="1" t="str">
        <f ca="1">IFERROR(__xludf.DUMMYFUNCTION("GOOGLETRANSLATE(E6141, ""zh"", ""en"")"),"Qualitative text")</f>
        <v>Qualitative text</v>
      </c>
    </row>
    <row r="6142" spans="1:3" ht="13" x14ac:dyDescent="0.15">
      <c r="A6142" s="1" t="str">
        <f ca="1">IFERROR(__xludf.DUMMYFUNCTION("GOOGLETRANSLATE(A6142, ""zh"", ""en"")"),"Employee Development, Sustainable Finance, Social Contribution, Environmentally Friendly, and Robust Operations 0210 CITIC Securities 2022 Annual Social Responsibility Report, Energy Consumption per Square Meter: 0.29 MWh, Water Consumption per Square Met"&amp;"er: 1.00 Ton, Greenhouse Gas Emissions per Square Meter: 0.18 Ton, Total Employees: 25,742, Percentage of Female Employees: 48.3%, Employee Training Coverage: 100%, Average Employee Training Hours: 125.78 Hours, ESG Bond and Investment Fund Asset Investme"&amp;"nt: Approximately RMB43.4 Billion, Green Investment: RMB43.79 Billion, Green Bonds (Including Asset-Backed Securities) Underwriting: RMB65.1 Billion, Overseas ESG Bond Underwriting: US$1.14 Billion, Anti-Money Laundering Training Coverage: 100%, Integrity"&amp;" Training Coverage: 100%, Overall Customer Satisfaction: 99.4%, Social Contribution Value per Share: RMB5.10, 30 Corporate Bonds and Rural Poverty Alleviation Bonds for Poverty Alleviation in Poverty Alleviation Areas: Financing: RMB38.2 Billion, Insuranc"&amp;"e Futures Projects: 48,200 Beneficiary Farmers, Total Annual External Donations: RMB55.97 Million, Release of CITIC Securities Co., Ltd.'s Environmental Protection Policy, CITIC Securities Co., Ltd.'s Climate Change Policy, and Optimization of the Company"&amp;"'s Environmental Management")</f>
        <v>Employee Development, Sustainable Finance, Social Contribution, Environmentally Friendly, and Robust Operations 0210 CITIC Securities 2022 Annual Social Responsibility Report, Energy Consumption per Square Meter: 0.29 MWh, Water Consumption per Square Meter: 1.00 Ton, Greenhouse Gas Emissions per Square Meter: 0.18 Ton, Total Employees: 25,742, Percentage of Female Employees: 48.3%, Employee Training Coverage: 100%, Average Employee Training Hours: 125.78 Hours, ESG Bond and Investment Fund Asset Investment: Approximately RMB43.4 Billion, Green Investment: RMB43.79 Billion, Green Bonds (Including Asset-Backed Securities) Underwriting: RMB65.1 Billion, Overseas ESG Bond Underwriting: US$1.14 Billion, Anti-Money Laundering Training Coverage: 100%, Integrity Training Coverage: 100%, Overall Customer Satisfaction: 99.4%, Social Contribution Value per Share: RMB5.10, 30 Corporate Bonds and Rural Poverty Alleviation Bonds for Poverty Alleviation in Poverty Alleviation Areas: Financing: RMB38.2 Billion, Insurance Futures Projects: 48,200 Beneficiary Farmers, Total Annual External Donations: RMB55.97 Million, Release of CITIC Securities Co., Ltd.'s Environmental Protection Policy, CITIC Securities Co., Ltd.'s Climate Change Policy, and Optimization of the Company's Environmental Management</v>
      </c>
      <c r="B6142" s="1" t="str">
        <f ca="1">IFERROR(__xludf.DUMMYFUNCTION("GOOGLETRANSLATE(A6142, ""zh"", ""en"")"),"staff")</f>
        <v>staff</v>
      </c>
      <c r="C6142" s="1" t="str">
        <f ca="1">IFERROR(__xludf.DUMMYFUNCTION("GOOGLETRANSLATE(E6142, ""zh"", ""en"")"),"Quantitative Text")</f>
        <v>Quantitative Text</v>
      </c>
    </row>
    <row r="6143" spans="1:3" ht="13" x14ac:dyDescent="0.15">
      <c r="A6143" s="1" t="str">
        <f ca="1">IFERROR(__xludf.DUMMYFUNCTION("GOOGLETRANSLATE(A6143, ""zh"", ""en"")"),"Our goals address material ESG issues Product quality and safety Product innovation Intellectual property management Quality service User complaints Response to the Hong Kong Stock Exchange's ESG indicator B6 Product responsibility 13-year goal 2022 goal "&amp;"achievement 2022 goal achievement Product defect rate continues to decline Defect rate decreased by 25% compared with the previous year Strive to achieve zero product recalls Product recall rate 0 Build a unified digital quality management platform Comple"&amp;"te the overall planning of the quality digital management platform and clarify the upgrade direction of the Digital 765 quality ecosystem flywheel system Strive to achieve zero service delays Zero customer complaints 24-hour feedback on customer issues in"&amp;" each product line and provide solutions within 48 hours to achieve zero service delays Create core patent packages The number of patent applications continues to increase each year In key technology areas such as industrial Internet smart home preservati"&amp;"on technology, more than 100 high-value patent packages have been formed The number of patent applications has increased compared with the previous year SDG indicators addressed in this chapter 05 Haier Smart Home Co., Ltd. Environmental, Social and Gover"&amp;"nance Report Quality-oriented to achieve excellent quality Haier Smart Home always adheres to the concept of ""people, single, and people, quality, and quality"" Starting from user experience, strictly control quality and create the best reputation in the"&amp;" home appliance ecosystem.")</f>
        <v>Our goals address material ESG issues Product quality and safety Product innovation Intellectual property management Quality service User complaints Response to the Hong Kong Stock Exchange's ESG indicator B6 Product responsibility 13-year goal 2022 goal achievement 2022 goal achievement Product defect rate continues to decline Defect rate decreased by 25% compared with the previous year Strive to achieve zero product recalls Product recall rate 0 Build a unified digital quality management platform Complete the overall planning of the quality digital management platform and clarify the upgrade direction of the Digital 765 quality ecosystem flywheel system Strive to achieve zero service delays Zero customer complaints 24-hour feedback on customer issues in each product line and provide solutions within 48 hours to achieve zero service delays Create core patent packages The number of patent applications continues to increase each year In key technology areas such as industrial Internet smart home preservation technology, more than 100 high-value patent packages have been formed The number of patent applications has increased compared with the previous year SDG indicators addressed in this chapter 05 Haier Smart Home Co., Ltd. Environmental, Social and Governance Report Quality-oriented to achieve excellent quality Haier Smart Home always adheres to the concept of "people, single, and people, quality, and quality" Starting from user experience, strictly control quality and create the best reputation in the home appliance ecosystem.</v>
      </c>
      <c r="B6143" s="1" t="str">
        <f ca="1">IFERROR(__xludf.DUMMYFUNCTION("GOOGLETRANSLATE(A6143, ""zh"", ""en"")"),"Product quality")</f>
        <v>Product quality</v>
      </c>
      <c r="C6143" s="1" t="str">
        <f ca="1">IFERROR(__xludf.DUMMYFUNCTION("GOOGLETRANSLATE(E6143, ""zh"", ""en"")"),"Quantitative Text")</f>
        <v>Quantitative Text</v>
      </c>
    </row>
    <row r="6144" spans="1:3" ht="13" x14ac:dyDescent="0.15">
      <c r="A6144" s="1" t="str">
        <f ca="1">IFERROR(__xludf.DUMMYFUNCTION("GOOGLETRANSLATE(A6144, ""zh"", ""en"")"),"1234567891011121314151617182021222319 Importance to Kangyuan Importance to Stakeholders 120 Product Quality and Safety 423 Product R&amp;D and Technological Innovation 221 Occupational Health and Safety 5 Corporate Governance and Compliance 322 Emission Manag"&amp;"ement 6 Climate Change Mitigation and Adaptation 7 Water Resources Management 815 Labor Rights Protection 11 Responsible Marketing 18 Employee Compensation and Benefits 916 Business Ethics and Anti-Corruption 12 Industry Development and Cooperation 19 Cus"&amp;"tomer Privacy and Data Security Investor Relations Management 1017 Talent Attraction, Retention and Development 13 Energy Efficiency and Management 14 Supply Chain Sustainability Highly Important Topics Moderately Important Topics Moderately Important Top"&amp;"ics 172022 Social Responsibility Report 4.4 Standardized Governance Kangyuan strictly adheres to the Company Law of the People's Republic of China, the Securities Law of the People's Republic of China, the Corporate Governance Guidelines for Listed Compan"&amp;"ies, the Shanghai Stock Exchange Stock Listing Rules and other laws, regulations and regulatory documents, and continuously improves its standardized governance.")</f>
        <v>1234567891011121314151617182021222319 Importance to Kangyuan Importance to Stakeholders 120 Product Quality and Safety 423 Product R&amp;D and Technological Innovation 221 Occupational Health and Safety 5 Corporate Governance and Compliance 322 Emission Management 6 Climate Change Mitigation and Adaptation 7 Water Resources Management 815 Labor Rights Protection 11 Responsible Marketing 18 Employee Compensation and Benefits 916 Business Ethics and Anti-Corruption 12 Industry Development and Cooperation 19 Customer Privacy and Data Security Investor Relations Management 1017 Talent Attraction, Retention and Development 13 Energy Efficiency and Management 14 Supply Chain Sustainability Highly Important Topics Moderately Important Topics Moderately Important Topics 172022 Social Responsibility Report 4.4 Standardized Governance Kangyuan strictly adheres to the Company Law of the People's Republic of China, the Securities Law of the People's Republic of China, the Corporate Governance Guidelines for Listed Companies, the Shanghai Stock Exchange Stock Listing Rules and other laws, regulations and regulatory documents, and continuously improves its standardized governance.</v>
      </c>
      <c r="B6144" s="1" t="str">
        <f ca="1">IFERROR(__xludf.DUMMYFUNCTION("GOOGLETRANSLATE(A6144, ""zh"", ""en"")"),"Organizational structure and operations")</f>
        <v>Organizational structure and operations</v>
      </c>
      <c r="C6144" s="1" t="str">
        <f ca="1">IFERROR(__xludf.DUMMYFUNCTION("GOOGLETRANSLATE(E6144, ""zh"", ""en"")"),"Qualitative text")</f>
        <v>Qualitative text</v>
      </c>
    </row>
    <row r="6145" spans="1:3" ht="13" x14ac:dyDescent="0.15">
      <c r="A6145" s="1" t="str">
        <f ca="1">IFERROR(__xludf.DUMMYFUNCTION("GOOGLETRANSLATE(A6145, ""zh"", ""en"")"),"1. Environmental Key Performance Indicators Total greenhouse gas emissions Scope 1 and Scope 2 Direct greenhouse gas emissions Scope 1 Indirect greenhouse gas emissions Scope 2 Greenhouse gas emissions per square meter Hazardous waste Hazardous waste per "&amp;"capita Non-hazardous waste per capita Non-hazardous waste Tons Tons Tons Square meter Tons Tons Persons Tons Tons Persons 269 12.66 633.55 26 279.11 0.16 1.15 0.000 213.90 0.00 19 275 93.65 743.20 268 50.45 0.16 1.37 0.000 231.09 0.003932997.631466.733153"&amp;"0.900.181.180.000137.170.0042A1. Emissions ESG Indicator Unit 20202021202263 CITIC Securities 2022 Annual Social Responsibility Report MWh MWh MWh MWh Square meter Ton Ton Square meter Note 1 Comprehensive energy consumption is calculated based on the con"&amp;"sumption of electricity, gasoline, diesel, natural gas and purchased heat and the conversion factors in the General Rules for Calculating Comprehensive Energy Consumption of the National Standard of the People's Republic of China GBT25892020.")</f>
        <v>1. Environmental Key Performance Indicators Total greenhouse gas emissions Scope 1 and Scope 2 Direct greenhouse gas emissions Scope 1 Indirect greenhouse gas emissions Scope 2 Greenhouse gas emissions per square meter Hazardous waste Hazardous waste per capita Non-hazardous waste per capita Non-hazardous waste Tons Tons Tons Square meter Tons Tons Persons Tons Tons Persons 269 12.66 633.55 26 279.11 0.16 1.15 0.000 213.90 0.00 19 275 93.65 743.20 268 50.45 0.16 1.37 0.000 231.09 0.003932997.631466.7331530.900.181.180.000137.170.0042A1. Emissions ESG Indicator Unit 20202021202263 CITIC Securities 2022 Annual Social Responsibility Report MWh MWh MWh MWh Square meter Ton Ton Square meter Note 1 Comprehensive energy consumption is calculated based on the consumption of electricity, gasoline, diesel, natural gas and purchased heat and the conversion factors in the General Rules for Calculating Comprehensive Energy Consumption of the National Standard of the People's Republic of China GBT25892020.</v>
      </c>
      <c r="B6145" s="1" t="str">
        <f ca="1">IFERROR(__xludf.DUMMYFUNCTION("GOOGLETRANSLATE(A6145, ""zh"", ""en"")"),"Waste Management")</f>
        <v>Waste Management</v>
      </c>
      <c r="C6145" s="1" t="str">
        <f ca="1">IFERROR(__xludf.DUMMYFUNCTION("GOOGLETRANSLATE(E6145, ""zh"", ""en"")"),"Quantitative Text")</f>
        <v>Quantitative Text</v>
      </c>
    </row>
    <row r="6146" spans="1:3" ht="13" x14ac:dyDescent="0.15">
      <c r="A6146" s="1" t="str">
        <f ca="1">IFERROR(__xludf.DUMMYFUNCTION("GOOGLETRANSLATE(A6146, ""zh"", ""en"")"),"Main training indicators Training indicators Unit 202020212022 Total training expenditure Amount Ten thousand yuan 904837985 All employees 2119 Average training time per person 2057.2 Female employees 212043.9 Male employees 2057.2 Training person-times 4"&amp;"82258559 Senior management training Total training time 207121401618695 Except senior management training person-times 302602798227250 Total training time for employees 646849656 07813586242022CorporateSocialResponsibilityReport75 Case Study Fosun Global "&amp;"Partner Fosun Pharma's former CEO and former Director of the Commercial Management Committee Figure Research Pharmaceutical CEO Wen Bei lacks a pharmaceutical R&amp;D team manager in the duplex area. Fosun Pharma R&amp;D Manager Training Camp Fosun Pharma Group i"&amp;"nsists on patient-centered clinical needs. Under this business scenario, in 2022, Fosun Pharma Talent Development Center and the whole company are also constantly expanding, which puts higher requirements on the professional capabilities of R&amp;D personnel.")</f>
        <v>Main training indicators Training indicators Unit 202020212022 Total training expenditure Amount Ten thousand yuan 904837985 All employees 2119 Average training time per person 2057.2 Female employees 212043.9 Male employees 2057.2 Training person-times 482258559 Senior management training Total training time 207121401618695 Except senior management training person-times 302602798227250 Total training time for employees 646849656 07813586242022CorporateSocialResponsibilityReport75 Case Study Fosun Global Partner Fosun Pharma's former CEO and former Director of the Commercial Management Committee Figure Research Pharmaceutical CEO Wen Bei lacks a pharmaceutical R&amp;D team manager in the duplex area. Fosun Pharma R&amp;D Manager Training Camp Fosun Pharma Group insists on patient-centered clinical needs. Under this business scenario, in 2022, Fosun Pharma Talent Development Center and the whole company are also constantly expanding, which puts higher requirements on the professional capabilities of R&amp;D personnel.</v>
      </c>
      <c r="B6146" s="1" t="str">
        <f ca="1">IFERROR(__xludf.DUMMYFUNCTION("GOOGLETRANSLATE(A6146, ""zh"", ""en"")"),"staff")</f>
        <v>staff</v>
      </c>
      <c r="C6146" s="1" t="str">
        <f ca="1">IFERROR(__xludf.DUMMYFUNCTION("GOOGLETRANSLATE(E6146, ""zh"", ""en"")"),"Quantitative Text")</f>
        <v>Quantitative Text</v>
      </c>
    </row>
    <row r="6147" spans="1:3" ht="13" x14ac:dyDescent="0.15">
      <c r="A6147" s="1" t="str">
        <f ca="1">IFERROR(__xludf.DUMMYFUNCTION("GOOGLETRANSLATE(A6147, ""zh"", ""en"")"),"Company Name Abbreviation Shanghai Electric Group Co., Ltd. Central Research Institute Central Research Institute Shanghai Electric Wind Power Group Co., Ltd. Electric Wind Power Shanghai Mitsubishi Elevator Co., Ltd. Shanghai Mitsubishi Elevator Shanghai"&amp;" Electric Transmission and Distribution Group Co., Ltd. Shanghai Electric Transmission and Distribution Group Shanghai Electric Nuclear Power Group Shanghai Electric Nuclear Power Shanghai Electric Power Plant Group Shanghai Electric Power Plant Shanghai "&amp;"Electric Power Plant Equipment Co., Ltd. Steam Turbine Factory Shanghai Electric Steam Turbine Factory Shanghai Electric Thales Transportation Automation Systems Co., Ltd. Shanghai Electric Thales Shanghai Electric Group Shanghai Electric Motor Co., Ltd. "&amp;"Shanghai Electric Motor Shanghai Electric New Energy Development Co., Ltd. Shanghai Electric New Energy Company Shanghai Hydrogen Age Technology Co., Ltd. Hydrogen Age Company Shanghai Shendiantong Rail Transit Technology Co., Ltd. Shendiantong Shanghai E"&amp;"lectric Group Guokong Global Engineering Co., Ltd. Global Engineering Shanghai Electric Digital Ecology Co., Ltd. Shanghai Electric Digital Ecology Shanxi Ruiguang Thermal Power Co., Ltd. Ruiguang Thermal Power Shanghai Shendian Green Electric Technology "&amp;"Development Co., Ltd. Green Electric Technology List of company abbreviations mentioned in the text 122022 Social Responsibility Report Chairman's Speech The past 2022 was an extraordinary year in the development history of Shanghai Electric.")</f>
        <v>Company Name Abbreviation Shanghai Electric Group Co., Ltd. Central Research Institute Central Research Institute Shanghai Electric Wind Power Group Co., Ltd. Electric Wind Power Shanghai Mitsubishi Elevator Co., Ltd. Shanghai Mitsubishi Elevator Shanghai Electric Transmission and Distribution Group Co., Ltd. Shanghai Electric Transmission and Distribution Group Shanghai Electric Nuclear Power Group Shanghai Electric Nuclear Power Shanghai Electric Power Plant Group Shanghai Electric Power Plant Shanghai Electric Power Plant Equipment Co., Ltd. Steam Turbine Factory Shanghai Electric Steam Turbine Factory Shanghai Electric Thales Transportation Automation Systems Co., Ltd. Shanghai Electric Thales Shanghai Electric Group Shanghai Electric Motor Co., Ltd. Shanghai Electric Motor Shanghai Electric New Energy Development Co., Ltd. Shanghai Electric New Energy Company Shanghai Hydrogen Age Technology Co., Ltd. Hydrogen Age Company Shanghai Shendiantong Rail Transit Technology Co., Ltd. Shendiantong Shanghai Electric Group Guokong Global Engineering Co., Ltd. Global Engineering Shanghai Electric Digital Ecology Co., Ltd. Shanghai Electric Digital Ecology Shanxi Ruiguang Thermal Power Co., Ltd. Ruiguang Thermal Power Shanghai Shendian Green Electric Technology Development Co., Ltd. Green Electric Technology List of company abbreviations mentioned in the text 122022 Social Responsibility Report Chairman's Speech The past 2022 was an extraordinary year in the development history of Shanghai Electric.</v>
      </c>
      <c r="B6147" s="1" t="str">
        <f ca="1">IFERROR(__xludf.DUMMYFUNCTION("GOOGLETRANSLATE(A6147, ""zh"", ""en"")"),"irrelevant text")</f>
        <v>irrelevant text</v>
      </c>
      <c r="C6147" s="1" t="str">
        <f ca="1">IFERROR(__xludf.DUMMYFUNCTION("GOOGLETRANSLATE(E6147, ""zh"", ""en"")"),"irrelevant text")</f>
        <v>irrelevant text</v>
      </c>
    </row>
    <row r="6148" spans="1:3" ht="13" x14ac:dyDescent="0.15">
      <c r="A6148" s="1" t="str">
        <f ca="1">IFERROR(__xludf.DUMMYFUNCTION("GOOGLETRANSLATE(A6148, ""zh"", ""en"")"),"EHS training situation of Fosun Pharma Group Total EHS training time of each sector (hours) Total EHS training person-times (times) Average BHS training time per person (hours) Average EHS training number of times (times) 0 20 7 4 3 4 1 3 0 1 5 8 5 2 1 1 "&amp;"4.99 5.47 20 2 1 3 9 1 5 8 2 2 1 2 2 5 3 1 3.97 7.57 20 2 2 4 6 8 7 3 1 2 7 4 4 4 1 5.37 9.00 EHS training situation of each sector of Fosun Pharma Group Total time of each sector (hours) Total person-times (times) Average time per person (hours) Number o"&amp;"f times (times) Pharmaceuticals 4 2 8 4 2 7 2 4 4 9 3 5 2 0.5111.72 Medical health services 190567.332.400.93 Medical equipment and medical diagnosis 212482212612.8213.34 Total 46873127444415.379.00 Case Medical first aid training To protect the life and "&amp;"health of employees and further enhance their safety awareness and self-rescue and mutual rescue capabilities, many member companies have carried out medical emergency rescue skills training, including hemostasis, bandage, trauma rescue, cardiopulmonary r"&amp;"esuscitation, AED first aid, casualty transfer and other basic emergency rescue knowledge and sudden injury response measures.")</f>
        <v>EHS training situation of Fosun Pharma Group Total EHS training time of each sector (hours) Total EHS training person-times (times) Average BHS training time per person (hours) Average EHS training number of times (times) 0 20 7 4 3 4 1 3 0 1 5 8 5 2 1 1 4.99 5.47 20 2 1 3 9 1 5 8 2 2 1 2 2 5 3 1 3.97 7.57 20 2 2 4 6 8 7 3 1 2 7 4 4 4 1 5.37 9.00 EHS training situation of each sector of Fosun Pharma Group Total time of each sector (hours) Total person-times (times) Average time per person (hours) Number of times (times) Pharmaceuticals 4 2 8 4 2 7 2 4 4 9 3 5 2 0.5111.72 Medical health services 190567.332.400.93 Medical equipment and medical diagnosis 212482212612.8213.34 Total 46873127444415.379.00 Case Medical first aid training To protect the life and health of employees and further enhance their safety awareness and self-rescue and mutual rescue capabilities, many member companies have carried out medical emergency rescue skills training, including hemostasis, bandage, trauma rescue, cardiopulmonary resuscitation, AED first aid, casualty transfer and other basic emergency rescue knowledge and sudden injury response measures.</v>
      </c>
      <c r="B6148" s="1" t="str">
        <f ca="1">IFERROR(__xludf.DUMMYFUNCTION("GOOGLETRANSLATE(A6148, ""zh"", ""en"")"),"staff")</f>
        <v>staff</v>
      </c>
      <c r="C6148" s="1" t="str">
        <f ca="1">IFERROR(__xludf.DUMMYFUNCTION("GOOGLETRANSLATE(E6148, ""zh"", ""en"")"),"Qualitative text")</f>
        <v>Qualitative text</v>
      </c>
    </row>
    <row r="6149" spans="1:3" ht="13" x14ac:dyDescent="0.15">
      <c r="A6149" s="1" t="str">
        <f ca="1">IFERROR(__xludf.DUMMYFUNCTION("GOOGLETRANSLATE(A6149, ""zh"", ""en"")"),"For more information, see the case study Nature-Based Solutions (NbS). Daqing Oilfield is actively developing the Guowu Lake Biodiversity Conservation Area and carrying out green mine creation activities. In the past three years, a total of 72 oil and gas"&amp;" field enterprises or units have been included in the 2022 Green Mine List. We are protecting, restoring, and promoting sustainable land use. We are making every effort to reduce arable land occupation, ensuring soil and water conservation, and restoring "&amp;"vegetation. We are working to restore the ecological environment in the operating area. We are actively conducting environmental impact assessments for construction projects, investigating wildlife species and their ecological environments, and prioritizi"&amp;"ng avoidance solutions to prevent biodiversity damage at the source. This includes avoiding ecologically sensitive areas through site and route adjustments or local solution optimization, avoiding construction operations during key activity periods such a"&amp;"s the breeding, wintering, and migration periods of important species, as well as special protection periods. We are extensively planting trees, planting multi-layered, mixed, near-natural forests, responding to the Global Trillion Trees Initiative, and p"&amp;"lanning the ""One Million Trees per 10,000 Well Sites"" campaign. We are also protecting famous and ancient trees, animal habitats, and major biodiversity conservation measures and actions. Since 2008, Daqing Oilfield has been carrying out ecological and "&amp;"environmental restoration, as well as biodiversity monitoring and protection efforts in the Guowu Lake area.")</f>
        <v>For more information, see the case study Nature-Based Solutions (NbS). Daqing Oilfield is actively developing the Guowu Lake Biodiversity Conservation Area and carrying out green mine creation activities. In the past three years, a total of 72 oil and gas field enterprises or units have been included in the 2022 Green Mine List. We are protecting, restoring, and promoting sustainable land use. We are making every effort to reduce arable land occupation, ensuring soil and water conservation, and restoring vegetation. We are working to restore the ecological environment in the operating area. We are actively conducting environmental impact assessments for construction projects, investigating wildlife species and their ecological environments, and prioritizing avoidance solutions to prevent biodiversity damage at the source. This includes avoiding ecologically sensitive areas through site and route adjustments or local solution optimization, avoiding construction operations during key activity periods such as the breeding, wintering, and migration periods of important species, as well as special protection periods. We are extensively planting trees, planting multi-layered, mixed, near-natural forests, responding to the Global Trillion Trees Initiative, and planning the "One Million Trees per 10,000 Well Sites" campaign. We are also protecting famous and ancient trees, animal habitats, and major biodiversity conservation measures and actions. Since 2008, Daqing Oilfield has been carrying out ecological and environmental restoration, as well as biodiversity monitoring and protection efforts in the Guowu Lake area.</v>
      </c>
      <c r="B6149" s="1" t="str">
        <f ca="1">IFERROR(__xludf.DUMMYFUNCTION("GOOGLETRANSLATE(A6149, ""zh"", ""en"")"),"biodiversity")</f>
        <v>biodiversity</v>
      </c>
      <c r="C6149" s="1" t="str">
        <f ca="1">IFERROR(__xludf.DUMMYFUNCTION("GOOGLETRANSLATE(E6149, ""zh"", ""en"")"),"Quantitative Text")</f>
        <v>Quantitative Text</v>
      </c>
    </row>
    <row r="6150" spans="1:3" ht="13" x14ac:dyDescent="0.15">
      <c r="A6150" s="1" t="str">
        <f ca="1">IFERROR(__xludf.DUMMYFUNCTION("GOOGLETRANSLATE(A6150, ""zh"", ""en"")"),"Corporate Strategy, State-owned Enterprise Corporate Governance Demonstration Enterprise, National Fourth Batch of Multimodal Transport Demonstration Project, Tax Credit Rating A-Class Enterprise, State-owned Assets Supervision and Administration Commissi"&amp;"on of the State Council, Ministry of Transport, State Administration of Taxation, Tianjin Taxation Bureau, 2022, 2022, 2022 Top 50 Chinese Logistics Enterprises, 2021 Top 50 Chinese Logistics Enterprises, Tax Credit Rating A-Class Enterprise, China Federa"&amp;"tion of Logistics and Purchasing, China Federation of Logistics and Purchasing, State Administration of Taxation, Tianjin Taxation Bureau, 2022, 2021, 2021 National Supply Chain Innovation and Application Demonstration Enterprise, 2020 Top 50 Chinese Logi"&amp;"stics Enterprises, Tax Credit Rating A-Class Enterprise, Ministry of Commerce and 8 other organizations, China Federation of Logistics and Purchasing, State Administration of Taxation, Tianjin Taxation Bureau, 2021, 2020, 2020 China Storage Development Co"&amp;"., Ltd., 910 Corporate Governance, Party Building Leads Board Building, Compliance Operation, Integrity Education, 1112 China Storage Development Co., Ltd. 2022 Social Responsibility and ESG Report. Guided by Xi Jinping Thought on Socialism with Chinese C"&amp;"haracteristics for a New Era, the Company fully implements the spirit of the National Conference on Party Building in State-owned Enterprises, upholds Party leadership, strengthens Party building, and gives full play to the Party Committee's role in guidi"&amp;"ng direction, managing the overall situation, and ensuring implementation.")</f>
        <v>Corporate Strategy, State-owned Enterprise Corporate Governance Demonstration Enterprise, National Fourth Batch of Multimodal Transport Demonstration Project, Tax Credit Rating A-Class Enterprise, State-owned Assets Supervision and Administration Commission of the State Council, Ministry of Transport, State Administration of Taxation, Tianjin Taxation Bureau, 2022, 2022, 2022 Top 50 Chinese Logistics Enterprises, 2021 Top 50 Chinese Logistics Enterprises, Tax Credit Rating A-Class Enterprise, China Federation of Logistics and Purchasing, China Federation of Logistics and Purchasing, State Administration of Taxation, Tianjin Taxation Bureau, 2022, 2021, 2021 National Supply Chain Innovation and Application Demonstration Enterprise, 2020 Top 50 Chinese Logistics Enterprises, Tax Credit Rating A-Class Enterprise, Ministry of Commerce and 8 other organizations, China Federation of Logistics and Purchasing, State Administration of Taxation, Tianjin Taxation Bureau, 2021, 2020, 2020 China Storage Development Co., Ltd., 910 Corporate Governance, Party Building Leads Board Building, Compliance Operation, Integrity Education, 1112 China Storage Development Co., Ltd. 2022 Social Responsibility and ESG Report. Guided by Xi Jinping Thought on Socialism with Chinese Characteristics for a New Era, the Company fully implements the spirit of the National Conference on Party Building in State-owned Enterprises, upholds Party leadership, strengthens Party building, and gives full play to the Party Committee's role in guiding direction, managing the overall situation, and ensuring implementation.</v>
      </c>
      <c r="B6150" s="1" t="str">
        <f ca="1">IFERROR(__xludf.DUMMYFUNCTION("GOOGLETRANSLATE(A6150, ""zh"", ""en"")"),"Organizational structure and operations")</f>
        <v>Organizational structure and operations</v>
      </c>
      <c r="C6150" s="1" t="str">
        <f ca="1">IFERROR(__xludf.DUMMYFUNCTION("GOOGLETRANSLATE(E6150, ""zh"", ""en"")"),"Qualitative text")</f>
        <v>Qualitative text</v>
      </c>
    </row>
    <row r="6151" spans="1:3" ht="13" x14ac:dyDescent="0.15">
      <c r="A6151" s="1" t="str">
        <f ca="1">IFERROR(__xludf.DUMMYFUNCTION("GOOGLETRANSLATE(A6151, ""zh"", ""en"")"),"2022CorporateSocialResponsibilityReport109Main Action Strategies for Waste ManagementPrefer zero landfill for waste disposalReducing the long-term environmental impact of waste disposalAssessing the socialized recycling and disposal of wasteProactively ex"&amp;"ploring new value points for waste in the social chainInitiating medical waste reduction projectsRegularly assess the disposal volume of major pollutant producersTransferring reduction pressureEHS five-year strategic goalTotal waste intensityCritical inte"&amp;"nsity to reach 23.166 kg in 20257RMB Revenue202 The five-year target is a 10% decrease compared to 2019, meaning the annual increase shall not exceed 10%. Performance target completion status: 2021 target value VS actual value; 2022 target value VS actual"&amp;" value; Total waste intensity: kg/10,000 yuan revenue: 25.225 VS 17.01 24.72 V 515.72; Hazardous waste intensity: kg/10,000 yuan revenue: 2.15 V 51.53 2.36 V 51.72; Comprehensive utilization is listed as the five-year EHS strategic goal. Fosun Pharma Grou"&amp;"p will recycle its internal waste. The total waste intensity value in 2022 is 15.72 thousand grams, with a revenue of 10,000 yuan, achieving the current target.")</f>
        <v>2022CorporateSocialResponsibilityReport109Main Action Strategies for Waste ManagementPrefer zero landfill for waste disposalReducing the long-term environmental impact of waste disposalAssessing the socialized recycling and disposal of wasteProactively exploring new value points for waste in the social chainInitiating medical waste reduction projectsRegularly assess the disposal volume of major pollutant producersTransferring reduction pressureEHS five-year strategic goalTotal waste intensityCritical intensity to reach 23.166 kg in 20257RMB Revenue202 The five-year target is a 10% decrease compared to 2019, meaning the annual increase shall not exceed 10%. Performance target completion status: 2021 target value VS actual value; 2022 target value VS actual value; Total waste intensity: kg/10,000 yuan revenue: 25.225 VS 17.01 24.72 V 515.72; Hazardous waste intensity: kg/10,000 yuan revenue: 2.15 V 51.53 2.36 V 51.72; Comprehensive utilization is listed as the five-year EHS strategic goal. Fosun Pharma Group will recycle its internal waste. The total waste intensity value in 2022 is 15.72 thousand grams, with a revenue of 10,000 yuan, achieving the current target.</v>
      </c>
      <c r="B6151" s="1" t="str">
        <f ca="1">IFERROR(__xludf.DUMMYFUNCTION("GOOGLETRANSLATE(A6151, ""zh"", ""en"")"),"Waste Management")</f>
        <v>Waste Management</v>
      </c>
      <c r="C6151" s="1" t="str">
        <f ca="1">IFERROR(__xludf.DUMMYFUNCTION("GOOGLETRANSLATE(E6151, ""zh"", ""en"")"),"Quantitative Text")</f>
        <v>Quantitative Text</v>
      </c>
    </row>
    <row r="6152" spans="1:3" ht="13" x14ac:dyDescent="0.15">
      <c r="A6152" s="1" t="str">
        <f ca="1">IFERROR(__xludf.DUMMYFUNCTION("GOOGLETRANSLATE(A6152, ""zh"", ""en"")"),"Qingdao Hisense Global R&amp;D Center Headquarters Hisense Shenzhen R&amp;D Center 27Corporate Social Responsibility Report 202228Social ResponsibilityInnovative ProductsThe industry's first 110-inch 8K MiniLED TVLCD TVThe industry's first Vidda music TV with AI "&amp;"beautiful sound functionE8HHisense TV E8HULEDXReference-level imaging500-zone MiniLED5000 backlight zones2500nit stable peak brightnessSelf-developed 8KAl picture quality chipExtreme light control and precision to meet The E8H series of TV products was la"&amp;"unched to meet the needs of game and movie enthusiasts. It was the first in the industry to cooperate with JBL to customize the speaker strategy and introduce Kugou's 40 million music library and over one million karaoke songs. The Hisense ULEDX reference"&amp;"-level image was created with precise color reproduction. The integrated TV cabinet sound design achieved 144Hz high refresh rate and 2.7ms ultra-low latency. The game mode and E0.96 high color accuracy were greatly improved. The microphone was deeply tun"&amp;"ed for the home karaoke scene to solve the karaoke delay, allowing the whole family to enjoy the perfect unity of home sound and appearance, bringing a cinema-level viewing experience.")</f>
        <v>Qingdao Hisense Global R&amp;D Center Headquarters Hisense Shenzhen R&amp;D Center 27Corporate Social Responsibility Report 202228Social ResponsibilityInnovative ProductsThe industry's first 110-inch 8K MiniLED TVLCD TVThe industry's first Vidda music TV with AI beautiful sound functionE8HHisense TV E8HULEDXReference-level imaging500-zone MiniLED5000 backlight zones2500nit stable peak brightnessSelf-developed 8KAl picture quality chipExtreme light control and precision to meet The E8H series of TV products was launched to meet the needs of game and movie enthusiasts. It was the first in the industry to cooperate with JBL to customize the speaker strategy and introduce Kugou's 40 million music library and over one million karaoke songs. The Hisense ULEDX reference-level image was created with precise color reproduction. The integrated TV cabinet sound design achieved 144Hz high refresh rate and 2.7ms ultra-low latency. The game mode and E0.96 high color accuracy were greatly improved. The microphone was deeply tuned for the home karaoke scene to solve the karaoke delay, allowing the whole family to enjoy the perfect unity of home sound and appearance, bringing a cinema-level viewing experience.</v>
      </c>
      <c r="B6152" s="1" t="str">
        <f ca="1">IFERROR(__xludf.DUMMYFUNCTION("GOOGLETRANSLATE(A6152, ""zh"", ""en"")"),"Product quality")</f>
        <v>Product quality</v>
      </c>
      <c r="C6152" s="1" t="str">
        <f ca="1">IFERROR(__xludf.DUMMYFUNCTION("GOOGLETRANSLATE(E6152, ""zh"", ""en"")"),"Qualitative text")</f>
        <v>Qualitative text</v>
      </c>
    </row>
    <row r="6153" spans="1:3" ht="13" x14ac:dyDescent="0.15">
      <c r="A6153" s="1" t="str">
        <f ca="1">IFERROR(__xludf.DUMMYFUNCTION("GOOGLETRANSLATE(A6153, ""zh"", ""en"")"),"Indicator Unit 2022 2021 2020 Oily wastewater that meets discharge standards cubic 261.48259.38248.97 Volume of crushed domestic garbage discharged into the sea ton 221.42356.72117.87 Volume of mud that meets discharge standards ton 64831.9156111.6548422."&amp;"03 Total waste discharge ton 84932.4189894.6980530.52 Unit output value Waste discharge ton 10,000 yuan 0.030.050.03 Total hazardous waste discharge ton 19043.0918248.9820 920.56 Hazardous waste emissions per unit of output value, tons, ten thousand yuan "&amp;"0.010.010.01 Total non-hazardous waste emissions, tons 65889.3271645.7159609.00 Non-hazardous waste emissions per unit of output value, tons, ten thousand yuan 0.030.040.03 Statistics of discharge standards in China's sea areas in 202022 According to the "&amp;"latest statistical requirements of the National Hazardous Waste List released in 2021, some of the original non-hazardous wastes were adjusted to hazardous wastes, resulting in an increase in the total hazardous waste emissions in 2022, while the total no"&amp;"n-hazardous waste emissions decreased accordingly.")</f>
        <v>Indicator Unit 2022 2021 2020 Oily wastewater that meets discharge standards cubic 261.48259.38248.97 Volume of crushed domestic garbage discharged into the sea ton 221.42356.72117.87 Volume of mud that meets discharge standards ton 64831.9156111.6548422.03 Total waste discharge ton 84932.4189894.6980530.52 Unit output value Waste discharge ton 10,000 yuan 0.030.050.03 Total hazardous waste discharge ton 19043.0918248.9820 920.56 Hazardous waste emissions per unit of output value, tons, ten thousand yuan 0.010.010.01 Total non-hazardous waste emissions, tons 65889.3271645.7159609.00 Non-hazardous waste emissions per unit of output value, tons, ten thousand yuan 0.030.040.03 Statistics of discharge standards in China's sea areas in 202022 According to the latest statistical requirements of the National Hazardous Waste List released in 2021, some of the original non-hazardous wastes were adjusted to hazardous wastes, resulting in an increase in the total hazardous waste emissions in 2022, while the total non-hazardous waste emissions decreased accordingly.</v>
      </c>
      <c r="B6153" s="1" t="str">
        <f ca="1">IFERROR(__xludf.DUMMYFUNCTION("GOOGLETRANSLATE(A6153, ""zh"", ""en"")"),"Waste Management")</f>
        <v>Waste Management</v>
      </c>
      <c r="C6153" s="1" t="str">
        <f ca="1">IFERROR(__xludf.DUMMYFUNCTION("GOOGLETRANSLATE(E6153, ""zh"", ""en"")"),"Quantitative Text")</f>
        <v>Quantitative Text</v>
      </c>
    </row>
    <row r="6154" spans="1:3" ht="13" x14ac:dyDescent="0.15">
      <c r="A6154" s="1" t="str">
        <f ca="1">IFERROR(__xludf.DUMMYFUNCTION("GOOGLETRANSLATE(A6154, ""zh"", ""en"")"),"Fine sorting standards, full-process data control, visible data traces, fine sorting, processing, waste sorting and reuse 35340203040506 Protect the planet, explore a green and low-carbon future, integrate people and singles, promote diversified and inclu"&amp;"sive development, responsible procurement, create a sustainable supply chain, intelligent experience, lead a better life, unite hearts and minds, and promote equitable development 01 Global collaborative sustainable governance ecology Haier Smart Home Co."&amp;", Ltd. Environmental, Social and Governance Report 2022 The company's production and operation process emissions are as follows: 1 2022 data Total wastewater discharge 2 tons 2958430.86 Total hazardous waste discharge tons 1 15.9533 million yuan output va"&amp;"lue Hazardous waste emissions kg 10,000 yuan 0.48 Total amount of non-hazardous waste treated ton 208045.41 Unit of non-hazardous waste treated kg 8.54 Total greenhouse gas emissions 34 tons CO2 equivalent 854562.89 Category 1 greenhouse gases 5 tons CO2 "&amp;"equivalent 123867.77 Category 2 greenhouse gases 5 tons CO2 equivalent 73069511 million yuan output value Greenhouse gas emissions kg CO2 equivalent 10,000 yuan 35.09 Note 1. This data includes Haier Smart Home's domestic and overseas factories that have "&amp;"been put into production in 2022.")</f>
        <v>Fine sorting standards, full-process data control, visible data traces, fine sorting, processing, waste sorting and reuse 35340203040506 Protect the planet, explore a green and low-carbon future, integrate people and singles, promote diversified and inclusive development, responsible procurement, create a sustainable supply chain, intelligent experience, lead a better life, unite hearts and minds, and promote equitable development 01 Global collaborative sustainable governance ecology Haier Smart Home Co., Ltd. Environmental, Social and Governance Report 2022 The company's production and operation process emissions are as follows: 1 2022 data Total wastewater discharge 2 tons 2958430.86 Total hazardous waste discharge tons 1 15.9533 million yuan output value Hazardous waste emissions kg 10,000 yuan 0.48 Total amount of non-hazardous waste treated ton 208045.41 Unit of non-hazardous waste treated kg 8.54 Total greenhouse gas emissions 34 tons CO2 equivalent 854562.89 Category 1 greenhouse gases 5 tons CO2 equivalent 123867.77 Category 2 greenhouse gases 5 tons CO2 equivalent 73069511 million yuan output value Greenhouse gas emissions kg CO2 equivalent 10,000 yuan 35.09 Note 1. This data includes Haier Smart Home's domestic and overseas factories that have been put into production in 2022.</v>
      </c>
      <c r="B6154" s="1" t="str">
        <f ca="1">IFERROR(__xludf.DUMMYFUNCTION("GOOGLETRANSLATE(A6154, ""zh"", ""en"")"),"Waste Management")</f>
        <v>Waste Management</v>
      </c>
      <c r="C6154" s="1" t="str">
        <f ca="1">IFERROR(__xludf.DUMMYFUNCTION("GOOGLETRANSLATE(E6154, ""zh"", ""en"")"),"Quantitative Text")</f>
        <v>Quantitative Text</v>
      </c>
    </row>
    <row r="6155" spans="1:3" ht="13" x14ac:dyDescent="0.15">
      <c r="A6155" s="1" t="str">
        <f ca="1">IFERROR(__xludf.DUMMYFUNCTION("GOOGLETRANSLATE(A6155, ""zh"", ""en"")"),"Climate Change: Our operating area is located in a seismically active zone. Earthquakes can easily trigger natural disasters such as landslides and subsidence, leading to operational stagnation and financial losses. Mining operations are prone to ground c"&amp;"ollapse and subsidence, which can cause lower groundwater levels and deplete water resources in surrounding areas. As an industry susceptible to heat exposure, global warming will lead to reduced labor productivity. With the increasing global attention to"&amp;" climate change, relevant compliance policies will become stricter, which will increase management costs. High-energy-consuming processes in mining and smelting processes, related to low-carbon transition technology, may cause carbon emissions to be highe"&amp;"r than the industry average, thereby affecting market share. Physical Risks: Transformation Risks: Transformation Opportunities: Operation sites have introduced policies to support enterprises' green transformation, accelerate the promotion and applicatio"&amp;"n of low-carbon production solutions, and support landslides, subsidence, extreme heat, compliance policies, technological innovation policies, and reputation. By strengthening our responsible corporate image, we will gain more market influence and enhanc"&amp;"e stakeholders' confidence in our sustainable development. We have identified the physical risks and transformation risks and transformation opportunities we face as follows: 26 2022 Tibet Mount Everest Sustainability Report: Ecosystems are vital to socia"&amp;"l and economic operations, and the richness of biological species is particularly important for maintaining ecological balance.")</f>
        <v>Climate Change: Our operating area is located in a seismically active zone. Earthquakes can easily trigger natural disasters such as landslides and subsidence, leading to operational stagnation and financial losses. Mining operations are prone to ground collapse and subsidence, which can cause lower groundwater levels and deplete water resources in surrounding areas. As an industry susceptible to heat exposure, global warming will lead to reduced labor productivity. With the increasing global attention to climate change, relevant compliance policies will become stricter, which will increase management costs. High-energy-consuming processes in mining and smelting processes, related to low-carbon transition technology, may cause carbon emissions to be higher than the industry average, thereby affecting market share. Physical Risks: Transformation Risks: Transformation Opportunities: Operation sites have introduced policies to support enterprises' green transformation, accelerate the promotion and application of low-carbon production solutions, and support landslides, subsidence, extreme heat, compliance policies, technological innovation policies, and reputation. By strengthening our responsible corporate image, we will gain more market influence and enhance stakeholders' confidence in our sustainable development. We have identified the physical risks and transformation risks and transformation opportunities we face as follows: 26 2022 Tibet Mount Everest Sustainability Report: Ecosystems are vital to social and economic operations, and the richness of biological species is particularly important for maintaining ecological balance.</v>
      </c>
      <c r="B6155" s="1" t="str">
        <f ca="1">IFERROR(__xludf.DUMMYFUNCTION("GOOGLETRANSLATE(A6155, ""zh"", ""en"")"),"Addressing climate change")</f>
        <v>Addressing climate change</v>
      </c>
      <c r="C6155" s="1" t="str">
        <f ca="1">IFERROR(__xludf.DUMMYFUNCTION("GOOGLETRANSLATE(E6155, ""zh"", ""en"")"),"Qualitative text")</f>
        <v>Qualitative text</v>
      </c>
    </row>
    <row r="6156" spans="1:3" ht="13" x14ac:dyDescent="0.15">
      <c r="A6156" s="1" t="str">
        <f ca="1">IFERROR(__xludf.DUMMYFUNCTION("GOOGLETRANSLATE(A6156, ""zh"", ""en"")"),"64. Innovation for Good Health. Continuously innovate and enjoy good health. Continuously promote green supply chain projects. As of the end of 2022, the Group has cumulatively implemented 434 green supply chain applications to suppliers. Establishing an "&amp;"annual supplier quality audit system to ensure drug quality at the source. In 2022, the number of suppliers rejected by member companies of the Group was 23. Green supply chain audits were conducted on 103 major suppliers in 2022. Green supply chain audit"&amp;"s were implemented on 11 raw material and 8 packaging material suppliers. Adhering to the principle of transparency and quality as the first priority in procurement, Fosun Pharma Group continuously promotes lean supply chain management. Suppliers of Fosun"&amp;" Pharma Group are spread across the globe, including more than 30 provinces, municipalities, autonomous regions, Hong Kong, Macao and other regions in China, as well as many countries overseas. 2022 Corporate Social Responsibility Report 65. Supplier Mana"&amp;"gement System. Fosun Pharma Group prioritizes transparency and quality. Fosun Pharma Group strictly implements the published procurement principles. Working with upstream and downstream suppliers, it builds and improves existing management systems, furthe"&amp;"r standardizes partnerships, and creates a lasting business ecosystem with excellent labor complementarity and standardized procurement management.")</f>
        <v>64. Innovation for Good Health. Continuously innovate and enjoy good health. Continuously promote green supply chain projects. As of the end of 2022, the Group has cumulatively implemented 434 green supply chain applications to suppliers. Establishing an annual supplier quality audit system to ensure drug quality at the source. In 2022, the number of suppliers rejected by member companies of the Group was 23. Green supply chain audits were conducted on 103 major suppliers in 2022. Green supply chain audits were implemented on 11 raw material and 8 packaging material suppliers. Adhering to the principle of transparency and quality as the first priority in procurement, Fosun Pharma Group continuously promotes lean supply chain management. Suppliers of Fosun Pharma Group are spread across the globe, including more than 30 provinces, municipalities, autonomous regions, Hong Kong, Macao and other regions in China, as well as many countries overseas. 2022 Corporate Social Responsibility Report 65. Supplier Management System. Fosun Pharma Group prioritizes transparency and quality. Fosun Pharma Group strictly implements the published procurement principles. Working with upstream and downstream suppliers, it builds and improves existing management systems, further standardizes partnerships, and creates a lasting business ecosystem with excellent labor complementarity and standardized procurement management.</v>
      </c>
      <c r="B6156" s="1" t="str">
        <f ca="1">IFERROR(__xludf.DUMMYFUNCTION("GOOGLETRANSLATE(A6156, ""zh"", ""en"")"),"supply chain management")</f>
        <v>supply chain management</v>
      </c>
      <c r="C6156" s="1" t="str">
        <f ca="1">IFERROR(__xludf.DUMMYFUNCTION("GOOGLETRANSLATE(E6156, ""zh"", ""en"")"),"Quantitative Text")</f>
        <v>Quantitative Text</v>
      </c>
    </row>
    <row r="6157" spans="1:3" ht="13" x14ac:dyDescent="0.15">
      <c r="A6157" s="1" t="str">
        <f ca="1">IFERROR(__xludf.DUMMYFUNCTION("GOOGLETRANSLATE(A6157, ""zh"", ""en"")"),"Milestones of the Patient Care and Welfare Program include the International Tumor Pain Care Day in June 2022, the joint efforts of Wanbang District Pharmaceutical and Mi Yangguang Patient in July 2022, and the early morning activities of the China Anti-D"&amp;"isease Association in April 2022. Among them, the Fudan University affiliated organizers invited Professor Chen Chunhong, Director of the Tuberous Sclerosis Committee of Beijing Children's Hospital Affiliated to Capital University of Science and Technolog"&amp;"y, Professor of the First Children's Hospital Affiliated to Guangxi Medical University, and Professor Ding Yifeng, Director of the Children's Committee of Peking University People's Hospital Affiliated to Fudan University, to introduce the pediatric epide"&amp;"mic patient assistance program to multiple hospitals including the First Affiliated Hospital of Zhengzhou University. A special science lecture on the patient care and welfare plan was held, and the patient assistance plan was promoted and explained in de"&amp;"tail. A detailed introduction and Q&amp;A session were given to help improve the level of primary medical care. In order to implement the new era rural revitalization health demonstration project with the focus on the grassroots, hand in hand with rural medic"&amp;"al care, the Party’s health and health work policy responded to public welfare projects such as the Healthy China Talent Revitalization Plan, and launched a strategic cooperation with the Shanghai Song Qinglue Rural Revitalization Strategy and the Active "&amp;"Response to Population Aging Foundation, which is committed to improving the quality and level of public health services at the grassroots level. In September 2021, Fosun Pharma and Shanghai Fosun Public Health Fund jointly promoted the development of rur"&amp;"al health.")</f>
        <v>Milestones of the Patient Care and Welfare Program include the International Tumor Pain Care Day in June 2022, the joint efforts of Wanbang District Pharmaceutical and Mi Yangguang Patient in July 2022, and the early morning activities of the China Anti-Disease Association in April 2022. Among them, the Fudan University affiliated organizers invited Professor Chen Chunhong, Director of the Tuberous Sclerosis Committee of Beijing Children's Hospital Affiliated to Capital University of Science and Technology, Professor of the First Children's Hospital Affiliated to Guangxi Medical University, and Professor Ding Yifeng, Director of the Children's Committee of Peking University People's Hospital Affiliated to Fudan University, to introduce the pediatric epidemic patient assistance program to multiple hospitals including the First Affiliated Hospital of Zhengzhou University. A special science lecture on the patient care and welfare plan was held, and the patient assistance plan was promoted and explained in detail. A detailed introduction and Q&amp;A session were given to help improve the level of primary medical care. In order to implement the new era rural revitalization health demonstration project with the focus on the grassroots, hand in hand with rural medical care, the Party’s health and health work policy responded to public welfare projects such as the Healthy China Talent Revitalization Plan, and launched a strategic cooperation with the Shanghai Song Qinglue Rural Revitalization Strategy and the Active Response to Population Aging Foundation, which is committed to improving the quality and level of public health services at the grassroots level. In September 2021, Fosun Pharma and Shanghai Fosun Public Health Fund jointly promoted the development of rural health.</v>
      </c>
      <c r="B6157" s="1" t="str">
        <f ca="1">IFERROR(__xludf.DUMMYFUNCTION("GOOGLETRANSLATE(A6157, ""zh"", ""en"")"),"Public welfare and volunteer service")</f>
        <v>Public welfare and volunteer service</v>
      </c>
      <c r="C6157" s="1" t="str">
        <f ca="1">IFERROR(__xludf.DUMMYFUNCTION("GOOGLETRANSLATE(E6157, ""zh"", ""en"")"),"Qualitative text")</f>
        <v>Qualitative text</v>
      </c>
    </row>
    <row r="6158" spans="1:3" ht="13" x14ac:dyDescent="0.15">
      <c r="A6158" s="1" t="str">
        <f ca="1">IFERROR(__xludf.DUMMYFUNCTION("GOOGLETRANSLATE(A6158, ""zh"", ""en"")"),"Paired Assistance On November 23, 2022, Wuchan Zhongda Group donated RMB 280,000 in special funds for the green oil tea base to Xijie Subdistrict. 0438 Statistics of Targeted Assistance Work by Listed Companies in 2022 Unit: 10,000 Yuan Currency: RMB Indi"&amp;"cator 1 Overall Situation 1. Funds 2. Discount of Materials 2. Investment in 56061. Industrial Development Assistance 1.1 Types of Industrial Assistance Projects 1.2 Number of Industrial Assistance Projects 4.2 Number of Students from Families with Financ"&amp;"ial Difficulties 1.3 Investment Amount in Industrial Assistance Projects 4.3 Investment Amount in Improving Educational Resources in Assisted Areas 5. Health Assistance 6. Ecological Protection Assistance 7. Safety Net Guarantee 8. Social assistance 8.2 I"&amp;"nvestment amount for targeted assistance 8.3 Assistance public welfare fund 9. Other projects 9.2 Investment amount 2. Transfer employment assistance 3. Relocation assistance 4. Education assistance 4.1 Aid for students from poor families Investment amoun"&amp;"t 8.1 East-West cooperation Investment amount 9.1 Number of projects 60 17.7 Agricultural and forestry industry assistance Tourism assistance E-commerce assistance Asset income assistance Technology assistance Others 52.3490116 Quantity and implementation"&amp;" status 39 Since 2018, we have been carrying out poverty alleviation and agricultural assistance for many years, with a total purchase of agricultural and sideline products such as mushrooms, black fungus, and mung beans worth more than 3 million yuan.")</f>
        <v>Paired Assistance On November 23, 2022, Wuchan Zhongda Group donated RMB 280,000 in special funds for the green oil tea base to Xijie Subdistrict. 0438 Statistics of Targeted Assistance Work by Listed Companies in 2022 Unit: 10,000 Yuan Currency: RMB Indicator 1 Overall Situation 1. Funds 2. Discount of Materials 2. Investment in 56061. Industrial Development Assistance 1.1 Types of Industrial Assistance Projects 1.2 Number of Industrial Assistance Projects 4.2 Number of Students from Families with Financial Difficulties 1.3 Investment Amount in Industrial Assistance Projects 4.3 Investment Amount in Improving Educational Resources in Assisted Areas 5. Health Assistance 6. Ecological Protection Assistance 7. Safety Net Guarantee 8. Social assistance 8.2 Investment amount for targeted assistance 8.3 Assistance public welfare fund 9. Other projects 9.2 Investment amount 2. Transfer employment assistance 3. Relocation assistance 4. Education assistance 4.1 Aid for students from poor families Investment amount 8.1 East-West cooperation Investment amount 9.1 Number of projects 60 17.7 Agricultural and forestry industry assistance Tourism assistance E-commerce assistance Asset income assistance Technology assistance Others 52.3490116 Quantity and implementation status 39 Since 2018, we have been carrying out poverty alleviation and agricultural assistance for many years, with a total purchase of agricultural and sideline products such as mushrooms, black fungus, and mung beans worth more than 3 million yuan.</v>
      </c>
      <c r="B6158" s="1" t="str">
        <f ca="1">IFERROR(__xludf.DUMMYFUNCTION("GOOGLETRANSLATE(A6158, ""zh"", ""en"")"),"Rural assistance")</f>
        <v>Rural assistance</v>
      </c>
      <c r="C6158" s="1" t="str">
        <f ca="1">IFERROR(__xludf.DUMMYFUNCTION("GOOGLETRANSLATE(E6158, ""zh"", ""en"")"),"Quantitative Text")</f>
        <v>Quantitative Text</v>
      </c>
    </row>
    <row r="6159" spans="1:3" ht="13" x14ac:dyDescent="0.15">
      <c r="A6159" s="1" t="str">
        <f ca="1">IFERROR(__xludf.DUMMYFUNCTION("GOOGLETRANSLATE(A6159, ""zh"", ""en"")"),"SDIC Capital's risk management governance structure has four levels and three lines of defense. Comprehensive risk management system. Risk coverage. Business with full employee participation. Risk culture. Board level. Management level. Each holding inves"&amp;"tment enterprise level. SDIC Capital's functional department level. Risk and Compliance Management Committee. Securities business. Trust business. Fund business. Board of Directors' Audit and Risk Management Committee. Risk Compliance Department. Credit r"&amp;"isk. Operational risk. Money laundering and terrorist financing risk. Market risk. Legal compliance risk. Other functional departments. Audit department. Liquidity risk. Country risk. Information technology risk. Reputation risk. Strategic risk. Other ris"&amp;"ks. Management level. Risk governance has three lines of defense. First line of defense. Second line of defense. Third line of defense. Business departments of investment enterprises. Internal and external audit functions of SDIC Capital headquarters and "&amp;"risk management departments of investment enterprises. Identify, assess, respond to and report risks at the front end of the business. Take primary responsibility for the risks faced by itself. Formulate risk management policies, systems and processes. Pr"&amp;"opose risk response measures. Audit and supervise risk management processes and various risk control activities. 123 SDIC Capital 2022 ESG Report. Lay a solid foundation for sustainable development. 2829 Risk Management System. SDIC Capital takes full con"&amp;"trol as its risk management goal. On the basis of the basic risk management system, it adds core risk management systems and continuously improves the risk management system.")</f>
        <v>SDIC Capital's risk management governance structure has four levels and three lines of defense. Comprehensive risk management system. Risk coverage. Business with full employee participation. Risk culture. Board level. Management level. Each holding investment enterprise level. SDIC Capital's functional department level. Risk and Compliance Management Committee. Securities business. Trust business. Fund business. Board of Directors' Audit and Risk Management Committee. Risk Compliance Department. Credit risk. Operational risk. Money laundering and terrorist financing risk. Market risk. Legal compliance risk. Other functional departments. Audit department. Liquidity risk. Country risk. Information technology risk. Reputation risk. Strategic risk. Other risks. Management level. Risk governance has three lines of defense. First line of defense. Second line of defense. Third line of defense. Business departments of investment enterprises. Internal and external audit functions of SDIC Capital headquarters and risk management departments of investment enterprises. Identify, assess, respond to and report risks at the front end of the business. Take primary responsibility for the risks faced by itself. Formulate risk management policies, systems and processes. Propose risk response measures. Audit and supervise risk management processes and various risk control activities. 123 SDIC Capital 2022 ESG Report. Lay a solid foundation for sustainable development. 2829 Risk Management System. SDIC Capital takes full control as its risk management goal. On the basis of the basic risk management system, it adds core risk management systems and continuously improves the risk management system.</v>
      </c>
      <c r="B6159" s="1" t="str">
        <f ca="1">IFERROR(__xludf.DUMMYFUNCTION("GOOGLETRANSLATE(A6159, ""zh"", ""en"")"),"Organizational structure and operations")</f>
        <v>Organizational structure and operations</v>
      </c>
      <c r="C6159" s="1" t="str">
        <f ca="1">IFERROR(__xludf.DUMMYFUNCTION("GOOGLETRANSLATE(E6159, ""zh"", ""en"")"),"Qualitative text")</f>
        <v>Qualitative text</v>
      </c>
    </row>
    <row r="6160" spans="1:3" ht="13" x14ac:dyDescent="0.15">
      <c r="A6160" s="1" t="str">
        <f ca="1">IFERROR(__xludf.DUMMYFUNCTION("GOOGLETRANSLATE(A6160, ""zh"", ""en"")"),"Our goals address major issues Carbon emissions Energy use Water use Electronic waste Green products Climate change Hong Kong Stock Exchange ESG indicators A1 Emissions A2 Resource use A4 Climate change B6 Product responsibility 13-year goals 2022 goal ac"&amp;"hievement status Domestic manufacturing environmental goals Taking 2021 as the base year, we will strive to reduce greenhouse gas emissions per 10,000 yuan of output value by 3% in 2022, while maintaining output value growth. Taking 2021 as the base year,"&amp;" we will strive to reduce energy consumption per 10,000 yuan of output value by 3% in 2022, while maintaining output value growth. Taking 2021 as the base year, we will strive to reduce energy consumption per 10,000 yuan of output value by 3% in 2022, whi"&amp;"le maintaining output value growth. We strive to reduce water consumption per 10,000 yuan of output value by 3% by 2022. Using 2021 as the base year, we strive to reduce the amount of non-hazardous waste handled per unit product by 3% by 2022. While maint"&amp;"aining output growth, we strive to reduce hazardous waste handled per 10,000 yuan of output value by 3% by 2022, and achieve 100% compliance. We have achieved the SDG Sustainable Development Goals in response. In order to more accurately understand our ow"&amp;"n carbon emissions in 2022, we conducted a carbon inventory of 43 complete machine factories in China using 2021 as the base year. The inventory covers all Scope 1, Scope 2, and some Scope 3 greenhouse gas emissions.")</f>
        <v>Our goals address major issues Carbon emissions Energy use Water use Electronic waste Green products Climate change Hong Kong Stock Exchange ESG indicators A1 Emissions A2 Resource use A4 Climate change B6 Product responsibility 13-year goals 2022 goal achievement status Domestic manufacturing environmental goals Taking 2021 as the base year, we will strive to reduce greenhouse gas emissions per 10,000 yuan of output value by 3% in 2022, while maintaining output value growth. Taking 2021 as the base year, we will strive to reduce energy consumption per 10,000 yuan of output value by 3% in 2022, while maintaining output value growth. Taking 2021 as the base year, we will strive to reduce energy consumption per 10,000 yuan of output value by 3% in 2022, while maintaining output value growth. We strive to reduce water consumption per 10,000 yuan of output value by 3% by 2022. Using 2021 as the base year, we strive to reduce the amount of non-hazardous waste handled per unit product by 3% by 2022. While maintaining output growth, we strive to reduce hazardous waste handled per 10,000 yuan of output value by 3% by 2022, and achieve 100% compliance. We have achieved the SDG Sustainable Development Goals in response. In order to more accurately understand our own carbon emissions in 2022, we conducted a carbon inventory of 43 complete machine factories in China using 2021 as the base year. The inventory covers all Scope 1, Scope 2, and some Scope 3 greenhouse gas emissions.</v>
      </c>
      <c r="B6160" s="1" t="str">
        <f ca="1">IFERROR(__xludf.DUMMYFUNCTION("GOOGLETRANSLATE(A6160, ""zh"", ""en"")"),"carbon emissions")</f>
        <v>carbon emissions</v>
      </c>
      <c r="C6160" s="1" t="str">
        <f ca="1">IFERROR(__xludf.DUMMYFUNCTION("GOOGLETRANSLATE(E6160, ""zh"", ""en"")"),"Quantitative Text")</f>
        <v>Quantitative Text</v>
      </c>
    </row>
    <row r="6161" spans="1:3" ht="13" x14ac:dyDescent="0.15">
      <c r="A6161" s="1" t="str">
        <f ca="1">IFERROR(__xludf.DUMMYFUNCTION("GOOGLETRANSLATE(A6161, ""zh"", ""en"")"),"II. Stakeholder Communication Client Visits Satisfaction Surveys Client Complaint Hotline Shareholder Meetings Regular Corporate Reports Shareholder Hotline Email SSE e-Interactive Platform Face-to-Face Communication Major Meetings Policy Consultation Eve"&amp;"nt Reporting Institutional Inspections Official Correspondence Information Submission Employee Suggestion Box Trade Union Employee Satisfaction Surveys Employee Activities Investor Education Data Security and Privacy Protection Services Real Economy Finte"&amp;"ch Compliance Operations Investor Education Services Real Economy Industry Culture Building Climate Change Corporate Governance Compliance Operations Climate Change Responsible Investment Anti-Corruption Industry Exchanges Employee Rights Talent Attractio"&amp;"n and Retention Employee Health and Safety Employee Training and Development Employee Communication Sustainable Supply Chain Management Anti-Corruption Climate Change Responsible Investment Social Welfare Industry Exchanges Rural Revitalization Climate Ch"&amp;"ange Carbon Emissions Climate Change Green Finance Responsible Investment Employee Training and Development Data Security and Privacy Protection Anti-Corruption Corporate Governance Major Stakeholders Clients, Shareholders and Investors Government and Reg"&amp;"ulators Employees Major Communication Channels Major Topics Supplier Inspections and Communication Meetings Charity Activities Community Interaction Suppliers and Partners Community and the Public Annual Reports Business Correspondence ESG Rating Agencies"&amp;" 13 CITIC Securities 2022 Annual Social Responsibility Report Actively communicate with key stakeholders to understand their views on important issues and conduct analysis on important ESG issues.")</f>
        <v>II. Stakeholder Communication Client Visits Satisfaction Surveys Client Complaint Hotline Shareholder Meetings Regular Corporate Reports Shareholder Hotline Email SSE e-Interactive Platform Face-to-Face Communication Major Meetings Policy Consultation Event Reporting Institutional Inspections Official Correspondence Information Submission Employee Suggestion Box Trade Union Employee Satisfaction Surveys Employee Activities Investor Education Data Security and Privacy Protection Services Real Economy Fintech Compliance Operations Investor Education Services Real Economy Industry Culture Building Climate Change Corporate Governance Compliance Operations Climate Change Responsible Investment Anti-Corruption Industry Exchanges Employee Rights Talent Attraction and Retention Employee Health and Safety Employee Training and Development Employee Communication Sustainable Supply Chain Management Anti-Corruption Climate Change Responsible Investment Social Welfare Industry Exchanges Rural Revitalization Climate Change Carbon Emissions Climate Change Green Finance Responsible Investment Employee Training and Development Data Security and Privacy Protection Anti-Corruption Corporate Governance Major Stakeholders Clients, Shareholders and Investors Government and Regulators Employees Major Communication Channels Major Topics Supplier Inspections and Communication Meetings Charity Activities Community Interaction Suppliers and Partners Community and the Public Annual Reports Business Correspondence ESG Rating Agencies 13 CITIC Securities 2022 Annual Social Responsibility Report Actively communicate with key stakeholders to understand their views on important issues and conduct analysis on important ESG issues.</v>
      </c>
      <c r="B6161" s="1" t="str">
        <f ca="1">IFERROR(__xludf.DUMMYFUNCTION("GOOGLETRANSLATE(A6161, ""zh"", ""en"")"),"Information Disclosure and Investor Communication")</f>
        <v>Information Disclosure and Investor Communication</v>
      </c>
      <c r="C6161" s="1" t="str">
        <f ca="1">IFERROR(__xludf.DUMMYFUNCTION("GOOGLETRANSLATE(E6161, ""zh"", ""en"")"),"Qualitative text")</f>
        <v>Qualitative text</v>
      </c>
    </row>
    <row r="6162" spans="1:3" ht="13" x14ac:dyDescent="0.15">
      <c r="A6162" s="1" t="str">
        <f ca="1">IFERROR(__xludf.DUMMYFUNCTION("GOOGLETRANSLATE(A6162, ""zh"", ""en"")"),"92InnovationforGoodHealthContinuous innovationEnjoy healthWater consumption intensitySewage discharge intensityUnitCubic meterTen thousand yuanAgricultural unitHourTen thousand yuanAgricultural times1515L.102.402.652.391.921.711.841.7520162017201820192020"&amp;"20212022203020162017201820192020202120222030CODdischarge intensityAmmonia emission intensityUnitKilogramTen thousand yuanRevenueUnitKilogramTen thousand yuanRevenue150.262150.190.03 0.0380.040.0250.022201620172018201920202021202220252030201620172018201920"&amp;"202021202220252030CertificationEHS management system and certification are issued by an external third-party certification body in accordance with the Law of the People's Republic of China on the Prevention and Control of Occupational Diseases. This marks"&amp;" that the Group's EHS management system has been elevated to a new level in the Group's standardized control measures and in combination with ISO14001 and ISO45001 management standards.")</f>
        <v>92InnovationforGoodHealthContinuous innovationEnjoy healthWater consumption intensitySewage discharge intensityUnitCubic meterTen thousand yuanAgricultural unitHourTen thousand yuanAgricultural times1515L.102.402.652.391.921.711.841.752016201720182019202020212022203020162017201820192020202120222030CODdischarge intensityAmmonia emission intensityUnitKilogramTen thousand yuanRevenueUnitKilogramTen thousand yuanRevenue150.262150.190.03 0.0380.040.0250.022201620172018201920202021202220252030201620172018201920202021202220252030CertificationEHS management system and certification are issued by an external third-party certification body in accordance with the Law of the People's Republic of China on the Prevention and Control of Occupational Diseases. This marks that the Group's EHS management system has been elevated to a new level in the Group's standardized control measures and in combination with ISO14001 and ISO45001 management standards.</v>
      </c>
      <c r="B6162" s="1" t="str">
        <f ca="1">IFERROR(__xludf.DUMMYFUNCTION("GOOGLETRANSLATE(A6162, ""zh"", ""en"")"),"Waste Management")</f>
        <v>Waste Management</v>
      </c>
      <c r="C6162" s="1" t="str">
        <f ca="1">IFERROR(__xludf.DUMMYFUNCTION("GOOGLETRANSLATE(E6162, ""zh"", ""en"")"),"Quantitative Text")</f>
        <v>Quantitative Text</v>
      </c>
    </row>
    <row r="6163" spans="1:3" ht="13" x14ac:dyDescent="0.15">
      <c r="A6163" s="1" t="str">
        <f ca="1">IFERROR(__xludf.DUMMYFUNCTION("GOOGLETRANSLATE(A6163, ""zh"", ""en"")"),"FOSUNPHARMA Fosun Pharma 70 Innovatian for Good Health, Innovative for Good Health. The Group has a total of 38,399 employees, of which 51.52 are male, 48.48 are female, and nearly 72.02 are employees under the age of 40. The Group has 6,426 overseas empl"&amp;"oyees, mainly in the United States, Switzerland, Poland, India, France, and Israel. The number of PhDs is 586, a year-on-year increase of 29.65%. The number of hard-working people is 4,989, a year-on-year increase of 13.41%. In 2022, there were 0 confirme"&amp;"d cases of occupational diseases, 0 serious disability accidents, and a loss of work time accident rate of 0.101, a year-on-year increase of 40.6%. Leading Development Series Special Business Development Series General Occupational Skills Series Recordabl"&amp;"e Accident Rate 0.202 Year-on-year 43.1 Average EHS Training Hours 15.37h Average Number of Times 92022 Corporate Social Responsibility Report 71 HR Strategic Goals and Policy Goals Focusing on the Group's 4IN Strategy Human Resources Professional Team Le"&amp;"ads the Group's Human Resources Work Objectives to Drive Organizational Change For the Development of Strategic Goals, Provide Professional and Efficient Organizational Talent Mechanisms and Consulting Teams Responsible for Talent Cultivation and Implemen"&amp;"tation of Consulting Teams to Improve the Company's Human Resources Management Level")</f>
        <v>FOSUNPHARMA Fosun Pharma 70 Innovatian for Good Health, Innovative for Good Health. The Group has a total of 38,399 employees, of which 51.52 are male, 48.48 are female, and nearly 72.02 are employees under the age of 40. The Group has 6,426 overseas employees, mainly in the United States, Switzerland, Poland, India, France, and Israel. The number of PhDs is 586, a year-on-year increase of 29.65%. The number of hard-working people is 4,989, a year-on-year increase of 13.41%. In 2022, there were 0 confirmed cases of occupational diseases, 0 serious disability accidents, and a loss of work time accident rate of 0.101, a year-on-year increase of 40.6%. Leading Development Series Special Business Development Series General Occupational Skills Series Recordable Accident Rate 0.202 Year-on-year 43.1 Average EHS Training Hours 15.37h Average Number of Times 92022 Corporate Social Responsibility Report 71 HR Strategic Goals and Policy Goals Focusing on the Group's 4IN Strategy Human Resources Professional Team Leads the Group's Human Resources Work Objectives to Drive Organizational Change For the Development of Strategic Goals, Provide Professional and Efficient Organizational Talent Mechanisms and Consulting Teams Responsible for Talent Cultivation and Implementation of Consulting Teams to Improve the Company's Human Resources Management Level</v>
      </c>
      <c r="B6163" s="1" t="str">
        <f ca="1">IFERROR(__xludf.DUMMYFUNCTION("GOOGLETRANSLATE(A6163, ""zh"", ""en"")"),"staff")</f>
        <v>staff</v>
      </c>
      <c r="C6163" s="1" t="str">
        <f ca="1">IFERROR(__xludf.DUMMYFUNCTION("GOOGLETRANSLATE(E6163, ""zh"", ""en"")"),"Quantitative Text")</f>
        <v>Quantitative Text</v>
      </c>
    </row>
    <row r="6164" spans="1:3" ht="13" x14ac:dyDescent="0.15">
      <c r="A6164" s="1" t="str">
        <f ca="1">IFERROR(__xludf.DUMMYFUNCTION("GOOGLETRANSLATE(A6164, ""zh"", ""en"")"),"Fosun Pharma Group Packaging Material Consumption Type Packaging Material Renewable Material Renewable Material Of which Non-renewable Of which Total Amount Tons Percentage Tons Paper Wood Forest Materials Percentage 34 Tons Tons 8 Plastic Rubber Glass 20"&amp;"18 18 24 68 52 146.78 34 118 09 72 55 2.42 43 28 24 110 51 56 47 82 2019 23 54 58.57 33 6.48 55 02 21 49 73 63.62 7 158 54 35 3 2020 2016 8 11 18 19 89 0 55.41 100 0 18 18 9 87 44. 61841468621046820212079347.69873171090352.430545786810461202219437966949.7"&amp;"962940976850.3351753253184011. Non-renewable materials include: plastic, anti-inflammatory, anti-cancer, and medical packaging materials; renewable materials include: blood, pregnancy, and water-based packaging materials. Case study: Yaoyou Pharmaceutical"&amp;" changed its packaging method to improve the recycling rate of packaging materials. Yaoyou Pharmaceutical has invested in trying new packaging and transportation methods, using reusable transportation boxes instead of disposable paper boxes.")</f>
        <v>Fosun Pharma Group Packaging Material Consumption Type Packaging Material Renewable Material Renewable Material Of which Non-renewable Of which Total Amount Tons Percentage Tons Paper Wood Forest Materials Percentage 34 Tons Tons 8 Plastic Rubber Glass 2018 18 24 68 52 146.78 34 118 09 72 55 2.42 43 28 24 110 51 56 47 82 2019 23 54 58.57 33 6.48 55 02 21 49 73 63.62 7 158 54 35 3 2020 2016 8 11 18 19 89 0 55.41 100 0 18 18 9 87 44. 61841468621046820212079347.69873171090352.430545786810461202219437966949.7962940976850.3351753253184011. Non-renewable materials include: plastic, anti-inflammatory, anti-cancer, and medical packaging materials; renewable materials include: blood, pregnancy, and water-based packaging materials. Case study: Yaoyou Pharmaceutical changed its packaging method to improve the recycling rate of packaging materials. Yaoyou Pharmaceutical has invested in trying new packaging and transportation methods, using reusable transportation boxes instead of disposable paper boxes.</v>
      </c>
      <c r="B6164" s="1" t="str">
        <f ca="1">IFERROR(__xludf.DUMMYFUNCTION("GOOGLETRANSLATE(A6164, ""zh"", ""en"")"),"Waste Management")</f>
        <v>Waste Management</v>
      </c>
      <c r="C6164" s="1" t="str">
        <f ca="1">IFERROR(__xludf.DUMMYFUNCTION("GOOGLETRANSLATE(E6164, ""zh"", ""en"")"),"Quantitative Text")</f>
        <v>Quantitative Text</v>
      </c>
    </row>
    <row r="6165" spans="1:3" ht="13" x14ac:dyDescent="0.15">
      <c r="A6165" s="1" t="str">
        <f ca="1">IFERROR(__xludf.DUMMYFUNCTION("GOOGLETRANSLATE(A6165, ""zh"", ""en"")"),"To fully implement the decisions and arrangements of the CPC Central Committee and the State Council on accelerating the improvement of the modern enterprise system with Chinese characteristics and fulfill the requirements of the Three-Year Action Plan fo"&amp;"r State-owned Enterprise Reform, the Company's Board of Directors has formulated and actively promoted the implementation of the Implementation Plan for the Board's Powers and Authorities, formulated the Management Measures for the Strategic Planning of C"&amp;"hina National Petroleum Corporation, the Management Measures and Detailed Rules for the Fixed Asset Investment of China National Petroleum Corporation, the Management Measures and Detailed Rules for the Equity Investment of China National Petroleum Corpor"&amp;"ation, the Management Measures and Detailed Rules for the Overseas Investment of China National Petroleum Corporation, the Trial Management Measures for the Total Wages of Enterprises Invested by China National Petroleum Corporation, the Management Measur"&amp;"es for the Performance Appraisal and Remuneration Distribution of Management Team Members of China National Petroleum Corporation, the Management Measures for the Implementation of the Term System and Contractual Management for Management Team Members of "&amp;"China National Petroleum Corporation, the Management Measures for the Total Wages Registration System of China National Petroleum Corporation, the Management Measures for Guarantees of China National Petroleum Corporation, the Management Measures for the "&amp;"Liabilities of China National Petroleum Corporation, the Management Measures for External Donations of China National Petroleum Corporation, and other eleven amendments. The Articles of Association of China National Petroleum Corporation, the Rules of Pro"&amp;"cedure of the Board of Directors of China National Petroleum Corporation, the Detailed Rules for the Work of the General Manager of China National Petroleum Corporation, and other three amendments have been made to the Articles of Association of China Nat"&amp;"ional Petroleum Corporation, fully implementing the rights of the Board of Directors as stipulated in the Company Law and the Articles of Association, improving and refining various systems such as the Rules of Procedure of the Board of Directors, clarify"&amp;"ing the basis and path for exercising the Board's powers, and continuously improving the Company's ability to govern according to law.")</f>
        <v>To fully implement the decisions and arrangements of the CPC Central Committee and the State Council on accelerating the improvement of the modern enterprise system with Chinese characteristics and fulfill the requirements of the Three-Year Action Plan for State-owned Enterprise Reform, the Company's Board of Directors has formulated and actively promoted the implementation of the Implementation Plan for the Board's Powers and Authorities, formulated the Management Measures for the Strategic Planning of China National Petroleum Corporation, the Management Measures and Detailed Rules for the Fixed Asset Investment of China National Petroleum Corporation, the Management Measures and Detailed Rules for the Equity Investment of China National Petroleum Corporation, the Management Measures and Detailed Rules for the Overseas Investment of China National Petroleum Corporation, the Trial Management Measures for the Total Wages of Enterprises Invested by China National Petroleum Corporation, the Management Measures for the Performance Appraisal and Remuneration Distribution of Management Team Members of China National Petroleum Corporation, the Management Measures for the Implementation of the Term System and Contractual Management for Management Team Members of China National Petroleum Corporation, the Management Measures for the Total Wages Registration System of China National Petroleum Corporation, the Management Measures for Guarantees of China National Petroleum Corporation, the Management Measures for the Liabilities of China National Petroleum Corporation, the Management Measures for External Donations of China National Petroleum Corporation, and other eleven amendments. The Articles of Association of China National Petroleum Corporation, the Rules of Procedure of the Board of Directors of China National Petroleum Corporation, the Detailed Rules for the Work of the General Manager of China National Petroleum Corporation, and other three amendments have been made to the Articles of Association of China National Petroleum Corporation, fully implementing the rights of the Board of Directors as stipulated in the Company Law and the Articles of Association, improving and refining various systems such as the Rules of Procedure of the Board of Directors, clarifying the basis and path for exercising the Board's powers, and continuously improving the Company's ability to govern according to law.</v>
      </c>
      <c r="B6165" s="1" t="str">
        <f ca="1">IFERROR(__xludf.DUMMYFUNCTION("GOOGLETRANSLATE(A6165, ""zh"", ""en"")"),"Organizational structure and operations")</f>
        <v>Organizational structure and operations</v>
      </c>
      <c r="C6165" s="1" t="str">
        <f ca="1">IFERROR(__xludf.DUMMYFUNCTION("GOOGLETRANSLATE(E6165, ""zh"", ""en"")"),"Qualitative text")</f>
        <v>Qualitative text</v>
      </c>
    </row>
    <row r="6166" spans="1:3" ht="13" x14ac:dyDescent="0.15">
      <c r="A6166" s="1" t="str">
        <f ca="1">IFERROR(__xludf.DUMMYFUNCTION("GOOGLETRANSLATE(A6166, ""zh"", ""en"")"),"Continue to strengthen production process safety management, focus on rectifying safety risks in key areas, highlight key areas such as oil and gas tank areas, gas storage, urban gas, and oil and gas well control, increase hidden danger management efforts"&amp;", improve long-term safety production mechanisms, establish and improve a number of long-term safety production mechanisms, such as the system of safety production contracting points, high-risk operation area chiefs, and full-staff safety production scori"&amp;"ng management. Implement differentiated safety risk management and control, comprehensively assess the safety risks of production and operation enterprises, implement full-factor quantitative audits and audit guidance from headquarters, special inspection"&amp;"s and spot checks, and other differentiated management and control measures for enterprises of different risk categories, carry out centralized management of hazardous chemical safety risks, and implement gas detection and video surveillance at 77 large o"&amp;"il and gas storage bases, and emergency cut-off of lightning warning systems. All safety systems and facilities are fully equipped and operational. Problems and hidden dangers are being rectified. Comprehensive safety inspections are being carried out at "&amp;"all levels throughout the year, totaling 131,000. Our goal is to control the accident mortality rate to 0.35 per person and below 100 million working hours by 2023. PetroChina 2022 Environmental, Social and Governance Report 76 Case Studies In 2022, the c"&amp;"ompany achieved breakthroughs in digital construction of safety and environmental protection, automated monitoring, and intelligent early warning. The independently developed Safety Eye Engineering Platform was officially launched for trial operation. Int"&amp;"elligent technologies and methods are being used to promote the digitalization of production management and safety supervision in oil, gas and new energy businesses.")</f>
        <v>Continue to strengthen production process safety management, focus on rectifying safety risks in key areas, highlight key areas such as oil and gas tank areas, gas storage, urban gas, and oil and gas well control, increase hidden danger management efforts, improve long-term safety production mechanisms, establish and improve a number of long-term safety production mechanisms, such as the system of safety production contracting points, high-risk operation area chiefs, and full-staff safety production scoring management. Implement differentiated safety risk management and control, comprehensively assess the safety risks of production and operation enterprises, implement full-factor quantitative audits and audit guidance from headquarters, special inspections and spot checks, and other differentiated management and control measures for enterprises of different risk categories, carry out centralized management of hazardous chemical safety risks, and implement gas detection and video surveillance at 77 large oil and gas storage bases, and emergency cut-off of lightning warning systems. All safety systems and facilities are fully equipped and operational. Problems and hidden dangers are being rectified. Comprehensive safety inspections are being carried out at all levels throughout the year, totaling 131,000. Our goal is to control the accident mortality rate to 0.35 per person and below 100 million working hours by 2023. PetroChina 2022 Environmental, Social and Governance Report 76 Case Studies In 2022, the company achieved breakthroughs in digital construction of safety and environmental protection, automated monitoring, and intelligent early warning. The independently developed Safety Eye Engineering Platform was officially launched for trial operation. Intelligent technologies and methods are being used to promote the digitalization of production management and safety supervision in oil, gas and new energy businesses.</v>
      </c>
      <c r="B6166" s="1" t="str">
        <f ca="1">IFERROR(__xludf.DUMMYFUNCTION("GOOGLETRANSLATE(A6166, ""zh"", ""en"")"),"staff")</f>
        <v>staff</v>
      </c>
      <c r="C6166" s="1" t="str">
        <f ca="1">IFERROR(__xludf.DUMMYFUNCTION("GOOGLETRANSLATE(E6166, ""zh"", ""en"")"),"Quantitative Text")</f>
        <v>Quantitative Text</v>
      </c>
    </row>
    <row r="6167" spans="1:3" ht="13" x14ac:dyDescent="0.15">
      <c r="A6167" s="1" t="str">
        <f ca="1">IFERROR(__xludf.DUMMYFUNCTION("GOOGLETRANSLATE(A6167, ""zh"", ""en"")"),"2022CorporateSocialResponsibilityReport105Main Action Strategies for Wastewater DischargeIncrease hardware investment in wastewater treatment facilitiesOpen and upgrade new wastewater treatment facilitiesEHS Five-Year Strategic GoalsWastewater Discharge I"&amp;"ntensityChemical Oxygen DemandEmission IntensityAmmonia NitrogenEmission IntensityDecrease by 15% in 2025 compared to 2020.Decrease by 15% in 2025 compared to 2020.Reach 1.84 tons in 2025.Reach 0.19 kg per 10,000 yuan of annual revenue.Reach 0.025 kg per "&amp;"10,000 yuan of annual revenue. Completion status of efficiency targets 2021 2022 Continuing efficiency targets Target value VS actual value Target value VS actual value Wastewater discharge intensity tons 10,000 yuan revenue 2.09VS1.922.023VS1.710 Chemica"&amp;"l oxygen emission intensity dry shell 10,000 yuan revenue 0.21VS0.180.207VS0.191 Chloramine emission intensity dry grams 10,000 yuan revenue 0.028V50.0380.027V50.040 Wastewater discharge within Fosun Pharma Group mainly includes corporate production waste"&amp;"water and domestic sewage. In 2022, the total wastewater discharge of the Group was 7523754 tons, an increase of 0.35 compared with 2021.")</f>
        <v>2022CorporateSocialResponsibilityReport105Main Action Strategies for Wastewater DischargeIncrease hardware investment in wastewater treatment facilitiesOpen and upgrade new wastewater treatment facilitiesEHS Five-Year Strategic GoalsWastewater Discharge IntensityChemical Oxygen DemandEmission IntensityAmmonia NitrogenEmission IntensityDecrease by 15% in 2025 compared to 2020.Decrease by 15% in 2025 compared to 2020.Reach 1.84 tons in 2025.Reach 0.19 kg per 10,000 yuan of annual revenue.Reach 0.025 kg per 10,000 yuan of annual revenue. Completion status of efficiency targets 2021 2022 Continuing efficiency targets Target value VS actual value Target value VS actual value Wastewater discharge intensity tons 10,000 yuan revenue 2.09VS1.922.023VS1.710 Chemical oxygen emission intensity dry shell 10,000 yuan revenue 0.21VS0.180.207VS0.191 Chloramine emission intensity dry grams 10,000 yuan revenue 0.028V50.0380.027V50.040 Wastewater discharge within Fosun Pharma Group mainly includes corporate production wastewater and domestic sewage. In 2022, the total wastewater discharge of the Group was 7523754 tons, an increase of 0.35 compared with 2021.</v>
      </c>
      <c r="B6167" s="1" t="str">
        <f ca="1">IFERROR(__xludf.DUMMYFUNCTION("GOOGLETRANSLATE(A6167, ""zh"", ""en"")"),"Waste Management")</f>
        <v>Waste Management</v>
      </c>
      <c r="C6167" s="1" t="str">
        <f ca="1">IFERROR(__xludf.DUMMYFUNCTION("GOOGLETRANSLATE(E6167, ""zh"", ""en"")"),"Quantitative Text")</f>
        <v>Quantitative Text</v>
      </c>
    </row>
    <row r="6168" spans="1:3" ht="13" x14ac:dyDescent="0.15">
      <c r="A6168" s="1" t="str">
        <f ca="1">IFERROR(__xludf.DUMMYFUNCTION("GOOGLETRANSLATE(A6168, ""zh"", ""en"")"),"Xing Ai 121 FOSUNHPARE INTA VE114 Innovation for Good Health Continuous innovation to enjoy good health Social contribution value per share Unit: RMB 6.135.85 Fosun Pharma Group actively assumes corporate social responsibility and gives back to society. T"&amp;"he social contribution value per share is a comprehensive reflection of the company's contribution to various social interest groups. In 2022, a total of RMB 60.31 million was donated to the society. Charity donation Xing Ai 121 HEATHCARE iSmKTNE establis"&amp;"hed the Xing Ai 121 special fund for health care. Fosun Pharma and Shanghai Fosun Charity Foundation provide donations to rural areas in central and western China, as well as nursing homes and welfare homes. Donated 100 million yuan for Avudine tablets co"&amp;"vering 253 cities and counties across China, benefiting over 200,000 rural elderly people and ensuring access to medication for the rural elderly population. 2022 Corporate Social Responsibility Report 115 Shanghai Soong Ching Ling Foundation (FOSUNPHARMA"&amp;") Shanghai Soong Ching Ling Foundation and Fosun Pharma signed a strategic public welfare cooperation agreement. Fosun Pharma's social contribution value per share in 2022 was RMB 6.13 per share on the Shanghai Stock Exchange.")</f>
        <v>Xing Ai 121 FOSUNHPARE INTA VE114 Innovation for Good Health Continuous innovation to enjoy good health Social contribution value per share Unit: RMB 6.135.85 Fosun Pharma Group actively assumes corporate social responsibility and gives back to society. The social contribution value per share is a comprehensive reflection of the company's contribution to various social interest groups. In 2022, a total of RMB 60.31 million was donated to the society. Charity donation Xing Ai 121 HEATHCARE iSmKTNE established the Xing Ai 121 special fund for health care. Fosun Pharma and Shanghai Fosun Charity Foundation provide donations to rural areas in central and western China, as well as nursing homes and welfare homes. Donated 100 million yuan for Avudine tablets covering 253 cities and counties across China, benefiting over 200,000 rural elderly people and ensuring access to medication for the rural elderly population. 2022 Corporate Social Responsibility Report 115 Shanghai Soong Ching Ling Foundation (FOSUNPHARMA) Shanghai Soong Ching Ling Foundation and Fosun Pharma signed a strategic public welfare cooperation agreement. Fosun Pharma's social contribution value per share in 2022 was RMB 6.13 per share on the Shanghai Stock Exchange.</v>
      </c>
      <c r="B6168" s="1" t="str">
        <f ca="1">IFERROR(__xludf.DUMMYFUNCTION("GOOGLETRANSLATE(A6168, ""zh"", ""en"")"),"Public welfare and volunteer service")</f>
        <v>Public welfare and volunteer service</v>
      </c>
      <c r="C6168" s="1" t="str">
        <f ca="1">IFERROR(__xludf.DUMMYFUNCTION("GOOGLETRANSLATE(E6168, ""zh"", ""en"")"),"Quantitative Text")</f>
        <v>Quantitative Text</v>
      </c>
    </row>
    <row r="6169" spans="1:3" ht="13" x14ac:dyDescent="0.15">
      <c r="A6169" s="1" t="str">
        <f ca="1">IFERROR(__xludf.DUMMYFUNCTION("GOOGLETRANSLATE(A6169, ""zh"", ""en"")"),"No. 78 Fengqi Road, Hangzhou, Zhejiang Province, Zhejiang Jin Plaza, 9th Floor, No. 511 Yan'an Road, Gongshu District, Hangzhou, Building 1, Wuchan Tiandi, No. 28 Jiuhe Road, Shangcheng District, Hangzhou, Wuchan International Building, No. 445 Kaixuan Ro"&amp;"ad, Shangcheng District, Hangzhou, Huadu Building, No. 137 Qingchun Road, Hangzhou, www.zmmc.com.cn www.yuantong.com.cn www.yuantong.com.cn www.zmi.cn www.zmee.com.cn 057185271168057185155588057185155588057187055397057 187224220 Relevant information of th"&amp;"e main member units of the company RELEVANT INFORMATION OF THE MAIN MEMBER UNIT SOFT THE COMPANY 73 Wuchan Zhongda Chemical Group Co., Ltd. Wuchan Zhongda Logistics Investment Group Co., Ltd. Wuchan Zhongda Outai Co., Ltd. 678 Licensed projects Dangerous "&amp;"chemicals business Food business Class III medical device business Pesticide wholesale Pesticide retail Goods import and export Import and export agency Technology import and export Grain procurement Drug import and export Food import and export Projects "&amp;"that require approval according to law can only carry out business activities after approval from relevant departments Specific business projects are subject to the approval results")</f>
        <v>No. 78 Fengqi Road, Hangzhou, Zhejiang Province, Zhejiang Jin Plaza, 9th Floor, No. 511 Yan'an Road, Gongshu District, Hangzhou, Building 1, Wuchan Tiandi, No. 28 Jiuhe Road, Shangcheng District, Hangzhou, Wuchan International Building, No. 445 Kaixuan Road, Shangcheng District, Hangzhou, Huadu Building, No. 137 Qingchun Road, Hangzhou, www.zmmc.com.cn www.yuantong.com.cn www.yuantong.com.cn www.zmi.cn www.zmee.com.cn 057185271168057185155588057185155588057187055397057 187224220 Relevant information of the main member units of the company RELEVANT INFORMATION OF THE MAIN MEMBER UNIT SOFT THE COMPANY 73 Wuchan Zhongda Chemical Group Co., Ltd. Wuchan Zhongda Logistics Investment Group Co., Ltd. Wuchan Zhongda Outai Co., Ltd. 678 Licensed projects Dangerous chemicals business Food business Class III medical device business Pesticide wholesale Pesticide retail Goods import and export Import and export agency Technology import and export Grain procurement Drug import and export Food import and export Projects that require approval according to law can only carry out business activities after approval from relevant departments Specific business projects are subject to the approval results</v>
      </c>
      <c r="B6169" s="1" t="str">
        <f ca="1">IFERROR(__xludf.DUMMYFUNCTION("GOOGLETRANSLATE(A6169, ""zh"", ""en"")"),"Organizational structure and operations")</f>
        <v>Organizational structure and operations</v>
      </c>
      <c r="C6169" s="1" t="str">
        <f ca="1">IFERROR(__xludf.DUMMYFUNCTION("GOOGLETRANSLATE(E6169, ""zh"", ""en"")"),"Qualitative text")</f>
        <v>Qualitative text</v>
      </c>
    </row>
    <row r="6170" spans="1:3" ht="13" x14ac:dyDescent="0.15">
      <c r="A6170" s="1" t="str">
        <f ca="1">IFERROR(__xludf.DUMMYFUNCTION("GOOGLETRANSLATE(A6170, ""zh"", ""en"")"),"Study the company's sustainable development, including but not limited to environmental, social and governance issues; Identify and assess significant risks and impacts on the company's sustainable development; Strengthen risk management in environmental,"&amp;" social and corporate governance aspects; Make recommendations to the Board of Directors; Monitor the company's commitment and performance on key issues such as addressing climate change, ensuring health, safety, environmental protection and fulfilling so"&amp;"cial responsibilities, and make recommendations to the Board of Directors; Review the company's policies, strategies, objectives, measures and related material issues related to sustainable development; Monitor and inspect implementation in accordance wit"&amp;"h sustainable development goals; Review the company's annual environmental, social and governance report and health, safety and environmental protection report and make recommendations to the Board of Directors; Focus on important information on sustainab"&amp;"le development matters; Determine the impact of environmental, social and governance issues on stakeholders; Monitor the company's safety and environmental risks; Propose response measures and make recommendations to the Board of Directors; Other matters "&amp;"authorized by the Board of Directors; Responsibilities of the Sustainable Development Committee; Corporate Governance: 17 individual indicators; Deduct 5 points for each unfulfilled indicator; Management performance appraisal: 60 efficiency indicators; Sa"&amp;"fety, environmental protection and compliance management indicators; 10 binding energy conservation and emission reduction indicators; 30 operational indicators; Since its inception, PetroChina has established a corporate governance structure that complie"&amp;"s with regulatory requirements and international rules, and has continuously improved it based on actual operations, establishing a corporate governance structure with legalized rights and responsibilities, transparent rights and responsibilities, coordin"&amp;"ated operations, and effective checks and balances. Promote the modernization of the corporate governance system and governance capabilities and continuously improve the level.")</f>
        <v>Study the company's sustainable development, including but not limited to environmental, social and governance issues; Identify and assess significant risks and impacts on the company's sustainable development; Strengthen risk management in environmental, social and corporate governance aspects; Make recommendations to the Board of Directors; Monitor the company's commitment and performance on key issues such as addressing climate change, ensuring health, safety, environmental protection and fulfilling social responsibilities, and make recommendations to the Board of Directors; Review the company's policies, strategies, objectives, measures and related material issues related to sustainable development; Monitor and inspect implementation in accordance with sustainable development goals; Review the company's annual environmental, social and governance report and health, safety and environmental protection report and make recommendations to the Board of Directors; Focus on important information on sustainable development matters; Determine the impact of environmental, social and governance issues on stakeholders; Monitor the company's safety and environmental risks; Propose response measures and make recommendations to the Board of Directors; Other matters authorized by the Board of Directors; Responsibilities of the Sustainable Development Committee; Corporate Governance: 17 individual indicators; Deduct 5 points for each unfulfilled indicator; Management performance appraisal: 60 efficiency indicators; Safety, environmental protection and compliance management indicators; 10 binding energy conservation and emission reduction indicators; 30 operational indicators; Since its inception, PetroChina has established a corporate governance structure that complies with regulatory requirements and international rules, and has continuously improved it based on actual operations, establishing a corporate governance structure with legalized rights and responsibilities, transparent rights and responsibilities, coordinated operations, and effective checks and balances. Promote the modernization of the corporate governance system and governance capabilities and continuously improve the level.</v>
      </c>
      <c r="B6170" s="1" t="str">
        <f ca="1">IFERROR(__xludf.DUMMYFUNCTION("GOOGLETRANSLATE(A6170, ""zh"", ""en"")"),"Organizational structure and operations")</f>
        <v>Organizational structure and operations</v>
      </c>
      <c r="C6170" s="1" t="str">
        <f ca="1">IFERROR(__xludf.DUMMYFUNCTION("GOOGLETRANSLATE(E6170, ""zh"", ""en"")"),"Qualitative text")</f>
        <v>Qualitative text</v>
      </c>
    </row>
    <row r="6171" spans="1:3" ht="13" x14ac:dyDescent="0.15">
      <c r="A6171" s="1" t="str">
        <f ca="1">IFERROR(__xludf.DUMMYFUNCTION("GOOGLETRANSLATE(A6171, ""zh"", ""en"")"),"Dongyuan Renzhi Real Estate is a full-value chain property service provider. Modern service sector property services, medical and health care community operations satisfaction leads. In 2022, customer satisfaction reached 91 points and continued to mainta"&amp;"in the industry's leading position. Service strength ranks first. 2022 China's Top 100 Property Service Companies TOP18 2022 China's Super Service Power TOP22 Changqingshe Medical and Health Care Service Comprehensive Operator 2022 Major Events Dongyuan G"&amp;"roup Dongyuan Renzhi Service Double Won the First Place in Industry Satisfaction Changqingshe was awarded the National Smart Health Care Demonstration Unit Dima Co., Ltd. Anti-epidemic Report Protecting Every Peace of Mind with Professional Capabilities a"&amp;"nd Sincere Service Dima Co., Ltd. Party Building Awarded the 2022 National Enterprise Party Building Outstanding Brand Dima Dongyuan Zhixin and Niemi Culture jointly built Chongqing Renjia Xiahaoli. Dima Industrial support vehicles guarded the 2022 Winter"&amp;" Olympics. Dongyuan Renzhi Service successfully listed on the main board of the Hong Kong Stock Exchange. Dongyuan Group's first-half deliveries increased by 191.8% year-on-year. The Dima emergency team rushed to Chongqing to fight the wildfire. Dima Indu"&amp;"strial's mobile command and monitoring cabin successfully assisted the C919 large passenger aircraft test flight monitoring. Chengdu Wenjiang Yuanjuchang won the 2022 Urban Renewal Top Ten Resilient Community Construction Case Award. January February Marc"&amp;"h April June July August September October November December May 20221011 Strictly implement the ""Three Meetings and One Lesson"" system")</f>
        <v>Dongyuan Renzhi Real Estate is a full-value chain property service provider. Modern service sector property services, medical and health care community operations satisfaction leads. In 2022, customer satisfaction reached 91 points and continued to maintain the industry's leading position. Service strength ranks first. 2022 China's Top 100 Property Service Companies TOP18 2022 China's Super Service Power TOP22 Changqingshe Medical and Health Care Service Comprehensive Operator 2022 Major Events Dongyuan Group Dongyuan Renzhi Service Double Won the First Place in Industry Satisfaction Changqingshe was awarded the National Smart Health Care Demonstration Unit Dima Co., Ltd. Anti-epidemic Report Protecting Every Peace of Mind with Professional Capabilities and Sincere Service Dima Co., Ltd. Party Building Awarded the 2022 National Enterprise Party Building Outstanding Brand Dima Dongyuan Zhixin and Niemi Culture jointly built Chongqing Renjia Xiahaoli. Dima Industrial support vehicles guarded the 2022 Winter Olympics. Dongyuan Renzhi Service successfully listed on the main board of the Hong Kong Stock Exchange. Dongyuan Group's first-half deliveries increased by 191.8% year-on-year. The Dima emergency team rushed to Chongqing to fight the wildfire. Dima Industrial's mobile command and monitoring cabin successfully assisted the C919 large passenger aircraft test flight monitoring. Chengdu Wenjiang Yuanjuchang won the 2022 Urban Renewal Top Ten Resilient Community Construction Case Award. January February March April June July August September October November December May 20221011 Strictly implement the "Three Meetings and One Lesson" system</v>
      </c>
      <c r="B6171" s="1" t="str">
        <f ca="1">IFERROR(__xludf.DUMMYFUNCTION("GOOGLETRANSLATE(A6171, ""zh"", ""en"")"),"Customers and Consumers")</f>
        <v>Customers and Consumers</v>
      </c>
      <c r="C6171" s="1" t="str">
        <f ca="1">IFERROR(__xludf.DUMMYFUNCTION("GOOGLETRANSLATE(E6171, ""zh"", ""en"")"),"Quantitative Text")</f>
        <v>Quantitative Text</v>
      </c>
    </row>
    <row r="6172" spans="1:3" ht="13" x14ac:dyDescent="0.15">
      <c r="A6172" s="1" t="str">
        <f ca="1">IFERROR(__xludf.DUMMYFUNCTION("GOOGLETRANSLATE(A6172, ""zh"", ""en"")"),"Our Goals: Material ESG Issues Responses: Supply Chain Social Responsibility Management, Conflict Minerals, Anti-Corruption, and Labor Standards; Responses to the Hong Kong Stock Exchange's ESG Indicators B4, Labor Standards, B5, Supply Chain Management, "&amp;"and B7, Anti-Corruption; 13-Year Goals; 2022 Goal Achievement Status; Increase the supplier social responsibility audit ratio to 90%; Supplier social responsibility audit ratio to 59%; Strive to complete internal due diligence on all suppliers containing "&amp;"conflict minerals; Promote and replicate ESG policies in overseas production plants and optimize them based on the actual conditions of the operating locations; Achieve Achievement; Achieve 100% collection of supplier integrity reminder letters and provid"&amp;"e integrity training; Strive to promote the establishment of environmental goals, such as waste reduction, for suppliers that account for 20% of procurement volume; Over 200 suppliers, representing the top 80 suppliers by procurement volume, were surveyed"&amp;" to identify emission reduction targets and energy consumption targets. A total of 197 suppliers provided feedback. Factories in India and Thailand have added audit requirements for environmental protection, occupational health, and safety to supplier int"&amp;"roductions and contracts. SDG indicators addressed in this chapter: Haier Smart Home Co., Ltd. Environmental, Social, and Governance Report. Haier Smart Home has established systems such as module supplier capability self-commitment management standards, "&amp;"supplier on-site interconnection, and supplier credit rating assessments. Supplier qualification and capability assessments, on-site audits, and credit rating assessments are conducted during the selection and onboarding of new suppliers to ensure supplie"&amp;"r quality, safety, and environmental protection, and to promote the sustainable development of the supply chain.")</f>
        <v>Our Goals: Material ESG Issues Responses: Supply Chain Social Responsibility Management, Conflict Minerals, Anti-Corruption, and Labor Standards; Responses to the Hong Kong Stock Exchange's ESG Indicators B4, Labor Standards, B5, Supply Chain Management, and B7, Anti-Corruption; 13-Year Goals; 2022 Goal Achievement Status; Increase the supplier social responsibility audit ratio to 90%; Supplier social responsibility audit ratio to 59%; Strive to complete internal due diligence on all suppliers containing conflict minerals; Promote and replicate ESG policies in overseas production plants and optimize them based on the actual conditions of the operating locations; Achieve Achievement; Achieve 100% collection of supplier integrity reminder letters and provide integrity training; Strive to promote the establishment of environmental goals, such as waste reduction, for suppliers that account for 20% of procurement volume; Over 200 suppliers, representing the top 80 suppliers by procurement volume, were surveyed to identify emission reduction targets and energy consumption targets. A total of 197 suppliers provided feedback. Factories in India and Thailand have added audit requirements for environmental protection, occupational health, and safety to supplier introductions and contracts. SDG indicators addressed in this chapter: Haier Smart Home Co., Ltd. Environmental, Social, and Governance Report. Haier Smart Home has established systems such as module supplier capability self-commitment management standards, supplier on-site interconnection, and supplier credit rating assessments. Supplier qualification and capability assessments, on-site audits, and credit rating assessments are conducted during the selection and onboarding of new suppliers to ensure supplier quality, safety, and environmental protection, and to promote the sustainable development of the supply chain.</v>
      </c>
      <c r="B6172" s="1" t="str">
        <f ca="1">IFERROR(__xludf.DUMMYFUNCTION("GOOGLETRANSLATE(A6172, ""zh"", ""en"")"),"supply chain management")</f>
        <v>supply chain management</v>
      </c>
      <c r="C6172" s="1" t="str">
        <f ca="1">IFERROR(__xludf.DUMMYFUNCTION("GOOGLETRANSLATE(E6172, ""zh"", ""en"")"),"Quantitative Text")</f>
        <v>Quantitative Text</v>
      </c>
    </row>
    <row r="6173" spans="1:3" ht="13" x14ac:dyDescent="0.15">
      <c r="A6173" s="1" t="str">
        <f ca="1">IFERROR(__xludf.DUMMYFUNCTION("GOOGLETRANSLATE(A6173, ""zh"", ""en"")"),"nRNA32 Innovation for Good Health Continuously innovate and enjoy good health. In 2022, R&amp;D investment was RMB5.885 billion, including capitalized expenses, with a year-on-year increase of more than 18.22%. Among them, R&amp;D expenses were RMB4.302 billion, "&amp;"with a year-on-year increase of 12.12%. As of the end of 2022, the Group had 260 innovative drugs, biosimilars, generic drugs and consistency evaluation projects under development, including 63 innovative drugs, 14 self-developed biosimilars, 118 consiste"&amp;"ncy evaluation projects and 21 domestic first oral small molecule anti-COVID-19 drug with completely independent intellectual property rights, Azvudine tablets, which reduce the risk of disease progression and death. Protect the health of high-risk groups"&amp;", including the elderly. By the end of 2022, all 31 provinces and cities nationwide will have completed medical insurance registration and reduced medical insurance prices by approximately 35%. Promote the development and accessibility of innovative drugs"&amp;" for rare diseases. Develop rare disease drugs in the fields of infantile leukemia, idiopathic pulmonary fibrosis, and pulmonary hypertension. Independently developed innovative anti-inflammatory drugs, including ArtesLsun injection, have saved 56 million"&amp;" patients with severe diseases worldwide. 2022 Corporate Social Responsibility Report 33 Innovation in R&amp;D Fosun Pharma Group adheres to a patient-centric, clinical demand-oriented, and high-tech-driven R&amp;D approach to fully promote R&amp;D innovation.")</f>
        <v>nRNA32 Innovation for Good Health Continuously innovate and enjoy good health. In 2022, R&amp;D investment was RMB5.885 billion, including capitalized expenses, with a year-on-year increase of more than 18.22%. Among them, R&amp;D expenses were RMB4.302 billion, with a year-on-year increase of 12.12%. As of the end of 2022, the Group had 260 innovative drugs, biosimilars, generic drugs and consistency evaluation projects under development, including 63 innovative drugs, 14 self-developed biosimilars, 118 consistency evaluation projects and 21 domestic first oral small molecule anti-COVID-19 drug with completely independent intellectual property rights, Azvudine tablets, which reduce the risk of disease progression and death. Protect the health of high-risk groups, including the elderly. By the end of 2022, all 31 provinces and cities nationwide will have completed medical insurance registration and reduced medical insurance prices by approximately 35%. Promote the development and accessibility of innovative drugs for rare diseases. Develop rare disease drugs in the fields of infantile leukemia, idiopathic pulmonary fibrosis, and pulmonary hypertension. Independently developed innovative anti-inflammatory drugs, including ArtesLsun injection, have saved 56 million patients with severe diseases worldwide. 2022 Corporate Social Responsibility Report 33 Innovation in R&amp;D Fosun Pharma Group adheres to a patient-centric, clinical demand-oriented, and high-tech-driven R&amp;D approach to fully promote R&amp;D innovation.</v>
      </c>
      <c r="B6173" s="1" t="str">
        <f ca="1">IFERROR(__xludf.DUMMYFUNCTION("GOOGLETRANSLATE(A6173, ""zh"", ""en"")"),"Technological innovation")</f>
        <v>Technological innovation</v>
      </c>
      <c r="C6173" s="1" t="str">
        <f ca="1">IFERROR(__xludf.DUMMYFUNCTION("GOOGLETRANSLATE(E6173, ""zh"", ""en"")"),"Quantitative Text")</f>
        <v>Quantitative Text</v>
      </c>
    </row>
    <row r="6174" spans="1:3" ht="13" x14ac:dyDescent="0.15">
      <c r="A6174" s="1" t="str">
        <f ca="1">IFERROR(__xludf.DUMMYFUNCTION("GOOGLETRANSLATE(A6174, ""zh"", ""en"")"),"General Meeting of Shareholders Board of Directors Supervisory Committee Party Committee Labor Union Discipline Inspection Committee Strategy and Investment Management Committee Audit and Risk Management Committee Remuneration and Appraisal Committee Nomi"&amp;"nation Committee Operations Team Subsidiary Office Finance Department Investment and Asset Management Center Innovation and Development Department Association Secretariat Information Department Operations Headquarters Party Committee Inspection Office Hum"&amp;"an Resources Department Party Committee Organization Department Training Center Operations Management Center Securities Department Board Office Risk Management Department Audit Department Overseas Business Department Party and Mass Work Department Labor U"&amp;"nion Office Poverty Alleviation Office Petition and Stability Maintenance Office Review and Comprehensive Office Supervision and Discipline Office 78 About Us Company Overview Corporate Strategy Company Honors 2022 Social Responsibility and ESG Report Com"&amp;"pany Honors During the 14th Five-Year Plan period, the Company will adhere to the Party's overall leadership, better serve national strategies, adhere to market-oriented operations, be innovation-driven, and adhere to bottom-line thinking as basic princip"&amp;"les. Deeply study Xi Jinping Thought on Socialism with Chinese Characteristics for a New Era, fully implement the spirit of the 19th National Congress of the Communist Party of China, all previous plenary sessions of the 19th Central Committee, and the 20"&amp;"th National Congress of the Communist Party of China, establish ourselves in the historical position of the Group, uphold integrity and innovate, bravely shoulder new missions in the new landscape, and be guided by the industrial supply chain, centered on"&amp;" customer needs, relying on the warehousing and transportation network, guaranteed by logistics services, driven by trade services, and supported by financial services. Expand information services based on big data, innovate and develop a circular supply "&amp;"chain, create an integrated supply chain service platform that connects online and offline, integrates services of the sky network and the ground network, and fosters collaborative and symbiotic cooperation, and build an industrial supply chain ecosystem.")</f>
        <v>General Meeting of Shareholders Board of Directors Supervisory Committee Party Committee Labor Union Discipline Inspection Committee Strategy and Investment Management Committee Audit and Risk Management Committee Remuneration and Appraisal Committee Nomination Committee Operations Team Subsidiary Office Finance Department Investment and Asset Management Center Innovation and Development Department Association Secretariat Information Department Operations Headquarters Party Committee Inspection Office Human Resources Department Party Committee Organization Department Training Center Operations Management Center Securities Department Board Office Risk Management Department Audit Department Overseas Business Department Party and Mass Work Department Labor Union Office Poverty Alleviation Office Petition and Stability Maintenance Office Review and Comprehensive Office Supervision and Discipline Office 78 About Us Company Overview Corporate Strategy Company Honors 2022 Social Responsibility and ESG Report Company Honors During the 14th Five-Year Plan period, the Company will adhere to the Party's overall leadership, better serve national strategies, adhere to market-oriented operations, be innovation-driven, and adhere to bottom-line thinking as basic principles. Deeply study Xi Jinping Thought on Socialism with Chinese Characteristics for a New Era, fully implement the spirit of the 19th National Congress of the Communist Party of China, all previous plenary sessions of the 19th Central Committee, and the 20th National Congress of the Communist Party of China, establish ourselves in the historical position of the Group, uphold integrity and innovate, bravely shoulder new missions in the new landscape, and be guided by the industrial supply chain, centered on customer needs, relying on the warehousing and transportation network, guaranteed by logistics services, driven by trade services, and supported by financial services. Expand information services based on big data, innovate and develop a circular supply chain, create an integrated supply chain service platform that connects online and offline, integrates services of the sky network and the ground network, and fosters collaborative and symbiotic cooperation, and build an industrial supply chain ecosystem.</v>
      </c>
      <c r="B6174" s="1" t="str">
        <f ca="1">IFERROR(__xludf.DUMMYFUNCTION("GOOGLETRANSLATE(A6174, ""zh"", ""en"")"),"Organizational structure and operations")</f>
        <v>Organizational structure and operations</v>
      </c>
      <c r="C6174" s="1" t="str">
        <f ca="1">IFERROR(__xludf.DUMMYFUNCTION("GOOGLETRANSLATE(E6174, ""zh"", ""en"")"),"Qualitative text")</f>
        <v>Qualitative text</v>
      </c>
    </row>
    <row r="6175" spans="1:3" ht="13" x14ac:dyDescent="0.15">
      <c r="A6175" s="1" t="str">
        <f ca="1">IFERROR(__xludf.DUMMYFUNCTION("GOOGLETRANSLATE(A6175, ""zh"", ""en"")"),"Energy saving and consumption reduction, water conservation, waste recycling, energy-saving air conditioning, the company building uses Honeywell's fresh air automatic control system and Daikin's professional automatic control system for split air conditi"&amp;"oners. The automatic control system monitors the status of the filter screen in the unit, the status of the wind and water valves, and the opening time. It provides managers with the best equipment control method to reduce the energy consumption of air co"&amp;"nditioning operation under the premise of ensuring the stability of air conditioning equipment. Energy-saving lamps. The office area lighting of the building is equipped with ABB's lighting automatic control system, which can set energy-saving modes accor"&amp;"ding to its usage scenarios, monitor and adjust the opening areas of lamps, the switch status and the switching time, reduce operating costs, and reduce operating time and lighting energy consumption. Energy-saving fixed control uses timed control for equ"&amp;"ipment and facilities such as water dispensers and water heaters, significantly reducing equipment Energy consumption and environmental protection sector specific measures Water conservation publicity Posting water conservation and environmental protectio"&amp;"n and other energy conservation signs in the office area to enhance employees' water conservation awareness Water-saving sanitary ware Select water-saving faucets and other sanitary ware to reduce water resource consumption Water-saving operations In dail"&amp;"y cleaning work, water-saving cleaning equipment and operation methods are used. The company provides waste paper recycling bags in all printing areas and encourages employees to sort office waste and have professional recycling companies recycle them and"&amp;" exchange them for office supplies made from recycled resources. Enter the ESG management topic and see responsibility, safety first, people-oriented, mutual benefit and win-win. GRI content index www..cn Chairman and CEO Zhou Hongyi The essence of corpor"&amp;"ate social responsibility is to solve problems for society and users")</f>
        <v>Energy saving and consumption reduction, water conservation, waste recycling, energy-saving air conditioning, the company building uses Honeywell's fresh air automatic control system and Daikin's professional automatic control system for split air conditioners. The automatic control system monitors the status of the filter screen in the unit, the status of the wind and water valves, and the opening time. It provides managers with the best equipment control method to reduce the energy consumption of air conditioning operation under the premise of ensuring the stability of air conditioning equipment. Energy-saving lamps. The office area lighting of the building is equipped with ABB's lighting automatic control system, which can set energy-saving modes according to its usage scenarios, monitor and adjust the opening areas of lamps, the switch status and the switching time, reduce operating costs, and reduce operating time and lighting energy consumption. Energy-saving fixed control uses timed control for equipment and facilities such as water dispensers and water heaters, significantly reducing equipment Energy consumption and environmental protection sector specific measures Water conservation publicity Posting water conservation and environmental protection and other energy conservation signs in the office area to enhance employees' water conservation awareness Water-saving sanitary ware Select water-saving faucets and other sanitary ware to reduce water resource consumption Water-saving operations In daily cleaning work, water-saving cleaning equipment and operation methods are used. The company provides waste paper recycling bags in all printing areas and encourages employees to sort office waste and have professional recycling companies recycle them and exchange them for office supplies made from recycled resources. Enter the ESG management topic and see responsibility, safety first, people-oriented, mutual benefit and win-win. GRI content index www..cn Chairman and CEO Zhou Hongyi The essence of corporate social responsibility is to solve problems for society and users</v>
      </c>
      <c r="B6175" s="1" t="str">
        <f ca="1">IFERROR(__xludf.DUMMYFUNCTION("GOOGLETRANSLATE(A6175, ""zh"", ""en"")"),"Waste Management")</f>
        <v>Waste Management</v>
      </c>
      <c r="C6175" s="1" t="str">
        <f ca="1">IFERROR(__xludf.DUMMYFUNCTION("GOOGLETRANSLATE(E6175, ""zh"", ""en"")"),"Qualitative text")</f>
        <v>Qualitative text</v>
      </c>
    </row>
    <row r="6176" spans="1:3" ht="13" x14ac:dyDescent="0.15">
      <c r="A6176" s="1" t="str">
        <f ca="1">IFERROR(__xludf.DUMMYFUNCTION("GOOGLETRANSLATE(A6176, ""zh"", ""en"")"),"Enter the ESG management topic and see responsibility, safety first, people-oriented, mutual benefit and win-win. GRI Content Index Promote talent growth and incentives. We attach great importance to talent incentives. The company follows the principles o"&amp;"f talent growth. All employees can get promotions, salary increases, new positions, and other opportunities through hard work and improved abilities at work based on objective and fair evaluation results. The talent incentive mechanism is designed and imp"&amp;"lemented around the three-level relationship of incentives: the relationship between rewards and personal needs, the relationship between performance and personal rewards, and the relationship between effort and personal performance. www..cn.. The total n"&amp;"umber of employees who received training was 7,124. The total training time for employees was 29,077.1 hours. The average training time for employees was 4 hours. Male employees received training. Total training hours received by female employees Total tr"&amp;"aining hours received by grassroots employees Total training hours received by middle-management employees Total training hours received by senior-management employees Breakdown by gender Breakdown by employee type. Hours. Hours. Hours. Hours Number of ma"&amp;"le employees trained Number of female employees trained Number of grassroots employees trained Number of middle-management employees trained Number of senior-management employees trained Breakdown by gender Breakdown by employee type People People People "&amp;"People People Figure 2018 Technology Carnival promotional poster Figure Value badge awards and value story promotion The company is performance-oriented and adheres to the core philosophy of paying for ability, paying for position, and paying for value.")</f>
        <v>Enter the ESG management topic and see responsibility, safety first, people-oriented, mutual benefit and win-win. GRI Content Index Promote talent growth and incentives. We attach great importance to talent incentives. The company follows the principles of talent growth. All employees can get promotions, salary increases, new positions, and other opportunities through hard work and improved abilities at work based on objective and fair evaluation results. The talent incentive mechanism is designed and implemented around the three-level relationship of incentives: the relationship between rewards and personal needs, the relationship between performance and personal rewards, and the relationship between effort and personal performance. www..cn.. The total number of employees who received training was 7,124. The total training time for employees was 29,077.1 hours. The average training time for employees was 4 hours. Male employees received training. Total training hours received by female employees Total training hours received by grassroots employees Total training hours received by middle-management employees Total training hours received by senior-management employees Breakdown by gender Breakdown by employee type. Hours. Hours. Hours. Hours Number of male employees trained Number of female employees trained Number of grassroots employees trained Number of middle-management employees trained Number of senior-management employees trained Breakdown by gender Breakdown by employee type People People People People People Figure 2018 Technology Carnival promotional poster Figure Value badge awards and value story promotion The company is performance-oriented and adheres to the core philosophy of paying for ability, paying for position, and paying for value.</v>
      </c>
      <c r="B6176" s="1" t="str">
        <f ca="1">IFERROR(__xludf.DUMMYFUNCTION("GOOGLETRANSLATE(A6176, ""zh"", ""en"")"),"staff")</f>
        <v>staff</v>
      </c>
      <c r="C6176" s="1" t="str">
        <f ca="1">IFERROR(__xludf.DUMMYFUNCTION("GOOGLETRANSLATE(E6176, ""zh"", ""en"")"),"Quantitative Text")</f>
        <v>Quantitative Text</v>
      </c>
    </row>
    <row r="6177" spans="1:3" ht="13" x14ac:dyDescent="0.15">
      <c r="A6177" s="1" t="str">
        <f ca="1">IFERROR(__xludf.DUMMYFUNCTION("GOOGLETRANSLATE(A6177, ""zh"", ""en"")"),"ESG Indicators ESG Indicators Unit Unit 2022 2022 2021 2021 B5. Supply Chain Management B5.1 Number of suppliers by region Mainland China Others Individual 121 33 699 635 123 23 30 157 99.3 77 83 23 122 44 282 28 38 979 199.14 Pieces Pieces B6. Product Li"&amp;"ability Number of customer inquiries Number of customer complaints received Number of overall customer satisfaction surveys conducted Customer satisfaction by employee category Percentage of management employees trained Percentage of non-management employ"&amp;"ees trained B3.2 Average hours of training completed per employee by gender and employee category Average hours of training completed for male employees by gender Hours Average training hours for female employees Average training hours for management empl"&amp;"oyees by employee category Average training hours for non-management employees 67 CITIC Securities 2022 Annual Social Responsibility Report II Environmental, Social and Governance Reporting Guidelines Content Index Level Content and Indicator Index Govern"&amp;"ance Structure Statement issued by the board of directors containing the following: 1 Disclosure of the board’s oversight of environmental, social and governance matters 2 The board’s environmental, social and governance management policy and strategy, in"&amp;"cluding the process for assessing, prioritizing and managing significant environmental, social and governance-related matters, including risks to the issuer’s business; and 3 How the board reviews progress against environmental, social and governance-rela"&amp;"ted objectives and explains how they relate to the issuer’s business.")</f>
        <v>ESG Indicators ESG Indicators Unit Unit 2022 2022 2021 2021 B5. Supply Chain Management B5.1 Number of suppliers by region Mainland China Others Individual 121 33 699 635 123 23 30 157 99.3 77 83 23 122 44 282 28 38 979 199.14 Pieces Pieces B6. Product Liability Number of customer inquiries Number of customer complaints received Number of overall customer satisfaction surveys conducted Customer satisfaction by employee category Percentage of management employees trained Percentage of non-management employees trained B3.2 Average hours of training completed per employee by gender and employee category Average hours of training completed for male employees by gender Hours Average training hours for female employees Average training hours for management employees by employee category Average training hours for non-management employees 67 CITIC Securities 2022 Annual Social Responsibility Report II Environmental, Social and Governance Reporting Guidelines Content Index Level Content and Indicator Index Governance Structure Statement issued by the board of directors containing the following: 1 Disclosure of the board’s oversight of environmental, social and governance matters 2 The board’s environmental, social and governance management policy and strategy, including the process for assessing, prioritizing and managing significant environmental, social and governance-related matters, including risks to the issuer’s business; and 3 How the board reviews progress against environmental, social and governance-related objectives and explains how they relate to the issuer’s business.</v>
      </c>
      <c r="B6177" s="1" t="str">
        <f ca="1">IFERROR(__xludf.DUMMYFUNCTION("GOOGLETRANSLATE(A6177, ""zh"", ""en"")"),"Organizational structure and operations")</f>
        <v>Organizational structure and operations</v>
      </c>
      <c r="C6177" s="1" t="str">
        <f ca="1">IFERROR(__xludf.DUMMYFUNCTION("GOOGLETRANSLATE(E6177, ""zh"", ""en"")"),"Qualitative text")</f>
        <v>Qualitative text</v>
      </c>
    </row>
    <row r="6178" spans="1:3" ht="13" x14ac:dyDescent="0.15">
      <c r="A6178" s="1" t="str">
        <f ca="1">IFERROR(__xludf.DUMMYFUNCTION("GOOGLETRANSLATE(A6178, ""zh"", ""en"")"),"66InnovationforGcodHealthContinuous InnovationEnjoy Health2022Fosun PharmaPharma DivisionDomestic Member Enterprises Supplier Geographical Distribution Number of Suppliers Province Number of Suppliers Number of Suppliers Province Number of Suppliers Yi Nu"&amp;"mber of Suppliers Beijing 60 Heilongjiang 20 Shandong 295 Chongqing 135 Qinghai 5 Tianjin 50 Shanghai 365 Henan 74 Sichuan 120 Ningxia 4 Hebei 151 Jiangsu 581 North 67 Guizhou 4 Xinjiang 1227 Zhejiang 195 South 78 Yunnan 3 Hong Kong, Macao and Taiwan 9 In"&amp;"ner Mongolia 15 Anhui 69 Guangdong 113 West 3 Overseas 391 Liaoning 98 Fujian 17 Guangxi Shaanxi 24 Jilin 32 Jiangxi 51 Hainan 14 Gansu 82022 Supplier Management Situation of Major Pharmaceutical Member Companies of Fosun Pharma Group in 2018 Wanbang Phar"&amp;"maceutical Yaoyou Pharmaceutical Aohong Pharmaceutical Hongqi Pharmaceutical Yalifeng Erye Pharmaceutical Guilin Nanyao Fuhong Hanlin Annual Review Supply Quantity 4883841297233145157164 Number of suppliers involved in business in 2018 7585371481145924915"&amp;"7164 Number of suppliers involved in business in 2018 Annual Review Number of suppliers 64.471.587.263.255.958.2100.010.0 Note: Wanbang Pharmaceutical Yaoyou Pharmaceutical's system for the effective use of the right Hansu system is based on the data pack"&amp;"age method of all member companies within the scope of its system. Member companies have cumulative data on core suppliers, such as raw materials and excipients.")</f>
        <v>66InnovationforGcodHealthContinuous InnovationEnjoy Health2022Fosun PharmaPharma DivisionDomestic Member Enterprises Supplier Geographical Distribution Number of Suppliers Province Number of Suppliers Number of Suppliers Province Number of Suppliers Yi Number of Suppliers Beijing 60 Heilongjiang 20 Shandong 295 Chongqing 135 Qinghai 5 Tianjin 50 Shanghai 365 Henan 74 Sichuan 120 Ningxia 4 Hebei 151 Jiangsu 581 North 67 Guizhou 4 Xinjiang 1227 Zhejiang 195 South 78 Yunnan 3 Hong Kong, Macao and Taiwan 9 Inner Mongolia 15 Anhui 69 Guangdong 113 West 3 Overseas 391 Liaoning 98 Fujian 17 Guangxi Shaanxi 24 Jilin 32 Jiangxi 51 Hainan 14 Gansu 82022 Supplier Management Situation of Major Pharmaceutical Member Companies of Fosun Pharma Group in 2018 Wanbang Pharmaceutical Yaoyou Pharmaceutical Aohong Pharmaceutical Hongqi Pharmaceutical Yalifeng Erye Pharmaceutical Guilin Nanyao Fuhong Hanlin Annual Review Supply Quantity 4883841297233145157164 Number of suppliers involved in business in 2018 75853714811459249157164 Number of suppliers involved in business in 2018 Annual Review Number of suppliers 64.471.587.263.255.958.2100.010.0 Note: Wanbang Pharmaceutical Yaoyou Pharmaceutical's system for the effective use of the right Hansu system is based on the data package method of all member companies within the scope of its system. Member companies have cumulative data on core suppliers, such as raw materials and excipients.</v>
      </c>
      <c r="B6178" s="1" t="str">
        <f ca="1">IFERROR(__xludf.DUMMYFUNCTION("GOOGLETRANSLATE(A6178, ""zh"", ""en"")"),"supply chain management")</f>
        <v>supply chain management</v>
      </c>
      <c r="C6178" s="1" t="str">
        <f ca="1">IFERROR(__xludf.DUMMYFUNCTION("GOOGLETRANSLATE(E6178, ""zh"", ""en"")"),"Quantitative Text")</f>
        <v>Quantitative Text</v>
      </c>
    </row>
    <row r="6179" spans="1:3" ht="13" x14ac:dyDescent="0.15">
      <c r="A6179" s="1" t="str">
        <f ca="1">IFERROR(__xludf.DUMMYFUNCTION("GOOGLETRANSLATE(A6179, ""zh"", ""en"")"),"The greenhouse gas emissions and energy usage of Kangyuan in 2022 are as follows: Kangyuan's greenhouse gas emissions in 2022 Indicator Unit API Preparation Total Direct greenhouse gas emissions Scope 1 Ton CO2 equivalent 200223.22250.7202473.9 Indirect g"&amp;"reenhouse gas emissions Scope 2 Ton CO2 equivalent 718484.5116655.1835139.6 Total greenhouse gas emissions Ton CO2 equivalent 918707.7118905.81037613.5 Table: Kangyuan's energy usage in 2022 Indicator Unit API Preparation Total Gasoline liters 128721.0122"&amp;"807.5251528 .5 Diesel liters 193979.52846.0196825.5 Coal tons 88244.2088244.2 Liquefied petroleum gas tons 1.15.76.8 Natural gas 10,000 cubic meters 768.889.5858.3 Purchased steam tons 772718.5159725.6932444.1 Purchased electricity 10,000 kWh 84140.511805"&amp;".095945.5 In 2022, the Group held a board meeting to review and approve the proposal to establish the environmental management target for carbon emissions of the Joincare Group and set the carbon emission targets for Joincare from 2022 to 2055. The Group "&amp;"aims to achieve carbon peak by 2028 and carbon neutrality by 2055 for Scope 1 and Scope 2.")</f>
        <v>The greenhouse gas emissions and energy usage of Kangyuan in 2022 are as follows: Kangyuan's greenhouse gas emissions in 2022 Indicator Unit API Preparation Total Direct greenhouse gas emissions Scope 1 Ton CO2 equivalent 200223.22250.7202473.9 Indirect greenhouse gas emissions Scope 2 Ton CO2 equivalent 718484.5116655.1835139.6 Total greenhouse gas emissions Ton CO2 equivalent 918707.7118905.81037613.5 Table: Kangyuan's energy usage in 2022 Indicator Unit API Preparation Total Gasoline liters 128721.0122807.5251528 .5 Diesel liters 193979.52846.0196825.5 Coal tons 88244.2088244.2 Liquefied petroleum gas tons 1.15.76.8 Natural gas 10,000 cubic meters 768.889.5858.3 Purchased steam tons 772718.5159725.6932444.1 Purchased electricity 10,000 kWh 84140.511805.095945.5 In 2022, the Group held a board meeting to review and approve the proposal to establish the environmental management target for carbon emissions of the Joincare Group and set the carbon emission targets for Joincare from 2022 to 2055. The Group aims to achieve carbon peak by 2028 and carbon neutrality by 2055 for Scope 1 and Scope 2.</v>
      </c>
      <c r="B6179" s="1" t="str">
        <f ca="1">IFERROR(__xludf.DUMMYFUNCTION("GOOGLETRANSLATE(A6179, ""zh"", ""en"")"),"carbon emissions")</f>
        <v>carbon emissions</v>
      </c>
      <c r="C6179" s="1" t="str">
        <f ca="1">IFERROR(__xludf.DUMMYFUNCTION("GOOGLETRANSLATE(E6179, ""zh"", ""en"")"),"Quantitative Text")</f>
        <v>Quantitative Text</v>
      </c>
    </row>
    <row r="6180" spans="1:3" ht="13" x14ac:dyDescent="0.15">
      <c r="A6180" s="1" t="str">
        <f ca="1">IFERROR(__xludf.DUMMYFUNCTION("GOOGLETRANSLATE(A6180, ""zh"", ""en"")"),"962022Social Responsibility Report Category Content 2021 2022 Total Total Number of Employees 3901541739 Gender Male 3086232181 Female 81539558 Age Group 20 years old 002029 years old 10327111193039 years old 11306128124049 years old 103381073050 years ol"&amp;"d and above 70447078 Region This province or city Shanghai 2342222269 Other provinces or cities Mainland China except Shanghai 1290016480 Overseas Mainland China Overseas 26932990 Type Full-time employees 3901541739 Part-time employees 00 Functional manag"&amp;"ement 36413882 Production 1 691118692 Sales 28772978 Technical Research 1259613275 Financial Audit 11881171 Administrative Logistics 18021741 Education Doctorate 206208 Master 39154201 Bachelor's Degree 1628117918 Associate Degree 81249191 Below Associate"&amp;" Degree 1048910221 Position Senior Management 216221 Middle Management and Engineers 97659947 General and Technical Staff 1030712879 Shanghai Electric Employee Statistics in 2022 According to statistics, Shanghai Electric's employees in 2022 cover all age"&amp;" groups. They have different professional backgrounds and experiences and are spread across many cities in China and overseas regions.")</f>
        <v>962022Social Responsibility Report Category Content 2021 2022 Total Total Number of Employees 3901541739 Gender Male 3086232181 Female 81539558 Age Group 20 years old 002029 years old 10327111193039 years old 11306128124049 years old 103381073050 years old and above 70447078 Region This province or city Shanghai 2342222269 Other provinces or cities Mainland China except Shanghai 1290016480 Overseas Mainland China Overseas 26932990 Type Full-time employees 3901541739 Part-time employees 00 Functional management 36413882 Production 1 691118692 Sales 28772978 Technical Research 1259613275 Financial Audit 11881171 Administrative Logistics 18021741 Education Doctorate 206208 Master 39154201 Bachelor's Degree 1628117918 Associate Degree 81249191 Below Associate Degree 1048910221 Position Senior Management 216221 Middle Management and Engineers 97659947 General and Technical Staff 1030712879 Shanghai Electric Employee Statistics in 2022 According to statistics, Shanghai Electric's employees in 2022 cover all age groups. They have different professional backgrounds and experiences and are spread across many cities in China and overseas regions.</v>
      </c>
      <c r="B6180" s="1" t="str">
        <f ca="1">IFERROR(__xludf.DUMMYFUNCTION("GOOGLETRANSLATE(A6180, ""zh"", ""en"")"),"staff")</f>
        <v>staff</v>
      </c>
      <c r="C6180" s="1" t="str">
        <f ca="1">IFERROR(__xludf.DUMMYFUNCTION("GOOGLETRANSLATE(E6180, ""zh"", ""en"")"),"Quantitative Text")</f>
        <v>Quantitative Text</v>
      </c>
    </row>
    <row r="6181" spans="1:3" ht="13" x14ac:dyDescent="0.15">
      <c r="A6181" s="1" t="str">
        <f ca="1">IFERROR(__xludf.DUMMYFUNCTION("GOOGLETRANSLATE(A6181, ""zh"", ""en"")"),"Actively participated in the formulation of relevant industry standards and provided policy recommendations. The industry has received support from the national and local governments for hundreds of various projects, and has obtained more than 12 manageme"&amp;"nt recommendations for the integration of industrialization and information technology at the high-tech enterprise level. The Group has received feedback on many projects, such as the model enterprise for the implementation of the system standards for the"&amp;" enterprise and the model enterprise for enterprise credit management, and the innovative leading enterprise. The continuous innovation and R&amp;D of the product has promoted the technological innovation of Qingqisuo to a higher level. The project of the new"&amp;" method for the synthesis of Qingshousu without light and its industrializable continuous flow synthesis process has been successfully evaluated. Participated in policy formulation and provided suggestions. Actively cooperated with industry organizations "&amp;"at all levels to support and participate in more than 60 related industry activities involving pharmaceutical policies, actively participated in government projects, innovation and R&amp;D, clinical applications, external exchanges and cooperation, public wel"&amp;"fare and other fields, and participated in the industry. The association platform collected the main expectations of stakeholders. The Shanghai Fosun Charity Foundation established the Star Love 121 niche stakeholder communication highlight. Serving the c"&amp;"ommunity, charity and public welfare special fund, donated RMB 60.31 million to the society in 2022, and carried out a number of public welfare activities in scientific research and innovation, health care, public welfare and environmental protection. The"&amp;" Group reported that in 2022, the environmental protection, safety and health investment exceeded RMB 240 million. The board's number of community service and participation in various activities organized by public organizations. Tongji Medical College Fo"&amp;"sun Pharmaceutical Scholarship has a total of funded. The board carried out various public welfare activities and assisted 90 outstanding students with both good character and academic performance. The board carried out pollution reduction and emission re"&amp;"duction in production and environmental protection. They successfully completed their studies and joined the front line of serving the national health and medical cause.")</f>
        <v>Actively participated in the formulation of relevant industry standards and provided policy recommendations. The industry has received support from the national and local governments for hundreds of various projects, and has obtained more than 12 management recommendations for the integration of industrialization and information technology at the high-tech enterprise level. The Group has received feedback on many projects, such as the model enterprise for the implementation of the system standards for the enterprise and the model enterprise for enterprise credit management, and the innovative leading enterprise. The continuous innovation and R&amp;D of the product has promoted the technological innovation of Qingqisuo to a higher level. The project of the new method for the synthesis of Qingshousu without light and its industrializable continuous flow synthesis process has been successfully evaluated. Participated in policy formulation and provided suggestions. Actively cooperated with industry organizations at all levels to support and participate in more than 60 related industry activities involving pharmaceutical policies, actively participated in government projects, innovation and R&amp;D, clinical applications, external exchanges and cooperation, public welfare and other fields, and participated in the industry. The association platform collected the main expectations of stakeholders. The Shanghai Fosun Charity Foundation established the Star Love 121 niche stakeholder communication highlight. Serving the community, charity and public welfare special fund, donated RMB 60.31 million to the society in 2022, and carried out a number of public welfare activities in scientific research and innovation, health care, public welfare and environmental protection. The Group reported that in 2022, the environmental protection, safety and health investment exceeded RMB 240 million. The board's number of community service and participation in various activities organized by public organizations. Tongji Medical College Fosun Pharmaceutical Scholarship has a total of funded. The board carried out various public welfare activities and assisted 90 outstanding students with both good character and academic performance. The board carried out pollution reduction and emission reduction in production and environmental protection. They successfully completed their studies and joined the front line of serving the national health and medical cause.</v>
      </c>
      <c r="B6181" s="1" t="str">
        <f ca="1">IFERROR(__xludf.DUMMYFUNCTION("GOOGLETRANSLATE(A6181, ""zh"", ""en"")"),"Public welfare and volunteer service")</f>
        <v>Public welfare and volunteer service</v>
      </c>
      <c r="C6181" s="1" t="str">
        <f ca="1">IFERROR(__xludf.DUMMYFUNCTION("GOOGLETRANSLATE(E6181, ""zh"", ""en"")"),"Quantitative Text")</f>
        <v>Quantitative Text</v>
      </c>
    </row>
    <row r="6182" spans="1:3" ht="13" x14ac:dyDescent="0.15">
      <c r="A6182" s="1" t="str">
        <f ca="1">IFERROR(__xludf.DUMMYFUNCTION("GOOGLETRANSLATE(A6182, ""zh"", ""en"")"),"Table: Overview of Kangyuan's Employee Benefits System Statutory Benefits Employee Benefits Statutory Holidays Statutory holidays include sick leave, work injury leave, marriage leave, bereavement leave, prenatal check-up leave, maternity leave, paternity"&amp;" leave, breastfeeding leave, and annual leave, etc. Social insurance includes basic pension insurance, medical insurance, unemployment insurance, work injury insurance, maternity insurance, etc. Housing provident fund Other statutory employee benefits Emp"&amp;"loyee dormitories, government talent housing, talent housing subsidies, traditional holiday gifts or gifts Occupational health checkups for major illnesses of employees and their immediate family members Condolences for employee birthday gifts, retirement"&amp;" consolation money, bereavement leave consolation money, employee birthday gifts, wedding gifts Flexible working methods Home office Cooling fee Gymnasium, team-building activities, employee club, yoga classes, dance classes, leisure activity center, libr"&amp;"ary corner, annual meeting raffle, warm afternoon tea, postgraduate and doctoral training, talent introduction life Subsidy of 60 yuan: Afternoon tea for employees of Kangyuan Pharmaceutical Group Co., Ltd., International Women's Day warm-hearted activiti"&amp;"es, Traditional Chinese Medicine service campus, children's growth education lectures, free fitness classes, badminton competitions, holiday gift packages, union condolences. 61. 2022 Social Responsibility Report 7.3 Occupational Health and Safety. Kangyu"&amp;"an adheres to the safety management principle of safety first, prevention first, and comprehensive management, actively advocates a people-oriented safety concept, strictly abides by the Occupational Health and Safety Law of the People's Republic of China"&amp;", the Occupational Disease Prevention and Control Law of the People's Republic of China, and other occupational health and safety-related laws and regulations. Formulate a safety and environmental management manual and 18 management procedures in accordan"&amp;"ce with the requirements of the ISO45001 occupational health and safety management system, and continuously improve the EHS management system to ensure employee health and safety.")</f>
        <v>Table: Overview of Kangyuan's Employee Benefits System Statutory Benefits Employee Benefits Statutory Holidays Statutory holidays include sick leave, work injury leave, marriage leave, bereavement leave, prenatal check-up leave, maternity leave, paternity leave, breastfeeding leave, and annual leave, etc. Social insurance includes basic pension insurance, medical insurance, unemployment insurance, work injury insurance, maternity insurance, etc. Housing provident fund Other statutory employee benefits Employee dormitories, government talent housing, talent housing subsidies, traditional holiday gifts or gifts Occupational health checkups for major illnesses of employees and their immediate family members Condolences for employee birthday gifts, retirement consolation money, bereavement leave consolation money, employee birthday gifts, wedding gifts Flexible working methods Home office Cooling fee Gymnasium, team-building activities, employee club, yoga classes, dance classes, leisure activity center, library corner, annual meeting raffle, warm afternoon tea, postgraduate and doctoral training, talent introduction life Subsidy of 60 yuan: Afternoon tea for employees of Kangyuan Pharmaceutical Group Co., Ltd., International Women's Day warm-hearted activities, Traditional Chinese Medicine service campus, children's growth education lectures, free fitness classes, badminton competitions, holiday gift packages, union condolences. 61. 2022 Social Responsibility Report 7.3 Occupational Health and Safety. Kangyuan adheres to the safety management principle of safety first, prevention first, and comprehensive management, actively advocates a people-oriented safety concept, strictly abides by the Occupational Health and Safety Law of the People's Republic of China, the Occupational Disease Prevention and Control Law of the People's Republic of China, and other occupational health and safety-related laws and regulations. Formulate a safety and environmental management manual and 18 management procedures in accordance with the requirements of the ISO45001 occupational health and safety management system, and continuously improve the EHS management system to ensure employee health and safety.</v>
      </c>
      <c r="B6182" s="1" t="str">
        <f ca="1">IFERROR(__xludf.DUMMYFUNCTION("GOOGLETRANSLATE(A6182, ""zh"", ""en"")"),"staff")</f>
        <v>staff</v>
      </c>
      <c r="C6182" s="1" t="str">
        <f ca="1">IFERROR(__xludf.DUMMYFUNCTION("GOOGLETRANSLATE(E6182, ""zh"", ""en"")"),"Qualitative text")</f>
        <v>Qualitative text</v>
      </c>
    </row>
    <row r="6183" spans="1:3" ht="13" x14ac:dyDescent="0.15">
      <c r="A6183" s="1" t="str">
        <f ca="1">IFERROR(__xludf.DUMMYFUNCTION("GOOGLETRANSLATE(A6183, ""zh"", ""en"")"),"Consistency: 2022 net profit attributable to shareholders after deducting non-recurring items increased by 18.17% year-on-year to 3.873 billion yuan. Over 260 evaluation projects were carried out, with a social contribution value of 6.13 yuan per share an"&amp;"d a net profit of 2.317 billion yuan. By the end of 2022, Azvudine, China's first oral small molecule anti-COVID-19 drug, had been listed on the medical insurance network in 31 provinces and cities nationwide. The medical insurance price had been reduced "&amp;"by approximately 35%, providing employment opportunities for 38,399 people worldwide, including 6,426 overseas employees. Artesun, an innovative anti-disease drug independently developed by Fosun Pharma for injection, has saved more than 56 million people"&amp;" with severe dementia worldwide. Fosun Pharma's Excellence in Operations (FOPEX) project achieved an annualized return of over 513 green belts in 2022, with an investment in environmental protection, safety, and health exceeding 500 million yuan. Implemen"&amp;"t the concept of green development, improve water resource utilization efficiency, cultivate affiliated companies, purchase 16.92 million kWh of green electricity, save 338,000 tons of water, reduce carbon emissions by 8,825 tons through purchasing high-g"&amp;"rade electricity, and reduce water consumption intensity by 11% year-on-year. Fosun Healthcare integrates innovation to make medical insurance affordable for patients and their families, ensuring the safety and health of patients. It has 18 holding member"&amp;" hospitals, with 6,333 beds approved, improving energy utilization efficiency, saving 8.86 million tons of electricity, saving 4,700 tons of purchased bottled gas, saving 968,000 cubic meters of natural gas, and reducing carbon emissions by 9,433 tons. Pr"&amp;"eface: In 2022, China's pharmaceutical industry was affected by the national pharmaceutical supply-side reform, pharmaceutical policy adjustments and other factors, and the pharmaceutical market experienced a new round of adjustments.")</f>
        <v>Consistency: 2022 net profit attributable to shareholders after deducting non-recurring items increased by 18.17% year-on-year to 3.873 billion yuan. Over 260 evaluation projects were carried out, with a social contribution value of 6.13 yuan per share and a net profit of 2.317 billion yuan. By the end of 2022, Azvudine, China's first oral small molecule anti-COVID-19 drug, had been listed on the medical insurance network in 31 provinces and cities nationwide. The medical insurance price had been reduced by approximately 35%, providing employment opportunities for 38,399 people worldwide, including 6,426 overseas employees. Artesun, an innovative anti-disease drug independently developed by Fosun Pharma for injection, has saved more than 56 million people with severe dementia worldwide. Fosun Pharma's Excellence in Operations (FOPEX) project achieved an annualized return of over 513 green belts in 2022, with an investment in environmental protection, safety, and health exceeding 500 million yuan. Implement the concept of green development, improve water resource utilization efficiency, cultivate affiliated companies, purchase 16.92 million kWh of green electricity, save 338,000 tons of water, reduce carbon emissions by 8,825 tons through purchasing high-grade electricity, and reduce water consumption intensity by 11% year-on-year. Fosun Healthcare integrates innovation to make medical insurance affordable for patients and their families, ensuring the safety and health of patients. It has 18 holding member hospitals, with 6,333 beds approved, improving energy utilization efficiency, saving 8.86 million tons of electricity, saving 4,700 tons of purchased bottled gas, saving 968,000 cubic meters of natural gas, and reducing carbon emissions by 9,433 tons. Preface: In 2022, China's pharmaceutical industry was affected by the national pharmaceutical supply-side reform, pharmaceutical policy adjustments and other factors, and the pharmaceutical market experienced a new round of adjustments.</v>
      </c>
      <c r="B6183" s="1" t="str">
        <f ca="1">IFERROR(__xludf.DUMMYFUNCTION("GOOGLETRANSLATE(A6183, ""zh"", ""en"")"),"Fighting the epidemic")</f>
        <v>Fighting the epidemic</v>
      </c>
      <c r="C6183" s="1" t="str">
        <f ca="1">IFERROR(__xludf.DUMMYFUNCTION("GOOGLETRANSLATE(E6183, ""zh"", ""en"")"),"Quantitative Text")</f>
        <v>Quantitative Text</v>
      </c>
    </row>
    <row r="6184" spans="1:3" ht="13" x14ac:dyDescent="0.15">
      <c r="A6184" s="1" t="str">
        <f ca="1">IFERROR(__xludf.DUMMYFUNCTION("GOOGLETRANSLATE(A6184, ""zh"", ""en"")"),"China Construction Bank Corporation 2022 Social Responsibility Report 47 Greenhouse Gas Emissions 2022 2021 2020 Greenhouse Gas Emissions Scope 1 &amp; 2 Tons of CO2 168 28 12.20 16 43 45 4.48 148 12 23.32 Greenhouse Gas Emissions Scope 1 &amp; 2 Tons of CO2 per "&amp;"Employee 4.72 9 4.92 7 4.49 1 Direct Emissions Scope 1 Ton of CO2 69 49 7.11 1 27 37 8.31 8 8 90 6.10 Natural Gas Tons of CO2 31 7 68.07 38 42 4.62 34 17 6.31 Liquefied Petroleum Gas Tons of CO2 59 3.48 28 38.74 110 7.37 Coal Tons of CO2 1 70.0064.73192.6"&amp;"6 Gasoline tons CO2 32604.3075394.4746901.34 Diesel tons CO2 4151.007312.936318.13 Other tons CO2 210.263342.82210.29 Indirect emissions Scope 2 tons CO2 1613315.091516076.171392317.22 Purchased electricity tons CO2 1613315.091516076.171392317.22 Note 1. "&amp;"In 2021, the Bank established a carbon footprint management working group and hired an external professional organization to comprehensively verify the energy and resource consumption of the Bank from 2016 to 2021.")</f>
        <v>China Construction Bank Corporation 2022 Social Responsibility Report 47 Greenhouse Gas Emissions 2022 2021 2020 Greenhouse Gas Emissions Scope 1 &amp; 2 Tons of CO2 168 28 12.20 16 43 45 4.48 148 12 23.32 Greenhouse Gas Emissions Scope 1 &amp; 2 Tons of CO2 per Employee 4.72 9 4.92 7 4.49 1 Direct Emissions Scope 1 Ton of CO2 69 49 7.11 1 27 37 8.31 8 8 90 6.10 Natural Gas Tons of CO2 31 7 68.07 38 42 4.62 34 17 6.31 Liquefied Petroleum Gas Tons of CO2 59 3.48 28 38.74 110 7.37 Coal Tons of CO2 1 70.0064.73192.66 Gasoline tons CO2 32604.3075394.4746901.34 Diesel tons CO2 4151.007312.936318.13 Other tons CO2 210.263342.82210.29 Indirect emissions Scope 2 tons CO2 1613315.091516076.171392317.22 Purchased electricity tons CO2 1613315.091516076.171392317.22 Note 1. In 2021, the Bank established a carbon footprint management working group and hired an external professional organization to comprehensively verify the energy and resource consumption of the Bank from 2016 to 2021.</v>
      </c>
      <c r="B6184" s="1" t="str">
        <f ca="1">IFERROR(__xludf.DUMMYFUNCTION("GOOGLETRANSLATE(A6184, ""zh"", ""en"")"),"carbon emissions")</f>
        <v>carbon emissions</v>
      </c>
      <c r="C6184" s="1" t="str">
        <f ca="1">IFERROR(__xludf.DUMMYFUNCTION("GOOGLETRANSLATE(E6184, ""zh"", ""en"")"),"Quantitative Text")</f>
        <v>Quantitative Text</v>
      </c>
    </row>
    <row r="6185" spans="1:3" ht="13" x14ac:dyDescent="0.15">
      <c r="A6185" s="1" t="str">
        <f ca="1">IFERROR(__xludf.DUMMYFUNCTION("GOOGLETRANSLATE(A6185, ""zh"", ""en"")"),"Improve management mechanisms, strengthen risk assessments, establish notification and emergency response mechanisms, Sinopec Corporation, Sinopec Corporation 7778 Corporate Governance, strengthen safety nets, address climate change, respect human rights,"&amp;" talent cultivation, environmental protection, fulfill social responsibilities, respect human rights, talent cultivation, 05 Respect and protect human rights, human capital management, employee training and development, employee care, 79818386 Sinopec Cor"&amp;"poration, Sinopec Corporation 7980 Corporate Governance, strengthen safety nets, address climate change, respect human rights, talent cultivation, environmental protection, fulfill social responsibilities, respect and protect human rights, protect workers"&amp;"' rights, diversity and equal opportunities, employee communication and participation, and the company's strict compliance with the International Covenant on Economic, Social and Cultural Rights. We strictly abide by the International Covenant on Civil an"&amp;"d Political Rights, the Convention on the Elimination of Discrimination in Employment and Occupation, and other international conventions ratified or signed by the Chinese government, as well as the National Human Rights Action Plan. We strictly abide by "&amp;"the Labor Law of the People's Republic of China, the Labor Contract Law of the People's Republic of China, and other relevant domestic laws, the relevant laws and regulations of the countries where overseas operations are located, as well as the Universal"&amp;" Declaration of Human Rights, the Ten Principles of the United Nations Global Compact, and the National Human Rights Action Plan 2021-2025. We must eliminate any acts of disregard or trampling on human rights. We must always adhere to the principle of equ"&amp;"al and non-discriminatory employment, treat employees of different genders, regions, races, and religious beliefs fairly and impartially, promote the development of a diverse team, respect and protect the rights and interests of employees, contractors, an"&amp;"d suppliers, as well as their occupational health and safety, and build harmonious, stable, and healthy labor relations.")</f>
        <v>Improve management mechanisms, strengthen risk assessments, establish notification and emergency response mechanisms, Sinopec Corporation, Sinopec Corporation 7778 Corporate Governance, strengthen safety nets, address climate change, respect human rights, talent cultivation, environmental protection, fulfill social responsibilities, respect human rights, talent cultivation, 05 Respect and protect human rights, human capital management, employee training and development, employee care, 79818386 Sinopec Corporation, Sinopec Corporation 7980 Corporate Governance, strengthen safety nets, address climate change, respect human rights, talent cultivation, environmental protection, fulfill social responsibilities, respect and protect human rights, protect workers' rights, diversity and equal opportunities, employee communication and participation, and the company's strict compliance with the International Covenant on Economic, Social and Cultural Rights. We strictly abide by the International Covenant on Civil and Political Rights, the Convention on the Elimination of Discrimination in Employment and Occupation, and other international conventions ratified or signed by the Chinese government, as well as the National Human Rights Action Plan. We strictly abide by the Labor Law of the People's Republic of China, the Labor Contract Law of the People's Republic of China, and other relevant domestic laws, the relevant laws and regulations of the countries where overseas operations are located, as well as the Universal Declaration of Human Rights, the Ten Principles of the United Nations Global Compact, and the National Human Rights Action Plan 2021-2025. We must eliminate any acts of disregard or trampling on human rights. We must always adhere to the principle of equal and non-discriminatory employment, treat employees of different genders, regions, races, and religious beliefs fairly and impartially, promote the development of a diverse team, respect and protect the rights and interests of employees, contractors, and suppliers, as well as their occupational health and safety, and build harmonious, stable, and healthy labor relations.</v>
      </c>
      <c r="B6185" s="1" t="str">
        <f ca="1">IFERROR(__xludf.DUMMYFUNCTION("GOOGLETRANSLATE(A6185, ""zh"", ""en"")"),"staff")</f>
        <v>staff</v>
      </c>
      <c r="C6185" s="1" t="str">
        <f ca="1">IFERROR(__xludf.DUMMYFUNCTION("GOOGLETRANSLATE(E6185, ""zh"", ""en"")"),"Qualitative text")</f>
        <v>Qualitative text</v>
      </c>
    </row>
    <row r="6186" spans="1:3" ht="13" x14ac:dyDescent="0.15">
      <c r="A6186" s="1" t="str">
        <f ca="1">IFERROR(__xludf.DUMMYFUNCTION("GOOGLETRANSLATE(A6186, ""zh"", ""en"")"),"Haier Smart Home's learning and training system based on talent development: On-the-job training programs, mature talent campuses, on-the-job training, professional leadership enhancement, talent development, new employee training, value recognition, cult"&amp;"ural introduction, rapid integration, talent training system, leadership training programs, professional training programs, new employee training programs, Maker Training Camp (MTC), Maker Training Camp, Global Engineering Developing Program (GEDP). By ty"&amp;"pe: Domestic employees: Hours trained: Production personnel: 71.60, 70.00, 68.57, 70.00, 69.00. Sales personnel: Technical personnel: 68.57, 70.00, 69.00. By rank: Domestic employees: Hours trained: Senior management: 67. 0068.2070.99 Middle management le"&amp;"vel Grassroots staff divided by gender Number of training hours completed by domestic employees Hours Male employees Female employees 70.3271.000203040506 Protecting the planet Explore a green and low-carbon future People-oriented integration Promote dive"&amp;"rsified and inclusive development Responsible procurement Create a sustainable supply chain Intelligent experience Lead a better life Unite hearts and minds Promote equitable development 01 Global collaborative sustainable governance ecology 5756 Haier Sm"&amp;"art Home Co., Ltd. Environmental, Social and Governance Report Caring for employees Listening to their voices Caring for life and health We have set up Spring Festival holidays, High School Entrance Examination and College Entrance Examination accompanyin"&amp;"g leave, Haier annual leave, etc. for our employees, and added childcare leave, parental care leave, Spring Festival holidays and diversified holidays to give employees more time to spend with their families and help them achieve a balance between work an"&amp;"d life.")</f>
        <v>Haier Smart Home's learning and training system based on talent development: On-the-job training programs, mature talent campuses, on-the-job training, professional leadership enhancement, talent development, new employee training, value recognition, cultural introduction, rapid integration, talent training system, leadership training programs, professional training programs, new employee training programs, Maker Training Camp (MTC), Maker Training Camp, Global Engineering Developing Program (GEDP). By type: Domestic employees: Hours trained: Production personnel: 71.60, 70.00, 68.57, 70.00, 69.00. Sales personnel: Technical personnel: 68.57, 70.00, 69.00. By rank: Domestic employees: Hours trained: Senior management: 67. 0068.2070.99 Middle management level Grassroots staff divided by gender Number of training hours completed by domestic employees Hours Male employees Female employees 70.3271.000203040506 Protecting the planet Explore a green and low-carbon future People-oriented integration Promote diversified and inclusive development Responsible procurement Create a sustainable supply chain Intelligent experience Lead a better life Unite hearts and minds Promote equitable development 01 Global collaborative sustainable governance ecology 5756 Haier Smart Home Co., Ltd. Environmental, Social and Governance Report Caring for employees Listening to their voices Caring for life and health We have set up Spring Festival holidays, High School Entrance Examination and College Entrance Examination accompanying leave, Haier annual leave, etc. for our employees, and added childcare leave, parental care leave, Spring Festival holidays and diversified holidays to give employees more time to spend with their families and help them achieve a balance between work and life.</v>
      </c>
      <c r="B6186" s="1" t="str">
        <f ca="1">IFERROR(__xludf.DUMMYFUNCTION("GOOGLETRANSLATE(A6186, ""zh"", ""en"")"),"staff")</f>
        <v>staff</v>
      </c>
      <c r="C6186" s="1" t="str">
        <f ca="1">IFERROR(__xludf.DUMMYFUNCTION("GOOGLETRANSLATE(E6186, ""zh"", ""en"")"),"Quantitative Text")</f>
        <v>Quantitative Text</v>
      </c>
    </row>
    <row r="6187" spans="1:3" ht="13" x14ac:dyDescent="0.15">
      <c r="A6187" s="1" t="str">
        <f ca="1">IFERROR(__xludf.DUMMYFUNCTION("GOOGLETRANSLATE(A6187, ""zh"", ""en"")"),"Corporate Culture; Vision; Mission; Responsibility; Business Philosophy; Build a first-class financial holding platform for listed central enterprises in China; Create a better future for investors; Professional services; Collaborative win-win; Leverage a"&amp;"dvantages to achieve sustained performance growth; Build external image; Enhance financial business strength; Prudent operation; Improve risk prevention and control capabilities; Strengthen cooperation; Promote collaborative business development; Strength"&amp;"en internal strength; Improve investment and operation levels; Strengthen Party building; Actively fulfill social responsibilities; SDIC Capital Corporate Culture; SDIC Capital 2022 ESG Report; About Us; 060706; Business System; 10041.6236.1417.9941000.25"&amp;"10010048.93204619.533.9561.290.0031514599.99699.49100Shanghai Yisheng SDIC Capital Holding Essence Securities (100100100100100100), joint-stock company, custodian company, holding company, SDIC Capital Co., Ltd. (600061), SDIC Taikang Trust, Essence Asset"&amp;" Management, Essence Investment, SDIC, Essence Futures, Jintai Insurance, Guotong Chuangfeng, SDIC Finance, Essence Qianhong, Essence International, Essence Services, Essence Fund, SDIC UBS Fund, Guotong Wanhe, CICC, Bohai Bank, SDIC Leasing, SDIC Asset M"&amp;"anagement Co., Ltd., China SDIC International Trade Co., Ltd., State Development and Investment Corporation, other shareholders, China Securities Investor Protection Fund Co., Ltd., a wholly-owned subsidiary of Essence Securities and its subsidiaries, pro"&amp;"vides a full range of diversified financial products and services to various clients, including securities brokerage, proprietary trading, asset management, investment banking, financial advisory, margin trading, fund custody, futures brokerage, private e"&amp;"quity, and other financial products and services.")</f>
        <v>Corporate Culture; Vision; Mission; Responsibility; Business Philosophy; Build a first-class financial holding platform for listed central enterprises in China; Create a better future for investors; Professional services; Collaborative win-win; Leverage advantages to achieve sustained performance growth; Build external image; Enhance financial business strength; Prudent operation; Improve risk prevention and control capabilities; Strengthen cooperation; Promote collaborative business development; Strengthen internal strength; Improve investment and operation levels; Strengthen Party building; Actively fulfill social responsibilities; SDIC Capital Corporate Culture; SDIC Capital 2022 ESG Report; About Us; 060706; Business System; 10041.6236.1417.9941000.2510010048.93204619.533.9561.290.0031514599.99699.49100Shanghai Yisheng SDIC Capital Holding Essence Securities (100100100100100100), joint-stock company, custodian company, holding company, SDIC Capital Co., Ltd. (600061), SDIC Taikang Trust, Essence Asset Management, Essence Investment, SDIC, Essence Futures, Jintai Insurance, Guotong Chuangfeng, SDIC Finance, Essence Qianhong, Essence International, Essence Services, Essence Fund, SDIC UBS Fund, Guotong Wanhe, CICC, Bohai Bank, SDIC Leasing, SDIC Asset Management Co., Ltd., China SDIC International Trade Co., Ltd., State Development and Investment Corporation, other shareholders, China Securities Investor Protection Fund Co., Ltd., a wholly-owned subsidiary of Essence Securities and its subsidiaries, provides a full range of diversified financial products and services to various clients, including securities brokerage, proprietary trading, asset management, investment banking, financial advisory, margin trading, fund custody, futures brokerage, private equity, and other financial products and services.</v>
      </c>
      <c r="B6187" s="1" t="str">
        <f ca="1">IFERROR(__xludf.DUMMYFUNCTION("GOOGLETRANSLATE(A6187, ""zh"", ""en"")"),"Organizational structure and operations")</f>
        <v>Organizational structure and operations</v>
      </c>
      <c r="C6187" s="1" t="str">
        <f ca="1">IFERROR(__xludf.DUMMYFUNCTION("GOOGLETRANSLATE(E6187, ""zh"", ""en"")"),"Quantitative Text")</f>
        <v>Quantitative Text</v>
      </c>
    </row>
    <row r="6188" spans="1:3" ht="13" x14ac:dyDescent="0.15">
      <c r="A6188" s="1" t="str">
        <f ca="1">IFERROR(__xludf.DUMMYFUNCTION("GOOGLETRANSLATE(A6188, ""zh"", ""en"")"),"221c222 Statement on the Sustainable Development Strategy p.3 p.21 p.82 223 Policy Commitments Fosun Pharma Business Ethics Guidelines Fosun Pharma Employee Diversity Policy 224 Equity Partnership Commitment p.21 Fosun Pharma Business Code of Conduct 225 "&amp;"Procedures for Compensating for Negative Impacts p.21 222 Whistleblower Witness Protection and Reward Provisions 226 Mechanisms for Seeking Advice and Raising Concerns p.21 Fosun Pharma Business Code of Conduct 227 Compliance with Laws and Regulations pp."&amp;"21 222228 Membership of the Information Committee p.13 229 Methods for Stakeholder Engagement pp.28 230 Negotiation Agreement p.82 222 Corporate Social Responsibility Report t125 GRI Sustainability Reporting Standard 2021 Edition GRI Standards Other Resou"&amp;"rces Technical Information Item Location From GRI 3 Material Topics GRI 3 Material Topics 31 Process for Identifying Material Topics p.30 2021 Not Applicable Omitted 32 List of Material Topics p.30 GRI 201 Economic Performance 33 Management of Material To"&amp;"pics p.12 pp.28 30 p.43 p.82 p.11 4 p.119 2011 Directly Generated and Distributed Economic Value p.12 p.122 2012 Financial Impacts and Other Risks and Opportunities from Climate Change p.97 201alv Actions Taken to Manage Risks or Opportunities The financi"&amp;"al impacts of risks and the costs of managing them GRI 201 Economic Performance 2016 Not Evaluated and Quantified")</f>
        <v>221c222 Statement on the Sustainable Development Strategy p.3 p.21 p.82 223 Policy Commitments Fosun Pharma Business Ethics Guidelines Fosun Pharma Employee Diversity Policy 224 Equity Partnership Commitment p.21 Fosun Pharma Business Code of Conduct 225 Procedures for Compensating for Negative Impacts p.21 222 Whistleblower Witness Protection and Reward Provisions 226 Mechanisms for Seeking Advice and Raising Concerns p.21 Fosun Pharma Business Code of Conduct 227 Compliance with Laws and Regulations pp.21 222228 Membership of the Information Committee p.13 229 Methods for Stakeholder Engagement pp.28 230 Negotiation Agreement p.82 222 Corporate Social Responsibility Report t125 GRI Sustainability Reporting Standard 2021 Edition GRI Standards Other Resources Technical Information Item Location From GRI 3 Material Topics GRI 3 Material Topics 31 Process for Identifying Material Topics p.30 2021 Not Applicable Omitted 32 List of Material Topics p.30 GRI 201 Economic Performance 33 Management of Material Topics p.12 pp.28 30 p.43 p.82 p.11 4 p.119 2011 Directly Generated and Distributed Economic Value p.12 p.122 2012 Financial Impacts and Other Risks and Opportunities from Climate Change p.97 201alv Actions Taken to Manage Risks or Opportunities The financial impacts of risks and the costs of managing them GRI 201 Economic Performance 2016 Not Evaluated and Quantified</v>
      </c>
      <c r="B6188" s="1" t="str">
        <f ca="1">IFERROR(__xludf.DUMMYFUNCTION("GOOGLETRANSLATE(A6188, ""zh"", ""en"")"),"Organizational structure and operations")</f>
        <v>Organizational structure and operations</v>
      </c>
      <c r="C6188" s="1" t="str">
        <f ca="1">IFERROR(__xludf.DUMMYFUNCTION("GOOGLETRANSLATE(E6188, ""zh"", ""en"")"),"Qualitative text")</f>
        <v>Qualitative text</v>
      </c>
    </row>
    <row r="6189" spans="1:3" ht="13" x14ac:dyDescent="0.15">
      <c r="A6189" s="1" t="str">
        <f ca="1">IFERROR(__xludf.DUMMYFUNCTION("GOOGLETRANSLATE(A6189, ""zh"", ""en"")"),"0.0 Medical waste and waste medicines, tons 2251.43034.93352.9 Other hazardous wastes, tons 2022.32756.63057.1 Greenhouse gas emissions Total greenhouse gas emissions, tons CO2 equivalent 1080215.31005579.81037613.5 Greenhouse gas emission density 3 tons "&amp;"CO2 equivalent RMB 10,000 0.52 Scope 1 greenhouse gas emissions 4 tons CO2 equivalent 35758.6201234.8202473.9 Scope 2 greenhouse gas emissions 5 tons CO2 equivalent 1044456.8804345.0835139.61 The scope of environmental data disclosure covers all productio"&amp;"n enterprises of Kangyuan Group, its holding subsidiaries, and all production enterprises under Livzon Group.")</f>
        <v>0.0 Medical waste and waste medicines, tons 2251.43034.93352.9 Other hazardous wastes, tons 2022.32756.63057.1 Greenhouse gas emissions Total greenhouse gas emissions, tons CO2 equivalent 1080215.31005579.81037613.5 Greenhouse gas emission density 3 tons CO2 equivalent RMB 10,000 0.52 Scope 1 greenhouse gas emissions 4 tons CO2 equivalent 35758.6201234.8202473.9 Scope 2 greenhouse gas emissions 5 tons CO2 equivalent 1044456.8804345.0835139.61 The scope of environmental data disclosure covers all production enterprises of Kangyuan Group, its holding subsidiaries, and all production enterprises under Livzon Group.</v>
      </c>
      <c r="B6189" s="1" t="str">
        <f ca="1">IFERROR(__xludf.DUMMYFUNCTION("GOOGLETRANSLATE(A6189, ""zh"", ""en"")"),"Waste Management")</f>
        <v>Waste Management</v>
      </c>
      <c r="C6189" s="1" t="str">
        <f ca="1">IFERROR(__xludf.DUMMYFUNCTION("GOOGLETRANSLATE(E6189, ""zh"", ""en"")"),"Quantitative Text")</f>
        <v>Quantitative Text</v>
      </c>
    </row>
    <row r="6190" spans="1:3" ht="13" x14ac:dyDescent="0.15">
      <c r="A6190" s="1" t="str">
        <f ca="1">IFERROR(__xludf.DUMMYFUNCTION("GOOGLETRANSLATE(A6190, ""zh"", ""en"")"),"The minimum working age requirement is set and the employment of child labor or forced labor is prohibited. Fosun Pharma Group’s female employees, disabled employees and ethnic minority employees are counted and their proportion is as follows: Year Item T"&amp;"otal number of employees Female employees Disabled employees Ethnic minority employees 2020 Number of employees 322581546172934 Percentage 100.0047.930.222.90 2021 Number of employees 3627917421831117 Percentage 100.0048.020.233.08 2022 Number of employee"&amp;"s 3839918614892107 Percentage 100.0048.480.235.49 Fosun Pharma Group’s employee outflow change table Year 2020 2021 Outflow of employees 2022 18.7621.0121.28 Turnover rate 15.4017.1")</f>
        <v>The minimum working age requirement is set and the employment of child labor or forced labor is prohibited. Fosun Pharma Group’s female employees, disabled employees and ethnic minority employees are counted and their proportion is as follows: Year Item Total number of employees Female employees Disabled employees Ethnic minority employees 2020 Number of employees 322581546172934 Percentage 100.0047.930.222.90 2021 Number of employees 3627917421831117 Percentage 100.0048.020.233.08 2022 Number of employees 3839918614892107 Percentage 100.0048.480.235.49 Fosun Pharma Group’s employee outflow change table Year 2020 2021 Outflow of employees 2022 18.7621.0121.28 Turnover rate 15.4017.1</v>
      </c>
      <c r="B6190" s="1" t="str">
        <f ca="1">IFERROR(__xludf.DUMMYFUNCTION("GOOGLETRANSLATE(A6190, ""zh"", ""en"")"),"staff")</f>
        <v>staff</v>
      </c>
      <c r="C6190" s="1" t="str">
        <f ca="1">IFERROR(__xludf.DUMMYFUNCTION("GOOGLETRANSLATE(E6190, ""zh"", ""en"")"),"Quantitative Text")</f>
        <v>Quantitative Text</v>
      </c>
    </row>
    <row r="6191" spans="1:3" ht="13" x14ac:dyDescent="0.15">
      <c r="A6191" s="1" t="str">
        <f ca="1">IFERROR(__xludf.DUMMYFUNCTION("GOOGLETRANSLATE(A6191, ""zh"", ""en"")"),"415.95 outflow rate, all resigned employees' funds, 2 periods, total number of people at the beginning and end of the period, 1 lost period, total withdrawal at the beginning and final deposits, 82 Innovation for Gcod Health, continuous innovation, enjoy "&amp;"health care, Fosun Pharma Trade Union, under the leadership of the Putuo District Federation of Trade Unions, Fosun Group, in 2022, will continue to provide high-quality physical examinations for employees. Special physical examination projects will be pr"&amp;"ovided for employees of different age groups in 2022. Adhering to the original intention, we will focus on defending the main business and fulfilling our main responsibilities to promote the resumption of production, benefit employees and lay the foundati"&amp;"on. We will give full play to the organization of the trade union and continue to offer regular Tai Chi classes, Yoga classes and dance classes throughout the year. The advantages and unique role of weaving continue to improve employee satisfaction and ph"&amp;"ysical fitness, and the sense of gain in fitness in the Zhangjiang Science and Technology Innovation Park in Yishan Road Circle District will contribute to the construction and daily operation of the warm room of Fosun Pharma.")</f>
        <v>415.95 outflow rate, all resigned employees' funds, 2 periods, total number of people at the beginning and end of the period, 1 lost period, total withdrawal at the beginning and final deposits, 82 Innovation for Gcod Health, continuous innovation, enjoy health care, Fosun Pharma Trade Union, under the leadership of the Putuo District Federation of Trade Unions, Fosun Group, in 2022, will continue to provide high-quality physical examinations for employees. Special physical examination projects will be provided for employees of different age groups in 2022. Adhering to the original intention, we will focus on defending the main business and fulfilling our main responsibilities to promote the resumption of production, benefit employees and lay the foundation. We will give full play to the organization of the trade union and continue to offer regular Tai Chi classes, Yoga classes and dance classes throughout the year. The advantages and unique role of weaving continue to improve employee satisfaction and physical fitness, and the sense of gain in fitness in the Zhangjiang Science and Technology Innovation Park in Yishan Road Circle District will contribute to the construction and daily operation of the warm room of Fosun Pharma.</v>
      </c>
      <c r="B6191" s="1" t="str">
        <f ca="1">IFERROR(__xludf.DUMMYFUNCTION("GOOGLETRANSLATE(A6191, ""zh"", ""en"")"),"staff")</f>
        <v>staff</v>
      </c>
      <c r="C6191" s="1" t="str">
        <f ca="1">IFERROR(__xludf.DUMMYFUNCTION("GOOGLETRANSLATE(E6191, ""zh"", ""en"")"),"Qualitative text")</f>
        <v>Qualitative text</v>
      </c>
    </row>
    <row r="6192" spans="1:3" ht="13" x14ac:dyDescent="0.15">
      <c r="A6192" s="1" t="str">
        <f ca="1">IFERROR(__xludf.DUMMYFUNCTION("GOOGLETRANSLATE(A6192, ""zh"", ""en"")"),"128.58148.38137.72Indirect emissions42.3624.1824.07Oil and gas exploration and development segment24.4222.4720.36Refining and chemical segment144.32148.34139.82Sales segment2.201.751.61Greenhouse gas emission intensityNote 281.2262.9648.76Carbon dioxide c"&amp;"apture, thousand tons129015201534Methane recovery, million cubic meters600717834Performance reportEnvironmental performanceExhaust gas, sewage and wasteNote 1Note 1This report discloses the actual emissions of the Company's oilfield refineries and special"&amp;"ized companies included in the key management of pollutant discharge permits. The emissions are calculated based on self-monitoring data and are ultimately subject to the data published by the local ecological and environmental authorities.")</f>
        <v>128.58148.38137.72Indirect emissions42.3624.1824.07Oil and gas exploration and development segment24.4222.4720.36Refining and chemical segment144.32148.34139.82Sales segment2.201.751.61Greenhouse gas emission intensityNote 281.2262.9648.76Carbon dioxide capture, thousand tons129015201534Methane recovery, million cubic meters600717834Performance reportEnvironmental performanceExhaust gas, sewage and wasteNote 1Note 1This report discloses the actual emissions of the Company's oilfield refineries and specialized companies included in the key management of pollutant discharge permits. The emissions are calculated based on self-monitoring data and are ultimately subject to the data published by the local ecological and environmental authorities.</v>
      </c>
      <c r="B6192" s="1" t="str">
        <f ca="1">IFERROR(__xludf.DUMMYFUNCTION("GOOGLETRANSLATE(A6192, ""zh"", ""en"")"),"carbon emissions")</f>
        <v>carbon emissions</v>
      </c>
      <c r="C6192" s="1" t="str">
        <f ca="1">IFERROR(__xludf.DUMMYFUNCTION("GOOGLETRANSLATE(E6192, ""zh"", ""en"")"),"Quantitative Text")</f>
        <v>Quantitative Text</v>
      </c>
    </row>
    <row r="6193" spans="1:3" ht="13" x14ac:dyDescent="0.15">
      <c r="A6193" s="1" t="str">
        <f ca="1">IFERROR(__xludf.DUMMYFUNCTION("GOOGLETRANSLATE(A6193, ""zh"", ""en"")"),"Energy and water consumption 202220212020Energy consumption tons of standard coal 325657.59335950.96299247.57Energy consumption megawatt-hours 2346668.602734978.952436176.42Direct energy consumption tons of standard coal 37252.0563187.7347526.92Natural ga"&amp;"s tons of standard coal 19104.1619050.5717573.99Liquefied petroleum gas tons of standard coal 347.964789.104810.93Coal tons of standard coal 58.0024.5570.78Diesel tons of standard coal 1924.452964.157877.05Gasoline tons of standard coal 15719.0336333.98")</f>
        <v>Energy and water consumption 202220212020Energy consumption tons of standard coal 325657.59335950.96299247.57Energy consumption megawatt-hours 2346668.602734978.952436176.42Direct energy consumption tons of standard coal 37252.0563187.7347526.92Natural gas tons of standard coal 19104.1619050.5717573.99Liquefied petroleum gas tons of standard coal 347.964789.104810.93Coal tons of standard coal 58.0024.5570.78Diesel tons of standard coal 1924.452964.157877.05Gasoline tons of standard coal 15719.0336333.98</v>
      </c>
      <c r="B6193" s="1" t="str">
        <f ca="1">IFERROR(__xludf.DUMMYFUNCTION("GOOGLETRANSLATE(A6193, ""zh"", ""en"")"),"Energy and resource consumption")</f>
        <v>Energy and resource consumption</v>
      </c>
      <c r="C6193" s="1" t="str">
        <f ca="1">IFERROR(__xludf.DUMMYFUNCTION("GOOGLETRANSLATE(E6193, ""zh"", ""en"")"),"Quantitative Text")</f>
        <v>Quantitative Text</v>
      </c>
    </row>
    <row r="6194" spans="1:3" ht="13" x14ac:dyDescent="0.15">
      <c r="A6194" s="1" t="str">
        <f ca="1">IFERROR(__xludf.DUMMYFUNCTION("GOOGLETRANSLATE(A6194, ""zh"", ""en"")"),"659631 tons Other indirect greenhouse gas emissions 794 tons Fosun Pharma Group's carbon emissions Total carbon emissions tons Carbon emission type Carbon emission intensity Direct carbon emissions tons Energy indirect carbon emissions tons Other indirect"&amp;" carbon emissions tons tons Ten thousand yuan Revenue 20167461790.60 2017822.7860.54 201878637139606238926510440.41 20197581433806423765639380.35 2020827.85822455260223610700.27 20219001123078565913578990.23 20229494692890446596317940.22 Note 1. Number is"&amp;" short")</f>
        <v>659631 tons Other indirect greenhouse gas emissions 794 tons Fosun Pharma Group's carbon emissions Total carbon emissions tons Carbon emission type Carbon emission intensity Direct carbon emissions tons Energy indirect carbon emissions tons Other indirect carbon emissions tons tons Ten thousand yuan Revenue 20167461790.60 2017822.7860.54 201878637139606238926510440.41 20197581433806423765639380.35 2020827.85822455260223610700.27 20219001123078565913578990.23 20229494692890446596317940.22 Note 1. Number is short</v>
      </c>
      <c r="B6194" s="1" t="str">
        <f ca="1">IFERROR(__xludf.DUMMYFUNCTION("GOOGLETRANSLATE(A6194, ""zh"", ""en"")"),"carbon emissions")</f>
        <v>carbon emissions</v>
      </c>
      <c r="C6194" s="1" t="str">
        <f ca="1">IFERROR(__xludf.DUMMYFUNCTION("GOOGLETRANSLATE(E6194, ""zh"", ""en"")"),"Quantitative Text")</f>
        <v>Quantitative Text</v>
      </c>
    </row>
    <row r="6195" spans="1:3" ht="13" x14ac:dyDescent="0.15">
      <c r="A6195" s="1" t="str">
        <f ca="1">IFERROR(__xludf.DUMMYFUNCTION("GOOGLETRANSLATE(A6195, ""zh"", ""en"")"),"Born bravely, it pioneered the national machinery industry. In the 1990s and 2000s, it climbed and created new advantages in open cooperation. In 1987, Shanghai Mitsubishi Elevator Co., Ltd., a Sino-Japanese joint venture with Chinese control, was establi"&amp;"shed. In 1994, Shanghai Electric and Westinghouse Electric Corporation of the United States jointly invested and became the largest joint venture in my country's power generation industry at that time. In 2006, my country successfully manufactured the fir"&amp;"st 1000-MW ultra-supercritical steam turbine generator set. From the 2010s to the present, it has been innovating and moving towards a green and low-carbon transformation. In 2011, it successfully developed the world's first AP1000 nuclear power plant dom"&amp;"estically produced nuclear island main equipment. In 2018, the world's first Hualong One reactor internals were shipped to Fuqing Unit 5. It also undertook the construction of the world's largest 950-MW solar thermal photovoltaic power station project in "&amp;"Dubai. In 2020, it won the world's first award in the field of industrial intelligence, the Zhanlu Award for Industrial Innovation.")</f>
        <v>Born bravely, it pioneered the national machinery industry. In the 1990s and 2000s, it climbed and created new advantages in open cooperation. In 1987, Shanghai Mitsubishi Elevator Co., Ltd., a Sino-Japanese joint venture with Chinese control, was established. In 1994, Shanghai Electric and Westinghouse Electric Corporation of the United States jointly invested and became the largest joint venture in my country's power generation industry at that time. In 2006, my country successfully manufactured the first 1000-MW ultra-supercritical steam turbine generator set. From the 2010s to the present, it has been innovating and moving towards a green and low-carbon transformation. In 2011, it successfully developed the world's first AP1000 nuclear power plant domestically produced nuclear island main equipment. In 2018, the world's first Hualong One reactor internals were shipped to Fuqing Unit 5. It also undertook the construction of the world's largest 950-MW solar thermal photovoltaic power station project in Dubai. In 2020, it won the world's first award in the field of industrial intelligence, the Zhanlu Award for Industrial Innovation.</v>
      </c>
      <c r="B6195" s="1" t="str">
        <f ca="1">IFERROR(__xludf.DUMMYFUNCTION("GOOGLETRANSLATE(A6195, ""zh"", ""en"")"),"Technological innovation")</f>
        <v>Technological innovation</v>
      </c>
      <c r="C6195" s="1" t="str">
        <f ca="1">IFERROR(__xludf.DUMMYFUNCTION("GOOGLETRANSLATE(E6195, ""zh"", ""en"")"),"Qualitative text")</f>
        <v>Qualitative text</v>
      </c>
    </row>
    <row r="6196" spans="1:3" ht="13" x14ac:dyDescent="0.15">
      <c r="A6196" s="1" t="str">
        <f ca="1">IFERROR(__xludf.DUMMYFUNCTION("GOOGLETRANSLATE(A6196, ""zh"", ""en"")"),"2021 National Science and Technology Major Project: The world's first fourth-generation nuclear energy demonstration project connected to the grid. Shanghai Electric's Asia's largest 11MW direct-drive offshore wind turbine rolls off the production line. 2"&amp;"022: Comprehensive deployment of the 41x new track. 1950s-1980s: Growth at the forefront of a technologically advanced nation. 1955: Successful testing of China's first 6,000-kW steam turbine. 1958: Developed the world's first 12,000-kW double-water-coole"&amp;"d steam turbine generator. 1961: Manufactured China's first 10,000-ton hydraulic press. 1989: Completion of my country's first nuclear power unit, ending China's history without nuclear power. Shanghai Electric Group Co., Ltd. 2022 Social Responsibility R"&amp;"eport: Spanning two centuries, creating the future together. 2022 Social Responsibility Report: Cultural cohesion leads the future. Shanghai Electric has a profound historical heritage and corporate culture.")</f>
        <v>2021 National Science and Technology Major Project: The world's first fourth-generation nuclear energy demonstration project connected to the grid. Shanghai Electric's Asia's largest 11MW direct-drive offshore wind turbine rolls off the production line. 2022: Comprehensive deployment of the 41x new track. 1950s-1980s: Growth at the forefront of a technologically advanced nation. 1955: Successful testing of China's first 6,000-kW steam turbine. 1958: Developed the world's first 12,000-kW double-water-cooled steam turbine generator. 1961: Manufactured China's first 10,000-ton hydraulic press. 1989: Completion of my country's first nuclear power unit, ending China's history without nuclear power. Shanghai Electric Group Co., Ltd. 2022 Social Responsibility Report: Spanning two centuries, creating the future together. 2022 Social Responsibility Report: Cultural cohesion leads the future. Shanghai Electric has a profound historical heritage and corporate culture.</v>
      </c>
      <c r="B6196" s="1" t="str">
        <f ca="1">IFERROR(__xludf.DUMMYFUNCTION("GOOGLETRANSLATE(A6196, ""zh"", ""en"")"),"Technological innovation")</f>
        <v>Technological innovation</v>
      </c>
      <c r="C6196" s="1" t="str">
        <f ca="1">IFERROR(__xludf.DUMMYFUNCTION("GOOGLETRANSLATE(E6196, ""zh"", ""en"")"),"Qualitative text")</f>
        <v>Qualitative text</v>
      </c>
    </row>
    <row r="6197" spans="1:3" ht="13" x14ac:dyDescent="0.15">
      <c r="A6197" s="1" t="str">
        <f ca="1">IFERROR(__xludf.DUMMYFUNCTION("GOOGLETRANSLATE(A6197, ""zh"", ""en"")"),"37CorporateSocialResponsibityReport202238Social ResponsibilityOnboarding careFertility supportOnboarding gift packageCampus recruitmentEmployee professional birthday partyJoining anniversary commemorative coinsMaternity leavePaternity leavePregnancy check"&amp;"up leaveChildcare leaveRegular holidaysConvenient livingStatutory public holidaysPaid annual leaveMarriage leaveBreakup leaveSick leaveOld gymShuttle busMom's cabin and other infrastructurePeople's care leaveFor ​​employees' children's schooling, employee"&amp;" overseas assignments, etc.Hisense formulates children's schooling accompanying leaveFamily visit leave, etc.Employee health managementEmployee child careEmployee health checkupsFollow-up of abnormal employee physical examinationsRegular health organizati"&amp;"onOrganize summer vacationOrganize summer camps for employees' childrenEmployee after-school care classesOpen smart workshopsVisit health lecturesFree health clinicsHelp sick employees make appointments with experts, etc.Fun games, handicrafts and art cou"&amp;"rsesMutual assistance plans for difficultiesHoliday gift packages or")</f>
        <v>37CorporateSocialResponsibityReport202238Social ResponsibilityOnboarding careFertility supportOnboarding gift packageCampus recruitmentEmployee professional birthday partyJoining anniversary commemorative coinsMaternity leavePaternity leavePregnancy checkup leaveChildcare leaveRegular holidaysConvenient livingStatutory public holidaysPaid annual leaveMarriage leaveBreakup leaveSick leaveOld gymShuttle busMom's cabin and other infrastructurePeople's care leaveFor ​​employees' children's schooling, employee overseas assignments, etc.Hisense formulates children's schooling accompanying leaveFamily visit leave, etc.Employee health managementEmployee child careEmployee health checkupsFollow-up of abnormal employee physical examinationsRegular health organizationOrganize summer vacationOrganize summer camps for employees' childrenEmployee after-school care classesOpen smart workshopsVisit health lecturesFree health clinicsHelp sick employees make appointments with experts, etc.Fun games, handicrafts and art coursesMutual assistance plans for difficultiesHoliday gift packages or</v>
      </c>
      <c r="B6197" s="1" t="str">
        <f ca="1">IFERROR(__xludf.DUMMYFUNCTION("GOOGLETRANSLATE(A6197, ""zh"", ""en"")"),"staff")</f>
        <v>staff</v>
      </c>
      <c r="C6197" s="1" t="str">
        <f ca="1">IFERROR(__xludf.DUMMYFUNCTION("GOOGLETRANSLATE(E6197, ""zh"", ""en"")"),"Qualitative text")</f>
        <v>Qualitative text</v>
      </c>
    </row>
    <row r="6198" spans="1:3" ht="13" x14ac:dyDescent="0.15">
      <c r="A6198" s="1" t="str">
        <f ca="1">IFERROR(__xludf.DUMMYFUNCTION("GOOGLETRANSLATE(A6198, ""zh"", ""en"")"),"Holiday greetings, retirement care, establishment of an employee care fund, especially for employees in need, retirement of model workers, retirement sickness, New Year calendar, Goddess Day gifts, birthday month activities, opening of work, Spring Festiv"&amp;"al red envelopes, retirement medals and certificates, retirement souvenirs, relief funds for veteran employees, helping employees hospitalized due to illness or serious illnesses to overcome difficulties through festivals and Mid-Autumn Festival gift pack"&amp;"ages. 39Corporate Social Responsibility Report 202240Social ResponsibilityPromote employee health and vitality, pay attention to the physical and mental health of employees. The company attaches great importance to the physical and mental health of employ"&amp;"ees. Conduct weight loss competitions every quarter, and carry out a variety of cultural and sports activities to encourage employees to develop good living habits. Open a fat-reducing food window in the employee cafeteria to enrich employees' spare time,"&amp;" help employees develop interests and hobbies, and enhance team cohesion. In 2022, the company launched the ""I am in Hisense Welcome the Year of the Tiger"" program to facilitate healthy drinking for employees.")</f>
        <v>Holiday greetings, retirement care, establishment of an employee care fund, especially for employees in need, retirement of model workers, retirement sickness, New Year calendar, Goddess Day gifts, birthday month activities, opening of work, Spring Festival red envelopes, retirement medals and certificates, retirement souvenirs, relief funds for veteran employees, helping employees hospitalized due to illness or serious illnesses to overcome difficulties through festivals and Mid-Autumn Festival gift packages. 39Corporate Social Responsibility Report 202240Social ResponsibilityPromote employee health and vitality, pay attention to the physical and mental health of employees. The company attaches great importance to the physical and mental health of employees. Conduct weight loss competitions every quarter, and carry out a variety of cultural and sports activities to encourage employees to develop good living habits. Open a fat-reducing food window in the employee cafeteria to enrich employees' spare time, help employees develop interests and hobbies, and enhance team cohesion. In 2022, the company launched the "I am in Hisense Welcome the Year of the Tiger" program to facilitate healthy drinking for employees.</v>
      </c>
      <c r="B6198" s="1" t="str">
        <f ca="1">IFERROR(__xludf.DUMMYFUNCTION("GOOGLETRANSLATE(A6198, ""zh"", ""en"")"),"staff")</f>
        <v>staff</v>
      </c>
      <c r="C6198" s="1" t="str">
        <f ca="1">IFERROR(__xludf.DUMMYFUNCTION("GOOGLETRANSLATE(E6198, ""zh"", ""en"")"),"Qualitative text")</f>
        <v>Qualitative text</v>
      </c>
    </row>
    <row r="6199" spans="1:3" ht="13" x14ac:dyDescent="0.15">
      <c r="A6199" s="1" t="str">
        <f ca="1">IFERROR(__xludf.DUMMYFUNCTION("GOOGLETRANSLATE(A6199, ""zh"", ""en"")"),"External Energy Consumption P343023 Energy Intensity P343025 Reduction of Energy Requirements for Products and Services P3041 GRI 303 Water Resources and Wastewater 2018 3031 Interactions between the Organization and Water as a Shared Resource P343032 Imp"&amp;"acts Related to Management and Drainage P353033 Water Intake P343034 Drainage P353035 Water Consumption P33 GRI 305 Emissions 2016 3051 Direct Scope 1 Greenhouse Gas Emissions P363052 Energy Indirect Scope 2 Greenhouse Gas Emissions P363054 Greenhouse Gas"&amp;" Emission Intensity P363055 Greenhouse Gas Emission Reductions P26 GRI 306 Pollutants 2020 3062 Total Waste by Type and Treatment Method P363063 Major Leaks No major leaks occurred in the organization in 2022")</f>
        <v>External Energy Consumption P343023 Energy Intensity P343025 Reduction of Energy Requirements for Products and Services P3041 GRI 303 Water Resources and Wastewater 2018 3031 Interactions between the Organization and Water as a Shared Resource P343032 Impacts Related to Management and Drainage P353033 Water Intake P343034 Drainage P353035 Water Consumption P33 GRI 305 Emissions 2016 3051 Direct Scope 1 Greenhouse Gas Emissions P363052 Energy Indirect Scope 2 Greenhouse Gas Emissions P363054 Greenhouse Gas Emission Intensity P363055 Greenhouse Gas Emission Reductions P26 GRI 306 Pollutants 2020 3062 Total Waste by Type and Treatment Method P363063 Major Leaks No major leaks occurred in the organization in 2022</v>
      </c>
      <c r="B6199" s="1" t="str">
        <f ca="1">IFERROR(__xludf.DUMMYFUNCTION("GOOGLETRANSLATE(A6199, ""zh"", ""en"")"),"Waste Management")</f>
        <v>Waste Management</v>
      </c>
      <c r="C6199" s="1" t="str">
        <f ca="1">IFERROR(__xludf.DUMMYFUNCTION("GOOGLETRANSLATE(E6199, ""zh"", ""en"")"),"Quantitative Text")</f>
        <v>Quantitative Text</v>
      </c>
    </row>
    <row r="6200" spans="1:3" ht="13" x14ac:dyDescent="0.15">
      <c r="A6200" s="1" t="str">
        <f ca="1">IFERROR(__xludf.DUMMYFUNCTION("GOOGLETRANSLATE(A6200, ""zh"", ""en"")"),"APT organizations continue to track and monitor. The total number of vulnerabilities in Chinese exceeds 10,000, and up to 10,000 are added every day. The three-dimensional main defense library covers 100 million clients, with a total log of hundreds of mi"&amp;"llions and 100 million new entries every day. The super-large domain name information library has 100 billion global domain name information and 10,000 new samples every day. The super-large sample library has 100 million samples and 10,000 new samples ev"&amp;"ery day. The super-large active URL library has 100 million daily active URL access records and 10,000 new samples every day. Panoramic attack and defense knowledge covers all attack and defense techniques and tactics in recent years. Operation vulnerabil"&amp;"ity operation knowledge operation full network threat detection. Enter the ESG management topic and see responsibility, security first, people-oriented, mutual benefit and win-win. GRI content index www..cn..www.cn Chapter 1 Responsibility, strong and sou"&amp;"nd governance, continuous improvement of corporate governance mechanism, legal and compliant operation, compliance with business ethics, strict prevention of corruption, strengthening investor relations management, improving intellectual property protecti"&amp;"on, and striving to improve corporate governance.")</f>
        <v>APT organizations continue to track and monitor. The total number of vulnerabilities in Chinese exceeds 10,000, and up to 10,000 are added every day. The three-dimensional main defense library covers 100 million clients, with a total log of hundreds of millions and 100 million new entries every day. The super-large domain name information library has 100 billion global domain name information and 10,000 new samples every day. The super-large sample library has 100 million samples and 10,000 new samples every day. The super-large active URL library has 100 million daily active URL access records and 10,000 new samples every day. Panoramic attack and defense knowledge covers all attack and defense techniques and tactics in recent years. Operation vulnerability operation knowledge operation full network threat detection. Enter the ESG management topic and see responsibility, security first, people-oriented, mutual benefit and win-win. GRI content index www..cn..www.cn Chapter 1 Responsibility, strong and sound governance, continuous improvement of corporate governance mechanism, legal and compliant operation, compliance with business ethics, strict prevention of corruption, strengthening investor relations management, improving intellectual property protection, and striving to improve corporate governance.</v>
      </c>
      <c r="B6200" s="1" t="str">
        <f ca="1">IFERROR(__xludf.DUMMYFUNCTION("GOOGLETRANSLATE(A6200, ""zh"", ""en"")"),"Organizational structure and operations")</f>
        <v>Organizational structure and operations</v>
      </c>
      <c r="C6200" s="1" t="str">
        <f ca="1">IFERROR(__xludf.DUMMYFUNCTION("GOOGLETRANSLATE(E6200, ""zh"", ""en"")"),"Qualitative text")</f>
        <v>Qualitative text</v>
      </c>
    </row>
    <row r="6201" spans="1:3" ht="13" x14ac:dyDescent="0.15">
      <c r="A6201" s="1" t="str">
        <f ca="1">IFERROR(__xludf.DUMMYFUNCTION("GOOGLETRANSLATE(A6201, ""zh"", ""en"")"),"Wastewater interception and piped water pollution treatment project: Wastewater is discharged after being treated to meet the emission standards. Online monitoring of wastewater discharge is carried out. Wastewater management is entrusted to qualified env"&amp;"ironmental protection companies for hazardous waste treatment. Reusable general industrial solid waste is reused by the enterprise, and the rest is entrusted to third-party agencies for disposal. Actively promote the replacement of hazardous waste product"&amp;"s, such as using special cleaning fluids instead of gasoline and acetone to clean the surface of machines to minimize the generation of hazardous waste. Waste management: Waste gas is collected and treated to meet the standards and then discharged at high"&amp;" altitude. Through technical transformation, some enterprises and workshops are transformed into organized emission waste gas management to jointly promote the green concept of steady progress. 2022 Social Responsibility Report Shanghai Electric Group Co."&amp;", Ltd. 79 The pollutant and waste emissions of Shanghai Electric in 2022 are shown in the following table: Pollutant emissions 2021 2022 Unit wastewater discharge 2")</f>
        <v>Wastewater interception and piped water pollution treatment project: Wastewater is discharged after being treated to meet the emission standards. Online monitoring of wastewater discharge is carried out. Wastewater management is entrusted to qualified environmental protection companies for hazardous waste treatment. Reusable general industrial solid waste is reused by the enterprise, and the rest is entrusted to third-party agencies for disposal. Actively promote the replacement of hazardous waste products, such as using special cleaning fluids instead of gasoline and acetone to clean the surface of machines to minimize the generation of hazardous waste. Waste management: Waste gas is collected and treated to meet the standards and then discharged at high altitude. Through technical transformation, some enterprises and workshops are transformed into organized emission waste gas management to jointly promote the green concept of steady progress. 2022 Social Responsibility Report Shanghai Electric Group Co., Ltd. 79 The pollutant and waste emissions of Shanghai Electric in 2022 are shown in the following table: Pollutant emissions 2021 2022 Unit wastewater discharge 2</v>
      </c>
      <c r="B6201" s="1" t="str">
        <f ca="1">IFERROR(__xludf.DUMMYFUNCTION("GOOGLETRANSLATE(A6201, ""zh"", ""en"")"),"Waste Management")</f>
        <v>Waste Management</v>
      </c>
      <c r="C6201" s="1" t="str">
        <f ca="1">IFERROR(__xludf.DUMMYFUNCTION("GOOGLETRANSLATE(E6201, ""zh"", ""en"")"),"Qualitative text")</f>
        <v>Qualitative text</v>
      </c>
    </row>
    <row r="6202" spans="1:3" ht="13" x14ac:dyDescent="0.15">
      <c r="A6202" s="1" t="str">
        <f ca="1">IFERROR(__xludf.DUMMYFUNCTION("GOOGLETRANSLATE(A6202, ""zh"", ""en"")"),"7559542201572.67 cubic meters Waste gas emissions 7537307.36561127.898 thousand cubic meters Nitrogen oxides 70.5631.20 tons Sulfur oxides 1.770.66 tons Particulate matter 18.209.86 tons VOCs 100.6147.64 tons Waste emissions and density 2021 2022 Unit haz"&amp;"ardous waste 3292.412963.14 tons Non-hazardous waste 70045.9051736.34 tons Hazardous waste density 2.525 tons RMB billion Operating income Non-hazardous waste density 53.3143.98 tons RMB billion Operating income 7 The Group reviewed and optimized the stat"&amp;"istical method for waste gas emissions in 2022, and therefore adjusted the relevant figures for waste gas emissions in 2021.")</f>
        <v>7559542201572.67 cubic meters Waste gas emissions 7537307.36561127.898 thousand cubic meters Nitrogen oxides 70.5631.20 tons Sulfur oxides 1.770.66 tons Particulate matter 18.209.86 tons VOCs 100.6147.64 tons Waste emissions and density 2021 2022 Unit hazardous waste 3292.412963.14 tons Non-hazardous waste 70045.9051736.34 tons Hazardous waste density 2.525 tons RMB billion Operating income Non-hazardous waste density 53.3143.98 tons RMB billion Operating income 7 The Group reviewed and optimized the statistical method for waste gas emissions in 2022, and therefore adjusted the relevant figures for waste gas emissions in 2021.</v>
      </c>
      <c r="B6202" s="1" t="str">
        <f ca="1">IFERROR(__xludf.DUMMYFUNCTION("GOOGLETRANSLATE(A6202, ""zh"", ""en"")"),"Waste Management")</f>
        <v>Waste Management</v>
      </c>
      <c r="C6202" s="1" t="str">
        <f ca="1">IFERROR(__xludf.DUMMYFUNCTION("GOOGLETRANSLATE(E6202, ""zh"", ""en"")"),"Quantitative Text")</f>
        <v>Quantitative Text</v>
      </c>
    </row>
    <row r="6203" spans="1:3" ht="13" x14ac:dyDescent="0.15">
      <c r="A6203" s="1" t="str">
        <f ca="1">IFERROR(__xludf.DUMMYFUNCTION("GOOGLETRANSLATE(A6203, ""zh"", ""en"")"),"34352022 In principle, non-important or urgent documents should not be sent via SF Express. Ordinary express delivery should be used whenever possible. It is recommended that you bring your own water cup. Non-external visitors should not use disposable pa"&amp;"per cups. Bottled water is not provided for internal meetings. A shared stationery corner is set up in the printing room. Individuals are not allowed to collect durable office supplies. Calculators, staplers, and other supplies are centrally placed in the"&amp;" stationery corner for easy access. Double-sided printing is recommended for office use. Printers are set to default to double-sided black and white printing. Office documents should be circulated and archived electronically whenever possible. Waste paper"&amp;" printed on one side of the paper can be used to paste expense invoices or print general documents. When natural light is good, minimize the use of lighting fixtures and make full use of natural light. Unplug the power cords of computers and mobile phones"&amp;" when leaving the office. Turn off the lights, printers, and other equipment before leaving the meeting room or office. Turn on the air conditioner and set the bathroom temperature to 26°C.")</f>
        <v>34352022 In principle, non-important or urgent documents should not be sent via SF Express. Ordinary express delivery should be used whenever possible. It is recommended that you bring your own water cup. Non-external visitors should not use disposable paper cups. Bottled water is not provided for internal meetings. A shared stationery corner is set up in the printing room. Individuals are not allowed to collect durable office supplies. Calculators, staplers, and other supplies are centrally placed in the stationery corner for easy access. Double-sided printing is recommended for office use. Printers are set to default to double-sided black and white printing. Office documents should be circulated and archived electronically whenever possible. Waste paper printed on one side of the paper can be used to paste expense invoices or print general documents. When natural light is good, minimize the use of lighting fixtures and make full use of natural light. Unplug the power cords of computers and mobile phones when leaving the office. Turn off the lights, printers, and other equipment before leaving the meeting room or office. Turn on the air conditioner and set the bathroom temperature to 26°C.</v>
      </c>
      <c r="B6203" s="1" t="str">
        <f ca="1">IFERROR(__xludf.DUMMYFUNCTION("GOOGLETRANSLATE(A6203, ""zh"", ""en"")"),"Waste Management")</f>
        <v>Waste Management</v>
      </c>
      <c r="C6203" s="1" t="str">
        <f ca="1">IFERROR(__xludf.DUMMYFUNCTION("GOOGLETRANSLATE(E6203, ""zh"", ""en"")"),"Qualitative text")</f>
        <v>Qualitative text</v>
      </c>
    </row>
    <row r="6204" spans="1:3" ht="13" x14ac:dyDescent="0.15">
      <c r="A6204" s="1" t="str">
        <f ca="1">IFERROR(__xludf.DUMMYFUNCTION("GOOGLETRANSLATE(A6204, ""zh"", ""en"")"),"In 2022, we carried out a variety of community charity activities overseas. Kazakhstan carried out greening activities in the residential communities around the Chimkent refinery, planting a total of 500 elm and acacia seedlings. Various donations were ma"&amp;"de to charities and public welfare organizations in Kezi Autonomous Prefecture. Iraq and Oman carried out assistance projects in 14 communities near the West Qurna project to promote the sustainable development of local medical, health, education, infrast"&amp;"ructure, culture and sports, and help local people clean up explosive remnants of war. A community co-construction plan was implemented around the Rumaila project, including community women's vocational skills training, mobile medical clinics, community u"&amp;"nemployed people's vocational training, oil field community power grid upgrades, and school desk and chair repairs around the oil fields. Participated in the implementation of community education infrastructure construction, local community medical facili"&amp;"ties for the elderly, children, the sick and the disabled, environmental improvements, assistance for students in need, and support for sports activities and events.")</f>
        <v>In 2022, we carried out a variety of community charity activities overseas. Kazakhstan carried out greening activities in the residential communities around the Chimkent refinery, planting a total of 500 elm and acacia seedlings. Various donations were made to charities and public welfare organizations in Kezi Autonomous Prefecture. Iraq and Oman carried out assistance projects in 14 communities near the West Qurna project to promote the sustainable development of local medical, health, education, infrastructure, culture and sports, and help local people clean up explosive remnants of war. A community co-construction plan was implemented around the Rumaila project, including community women's vocational skills training, mobile medical clinics, community unemployed people's vocational training, oil field community power grid upgrades, and school desk and chair repairs around the oil fields. Participated in the implementation of community education infrastructure construction, local community medical facilities for the elderly, children, the sick and the disabled, environmental improvements, assistance for students in need, and support for sports activities and events.</v>
      </c>
      <c r="B6204" s="1" t="str">
        <f ca="1">IFERROR(__xludf.DUMMYFUNCTION("GOOGLETRANSLATE(A6204, ""zh"", ""en"")"),"Public welfare and volunteer service")</f>
        <v>Public welfare and volunteer service</v>
      </c>
      <c r="C6204" s="1" t="str">
        <f ca="1">IFERROR(__xludf.DUMMYFUNCTION("GOOGLETRANSLATE(E6204, ""zh"", ""en"")"),"Quantitative Text")</f>
        <v>Quantitative Text</v>
      </c>
    </row>
    <row r="6205" spans="1:3" ht="13" x14ac:dyDescent="0.15">
      <c r="A6205" s="1" t="str">
        <f ca="1">IFERROR(__xludf.DUMMYFUNCTION("GOOGLETRANSLATE(A6205, ""zh"", ""en"")"),"In 2022, the Ministry of Social Development of the Omani government awarded the title of Honorary Company for Social Development and Support for projects such as assistance to people in need of cancer and major diseases. Canada has made social welfare inv"&amp;"estments in health assistance, environmental incentive housing programs, skills and employment training, and life security. It has implemented the Calgary Zoo Endangered Animal Conservation Classroom Sponsorship Program to provide endangered animal and en"&amp;"vironmental protection education to young people attending the zoo. Australia has participated in the investment to establish the University of Queensland Natural Gas Research Center, funded the University of Queensland Science Wonder Project, and made so"&amp;"cial contributions 95 cases. Case name: 131300. It has held academic conferences and participated in the teacher-student project. The company participated in the investment to establish the University of Queensland Natural Gas Research Center, which has c"&amp;"oalbed methane industry-related disciplines such as economics, commerce, petroleum engineering, earth sciences, ecology, and social sciences, and continues to provide technical support for project development.")</f>
        <v>In 2022, the Ministry of Social Development of the Omani government awarded the title of Honorary Company for Social Development and Support for projects such as assistance to people in need of cancer and major diseases. Canada has made social welfare investments in health assistance, environmental incentive housing programs, skills and employment training, and life security. It has implemented the Calgary Zoo Endangered Animal Conservation Classroom Sponsorship Program to provide endangered animal and environmental protection education to young people attending the zoo. Australia has participated in the investment to establish the University of Queensland Natural Gas Research Center, funded the University of Queensland Science Wonder Project, and made social contributions 95 cases. Case name: 131300. It has held academic conferences and participated in the teacher-student project. The company participated in the investment to establish the University of Queensland Natural Gas Research Center, which has coalbed methane industry-related disciplines such as economics, commerce, petroleum engineering, earth sciences, ecology, and social sciences, and continues to provide technical support for project development.</v>
      </c>
      <c r="B6205" s="1" t="str">
        <f ca="1">IFERROR(__xludf.DUMMYFUNCTION("GOOGLETRANSLATE(A6205, ""zh"", ""en"")"),"Public welfare and volunteer service")</f>
        <v>Public welfare and volunteer service</v>
      </c>
      <c r="C6205" s="1" t="str">
        <f ca="1">IFERROR(__xludf.DUMMYFUNCTION("GOOGLETRANSLATE(E6205, ""zh"", ""en"")"),"Quantitative Text")</f>
        <v>Quantitative Text</v>
      </c>
    </row>
    <row r="6206" spans="1:3" ht="13" x14ac:dyDescent="0.15">
      <c r="A6206" s="1" t="str">
        <f ca="1">IFERROR(__xludf.DUMMYFUNCTION("GOOGLETRANSLATE(A6206, ""zh"", ""en"")"),"1EHS strategic environmental indicators Energy saving projects Carbon reduction Carbon emission intensity Energy consumption intensity Unit hour 9433 Unit Ten thousand yuan revenue Unit GJ Ten thousand yuan revenue 1510204.4350.231.902.292.202021202220212"&amp;"02520302016201720182019202020212022Annual average20252030Total health waste intensity Hazardous health intensity Unit Thousands of yuan Ten thousand yuan Operation times 10 Units Thousands of yuan Ten thousand yuan Operation times 3.1023.17201620172018201"&amp;"92020202120222025201620172018201920202021202225EHS strategic goalsStrategic goals Fosun Pharma Group adheres to the integrity and sustainable development of the company and continuously improves and enhances its performance.")</f>
        <v>1EHS strategic environmental indicators Energy saving projects Carbon reduction Carbon emission intensity Energy consumption intensity Unit hour 9433 Unit Ten thousand yuan revenue Unit GJ Ten thousand yuan revenue 1510204.4350.231.902.292.20202120222021202520302016201720182019202020212022Annual average20252030Total health waste intensity Hazardous health intensity Unit Thousands of yuan Ten thousand yuan Operation times 10 Units Thousands of yuan Ten thousand yuan Operation times 3.1023.1720162017201820192020202120222025201620172018201920202021202225EHS strategic goalsStrategic goals Fosun Pharma Group adheres to the integrity and sustainable development of the company and continuously improves and enhances its performance.</v>
      </c>
      <c r="B6206" s="1" t="str">
        <f ca="1">IFERROR(__xludf.DUMMYFUNCTION("GOOGLETRANSLATE(A6206, ""zh"", ""en"")"),"carbon emissions")</f>
        <v>carbon emissions</v>
      </c>
      <c r="C6206" s="1" t="str">
        <f ca="1">IFERROR(__xludf.DUMMYFUNCTION("GOOGLETRANSLATE(E6206, ""zh"", ""en"")"),"Quantitative Text")</f>
        <v>Quantitative Text</v>
      </c>
    </row>
    <row r="6207" spans="1:3" ht="13" x14ac:dyDescent="0.15">
      <c r="A6207" s="1" t="str">
        <f ca="1">IFERROR(__xludf.DUMMYFUNCTION("GOOGLETRANSLATE(A6207, ""zh"", ""en"")"),"Financing to the public, deposit financing, guarantee financing, wealth management services, and other financial services may not be engaged in without the approval of financial and other regulatory authorities. Business activities that require approval a"&amp;"ccording to law may only be carried out after approval from relevant departments. 161719th Floor, Tower A, Zhongda Plaza, 366 Zhongshan North Road, Gongshu District, Hangzhou. 901910, Building 2, Ocean International Center, Gongshu District, Hangzhou. 5th"&amp;" and 7th Floor, No. 1, Zhongda Plaza, Gongshu District, Hangzhou. 20th Floor, Tower A, Zhongda Plaza, Gongshu District, Hangzhou. 30th Floor, Building 1, Zhongda Plaza, Gongshu District, Hangzhou. 3rd Floor, West of the Municipal Administrative Service Ce"&amp;"nter, No. 555 Wengshan Road, Lincheng Street, Dinghai District, Zhoushan. 28A, 445 Kaixuan Road, Shangcheng District, Hangzhou. www.zjmileasing.com www.zdqh.com www.wuchancaiwu.com www.zhongdajinshi.com htt")</f>
        <v>Financing to the public, deposit financing, guarantee financing, wealth management services, and other financial services may not be engaged in without the approval of financial and other regulatory authorities. Business activities that require approval according to law may only be carried out after approval from relevant departments. 161719th Floor, Tower A, Zhongda Plaza, 366 Zhongshan North Road, Gongshu District, Hangzhou. 901910, Building 2, Ocean International Center, Gongshu District, Hangzhou. 5th and 7th Floor, No. 1, Zhongda Plaza, Gongshu District, Hangzhou. 20th Floor, Tower A, Zhongda Plaza, Gongshu District, Hangzhou. 30th Floor, Building 1, Zhongda Plaza, Gongshu District, Hangzhou. 3rd Floor, West of the Municipal Administrative Service Center, No. 555 Wengshan Road, Lincheng Street, Dinghai District, Zhoushan. 28A, 445 Kaixuan Road, Shangcheng District, Hangzhou. www.zjmileasing.com www.zdqh.com www.wuchancaiwu.com www.zhongdajinshi.com htt</v>
      </c>
      <c r="B6207" s="1" t="str">
        <f ca="1">IFERROR(__xludf.DUMMYFUNCTION("GOOGLETRANSLATE(A6207, ""zh"", ""en"")"),"irrelevant text")</f>
        <v>irrelevant text</v>
      </c>
      <c r="C6207" s="1" t="str">
        <f ca="1">IFERROR(__xludf.DUMMYFUNCTION("GOOGLETRANSLATE(E6207, ""zh"", ""en"")"),"irrelevant text")</f>
        <v>irrelevant text</v>
      </c>
    </row>
    <row r="6208" spans="1:3" ht="13" x14ac:dyDescent="0.15">
      <c r="A6208" s="1" t="str">
        <f ca="1">IFERROR(__xludf.DUMMYFUNCTION("GOOGLETRANSLATE(A6208, ""zh"", ""en"")"),"pwww.wzgroup.cnbusinesscompanyinfo46.htmlplate21xa1www.zme.com.cn0571877198360571877888880571878959510571857768180571857768180580298809905718577075775 Wuchan Zhongda Commercial Factoring Zhejiang Co., Ltd. Wuchan Zhongda Medical Health Investment Co., Ltd"&amp;". Wuchan Zhongda Yuantong Industrial Group Co., Ltd. Wuchan Zhongda Public Environment Investment Co., Ltd. Wuchan Zhongda Changle Forest Farm Co., Ltd. 1617181920 Licensed projects Commercial factoring business Projects that require approval according to"&amp;" law can only carry out business activities after approval from relevant departments. The specific business projects are subject to the approval results.")</f>
        <v>pwww.wzgroup.cnbusinesscompanyinfo46.htmlplate21xa1www.zme.com.cn0571877198360571877888880571878959510571857768180571857768180580298809905718577075775 Wuchan Zhongda Commercial Factoring Zhejiang Co., Ltd. Wuchan Zhongda Medical Health Investment Co., Ltd. Wuchan Zhongda Yuantong Industrial Group Co., Ltd. Wuchan Zhongda Public Environment Investment Co., Ltd. Wuchan Zhongda Changle Forest Farm Co., Ltd. 1617181920 Licensed projects Commercial factoring business Projects that require approval according to law can only carry out business activities after approval from relevant departments. The specific business projects are subject to the approval results.</v>
      </c>
      <c r="B6208" s="1" t="str">
        <f ca="1">IFERROR(__xludf.DUMMYFUNCTION("GOOGLETRANSLATE(A6208, ""zh"", ""en"")"),"Legal proceedings and external sanctions")</f>
        <v>Legal proceedings and external sanctions</v>
      </c>
      <c r="C6208" s="1" t="str">
        <f ca="1">IFERROR(__xludf.DUMMYFUNCTION("GOOGLETRANSLATE(E6208, ""zh"", ""en"")"),"Qualitative text")</f>
        <v>Qualitative text</v>
      </c>
    </row>
    <row r="6209" spans="1:3" ht="13" x14ac:dyDescent="0.15">
      <c r="A6209" s="1" t="str">
        <f ca="1">IFERROR(__xludf.DUMMYFUNCTION("GOOGLETRANSLATE(A6209, ""zh"", ""en"")"),"Focus on talent development. Key training projects and achievements in 2022. Employee training internship. Business position. Host-level business assistant engineer. Business position. Senior-level business engineer. Junior worker. Intermediate worker. Se"&amp;"nior worker. Technician. Senior technician. Chief technician. Skill expert. Senior supervisor position. Manager. Department manager. Company leadership. Management sequence: M. Business sequence: B. Technical sequence: T. Skill sequence: W. Senior-level b"&amp;"usiness position. Chief-level business position. Senior engineer. Chief engineer. Technical expert. COSL 2022 ESG Report 50 Indicators. 2022 2021 2020. Percentage of male trainees: 93.893.093.0. Percentage of female trainees: 6.27.07.0. Percentage of trai"&amp;"nees in operation positions: 23.732.929.3. Percentage of trainees in technical positions: 4.742.450.4. Percentage of trainees in management positions: 7.624.720.3. Percentage of trainees in business positions: 64.")</f>
        <v>Focus on talent development. Key training projects and achievements in 2022. Employee training internship. Business position. Host-level business assistant engineer. Business position. Senior-level business engineer. Junior worker. Intermediate worker. Senior worker. Technician. Senior technician. Chief technician. Skill expert. Senior supervisor position. Manager. Department manager. Company leadership. Management sequence: M. Business sequence: B. Technical sequence: T. Skill sequence: W. Senior-level business position. Chief-level business position. Senior engineer. Chief engineer. Technical expert. COSL 2022 ESG Report 50 Indicators. 2022 2021 2020. Percentage of male trainees: 93.893.093.0. Percentage of female trainees: 6.27.07.0. Percentage of trainees in operation positions: 23.732.929.3. Percentage of trainees in technical positions: 4.742.450.4. Percentage of trainees in management positions: 7.624.720.3. Percentage of trainees in business positions: 64.</v>
      </c>
      <c r="B6209" s="1" t="str">
        <f ca="1">IFERROR(__xludf.DUMMYFUNCTION("GOOGLETRANSLATE(A6209, ""zh"", ""en"")"),"staff")</f>
        <v>staff</v>
      </c>
      <c r="C6209" s="1" t="str">
        <f ca="1">IFERROR(__xludf.DUMMYFUNCTION("GOOGLETRANSLATE(E6209, ""zh"", ""en"")"),"Quantitative Text")</f>
        <v>Quantitative Text</v>
      </c>
    </row>
    <row r="6210" spans="1:3" ht="13" x14ac:dyDescent="0.15">
      <c r="A6210" s="1" t="str">
        <f ca="1">IFERROR(__xludf.DUMMYFUNCTION("GOOGLETRANSLATE(A6210, ""zh"", ""en"")"),".0 Average training time for male employees: hours 157.4187.8155.5 Average training time for female employees: hours 205.3176.179.9 Average training time for operating staff: hours 102.5183.5173.1 Average training time for technical staff: hours 140.8197."&amp;"3195.4 Average training time for management staff: hours 208.7227.0118.5 Average training time for business staff: hours 178.6 Employee training statistics 202022 In order to accelerate the cultivation of a team of high-quality skilled talents with a reas"&amp;"onable structure, complete levels, superb skills, excellent quality, safety and reliability, COSL will build a training course system based on the corresponding professional skill level standards for the company's main job types and skill positions, and i"&amp;"n accordance with the job ability and quality requirements, job ability knowledge map, job training course matrix, training form and assessment form.")</f>
        <v>.0 Average training time for male employees: hours 157.4187.8155.5 Average training time for female employees: hours 205.3176.179.9 Average training time for operating staff: hours 102.5183.5173.1 Average training time for technical staff: hours 140.8197.3195.4 Average training time for management staff: hours 208.7227.0118.5 Average training time for business staff: hours 178.6 Employee training statistics 202022 In order to accelerate the cultivation of a team of high-quality skilled talents with a reasonable structure, complete levels, superb skills, excellent quality, safety and reliability, COSL will build a training course system based on the corresponding professional skill level standards for the company's main job types and skill positions, and in accordance with the job ability and quality requirements, job ability knowledge map, job training course matrix, training form and assessment form.</v>
      </c>
      <c r="B6210" s="1" t="str">
        <f ca="1">IFERROR(__xludf.DUMMYFUNCTION("GOOGLETRANSLATE(A6210, ""zh"", ""en"")"),"staff")</f>
        <v>staff</v>
      </c>
      <c r="C6210" s="1" t="str">
        <f ca="1">IFERROR(__xludf.DUMMYFUNCTION("GOOGLETRANSLATE(E6210, ""zh"", ""en"")"),"Quantitative Text")</f>
        <v>Quantitative Text</v>
      </c>
    </row>
    <row r="6211" spans="1:3" ht="13" x14ac:dyDescent="0.15">
      <c r="A6211" s="1" t="str">
        <f ca="1">IFERROR(__xludf.DUMMYFUNCTION("GOOGLETRANSLATE(A6211, ""zh"", ""en"")"),"Total water consumption and water consumption intensity of Fosun Pharma Group Total water consumption Water consumption intensity Unit cubic meter Year Unit Project Ten thousand yuan Revenue 1052181110545581995941595156972264756938181887693765.995.143.993"&amp;".333.102.7020161022218201920202212022104 Innovation for Good Health Summary of key water-saving projects of some member companies of Fosun Pharma Group Company name Water-saving measures Total amount of water saving Water-saving project measures Administr"&amp;"ative management control Ten thousand cubic meters Wanbang Pharmaceutical Recycled water for state use 0.1 Wanbang Jinqiao cooling wall water recovery optimization Water meter measurement system 0.1 Zhaohui Pharmaceutical Recycled water for state use 1.2 "&amp;"Wanbang Foshan cooling tower water recovery 0.7")</f>
        <v>Total water consumption and water consumption intensity of Fosun Pharma Group Total water consumption Water consumption intensity Unit cubic meter Year Unit Project Ten thousand yuan Revenue 1052181110545581995941595156972264756938181887693765.995.143.993.333.102.7020161022218201920202212022104 Innovation for Good Health Summary of key water-saving projects of some member companies of Fosun Pharma Group Company name Water-saving measures Total amount of water saving Water-saving project measures Administrative management control Ten thousand cubic meters Wanbang Pharmaceutical Recycled water for state use 0.1 Wanbang Jinqiao cooling wall water recovery optimization Water meter measurement system 0.1 Zhaohui Pharmaceutical Recycled water for state use 1.2 Wanbang Foshan cooling tower water recovery 0.7</v>
      </c>
      <c r="B6211" s="1" t="str">
        <f ca="1">IFERROR(__xludf.DUMMYFUNCTION("GOOGLETRANSLATE(A6211, ""zh"", ""en"")"),"Water resources")</f>
        <v>Water resources</v>
      </c>
      <c r="C6211" s="1" t="str">
        <f ca="1">IFERROR(__xludf.DUMMYFUNCTION("GOOGLETRANSLATE(E6211, ""zh"", ""en"")"),"Quantitative Text")</f>
        <v>Quantitative Text</v>
      </c>
    </row>
    <row r="6212" spans="1:3" ht="13" x14ac:dyDescent="0.15">
      <c r="A6212" s="1" t="str">
        <f ca="1">IFERROR(__xludf.DUMMYFUNCTION("GOOGLETRANSLATE(A6212, ""zh"", ""en"")"),"Yaoyou Pharmaceuticals and China Water Corporation's national cooling water recycling 8.8 Jialin Pharmaceutical Plant 1 China Water Corporation's national cooling water recycling 0.2 Dongsheng Pharmaceuticals concentrated paddy field cooling water recycli"&amp;"ng optimization water metering system 7.0 Xinxing Pharmaceuticals cooling water return to agriculture recycling 4.1 Guilin Nanyao water system renovation public system equipment pipeline upgrade optimization water metering system establishment water use p"&amp;"erformance evaluation system 4.8 Aohong Pharmaceuticals adjusted production schedule 15 Erye Pharmaceuticals Suzhou base chilled water branch renovation 1.4 Hongqi Pharmaceuticals vacuum pump system added a circulating water tank 0.2 China Water Corporati"&amp;"on's national cooling water recycling 0.7 Fuhong Hanlu Songjiang production base 22 GlandPhama China Water Corporation's national cooling water recycling 0.8 Case Kailin Pharmaceuticals Wanbang Fulin Fuhong Hanlin Yaoyou Pharmaceuticals and other member c"&amp;"ompanies built a water reuse project Water reuse refers to the water supply system where production and domestic wastewater, after proper treatment, is used for plant greening irrigation, cooling tower circulating water replenishment and other miscellaneo"&amp;"us water.")</f>
        <v>Yaoyou Pharmaceuticals and China Water Corporation's national cooling water recycling 8.8 Jialin Pharmaceutical Plant 1 China Water Corporation's national cooling water recycling 0.2 Dongsheng Pharmaceuticals concentrated paddy field cooling water recycling optimization water metering system 7.0 Xinxing Pharmaceuticals cooling water return to agriculture recycling 4.1 Guilin Nanyao water system renovation public system equipment pipeline upgrade optimization water metering system establishment water use performance evaluation system 4.8 Aohong Pharmaceuticals adjusted production schedule 15 Erye Pharmaceuticals Suzhou base chilled water branch renovation 1.4 Hongqi Pharmaceuticals vacuum pump system added a circulating water tank 0.2 China Water Corporation's national cooling water recycling 0.7 Fuhong Hanlu Songjiang production base 22 GlandPhama China Water Corporation's national cooling water recycling 0.8 Case Kailin Pharmaceuticals Wanbang Fulin Fuhong Hanlin Yaoyou Pharmaceuticals and other member companies built a water reuse project Water reuse refers to the water supply system where production and domestic wastewater, after proper treatment, is used for plant greening irrigation, cooling tower circulating water replenishment and other miscellaneous water.</v>
      </c>
      <c r="B6212" s="1" t="str">
        <f ca="1">IFERROR(__xludf.DUMMYFUNCTION("GOOGLETRANSLATE(A6212, ""zh"", ""en"")"),"Water resources")</f>
        <v>Water resources</v>
      </c>
      <c r="C6212" s="1" t="str">
        <f ca="1">IFERROR(__xludf.DUMMYFUNCTION("GOOGLETRANSLATE(E6212, ""zh"", ""en"")"),"Quantitative Text")</f>
        <v>Quantitative Text</v>
      </c>
    </row>
    <row r="6213" spans="1:3" ht="13" x14ac:dyDescent="0.15">
      <c r="A6213" s="1" t="str">
        <f ca="1">IFERROR(__xludf.DUMMYFUNCTION("GOOGLETRANSLATE(A6213, ""zh"", ""en"")"),"P81P89 Join hands for mutual benefit and win-win results Supply management drives progress P93P104P112 People-oriented, inclusive and shared talent cultivation, mutual promotion and progress Caring for health and ensuring safety P119P120P124 Caring for th"&amp;"e countryside, supporting revitalization Upholding philanthropy and great love, always caring for the community and delivering warmth Appendix I Hong Kong Stock Exchange Guidelines on Environmental, Social and Governance Reporting Contents Appendix II Lis"&amp;"t of major subsidiaries involved in environmental data P128P131CONTENTS Shanghai Electric Group Co., Ltd. 1 Report Preparation Notes Overview Shanghai Electric Group Co., Ltd. (hereinafter referred to as Shanghai Electric Group) and we first compiled and "&amp;"disclosed the 2009 Social Responsibility Report in 2010 and have disclosed its Environmental, Social and Governance (ESG) Report since 2016 and publish it regularly annually")</f>
        <v>P81P89 Join hands for mutual benefit and win-win results Supply management drives progress P93P104P112 People-oriented, inclusive and shared talent cultivation, mutual promotion and progress Caring for health and ensuring safety P119P120P124 Caring for the countryside, supporting revitalization Upholding philanthropy and great love, always caring for the community and delivering warmth Appendix I Hong Kong Stock Exchange Guidelines on Environmental, Social and Governance Reporting Contents Appendix II List of major subsidiaries involved in environmental data P128P131CONTENTS Shanghai Electric Group Co., Ltd. 1 Report Preparation Notes Overview Shanghai Electric Group Co., Ltd. (hereinafter referred to as Shanghai Electric Group) and we first compiled and disclosed the 2009 Social Responsibility Report in 2010 and have disclosed its Environmental, Social and Governance (ESG) Report since 2016 and publish it regularly annually</v>
      </c>
      <c r="B6213" s="1" t="str">
        <f ca="1">IFERROR(__xludf.DUMMYFUNCTION("GOOGLETRANSLATE(A6213, ""zh"", ""en"")"),"Organizational structure and operations")</f>
        <v>Organizational structure and operations</v>
      </c>
      <c r="C6213" s="1" t="str">
        <f ca="1">IFERROR(__xludf.DUMMYFUNCTION("GOOGLETRANSLATE(E6213, ""zh"", ""en"")"),"Qualitative text")</f>
        <v>Qualitative text</v>
      </c>
    </row>
    <row r="6214" spans="1:3" ht="13" x14ac:dyDescent="0.15">
      <c r="A6214" s="1" t="str">
        <f ca="1">IFERROR(__xludf.DUMMYFUNCTION("GOOGLETRANSLATE(A6214, ""zh"", ""en"")"),"The basic management of education and training has been revised. The management methods for online training, the management methods for trainers, the management methods for standardized assessment and certification of management post training, and other i"&amp;"nstitutional documents have been implemented to promote a more systematic, complete, scientific and standardized system for the company's education and training. The standardization system for management post training has been strengthened. International "&amp;"talent training has been carried out. The evaluation of the effect of improving China Petroleum's internationalization level and related suggestions have been conducted. Theoretical research and exploration have been conducted on topics such as the formul"&amp;"ation of the company's education and training evaluation standards, the training institution evaluation standards, and the comprehensive assessment and evaluation of training institutions. A standardized system for management post training has been establ"&amp;"ished to meet the job performance requirements and the career development needs of employees. A learning and development mechanism has been established to ensure certification before taking up the job, empowerment while on the job, and achievement of stan"&amp;"dards for promotion. The training system and database have been enriched and improved. A professional operation team of 500 experts has been established by profession and level. The standardization system for management post training has been established,"&amp;" and joint training with well-known domestic universities has been strengthened.")</f>
        <v>The basic management of education and training has been revised. The management methods for online training, the management methods for trainers, the management methods for standardized assessment and certification of management post training, and other institutional documents have been implemented to promote a more systematic, complete, scientific and standardized system for the company's education and training. The standardization system for management post training has been strengthened. International talent training has been carried out. The evaluation of the effect of improving China Petroleum's internationalization level and related suggestions have been conducted. Theoretical research and exploration have been conducted on topics such as the formulation of the company's education and training evaluation standards, the training institution evaluation standards, and the comprehensive assessment and evaluation of training institutions. A standardized system for management post training has been established to meet the job performance requirements and the career development needs of employees. A learning and development mechanism has been established to ensure certification before taking up the job, empowerment while on the job, and achievement of standards for promotion. The training system and database have been enriched and improved. A professional operation team of 500 experts has been established by profession and level. The standardization system for management post training has been established, and joint training with well-known domestic universities has been strengthened.</v>
      </c>
      <c r="B6214" s="1" t="str">
        <f ca="1">IFERROR(__xludf.DUMMYFUNCTION("GOOGLETRANSLATE(A6214, ""zh"", ""en"")"),"staff")</f>
        <v>staff</v>
      </c>
      <c r="C6214" s="1" t="str">
        <f ca="1">IFERROR(__xludf.DUMMYFUNCTION("GOOGLETRANSLATE(E6214, ""zh"", ""en"")"),"Qualitative text")</f>
        <v>Qualitative text</v>
      </c>
    </row>
    <row r="6215" spans="1:3" ht="13" x14ac:dyDescent="0.15">
      <c r="A6215" s="1" t="str">
        <f ca="1">IFERROR(__xludf.DUMMYFUNCTION("GOOGLETRANSLATE(A6215, ""zh"", ""en"")"),"Strengthen talent development, carry out training cooperation, promote the construction of the National Academy of Excellent Engineers, carry out joint training of engineering masters and doctoral students, carry out legal and compliant online special tra"&amp;"ining, enhance marketing capabilities and conduct financial derivatives-related business training, with more than 18,000 participants, hold 10 professional and technical lectures on themes such as new energy, new materials, carbon peak and carbon neutrali"&amp;"ty, implement a three-year basic training plan and concentrated training programs for new employees, focus on employee training in 2022, employee training coverage rate 100, total training hours 1510, average training hours per person 37.9, implement more"&amp;" than 10,000 training programs throughout the year 2.5, China National Petroleum Corporation 2022 Environmental, Social and Governance Report 80, we insist on using competitions to promote training, and combine training and competitions through pre-employ"&amp;"ment training camps, skills training, and professional skills competitions to improve employees' professional skills and professional quality, promote the growth of front-line employees, and test the results of grassroots training.")</f>
        <v>Strengthen talent development, carry out training cooperation, promote the construction of the National Academy of Excellent Engineers, carry out joint training of engineering masters and doctoral students, carry out legal and compliant online special training, enhance marketing capabilities and conduct financial derivatives-related business training, with more than 18,000 participants, hold 10 professional and technical lectures on themes such as new energy, new materials, carbon peak and carbon neutrality, implement a three-year basic training plan and concentrated training programs for new employees, focus on employee training in 2022, employee training coverage rate 100, total training hours 1510, average training hours per person 37.9, implement more than 10,000 training programs throughout the year 2.5, China National Petroleum Corporation 2022 Environmental, Social and Governance Report 80, we insist on using competitions to promote training, and combine training and competitions through pre-employment training camps, skills training, and professional skills competitions to improve employees' professional skills and professional quality, promote the growth of front-line employees, and test the results of grassroots training.</v>
      </c>
      <c r="B6215" s="1" t="str">
        <f ca="1">IFERROR(__xludf.DUMMYFUNCTION("GOOGLETRANSLATE(A6215, ""zh"", ""en"")"),"staff")</f>
        <v>staff</v>
      </c>
      <c r="C6215" s="1" t="str">
        <f ca="1">IFERROR(__xludf.DUMMYFUNCTION("GOOGLETRANSLATE(E6215, ""zh"", ""en"")"),"Quantitative Text")</f>
        <v>Quantitative Text</v>
      </c>
    </row>
    <row r="6216" spans="1:3" ht="13" x14ac:dyDescent="0.15">
      <c r="A6216" s="1" t="str">
        <f ca="1">IFERROR(__xludf.DUMMYFUNCTION("GOOGLETRANSLATE(A6216, ""zh"", ""en"")"),"0012015NOA Beijing Xingyuan Certification Center 2 companies passed CE product certification TUV Nanlu DNV.GL 3 companies passed multiple products 46Innovation for GcodHealth Continuous innovation Enjoy health Strive for excellence to create excellent qua"&amp;"lity Fosun Pharma's 4th Quality Management Month September-October 2022 Figure Fosun Pharma Quality Management Month Net loss Quality risk management The Group attaches great importance to patients' medication safety Analysis method process control chart "&amp;"experimental design histogram According to the 2010 version of GMP World Health Organization arrangement chart process capability analysis and other evaluation analysis tools WHO and ICHQ9 and other regulatory requirements, carry out risk assessment and i"&amp;"mplement risk classification management system Quality risk management procedures to identify quality risks and potential risks, determine corresponding response measures to control risks, and determine the effectiveness of quality period audits and natio"&amp;"nal membrane risk measures by using prospective or national membrane methods.")</f>
        <v>0012015NOA Beijing Xingyuan Certification Center 2 companies passed CE product certification TUV Nanlu DNV.GL 3 companies passed multiple products 46Innovation for GcodHealth Continuous innovation Enjoy health Strive for excellence to create excellent quality Fosun Pharma's 4th Quality Management Month September-October 2022 Figure Fosun Pharma Quality Management Month Net loss Quality risk management The Group attaches great importance to patients' medication safety Analysis method process control chart experimental design histogram According to the 2010 version of GMP World Health Organization arrangement chart process capability analysis and other evaluation analysis tools WHO and ICHQ9 and other regulatory requirements, carry out risk assessment and implement risk classification management system Quality risk management procedures to identify quality risks and potential risks, determine corresponding response measures to control risks, and determine the effectiveness of quality period audits and national membrane risk measures by using prospective or national membrane methods.</v>
      </c>
      <c r="B6216" s="1" t="str">
        <f ca="1">IFERROR(__xludf.DUMMYFUNCTION("GOOGLETRANSLATE(A6216, ""zh"", ""en"")"),"Product quality")</f>
        <v>Product quality</v>
      </c>
      <c r="C6216" s="1" t="str">
        <f ca="1">IFERROR(__xludf.DUMMYFUNCTION("GOOGLETRANSLATE(E6216, ""zh"", ""en"")"),"Qualitative text")</f>
        <v>Qualitative text</v>
      </c>
    </row>
    <row r="6217" spans="1:3" ht="13" x14ac:dyDescent="0.15">
      <c r="A6217" s="1" t="str">
        <f ca="1">IFERROR(__xludf.DUMMYFUNCTION("GOOGLETRANSLATE(A6217, ""zh"", ""en"")"),"III. Corporate Culture 07 CITIC Securities 2022 Annual Social Responsibility Report IV. 2022 Company Honors New Fortune 15th New Fortune Best Investment Bank 2022 China Securities Golden Bauhinia Award National Business Daily 2022 China Golden Tripod Awar"&amp;"d China Securities Journal 2022 China Securities Industry Golden Bull Award China Association of Public Companies Guangdong-Hong Kong-Macao Greater Bay Area Corporate Social Responsibility Practice List Caijing 5th Caijing Evergreen Award Asia Finance 17t"&amp;"h People's Corporate Social Responsibility Award Hong Kong Council of Social Service Securities Times 16th China Listed Company Value Selection Best Practice ESG Investment Bank Best Investment Bank in New Energy Industry Best ESG Practice Listed Company "&amp;"Most Influential Custodian Broker Excellent Culture Construction Case Broker Green Finance Award Most Powerful Broker Asset Management Securities Company Social Responsibility Golden Bull Award Securities Company Culture Construction Golden Bull Award A-S"&amp;"hare Listed Company ESG Best Practice Case Selected in Green Development Model List Best Sustainable Development Benefit Award")</f>
        <v>III. Corporate Culture 07 CITIC Securities 2022 Annual Social Responsibility Report IV. 2022 Company Honors New Fortune 15th New Fortune Best Investment Bank 2022 China Securities Golden Bauhinia Award National Business Daily 2022 China Golden Tripod Award China Securities Journal 2022 China Securities Industry Golden Bull Award China Association of Public Companies Guangdong-Hong Kong-Macao Greater Bay Area Corporate Social Responsibility Practice List Caijing 5th Caijing Evergreen Award Asia Finance 17th People's Corporate Social Responsibility Award Hong Kong Council of Social Service Securities Times 16th China Listed Company Value Selection Best Practice ESG Investment Bank Best Investment Bank in New Energy Industry Best ESG Practice Listed Company Most Influential Custodian Broker Excellent Culture Construction Case Broker Green Finance Award Most Powerful Broker Asset Management Securities Company Social Responsibility Golden Bull Award Securities Company Culture Construction Golden Bull Award A-Share Listed Company ESG Best Practice Case Selected in Green Development Model List Best Sustainable Development Benefit Award</v>
      </c>
      <c r="B6217" s="1" t="str">
        <f ca="1">IFERROR(__xludf.DUMMYFUNCTION("GOOGLETRANSLATE(A6217, ""zh"", ""en"")"),"Sustainable certification")</f>
        <v>Sustainable certification</v>
      </c>
      <c r="C6217" s="1" t="str">
        <f ca="1">IFERROR(__xludf.DUMMYFUNCTION("GOOGLETRANSLATE(E6217, ""zh"", ""en"")"),"Quantitative Text")</f>
        <v>Quantitative Text</v>
      </c>
    </row>
    <row r="6218" spans="1:3" ht="13" x14ac:dyDescent="0.15">
      <c r="A6218" s="1" t="str">
        <f ca="1">IFERROR(__xludf.DUMMYFUNCTION("GOOGLETRANSLATE(A6218, ""zh"", ""en"")"),"Sustainable Financial Institution Green Development Award Subsidiary CITIC Securities International won the 202122 Corporate Caring Logo Top 100 Valued Main Board Listed Companies Top 100 ESG Chinese Listed Companies Morgan Stanley Capital International's"&amp;" MSCIESG rating was upgraded to BBB Rated B in the CDP Climate Change Questionnaire, ranking among the top Chinese peers Moody's ESG rating upgraded to CIS2 Neutral The company received ESG-related honors and awards this year including subsidiary rating r"&amp;"ecognition 07 Social Responsibility Management Stakeholder Communication Material Topics Social Responsibility Management System 0209 CITIC Securities 2022 Annual Social Responsibility Report 1. Social Responsibility Management Concept CITIC Securities ta"&amp;"kes it as its responsibility to implement national strategies, serve the real economy, and promote common prosperity and actively fulfills its corporate social responsibility in terms of sustainable finance, environmental friendliness, employee developmen"&amp;"t, stable operation, and giving back to society.")</f>
        <v>Sustainable Financial Institution Green Development Award Subsidiary CITIC Securities International won the 202122 Corporate Caring Logo Top 100 Valued Main Board Listed Companies Top 100 ESG Chinese Listed Companies Morgan Stanley Capital International's MSCIESG rating was upgraded to BBB Rated B in the CDP Climate Change Questionnaire, ranking among the top Chinese peers Moody's ESG rating upgraded to CIS2 Neutral The company received ESG-related honors and awards this year including subsidiary rating recognition 07 Social Responsibility Management Stakeholder Communication Material Topics Social Responsibility Management System 0209 CITIC Securities 2022 Annual Social Responsibility Report 1. Social Responsibility Management Concept CITIC Securities takes it as its responsibility to implement national strategies, serve the real economy, and promote common prosperity and actively fulfills its corporate social responsibility in terms of sustainable finance, environmental friendliness, employee development, stable operation, and giving back to society.</v>
      </c>
      <c r="B6218" s="1" t="str">
        <f ca="1">IFERROR(__xludf.DUMMYFUNCTION("GOOGLETRANSLATE(A6218, ""zh"", ""en"")"),"Sustainable certification")</f>
        <v>Sustainable certification</v>
      </c>
      <c r="C6218" s="1" t="str">
        <f ca="1">IFERROR(__xludf.DUMMYFUNCTION("GOOGLETRANSLATE(E6218, ""zh"", ""en"")"),"Qualitative text")</f>
        <v>Qualitative text</v>
      </c>
    </row>
    <row r="6219" spans="1:3" ht="13" x14ac:dyDescent="0.15">
      <c r="A6219" s="1" t="str">
        <f ca="1">IFERROR(__xludf.DUMMYFUNCTION("GOOGLETRANSLATE(A6219, ""zh"", ""en"")"),"ESG management material issues analysis Stakeholder expectations and demands Communication channels and methods Institutional and institutional guarantees Social responsibility ESG management Transparency and risk management Business ethics and anti-corru"&amp;"ption Investor relations management Corporate compliance Operational innovation Technology and intellectual property protection Data security and privacy protection Digital transformation Platform quality Customer service management Technical cooperation "&amp;"and exchange Information Emergency response Low-carbon operation Operation pollution emission Energy-saving technology development Responsible procurement management Social welfare Social network security construction Talent cultivation Employee compensat"&amp;"ion and benefits Occupational health and safety Label topic Label topic Ordinary Important Moderately Important Very important For stakeholders Material issues matrix Stakeholder communication Government and regulatory agencies Shareholders and investment"&amp;" institutions Users Customers Suppliers Industry partners Compliance operations Actively pay taxes in accordance with the law Response to national strategies External information disclosure Convening shareholders' meetings Continuously improving managemen"&amp;"t and operation levels Regular release")</f>
        <v>ESG management material issues analysis Stakeholder expectations and demands Communication channels and methods Institutional and institutional guarantees Social responsibility ESG management Transparency and risk management Business ethics and anti-corruption Investor relations management Corporate compliance Operational innovation Technology and intellectual property protection Data security and privacy protection Digital transformation Platform quality Customer service management Technical cooperation and exchange Information Emergency response Low-carbon operation Operation pollution emission Energy-saving technology development Responsible procurement management Social welfare Social network security construction Talent cultivation Employee compensation and benefits Occupational health and safety Label topic Label topic Ordinary Important Moderately Important Very important For stakeholders Material issues matrix Stakeholder communication Government and regulatory agencies Shareholders and investment institutions Users Customers Suppliers Industry partners Compliance operations Actively pay taxes in accordance with the law Response to national strategies External information disclosure Convening shareholders' meetings Continuously improving management and operation levels Regular release</v>
      </c>
      <c r="B6219" s="1" t="str">
        <f ca="1">IFERROR(__xludf.DUMMYFUNCTION("GOOGLETRANSLATE(A6219, ""zh"", ""en"")"),"Information Disclosure and Investor Communication")</f>
        <v>Information Disclosure and Investor Communication</v>
      </c>
      <c r="C6219" s="1" t="str">
        <f ca="1">IFERROR(__xludf.DUMMYFUNCTION("GOOGLETRANSLATE(E6219, ""zh"", ""en"")"),"Qualitative text")</f>
        <v>Qualitative text</v>
      </c>
    </row>
    <row r="6220" spans="1:3" ht="13" x14ac:dyDescent="0.15">
      <c r="A6220" s="1" t="str">
        <f ca="1">IFERROR(__xludf.DUMMYFUNCTION("GOOGLETRANSLATE(A6220, ""zh"", ""en"")"),"022Total number of employees393123901541739Labor contract signing rate100100100Social insurance coverage rate100100100Trade union coverage rate100100100Proportion of female managers by function25.734.5542.0Employee physical examination coverage rate100100"&amp;"100Total investment in employee training10,000 yuan87701015010455Employee training coverage rate10098.198.56Average training time per day3.63.23.0Employee turnover rate2.23.93.5Working days lost due to work-related accidents273062654305New cases of occupa"&amp;"tional diseases000Charitable donations10,000 yuan9221279138.701General Secretary inspects Ruiguang Demonstration ProjectIn January 2022, Xi Jinping, General Secretary of the CPC Central Committee, President of the People's Republic of China and Chairman o"&amp;"f the Central Military Commission, made a special trip to Shanxi Ruiguang Thermal Power Co., Ltd. for inspection and investigation.")</f>
        <v>022Total number of employees393123901541739Labor contract signing rate100100100Social insurance coverage rate100100100Trade union coverage rate100100100Proportion of female managers by function25.734.5542.0Employee physical examination coverage rate100100100Total investment in employee training10,000 yuan87701015010455Employee training coverage rate10098.198.56Average training time per day3.63.23.0Employee turnover rate2.23.93.5Working days lost due to work-related accidents273062654305New cases of occupational diseases000Charitable donations10,000 yuan9221279138.701General Secretary inspects Ruiguang Demonstration ProjectIn January 2022, Xi Jinping, General Secretary of the CPC Central Committee, President of the People's Republic of China and Chairman of the Central Military Commission, made a special trip to Shanxi Ruiguang Thermal Power Co., Ltd. for inspection and investigation.</v>
      </c>
      <c r="B6220" s="1" t="str">
        <f ca="1">IFERROR(__xludf.DUMMYFUNCTION("GOOGLETRANSLATE(A6220, ""zh"", ""en"")"),"staff")</f>
        <v>staff</v>
      </c>
      <c r="C6220" s="1" t="str">
        <f ca="1">IFERROR(__xludf.DUMMYFUNCTION("GOOGLETRANSLATE(E6220, ""zh"", ""en"")"),"Quantitative Text")</f>
        <v>Quantitative Text</v>
      </c>
    </row>
    <row r="6221" spans="1:3" ht="13" x14ac:dyDescent="0.15">
      <c r="A6221" s="1" t="str">
        <f ca="1">IFERROR(__xludf.DUMMYFUNCTION("GOOGLETRANSLATE(A6221, ""zh"", ""en"")"),"The platform continues to promote and apply it in depth, promoting the centralization, intensiveness, and standardized processing of homogeneous businesses to help manage high-quality transformation. The depth and breadth of electronic sales services are "&amp;"constantly expanding. The functions of online transactions and service platforms are continuously improved, effectively enhancing precision marketing capabilities, management and control levels, and scientific decision-making. Through digitalization, deci"&amp;"sion-making support, business management, collaborative office, collaborative R&amp;D, and shared service levels are improved, promoting the modernization of the company's governance system and governance capabilities. With China Petroleum's four major data c"&amp;"enters as the core, the application of cloud technology platforms is accelerated, and China Petroleum's cloud resource computing and storage capabilities are continuously improved. The data management system is further improved, the data governance data l"&amp;"ake system is promoted, and a first-class industrial Internet system in the energy and chemical fields is created to empower digital transformation technologies. Technology empowerment is improved, and the top-level design of digital transformation of oil"&amp;" and gas, new energy, refining, chemical industry, new materials sales, and natural gas sales business segments is streamlined, unified scenario templates are sorted out, and the implementation methods of pilot units are optimized.")</f>
        <v>The platform continues to promote and apply it in depth, promoting the centralization, intensiveness, and standardized processing of homogeneous businesses to help manage high-quality transformation. The depth and breadth of electronic sales services are constantly expanding. The functions of online transactions and service platforms are continuously improved, effectively enhancing precision marketing capabilities, management and control levels, and scientific decision-making. Through digitalization, decision-making support, business management, collaborative office, collaborative R&amp;D, and shared service levels are improved, promoting the modernization of the company's governance system and governance capabilities. With China Petroleum's four major data centers as the core, the application of cloud technology platforms is accelerated, and China Petroleum's cloud resource computing and storage capabilities are continuously improved. The data management system is further improved, the data governance data lake system is promoted, and a first-class industrial Internet system in the energy and chemical fields is created to empower digital transformation technologies. Technology empowerment is improved, and the top-level design of digital transformation of oil and gas, new energy, refining, chemical industry, new materials sales, and natural gas sales business segments is streamlined, unified scenario templates are sorted out, and the implementation methods of pilot units are optimized.</v>
      </c>
      <c r="B6221" s="1" t="str">
        <f ca="1">IFERROR(__xludf.DUMMYFUNCTION("GOOGLETRANSLATE(A6221, ""zh"", ""en"")"),"Technological innovation")</f>
        <v>Technological innovation</v>
      </c>
      <c r="C6221" s="1" t="str">
        <f ca="1">IFERROR(__xludf.DUMMYFUNCTION("GOOGLETRANSLATE(E6221, ""zh"", ""en"")"),"Qualitative text")</f>
        <v>Qualitative text</v>
      </c>
    </row>
    <row r="6222" spans="1:3" ht="13" x14ac:dyDescent="0.15">
      <c r="A6222" s="1" t="str">
        <f ca="1">IFERROR(__xludf.DUMMYFUNCTION("GOOGLETRANSLATE(A6222, ""zh"", ""en"")"),"Investment in new energy and new businesses increased by 25.2% year-on-year. Investment in new energy and new businesses reached RMB 76.7 billion. Progress in new energy and new businesses in 2022: 10.06 million square meters of new geothermal heating are"&amp;"a added, total geothermal heating area reaching 25 million square meters, annual standard coal replacement of 575,000 tons. Construction of Beijing's first medium-deep geothermal heating project commenced successfully. Geothermal energy secured 10.2 milli"&amp;"on kilowatts of clean electricity grid connection quota throughout the year. Wind and solar power installed capacity exceeded 1.2 million kilowatts in the year, and cumulative installed capacity exceeded 1.4 million kilowatts. Construction of the 300-mega"&amp;"watt photovoltaic grid-connected power generation project at Yumen Oilfield was completed. Daqing Oilfield completed the company's first independently designed and constructed surface photovoltaic power generation project with an installed capacity of 18."&amp;"7 megawatts. The company's first wind power project. Jilin's 150,000-kilowatt wind and solar power generation project was connected to the grid. Cooperation with the State Power Investment Group secured a 900,000-kilowatt offshore wind power project in Gu"&amp;"angxi. Preliminary research on four hydrogen purification projects for wind and solar power generation was carried out, including one in Sichuan.")</f>
        <v>Investment in new energy and new businesses increased by 25.2% year-on-year. Investment in new energy and new businesses reached RMB 76.7 billion. Progress in new energy and new businesses in 2022: 10.06 million square meters of new geothermal heating area added, total geothermal heating area reaching 25 million square meters, annual standard coal replacement of 575,000 tons. Construction of Beijing's first medium-deep geothermal heating project commenced successfully. Geothermal energy secured 10.2 million kilowatts of clean electricity grid connection quota throughout the year. Wind and solar power installed capacity exceeded 1.2 million kilowatts in the year, and cumulative installed capacity exceeded 1.4 million kilowatts. Construction of the 300-megawatt photovoltaic grid-connected power generation project at Yumen Oilfield was completed. Daqing Oilfield completed the company's first independently designed and constructed surface photovoltaic power generation project with an installed capacity of 18.7 megawatts. The company's first wind power project. Jilin's 150,000-kilowatt wind and solar power generation project was connected to the grid. Cooperation with the State Power Investment Group secured a 900,000-kilowatt offshore wind power project in Guangxi. Preliminary research on four hydrogen purification projects for wind and solar power generation was carried out, including one in Sichuan.</v>
      </c>
      <c r="B6222" s="1" t="str">
        <f ca="1">IFERROR(__xludf.DUMMYFUNCTION("GOOGLETRANSLATE(A6222, ""zh"", ""en"")"),"Energy and resource consumption")</f>
        <v>Energy and resource consumption</v>
      </c>
      <c r="C6222" s="1" t="str">
        <f ca="1">IFERROR(__xludf.DUMMYFUNCTION("GOOGLETRANSLATE(E6222, ""zh"", ""en"")"),"Quantitative Text")</f>
        <v>Quantitative Text</v>
      </c>
    </row>
    <row r="6223" spans="1:3" ht="13" x14ac:dyDescent="0.15">
      <c r="A6223" s="1" t="str">
        <f ca="1">IFERROR(__xludf.DUMMYFUNCTION("GOOGLETRANSLATE(A6223, ""zh"", ""en"")"),"Volume billion cubic meters 15.5 Low-carbon energy transformation New energy New business investment billion yuan 21.876.7 Environment Water resources Fresh water consumption 10,000 cubic meters 769957500474688 Fresh water consumption year-on-year change "&amp;"3.012.590.42 Water intake per ton of crude oil processed cubic meters 0.5150.4880.481 Water saving 10,000 cubic meters 944969871 Land resource saving New construction land hectares 119011201280 Energy consumption Total energy consumption 60,000 tons of st"&amp;"andard coal 640662736245 Total raw coal consumption 70,000 tons 128913271232 Total crude oil consumption 80,000 tons 172168159 Total natural gas consumption 900 million cubic meters 187175177 Total electricity consumption 1 billion kWh 55352556425 Greenho"&amp;"use gas emissions are direct emissions within the company's operating boundaries and indirect emissions within Scope 1.")</f>
        <v>Volume billion cubic meters 15.5 Low-carbon energy transformation New energy New business investment billion yuan 21.876.7 Environment Water resources Fresh water consumption 10,000 cubic meters 769957500474688 Fresh water consumption year-on-year change 3.012.590.42 Water intake per ton of crude oil processed cubic meters 0.5150.4880.481 Water saving 10,000 cubic meters 944969871 Land resource saving New construction land hectares 119011201280 Energy consumption Total energy consumption 60,000 tons of standard coal 640662736245 Total raw coal consumption 70,000 tons 128913271232 Total crude oil consumption 80,000 tons 172168159 Total natural gas consumption 900 million cubic meters 187175177 Total electricity consumption 1 billion kWh 55352556425 Greenhouse gas emissions are direct emissions within the company's operating boundaries and indirect emissions within Scope 1.</v>
      </c>
      <c r="B6223" s="1" t="str">
        <f ca="1">IFERROR(__xludf.DUMMYFUNCTION("GOOGLETRANSLATE(A6223, ""zh"", ""en"")"),"Water resources")</f>
        <v>Water resources</v>
      </c>
      <c r="C6223" s="1" t="str">
        <f ca="1">IFERROR(__xludf.DUMMYFUNCTION("GOOGLETRANSLATE(E6223, ""zh"", ""en"")"),"Quantitative Text")</f>
        <v>Quantitative Text</v>
      </c>
    </row>
    <row r="6224" spans="1:3" ht="13" x14ac:dyDescent="0.15">
      <c r="A6224" s="1" t="str">
        <f ca="1">IFERROR(__xludf.DUMMYFUNCTION("GOOGLETRANSLATE(A6224, ""zh"", ""en"")"),"RMB 281235364618 Overseas tax payment RMB 100 million RMB 238375574 Number of supply chain material suppliers 20 236992052721890 Suppliers registered in China 21 1988521331 Suppliers registered in countries and regions outside China 22 642559 The rate of "&amp;"first-tier manufacturers passing the ISO9001 quality management system certification 2398.1498.0198.03 The rate of first-tier manufacturers passing the ISO14001 environmental management system certification 2492.7393.1694.14 The rate of first-tier manufac"&amp;"turers passing the ISO45001 occupational health and safety management system certification 2591.2091.4993.14 Procurement expenditure RMB 100 million RMB 168318062015 Category indicators 2020202120222025 Supplier data involved in the company's domestic bus"&amp;"iness does not include international business")</f>
        <v>RMB 281235364618 Overseas tax payment RMB 100 million RMB 238375574 Number of supply chain material suppliers 20 236992052721890 Suppliers registered in China 21 1988521331 Suppliers registered in countries and regions outside China 22 642559 The rate of first-tier manufacturers passing the ISO9001 quality management system certification 2398.1498.0198.03 The rate of first-tier manufacturers passing the ISO14001 environmental management system certification 2492.7393.1694.14 The rate of first-tier manufacturers passing the ISO45001 occupational health and safety management system certification 2591.2091.4993.14 Procurement expenditure RMB 100 million RMB 168318062015 Category indicators 2020202120222025 Supplier data involved in the company's domestic business does not include international business</v>
      </c>
      <c r="B6224" s="1" t="str">
        <f ca="1">IFERROR(__xludf.DUMMYFUNCTION("GOOGLETRANSLATE(A6224, ""zh"", ""en"")"),"Tax transparency")</f>
        <v>Tax transparency</v>
      </c>
      <c r="C6224" s="1" t="str">
        <f ca="1">IFERROR(__xludf.DUMMYFUNCTION("GOOGLETRANSLATE(E6224, ""zh"", ""en"")"),"Quantitative Text")</f>
        <v>Quantitative Text</v>
      </c>
    </row>
    <row r="6225" spans="1:3" ht="13" x14ac:dyDescent="0.15">
      <c r="A6225" s="1" t="str">
        <f ca="1">IFERROR(__xludf.DUMMYFUNCTION("GOOGLETRANSLATE(A6225, ""zh"", ""en"")"),"Waste Discharge of Fosun Pharma Group Total Waste Volume Hazardous Waste Volume (tons) Total Hazardous Waste Intensity (kg) Revenue (million yuan) Hazardous Waste Intensity (tons) Revenue (million yuan) 2016 808 481 626.85 5.27 1.11 2017 889 672 396.94 8."&amp;"01 1.29 2018 6.99 268 3.23 4.36 1.07 2019 735 484 320.82 5.74 1.51 2020 492865914.516.261.952021663285953.717.011.532022691477567.715.721.72Waste situation of each sector of Fosun Pharma Sector Domestic waste Industrial waste Non-hazardous waste Hazardous"&amp;" waste Tons Tons Tons Pharmaceuticals 2135.055756.56066.6 Medical and health services 3485.30.01393.3 Medical devices and")</f>
        <v>Waste Discharge of Fosun Pharma Group Total Waste Volume Hazardous Waste Volume (tons) Total Hazardous Waste Intensity (kg) Revenue (million yuan) Hazardous Waste Intensity (tons) Revenue (million yuan) 2016 808 481 626.85 5.27 1.11 2017 889 672 396.94 8.01 1.29 2018 6.99 268 3.23 4.36 1.07 2019 735 484 320.82 5.74 1.51 2020 492865914.516.261.952021663285953.717.011.532022691477567.715.721.72Waste situation of each sector of Fosun Pharma Sector Domestic waste Industrial waste Non-hazardous waste Hazardous waste Tons Tons Tons Pharmaceuticals 2135.055756.56066.6 Medical and health services 3485.30.01393.3 Medical devices and</v>
      </c>
      <c r="B6225" s="1" t="str">
        <f ca="1">IFERROR(__xludf.DUMMYFUNCTION("GOOGLETRANSLATE(A6225, ""zh"", ""en"")"),"Waste Management")</f>
        <v>Waste Management</v>
      </c>
      <c r="C6225" s="1" t="str">
        <f ca="1">IFERROR(__xludf.DUMMYFUNCTION("GOOGLETRANSLATE(E6225, ""zh"", ""en"")"),"Quantitative Text")</f>
        <v>Quantitative Text</v>
      </c>
    </row>
    <row r="6226" spans="1:3" ht="13" x14ac:dyDescent="0.15">
      <c r="A6226" s="1" t="str">
        <f ca="1">IFERROR(__xludf.DUMMYFUNCTION("GOOGLETRANSLATE(A6226, ""zh"", ""en"")"),"Medical diagnosis 128.074.8107.9 Total 5748.355831.37567.2110 Innovation for Good Health Continuous innovation Enjoying health Cases Participating in the construction of a zero-waste city Pursuing harmless reduction of solid waste How do we deal with wast"&amp;"e? Co-build the most desirable waste Avoid or reduce materials and processes Minimize the use of waste that will be generated Shared use goals Recycled materials for reuse Recycled materials can be recycled through appropriate recycling processes Incinera"&amp;"tion and waste disposal Cooperation to ensure the coordinated incineration and disposal of waste Cooperate with waste disposal companies to ensure the most undesirable waste is disposed of in compliance with regulations Government, municipal and city gove"&amp;"rnment posters After the country proposed the goal of building a zero-waste city, Fosun Medical Project used a new resin adsorption process in gas treatment compared to traditional active pharmaceutical ingredients group actively responded to the zero-was"&amp;"te city and 2022 EHS carbon adsorption process. The new process brought about a reduction of about 100 tons of hazardous waste.")</f>
        <v>Medical diagnosis 128.074.8107.9 Total 5748.355831.37567.2110 Innovation for Good Health Continuous innovation Enjoying health Cases Participating in the construction of a zero-waste city Pursuing harmless reduction of solid waste How do we deal with waste? Co-build the most desirable waste Avoid or reduce materials and processes Minimize the use of waste that will be generated Shared use goals Recycled materials for reuse Recycled materials can be recycled through appropriate recycling processes Incineration and waste disposal Cooperation to ensure the coordinated incineration and disposal of waste Cooperate with waste disposal companies to ensure the most undesirable waste is disposed of in compliance with regulations Government, municipal and city government posters After the country proposed the goal of building a zero-waste city, Fosun Medical Project used a new resin adsorption process in gas treatment compared to traditional active pharmaceutical ingredients group actively responded to the zero-waste city and 2022 EHS carbon adsorption process. The new process brought about a reduction of about 100 tons of hazardous waste.</v>
      </c>
      <c r="B6226" s="1" t="str">
        <f ca="1">IFERROR(__xludf.DUMMYFUNCTION("GOOGLETRANSLATE(A6226, ""zh"", ""en"")"),"Waste Management")</f>
        <v>Waste Management</v>
      </c>
      <c r="C6226" s="1" t="str">
        <f ca="1">IFERROR(__xludf.DUMMYFUNCTION("GOOGLETRANSLATE(E6226, ""zh"", ""en"")"),"Quantitative Text")</f>
        <v>Quantitative Text</v>
      </c>
    </row>
    <row r="6227" spans="1:3" ht="13" x14ac:dyDescent="0.15">
      <c r="A6227" s="1" t="str">
        <f ca="1">IFERROR(__xludf.DUMMYFUNCTION("GOOGLETRANSLATE(A6227, ""zh"", ""en"")"),"COSL 2022 ESG Report 6 Social Performance Environmental Performance Indicator Unit 2022 2021 2020 Social insurance coverage rate 100 100 100 Labor contract signing rate 100 100 100 Chinese employee turnover rate 1.1 1.1 0.8 Charitable donations and assist"&amp;"ance to employees in need RMB 10,000 335.3 324 76.4 397.15 Number of maritime rescue and relief operations times 181 614 Youth volunteer activities person-times person-times 295 317 96 115 30 Indicator Unit 2022 2021 2020 Environmental protection investme"&amp;"nt RMB 10,000 518 5.00 641 2.2 77 318.06 Energy savings tons of standard coal 177 64.00 96 00.00 34 34.20 Energy conservation and emission reduction investment Unit RMB 10,000 10,000 Output value Carbon dioxide emissions unit ton RMB 10,000 10,000 Output "&amp;"value Energy consumption unit ton of standard coal RMB 10,000 10,000 Total number of employees unit person Total employee training time unit hour Chinese female employees")</f>
        <v>COSL 2022 ESG Report 6 Social Performance Environmental Performance Indicator Unit 2022 2021 2020 Social insurance coverage rate 100 100 100 Labor contract signing rate 100 100 100 Chinese employee turnover rate 1.1 1.1 0.8 Charitable donations and assistance to employees in need RMB 10,000 335.3 324 76.4 397.15 Number of maritime rescue and relief operations times 181 614 Youth volunteer activities person-times person-times 295 317 96 115 30 Indicator Unit 2022 2021 2020 Environmental protection investment RMB 10,000 518 5.00 641 2.2 77 318.06 Energy savings tons of standard coal 177 64.00 96 00.00 34 34.20 Energy conservation and emission reduction investment Unit RMB 10,000 10,000 Output value Carbon dioxide emissions unit ton RMB 10,000 10,000 Output value Energy consumption unit ton of standard coal RMB 10,000 10,000 Total number of employees unit person Total employee training time unit hour Chinese female employees</v>
      </c>
      <c r="B6227" s="1" t="str">
        <f ca="1">IFERROR(__xludf.DUMMYFUNCTION("GOOGLETRANSLATE(A6227, ""zh"", ""en"")"),"staff")</f>
        <v>staff</v>
      </c>
      <c r="C6227" s="1" t="str">
        <f ca="1">IFERROR(__xludf.DUMMYFUNCTION("GOOGLETRANSLATE(E6227, ""zh"", ""en"")"),"Quantitative Text")</f>
        <v>Quantitative Text</v>
      </c>
    </row>
    <row r="6228" spans="1:3" ht="13" x14ac:dyDescent="0.15">
      <c r="A6228" s="1" t="str">
        <f ca="1">IFERROR(__xludf.DUMMYFUNCTION("GOOGLETRANSLATE(A6228, ""zh"", ""en"")"),"Ratio Unit 2021 2022 100.0 122.5 2021 2022 2022 1953 2151 4858 15151 14689 2020 75.0 2020 2021 2600 261 2020 10467 607.3 2021 8.0 2022 7.9 2020 2022 0.4471 2021 0.5230 Note 2020 2021 excluding micro-sector training hours 2022 2021 2022 including micro-sec"&amp;"tor training hours 0.2065 0.2416 0.2531 2022 2021 2020 2020 0.5480 Energy conservation and emission reduction investment In 2022, the company readjusted the statistical scope of energy conservation and emission reduction investment to only include expense"&amp;"s included in the company's special budget for energy conservation and emission reduction, such as energy conservation monitoring and energy auditing. Investment in projects that indirectly achieve energy conservation and emission reduction effects will n"&amp;"o longer be counted.")</f>
        <v>Ratio Unit 2021 2022 100.0 122.5 2021 2022 2022 1953 2151 4858 15151 14689 2020 75.0 2020 2021 2600 261 2020 10467 607.3 2021 8.0 2022 7.9 2020 2022 0.4471 2021 0.5230 Note 2020 2021 excluding micro-sector training hours 2022 2021 2022 including micro-sector training hours 0.2065 0.2416 0.2531 2022 2021 2020 2020 0.5480 Energy conservation and emission reduction investment In 2022, the company readjusted the statistical scope of energy conservation and emission reduction investment to only include expenses included in the company's special budget for energy conservation and emission reduction, such as energy conservation monitoring and energy auditing. Investment in projects that indirectly achieve energy conservation and emission reduction effects will no longer be counted.</v>
      </c>
      <c r="B6228" s="1" t="str">
        <f ca="1">IFERROR(__xludf.DUMMYFUNCTION("GOOGLETRANSLATE(A6228, ""zh"", ""en"")"),"Energy and resource consumption")</f>
        <v>Energy and resource consumption</v>
      </c>
      <c r="C6228" s="1" t="str">
        <f ca="1">IFERROR(__xludf.DUMMYFUNCTION("GOOGLETRANSLATE(E6228, ""zh"", ""en"")"),"Quantitative Text")</f>
        <v>Quantitative Text</v>
      </c>
    </row>
    <row r="6229" spans="1:3" ht="13" x14ac:dyDescent="0.15">
      <c r="A6229" s="1" t="str">
        <f ca="1">IFERROR(__xludf.DUMMYFUNCTION("GOOGLETRANSLATE(A6229, ""zh"", ""en"")"),"Target value VS actual value Target value VS actual value Ammonia oxide emission intensity g/10,000 yuan revenue 49.66 VS 46.61 47.30 VS 46.45 Sulfur dioxide emission intensity g/10,000 yuan revenue 16SZSAZEEE 1692SAE21E Particulate matter emission intens"&amp;"ity g/10,000 yuan revenue 11.63 VS 6.45 11.08 V 56.90 VOCs troubleshooting compliance rate 100 VS 100 100 VS 100 Fosun Pharma Group's air pollution sources are mainly ammonia oxides, sulfur oxides, particulates and non-methane, organized and unorganized v"&amp;"olatile organic compounds. The various types of atmospheric characteristic pollution factors emitted during the production and manufacturing process of non-methane enterprises are the focus of this report. The emission data of nitrogen oxides, sulfur diox"&amp;"ide, smoke, particulates, etc. obtained by enterprises with online monitoring conditions through online readings. Other enterprises use third-party sampling methods to detect data.")</f>
        <v>Target value VS actual value Target value VS actual value Ammonia oxide emission intensity g/10,000 yuan revenue 49.66 VS 46.61 47.30 VS 46.45 Sulfur dioxide emission intensity g/10,000 yuan revenue 16SZSAZEEE 1692SAE21E Particulate matter emission intensity g/10,000 yuan revenue 11.63 VS 6.45 11.08 V 56.90 VOCs troubleshooting compliance rate 100 VS 100 100 VS 100 Fosun Pharma Group's air pollution sources are mainly ammonia oxides, sulfur oxides, particulates and non-methane, organized and unorganized volatile organic compounds. The various types of atmospheric characteristic pollution factors emitted during the production and manufacturing process of non-methane enterprises are the focus of this report. The emission data of nitrogen oxides, sulfur dioxide, smoke, particulates, etc. obtained by enterprises with online monitoring conditions through online readings. Other enterprises use third-party sampling methods to detect data.</v>
      </c>
      <c r="B6229" s="1" t="str">
        <f ca="1">IFERROR(__xludf.DUMMYFUNCTION("GOOGLETRANSLATE(A6229, ""zh"", ""en"")"),"Waste Management")</f>
        <v>Waste Management</v>
      </c>
      <c r="C6229" s="1" t="str">
        <f ca="1">IFERROR(__xludf.DUMMYFUNCTION("GOOGLETRANSLATE(E6229, ""zh"", ""en"")"),"Quantitative Text")</f>
        <v>Quantitative Text</v>
      </c>
    </row>
    <row r="6230" spans="1:3" ht="13" x14ac:dyDescent="0.15">
      <c r="A6230" s="1" t="str">
        <f ca="1">IFERROR(__xludf.DUMMYFUNCTION("GOOGLETRANSLATE(A6230, ""zh"", ""en"")"),"2. Social Key Performance Indicators Number of employees in service Total Classification by parent and subsidiary Number of employees in service at the parent company Number of employees in service at major subsidiaries Number of retired employees for whi"&amp;"ch the parent company and major subsidiaries are responsible Classification by professional category Business personnel Information technology personnel B1. Employment B1.1 Total number of employees by employment type Age group Region People People People"&amp;" People People 23696144139283441192131250257421561610126533207291572 ESG indicator Unit 2021202264 CITIC Securities 2022 Annual Social Responsibility Report Financial personnel Administrative personnel Others (including clearing, risk control, legal compl"&amp;"iance, supervision, auditing, etc.) Classification by gender Male employees Female employees Classification by employment category Regular employees Brokers Dispatched employees Classification by education level Doctoral degree Master's degree Undergradua"&amp;"te degree Associate degree and below Classification by age Under 30 years old 30 years old 50 years old 50 years old and above Classification by region")</f>
        <v>2. Social Key Performance Indicators Number of employees in service Total Classification by parent and subsidiary Number of employees in service at the parent company Number of employees in service at major subsidiaries Number of retired employees for which the parent company and major subsidiaries are responsible Classification by professional category Business personnel Information technology personnel B1. Employment B1.1 Total number of employees by employment type Age group Region People People People People People 23696144139283441192131250257421561610126533207291572 ESG indicator Unit 2021202264 CITIC Securities 2022 Annual Social Responsibility Report Financial personnel Administrative personnel Others (including clearing, risk control, legal compliance, supervision, auditing, etc.) Classification by gender Male employees Female employees Classification by employment category Regular employees Brokers Dispatched employees Classification by education level Doctoral degree Master's degree Undergraduate degree Associate degree and below Classification by age Under 30 years old 30 years old 50 years old 50 years old and above Classification by region</v>
      </c>
      <c r="B6230" s="1" t="str">
        <f ca="1">IFERROR(__xludf.DUMMYFUNCTION("GOOGLETRANSLATE(A6230, ""zh"", ""en"")"),"staff")</f>
        <v>staff</v>
      </c>
      <c r="C6230" s="1" t="str">
        <f ca="1">IFERROR(__xludf.DUMMYFUNCTION("GOOGLETRANSLATE(E6230, ""zh"", ""en"")"),"Quantitative Text")</f>
        <v>Quantitative Text</v>
      </c>
    </row>
    <row r="6231" spans="1:3" ht="13" x14ac:dyDescent="0.15">
      <c r="A6231" s="1" t="str">
        <f ca="1">IFERROR(__xludf.DUMMYFUNCTION("GOOGLETRANSLATE(A6231, ""zh"", ""en"")"),"Mainland China, Hong Kong, Macao and Taiwan, and other regions B1.2 Employee turnover rate by gender, age group and region 1 Total employee turnover rate by gender Male employees Female employees People People People People People People People People Peo"&amp;"ple People People 6224292182120951160122485012113118659133171409104111222810572147512389838.068.2 17.9052544124751330212440245890115334110414138831104107871375112042345213499418.529.077.92ESG indicator unit 2021202265 CITIC Securities 2022 Annual Social R"&amp;"esponsibility Report 1 The statistical scope of workdays lost due to work-related injuries is CITIC Securities' parent company, excluding branches.")</f>
        <v>Mainland China, Hong Kong, Macao and Taiwan, and other regions B1.2 Employee turnover rate by gender, age group and region 1 Total employee turnover rate by gender Male employees Female employees People People People People People People People People People People People 6224292182120951160122485012113118659133171409104111222810572147512389838.068.2 17.9052544124751330212440245890115334110414138831104107871375112042345213499418.529.077.92ESG indicator unit 2021202265 CITIC Securities 2022 Annual Social Responsibility Report 1 The statistical scope of workdays lost due to work-related injuries is CITIC Securities' parent company, excluding branches.</v>
      </c>
      <c r="B6231" s="1" t="str">
        <f ca="1">IFERROR(__xludf.DUMMYFUNCTION("GOOGLETRANSLATE(A6231, ""zh"", ""en"")"),"staff")</f>
        <v>staff</v>
      </c>
      <c r="C6231" s="1" t="str">
        <f ca="1">IFERROR(__xludf.DUMMYFUNCTION("GOOGLETRANSLATE(E6231, ""zh"", ""en"")"),"Quantitative Text")</f>
        <v>Quantitative Text</v>
      </c>
    </row>
    <row r="6232" spans="1:3" ht="13" x14ac:dyDescent="0.15">
      <c r="A6232" s="1" t="str">
        <f ca="1">IFERROR(__xludf.DUMMYFUNCTION("GOOGLETRANSLATE(A6232, ""zh"", ""en"")"),"Product safety and health, customer complaint handling, brand promotions, surrounding communities, community charity events, waste gas emissions, operating sites, biodiversity, charity and donations, regular visits, media press releases, information annou"&amp;"ncements, sustainable development strategies, product quality and after-sales maintenance, governance structure, interviews, performance briefings, regulatory agency press releases, information announcements, renewable energy industry trends and policies,"&amp;" legal compliance, regular communication with NGOs, regular communication with charity and donations, community development support, community charity events, scientific research exchanges and cooperation with universities, wastewater discharge, waste gas"&amp;" emissions, product quality and operation and maintenance, recruitment events, product end users, brand promotions, product quality and operation and maintenance, legal compliance, press releases, information announcements, scholars, scientific research e"&amp;"xchanges and cooperation, technology and innovation, wastewater discharge, waste gas emissions, grantees, community charity events, charity and donations, community development support, regular visits, Shanghai Electric, I want to tell you that in 2022, S"&amp;"hanghai Electric handed the microphone to employees, partners, investors, customers and other stakeholders, and everyone talked about a common topic from the heart. Shanghai Electric")</f>
        <v>Product safety and health, customer complaint handling, brand promotions, surrounding communities, community charity events, waste gas emissions, operating sites, biodiversity, charity and donations, regular visits, media press releases, information announcements, sustainable development strategies, product quality and after-sales maintenance, governance structure, interviews, performance briefings, regulatory agency press releases, information announcements, renewable energy industry trends and policies, legal compliance, regular communication with NGOs, regular communication with charity and donations, community development support, community charity events, scientific research exchanges and cooperation with universities, wastewater discharge, waste gas emissions, product quality and operation and maintenance, recruitment events, product end users, brand promotions, product quality and operation and maintenance, legal compliance, press releases, information announcements, scholars, scientific research exchanges and cooperation, technology and innovation, wastewater discharge, waste gas emissions, grantees, community charity events, charity and donations, community development support, regular visits, Shanghai Electric, I want to tell you that in 2022, Shanghai Electric handed the microphone to employees, partners, investors, customers and other stakeholders, and everyone talked about a common topic from the heart. Shanghai Electric</v>
      </c>
      <c r="B6232" s="1" t="str">
        <f ca="1">IFERROR(__xludf.DUMMYFUNCTION("GOOGLETRANSLATE(A6232, ""zh"", ""en"")"),"Customers and Consumers")</f>
        <v>Customers and Consumers</v>
      </c>
      <c r="C6232" s="1" t="str">
        <f ca="1">IFERROR(__xludf.DUMMYFUNCTION("GOOGLETRANSLATE(E6232, ""zh"", ""en"")"),"Qualitative text")</f>
        <v>Qualitative text</v>
      </c>
    </row>
    <row r="6233" spans="1:3" ht="13" x14ac:dyDescent="0.15">
      <c r="A6233" s="1" t="str">
        <f ca="1">IFERROR(__xludf.DUMMYFUNCTION("GOOGLETRANSLATE(A6233, ""zh"", ""en"")"),"Health Number of enterprises and subordinate units that have passed ISO45001 certification for occupational health and safety management system 107 Employee occupational health monitoring file establishment rate 100 100 100 Occupational disease hazard fac"&amp;"tor detection rate in the workplace 99.33 99.22 100.00 Occupational health examination rate of employees exposed to occupational disease hazards 99.25 100.00 99.15 Employee training Average training hours per person 19 32.4 30.5 37.9 Management personnel "&amp;"Average training hours per person 20.7 37.5 Professional and technical personnel Average training hours per person 10.5 11.2 Skilled operators Average training hours per person 40.7 45.5 Male employees Average training hours per person 36.7 38.9 Female em"&amp;"ployees Average training hours per person 12.9 34.8 Category indicators 2020 2021 2022 19 In 2021, the Company adjusted the calculation formula for the average training hours indicator in accordance with the Environmental, Social and Governance Reporting "&amp;"Guidelines of the Hong Kong Stock Exchange.")</f>
        <v>Health Number of enterprises and subordinate units that have passed ISO45001 certification for occupational health and safety management system 107 Employee occupational health monitoring file establishment rate 100 100 100 Occupational disease hazard factor detection rate in the workplace 99.33 99.22 100.00 Occupational health examination rate of employees exposed to occupational disease hazards 99.25 100.00 99.15 Employee training Average training hours per person 19 32.4 30.5 37.9 Management personnel Average training hours per person 20.7 37.5 Professional and technical personnel Average training hours per person 10.5 11.2 Skilled operators Average training hours per person 40.7 45.5 Male employees Average training hours per person 36.7 38.9 Female employees Average training hours per person 12.9 34.8 Category indicators 2020 2021 2022 19 In 2021, the Company adjusted the calculation formula for the average training hours indicator in accordance with the Environmental, Social and Governance Reporting Guidelines of the Hong Kong Stock Exchange.</v>
      </c>
      <c r="B6233" s="1" t="str">
        <f ca="1">IFERROR(__xludf.DUMMYFUNCTION("GOOGLETRANSLATE(A6233, ""zh"", ""en"")"),"staff")</f>
        <v>staff</v>
      </c>
      <c r="C6233" s="1" t="str">
        <f ca="1">IFERROR(__xludf.DUMMYFUNCTION("GOOGLETRANSLATE(E6233, ""zh"", ""en"")"),"Quantitative Text")</f>
        <v>Quantitative Text</v>
      </c>
    </row>
    <row r="6234" spans="1:3" ht="13" x14ac:dyDescent="0.15">
      <c r="A6234" s="1" t="str">
        <f ca="1">IFERROR(__xludf.DUMMYFUNCTION("GOOGLETRANSLATE(A6234, ""zh"", ""en"")"),"0045.2624658.1820888.00 Inclusive finance loan balance 100 million yuan 23513.5818736.8314523.55 Inclusive finance loan customers tens of thousands 252.59193.67170.03 Personal housing loan balance 100 million yuan 64796.0863865.8358308.59 Affordable housi"&amp;"ng project development loan balance 100 million yuan 1700.111361.431421.96 Shanty households Balance of district renovation loans: RMB 106.42 billion, RMB 117.46 billion, RMB 127.69 billion; Payments to suppliers: RMB 144.99 billion, RMB 151.54 billion, R"&amp;"MB 128.50; Public welfare donations: RMB 127.76 billion, RMB 119.58 billion, RMB 448.88 billion; Note: In accordance with the requirements of the Notice of the General Office of the China Banking and Insurance Regulatory Commission on Further Promoting th"&amp;"e High-Quality Development of Financial Services for Small and Micro Enterprises in 2021, the Bank's inclusive finance indicators will be adjusted starting from 2021 to exclude data related to bill discounting and rediscount business.")</f>
        <v>0045.2624658.1820888.00 Inclusive finance loan balance 100 million yuan 23513.5818736.8314523.55 Inclusive finance loan customers tens of thousands 252.59193.67170.03 Personal housing loan balance 100 million yuan 64796.0863865.8358308.59 Affordable housing project development loan balance 100 million yuan 1700.111361.431421.96 Shanty households Balance of district renovation loans: RMB 106.42 billion, RMB 117.46 billion, RMB 127.69 billion; Payments to suppliers: RMB 144.99 billion, RMB 151.54 billion, RMB 128.50; Public welfare donations: RMB 127.76 billion, RMB 119.58 billion, RMB 448.88 billion; Note: In accordance with the requirements of the Notice of the General Office of the China Banking and Insurance Regulatory Commission on Further Promoting the High-Quality Development of Financial Services for Small and Micro Enterprises in 2021, the Bank's inclusive finance indicators will be adjusted starting from 2021 to exclude data related to bill discounting and rediscount business.</v>
      </c>
      <c r="B6234" s="1" t="str">
        <f ca="1">IFERROR(__xludf.DUMMYFUNCTION("GOOGLETRANSLATE(A6234, ""zh"", ""en"")"),"Public welfare and volunteer service")</f>
        <v>Public welfare and volunteer service</v>
      </c>
      <c r="C6234" s="1" t="str">
        <f ca="1">IFERROR(__xludf.DUMMYFUNCTION("GOOGLETRANSLATE(E6234, ""zh"", ""en"")"),"Quantitative Text")</f>
        <v>Quantitative Text</v>
      </c>
    </row>
    <row r="6235" spans="1:3" ht="13" x14ac:dyDescent="0.15">
      <c r="A6235" s="1" t="str">
        <f ca="1">IFERROR(__xludf.DUMMYFUNCTION("GOOGLETRANSLATE(A6235, ""zh"", ""en"")"),"Water-saving equipment and appliances, water-saving toilets, water-saving faucets, various water recycling systems, condensed water for domestic use, recycled water for domestic use, etc., optimize the use of static water. The 15 member companies have an "&amp;"EHS five-year strategic goal of 1.1536 million. A total of 338,489,000 cubic meters of water saving projects have been reported. The water consumption intensity and recycling rate will decrease by 15% in 2025 compared with 2020, that is, it will reach 2.6"&amp;"5 cubic meters in 2025. The performance target completion status of RMB 10,000 in revenue continues to perform well. Target value VS actual value in 2021 and 2022. Target value VS actual value. Water consumption intensity cubic meters. RMB 10,000 in reven"&amp;"ue 3.01V52.702.92V52.40 Fosun Pharma Group recognizes the importance of water resources to sustainable production, life, human health and ecosystem stability. In 2022, this set of figures invested 1.1536 million in special funds and carried out the follow"&amp;"ing water-saving measures. The total water saving was 338,000 cubic meters, accounting for the total annual consumption.")</f>
        <v>Water-saving equipment and appliances, water-saving toilets, water-saving faucets, various water recycling systems, condensed water for domestic use, recycled water for domestic use, etc., optimize the use of static water. The 15 member companies have an EHS five-year strategic goal of 1.1536 million. A total of 338,489,000 cubic meters of water saving projects have been reported. The water consumption intensity and recycling rate will decrease by 15% in 2025 compared with 2020, that is, it will reach 2.65 cubic meters in 2025. The performance target completion status of RMB 10,000 in revenue continues to perform well. Target value VS actual value in 2021 and 2022. Target value VS actual value. Water consumption intensity cubic meters. RMB 10,000 in revenue 3.01V52.702.92V52.40 Fosun Pharma Group recognizes the importance of water resources to sustainable production, life, human health and ecosystem stability. In 2022, this set of figures invested 1.1536 million in special funds and carried out the following water-saving measures. The total water saving was 338,000 cubic meters, accounting for the total annual consumption.</v>
      </c>
      <c r="B6235" s="1" t="str">
        <f ca="1">IFERROR(__xludf.DUMMYFUNCTION("GOOGLETRANSLATE(A6235, ""zh"", ""en"")"),"Water resources")</f>
        <v>Water resources</v>
      </c>
      <c r="C6235" s="1" t="str">
        <f ca="1">IFERROR(__xludf.DUMMYFUNCTION("GOOGLETRANSLATE(E6235, ""zh"", ""en"")"),"Quantitative Text")</f>
        <v>Quantitative Text</v>
      </c>
    </row>
    <row r="6236" spans="1:3" ht="13" x14ac:dyDescent="0.15">
      <c r="A6236" s="1" t="str">
        <f ca="1">IFERROR(__xludf.DUMMYFUNCTION("GOOGLETRANSLATE(A6236, ""zh"", ""en"")"),"Health and Safety: Implementing the Healthy China 2030 Plan, responding to Healthy China 2030, issuing guiding opinions on strengthening employee health management, further refining the establishment of health equipment and facilities, creating healthy en"&amp;"terprises, and implementing various health management measures, including health examinations and assessments, health interventions, and file establishment. Published a negative health list for special jobs, strictly implementing the negative health lists"&amp;" for six special jobs, including electrical work, high-altitude work, pressure vessel work, motor vehicle driving, plateau work, and video work. Occupational health management: compiling detailed implementation rules for healthy enterprise construction ba"&amp;"sed on different business categories, refining healthy enterprise construction standards, holding experience exchange seminars and work promotion meetings on healthy enterprise construction, sharing practical experience and typical practices, revising the"&amp;" company's special emergency plan for foreign public health emergencies, further optimizing the classification standards and emergency response procedures for foreign public health emergencies, promoting the standardization of medical clinics and first ai"&amp;"d stations in overseas projects, and organizing special training for the prevention and control of infectious diseases such as malaria, monkeypox, and Ebola, with over 3,500 participants.")</f>
        <v>Health and Safety: Implementing the Healthy China 2030 Plan, responding to Healthy China 2030, issuing guiding opinions on strengthening employee health management, further refining the establishment of health equipment and facilities, creating healthy enterprises, and implementing various health management measures, including health examinations and assessments, health interventions, and file establishment. Published a negative health list for special jobs, strictly implementing the negative health lists for six special jobs, including electrical work, high-altitude work, pressure vessel work, motor vehicle driving, plateau work, and video work. Occupational health management: compiling detailed implementation rules for healthy enterprise construction based on different business categories, refining healthy enterprise construction standards, holding experience exchange seminars and work promotion meetings on healthy enterprise construction, sharing practical experience and typical practices, revising the company's special emergency plan for foreign public health emergencies, further optimizing the classification standards and emergency response procedures for foreign public health emergencies, promoting the standardization of medical clinics and first aid stations in overseas projects, and organizing special training for the prevention and control of infectious diseases such as malaria, monkeypox, and Ebola, with over 3,500 participants.</v>
      </c>
      <c r="B6236" s="1" t="str">
        <f ca="1">IFERROR(__xludf.DUMMYFUNCTION("GOOGLETRANSLATE(A6236, ""zh"", ""en"")"),"staff")</f>
        <v>staff</v>
      </c>
      <c r="C6236" s="1" t="str">
        <f ca="1">IFERROR(__xludf.DUMMYFUNCTION("GOOGLETRANSLATE(E6236, ""zh"", ""en"")"),"Quantitative Text")</f>
        <v>Quantitative Text</v>
      </c>
    </row>
    <row r="6237" spans="1:3" ht="13" x14ac:dyDescent="0.15">
      <c r="A6237" s="1" t="str">
        <f ca="1">IFERROR(__xludf.DUMMYFUNCTION("GOOGLETRANSLATE(A6237, ""zh"", ""en"")"),"GRI 205 Anti-Corruption GRI 3 Material Topics 2021 33 Management of Material Topics Fosun Pharma Commercial Port Guidelines pp. 21 22 pp. 28 30 Fosun Pharma Anti-Corruption Ordinance 2051 Operations that have undergone corruption risk assessment p. 22 GRI"&amp;" 205 Anti-Corruption 2016 2052 Communication and training on anti-corruption policies and procedures p. 21 2053 Confirmed failure incidents and actions taken p. 22 1 26 Innovation for Good Health Continuous Innovation for Enjoying Health GRI Sustainabilit"&amp;"y Reporting Standard 2021 Edition GRI Standards Other Resources Project Location From GRI 3 Material Topics 2021 33 Management of Material Topics p. 11 2 3011 Materials used by weight or volume p. 11 2 GRI 301 Materials 2016 3012 Recycled input materials "&amp;"used 30 13 Recycled products and their packaging materials p. 11 2 GRI 302 Energy GRI 3 Material Topics 20")</f>
        <v>GRI 205 Anti-Corruption GRI 3 Material Topics 2021 33 Management of Material Topics Fosun Pharma Commercial Port Guidelines pp. 21 22 pp. 28 30 Fosun Pharma Anti-Corruption Ordinance 2051 Operations that have undergone corruption risk assessment p. 22 GRI 205 Anti-Corruption 2016 2052 Communication and training on anti-corruption policies and procedures p. 21 2053 Confirmed failure incidents and actions taken p. 22 1 26 Innovation for Good Health Continuous Innovation for Enjoying Health GRI Sustainability Reporting Standard 2021 Edition GRI Standards Other Resources Project Location From GRI 3 Material Topics 2021 33 Management of Material Topics p. 11 2 3011 Materials used by weight or volume p. 11 2 GRI 301 Materials 2016 3012 Recycled input materials used 30 13 Recycled products and their packaging materials p. 11 2 GRI 302 Energy GRI 3 Material Topics 20</v>
      </c>
      <c r="B6237" s="1" t="str">
        <f ca="1">IFERROR(__xludf.DUMMYFUNCTION("GOOGLETRANSLATE(A6237, ""zh"", ""en"")"),"Anti-corruption and anti-money laundering")</f>
        <v>Anti-corruption and anti-money laundering</v>
      </c>
      <c r="C6237" s="1" t="str">
        <f ca="1">IFERROR(__xludf.DUMMYFUNCTION("GOOGLETRANSLATE(E6237, ""zh"", ""en"")"),"Qualitative text")</f>
        <v>Qualitative text</v>
      </c>
    </row>
    <row r="6238" spans="1:3" ht="13" x14ac:dyDescent="0.15">
      <c r="A6238" s="1" t="str">
        <f ca="1">IFERROR(__xludf.DUMMYFUNCTION("GOOGLETRANSLATE(A6238, ""zh"", ""en"")"),"PAGEPAGE64 Responsible supply chain 125 Sustainable business partnership for win-win cooperation Supplier management system indicator index Indicator key Sustainable management PAGEPAGi70 Responsible employer 135 Attract people through development, unite "&amp;"people through career, cultivate people through work, and evaluate people through performance Verification statement HR strategy and policy goals Employee learning and development Trade union care for occupational health and safety PAGEAG90 Responsible en"&amp;"vironmental protection 138 Building an environmentally friendly community EHS strategic goal rating report Responding to climate change Green manufacturing and sustainable improvement 2022CorporateSocialResponsibilityReportAboutThisReport About this repor"&amp;"t This report is the corporate social responsibility report released by Shanghai Fosun Pharmaceutical Group Co., Ltd. for the fifteenth consecutive year. This report aims to truly reflect the practices and achievements of Fosun Pharma Group in social resp"&amp;"onsibility in 2022 to stakeholders such as shareholders, employees, government, customers and consumers, and partners.")</f>
        <v>PAGEPAGE64 Responsible supply chain 125 Sustainable business partnership for win-win cooperation Supplier management system indicator index Indicator key Sustainable management PAGEPAGi70 Responsible employer 135 Attract people through development, unite people through career, cultivate people through work, and evaluate people through performance Verification statement HR strategy and policy goals Employee learning and development Trade union care for occupational health and safety PAGEAG90 Responsible environmental protection 138 Building an environmentally friendly community EHS strategic goal rating report Responding to climate change Green manufacturing and sustainable improvement 2022CorporateSocialResponsibilityReportAboutThisReport About this report This report is the corporate social responsibility report released by Shanghai Fosun Pharmaceutical Group Co., Ltd. for the fifteenth consecutive year. This report aims to truly reflect the practices and achievements of Fosun Pharma Group in social responsibility in 2022 to stakeholders such as shareholders, employees, government, customers and consumers, and partners.</v>
      </c>
      <c r="B6238" s="1" t="str">
        <f ca="1">IFERROR(__xludf.DUMMYFUNCTION("GOOGLETRANSLATE(A6238, ""zh"", ""en"")"),"staff")</f>
        <v>staff</v>
      </c>
      <c r="C6238" s="1" t="str">
        <f ca="1">IFERROR(__xludf.DUMMYFUNCTION("GOOGLETRANSLATE(E6238, ""zh"", ""en"")"),"Qualitative text")</f>
        <v>Qualitative text</v>
      </c>
    </row>
    <row r="6239" spans="1:3" ht="13" x14ac:dyDescent="0.15">
      <c r="A6239" s="1" t="str">
        <f ca="1">IFERROR(__xludf.DUMMYFUNCTION("GOOGLETRANSLATE(A6239, ""zh"", ""en"")"),"Supplier supervision optimizes the supply chain management process throughout the entire process, establishes a daily management and supervision mechanism for suppliers, strengthens environmental and social risk identification and prevention, promotes sup"&amp;"plier performance improvement, tracks and inspects suppliers' business ethics, compliance, and contract performance, incorporates relevant indicators into the supplier assessment and evaluation system, and continuously strengthens the punishment and restr"&amp;"aint of suppliers that violate laws and regulations. 226,595 orders were completed throughout the year, achieving a dynamic quantitative evaluation rate of 100 for suppliers. Supply chain management: Number of material suppliers: 21,890 Number of first-ti"&amp;"er manufacturers: 2,185 The proportion of first-tier manufacturers that have passed ISO9001 certification for the quality management system is 98.03 The proportion of first-tier manufacturers that have passed ISO14001 certification for the environmental m"&amp;"anagement system is 94.14 The proportion of first-tier manufacturers that have passed ISO45001 certification for the occupational health and safety management system is 93.14 Corporate governance: 27 More than 150 interactions with institutional investors"&amp;" and ESG rating agencies: 150 Received an A-level rating for information disclosure from the Shanghai Stock Exchange for eight consecutive years A-level rating communication content")</f>
        <v>Supplier supervision optimizes the supply chain management process throughout the entire process, establishes a daily management and supervision mechanism for suppliers, strengthens environmental and social risk identification and prevention, promotes supplier performance improvement, tracks and inspects suppliers' business ethics, compliance, and contract performance, incorporates relevant indicators into the supplier assessment and evaluation system, and continuously strengthens the punishment and restraint of suppliers that violate laws and regulations. 226,595 orders were completed throughout the year, achieving a dynamic quantitative evaluation rate of 100 for suppliers. Supply chain management: Number of material suppliers: 21,890 Number of first-tier manufacturers: 2,185 The proportion of first-tier manufacturers that have passed ISO9001 certification for the quality management system is 98.03 The proportion of first-tier manufacturers that have passed ISO14001 certification for the environmental management system is 94.14 The proportion of first-tier manufacturers that have passed ISO45001 certification for the occupational health and safety management system is 93.14 Corporate governance: 27 More than 150 interactions with institutional investors and ESG rating agencies: 150 Received an A-level rating for information disclosure from the Shanghai Stock Exchange for eight consecutive years A-level rating communication content</v>
      </c>
      <c r="B6239" s="1" t="str">
        <f ca="1">IFERROR(__xludf.DUMMYFUNCTION("GOOGLETRANSLATE(A6239, ""zh"", ""en"")"),"supply chain management")</f>
        <v>supply chain management</v>
      </c>
      <c r="C6239" s="1" t="str">
        <f ca="1">IFERROR(__xludf.DUMMYFUNCTION("GOOGLETRANSLATE(E6239, ""zh"", ""en"")"),"Quantitative Text")</f>
        <v>Quantitative Text</v>
      </c>
    </row>
    <row r="6240" spans="1:3" ht="13" x14ac:dyDescent="0.15">
      <c r="A6240" s="1" t="str">
        <f ca="1">IFERROR(__xludf.DUMMYFUNCTION("GOOGLETRANSLATE(A6240, ""zh"", ""en"")"),"Shanghai Mitsubishi Elevator uses aluminum-zinc alloy coating instead of hot-dip galvanizing to achieve energy conservation and carbon reduction. The system supports the establishment of energy management work networks for the various industrial groups an"&amp;"d enterprises under the group at each level. Dynamic tracking of enterprise output value, energy consumption, etc. is carried out. Meeting mechanisms are implemented. Regular energy efficiency management meetings are held to convey policy requirements, is"&amp;"sue warnings for major energy consumption deviations, and make overall arrangements and advance the implementation of energy efficiency work. The assessment mechanism decomposes the energy-saving assessment indicators of the subordinate major industrial s"&amp;"ectors and key energy-consuming enterprises, strengthens target assessment and supervision of the production and energy consumption status of key energy-consuming units, and organizes energy-saving publicity activities with unique characteristics for diff"&amp;"erent industrial sectors, such as the ""Clean Plate Action"" energy-saving and low-carbon knowledge competition. Training is improved and training for enterprise energy consumption management personnel is organized. For example, the Shanghai Electric Grou"&amp;"p held a special energy management training in 2022. To further promote energy conservation and consumption reduction, Shanghai Electric has launched the following initiatives this year: 742022 Social Responsibility Report Shanghai Electric's energy consu"&amp;"mption and greenhouse gas emissions in 2022 are shown in the following table. Energy consumption and density 2021 20")</f>
        <v>Shanghai Mitsubishi Elevator uses aluminum-zinc alloy coating instead of hot-dip galvanizing to achieve energy conservation and carbon reduction. The system supports the establishment of energy management work networks for the various industrial groups and enterprises under the group at each level. Dynamic tracking of enterprise output value, energy consumption, etc. is carried out. Meeting mechanisms are implemented. Regular energy efficiency management meetings are held to convey policy requirements, issue warnings for major energy consumption deviations, and make overall arrangements and advance the implementation of energy efficiency work. The assessment mechanism decomposes the energy-saving assessment indicators of the subordinate major industrial sectors and key energy-consuming enterprises, strengthens target assessment and supervision of the production and energy consumption status of key energy-consuming units, and organizes energy-saving publicity activities with unique characteristics for different industrial sectors, such as the "Clean Plate Action" energy-saving and low-carbon knowledge competition. Training is improved and training for enterprise energy consumption management personnel is organized. For example, the Shanghai Electric Group held a special energy management training in 2022. To further promote energy conservation and consumption reduction, Shanghai Electric has launched the following initiatives this year: 742022 Social Responsibility Report Shanghai Electric's energy consumption and greenhouse gas emissions in 2022 are shown in the following table. Energy consumption and density 2021 20</v>
      </c>
      <c r="B6240" s="1" t="str">
        <f ca="1">IFERROR(__xludf.DUMMYFUNCTION("GOOGLETRANSLATE(A6240, ""zh"", ""en"")"),"Energy and resource consumption")</f>
        <v>Energy and resource consumption</v>
      </c>
      <c r="C6240" s="1" t="str">
        <f ca="1">IFERROR(__xludf.DUMMYFUNCTION("GOOGLETRANSLATE(E6240, ""zh"", ""en"")"),"Qualitative text")</f>
        <v>Qualitative text</v>
      </c>
    </row>
    <row r="6241" spans="1:3" ht="13" x14ac:dyDescent="0.15">
      <c r="A6241" s="1" t="str">
        <f ca="1">IFERROR(__xludf.DUMMYFUNCTION("GOOGLETRANSLATE(A6241, ""zh"", ""en"")"),"In 2022, the unit purchased electricity was 36769.1230899.59 million kWh, natural gas was 60854396.43 million cubic meters, diesel was 392238.52 tons, gasoline was 18102451573531.23 liters, direct energy consumption was 18342760498.67 tons of standard coa"&amp;"l, indirect energy consumption was 24518937975.60 tons of standard coal, comprehensive energy consumption was 12861698474.27 tons of standard coal, energy consumption per unit output value was 0.00980.0 084 tons of standard coal RMB 10,000 operating incom"&amp;"e Greenhouse gas emissions and density Scope 1 Greenhouse gas emissions 313720099639.35 tons of carbon dioxide Scope 2 Greenhouse gas emissions 4154430129778.28 tons of carbon dioxide Total greenhouse gas emissions 291630229417.63 tons of carbon dioxide G"&amp;"reenhouse gas emission density 221.96195.04 tons of carbon dioxide 100 million yuan operating income 1 Direct energy consumption includes natural gas, gasoline and diesel consumption")</f>
        <v>In 2022, the unit purchased electricity was 36769.1230899.59 million kWh, natural gas was 60854396.43 million cubic meters, diesel was 392238.52 tons, gasoline was 18102451573531.23 liters, direct energy consumption was 18342760498.67 tons of standard coal, indirect energy consumption was 24518937975.60 tons of standard coal, comprehensive energy consumption was 12861698474.27 tons of standard coal, energy consumption per unit output value was 0.00980.0 084 tons of standard coal RMB 10,000 operating income Greenhouse gas emissions and density Scope 1 Greenhouse gas emissions 313720099639.35 tons of carbon dioxide Scope 2 Greenhouse gas emissions 4154430129778.28 tons of carbon dioxide Total greenhouse gas emissions 291630229417.63 tons of carbon dioxide Greenhouse gas emission density 221.96195.04 tons of carbon dioxide 100 million yuan operating income 1 Direct energy consumption includes natural gas, gasoline and diesel consumption</v>
      </c>
      <c r="B6241" s="1" t="str">
        <f ca="1">IFERROR(__xludf.DUMMYFUNCTION("GOOGLETRANSLATE(A6241, ""zh"", ""en"")"),"Energy and resource consumption")</f>
        <v>Energy and resource consumption</v>
      </c>
      <c r="C6241" s="1" t="str">
        <f ca="1">IFERROR(__xludf.DUMMYFUNCTION("GOOGLETRANSLATE(E6241, ""zh"", ""en"")"),"Quantitative Text")</f>
        <v>Quantitative Text</v>
      </c>
    </row>
    <row r="6242" spans="1:3" ht="13" x14ac:dyDescent="0.15">
      <c r="A6242" s="1" t="str">
        <f ca="1">IFERROR(__xludf.DUMMYFUNCTION("GOOGLETRANSLATE(A6242, ""zh"", ""en"")"),"Fosun Pharma Group's water pollutant emissions Total wastewater discharge Chemical oxygen demand Ammonia Wastewater discharge intensity Chemical oxygen demand Emission intensity Ammonia Emission intensity Tons per year Tons per year Tons per year 10,000 y"&amp;"uan Revenue kg 10,000 yuan Revenue kg 10,000 yuan Revenue 2016 678540049060.554.64EE00.041 2017 73158908414863.950.450.262 2018 75651788472543.040.340.10 2019 70910337781302.480.270.046 2020 650547965588.52.150.220.030 2021 74975817041461.920.180.038 2022"&amp;" 75237548411751.710.190.040106 Innovation for Good Health, Continuous Innovation, Enjoying Health Fosun Pharma")</f>
        <v>Fosun Pharma Group's water pollutant emissions Total wastewater discharge Chemical oxygen demand Ammonia Wastewater discharge intensity Chemical oxygen demand Emission intensity Ammonia Emission intensity Tons per year Tons per year Tons per year 10,000 yuan Revenue kg 10,000 yuan Revenue kg 10,000 yuan Revenue 2016 678540049060.554.64EE00.041 2017 73158908414863.950.450.262 2018 75651788472543.040.340.10 2019 70910337781302.480.270.046 2020 650547965588.52.150.220.030 2021 74975817041461.920.180.038 2022 75237548411751.710.190.040106 Innovation for Good Health, Continuous Innovation, Enjoying Health Fosun Pharma</v>
      </c>
      <c r="B6242" s="1" t="str">
        <f ca="1">IFERROR(__xludf.DUMMYFUNCTION("GOOGLETRANSLATE(A6242, ""zh"", ""en"")"),"Water resources")</f>
        <v>Water resources</v>
      </c>
      <c r="C6242" s="1" t="str">
        <f ca="1">IFERROR(__xludf.DUMMYFUNCTION("GOOGLETRANSLATE(E6242, ""zh"", ""en"")"),"Quantitative Text")</f>
        <v>Quantitative Text</v>
      </c>
    </row>
    <row r="6243" spans="1:3" ht="13" x14ac:dyDescent="0.15">
      <c r="A6243" s="1" t="str">
        <f ca="1">IFERROR(__xludf.DUMMYFUNCTION("GOOGLETRANSLATE(A6243, ""zh"", ""en"")"),"15 member companies have passed ISO14001 and ISO45001 system third-party certification; 13 member companies have passed clean production certification; 10 member companies have been awarded the honorary title of Green Factory; 10 national green factory; 1"&amp;"0 Shanghai green factory; 10 Liaoning green factory; 10 member companies have passed ISO50001 system third-party certification; 10 Wanbang Pharmaceutical; 10 Xingtai Green Factory in Guangxi Zhuang Autonomous Region; 10 Wanbang Fuxiang; 10 Erye Pharmaceut"&amp;"ical; 10 Guilin Nanyao; 10 December 31, 2022; List of EHS system standardization certification status of major member companies of Fosun Pharma Group; Company Name; Certification Category; Company Name; Certification Category; Wanbang Pharmaceutical; 1501"&amp;"4001I5045001I5050001; Safety Standardization; Level 2 Clean Production; Green Factory; Yaoyoubie Pharmaceutical; 5014001IS045001; Wanbang Jinqiao; 5014001IS045001; Safety Standardization; Level 2 Clean Production; Kailinbie Pharmaceutical; Safety Standard"&amp;"ization; Level 2 Clean Law")</f>
        <v>15 member companies have passed ISO14001 and ISO45001 system third-party certification; 13 member companies have passed clean production certification; 10 member companies have been awarded the honorary title of Green Factory; 10 national green factory; 10 Shanghai green factory; 10 Liaoning green factory; 10 member companies have passed ISO50001 system third-party certification; 10 Wanbang Pharmaceutical; 10 Xingtai Green Factory in Guangxi Zhuang Autonomous Region; 10 Wanbang Fuxiang; 10 Erye Pharmaceutical; 10 Guilin Nanyao; 10 December 31, 2022; List of EHS system standardization certification status of major member companies of Fosun Pharma Group; Company Name; Certification Category; Company Name; Certification Category; Wanbang Pharmaceutical; 15014001I5045001I5050001; Safety Standardization; Level 2 Clean Production; Green Factory; Yaoyoubie Pharmaceutical; 5014001IS045001; Wanbang Jinqiao; 5014001IS045001; Safety Standardization; Level 2 Clean Production; Kailinbie Pharmaceutical; Safety Standardization; Level 2 Clean Law</v>
      </c>
      <c r="B6243" s="1" t="str">
        <f ca="1">IFERROR(__xludf.DUMMYFUNCTION("GOOGLETRANSLATE(A6243, ""zh"", ""en"")"),"Sustainable certification")</f>
        <v>Sustainable certification</v>
      </c>
      <c r="C6243" s="1" t="str">
        <f ca="1">IFERROR(__xludf.DUMMYFUNCTION("GOOGLETRANSLATE(E6243, ""zh"", ""en"")"),"Quantitative Text")</f>
        <v>Quantitative Text</v>
      </c>
    </row>
    <row r="6244" spans="1:3" ht="13" x14ac:dyDescent="0.15">
      <c r="A6244" s="1" t="str">
        <f ca="1">IFERROR(__xludf.DUMMYFUNCTION("GOOGLETRANSLATE(A6244, ""zh"", ""en"")"),"Domestic annual sales of refined oil products: 105.164 million tons; sales of natural gas: 207.096 billion cubic meters; production of new chemical materials; output of new chemical materials: 85.55 million tons year-on-year; production of 119 new chemica"&amp;"l products; output of new chemical products: 84.126 million tons year-on-year; social contribution: 101; Main progress of quality management work in 2022; Key work contents: Establish a long-term mechanism for quality improvement; Formulate a quality-driv"&amp;"en enterprise planning program; Conduct quality audits; Organize and carry out procurement of material quality through QHSE system audits, special audits and quality month activities; Upgrade wellbore quality; Upgrade oil quality in transportation links; "&amp;"Special action to review quality; Conduct Kunlun brand audit and endorsement; 782 petrochemical products passed the audit; Steadily increase brand influence based on quality; Promote the construction of quality culture; Carry out quality month activities;"&amp;" Organize special publicity activities through the Internet and new media; 2688 quality open days; 270 customer experience days; 324 quality control results press conferences; Organize employees to participate in comprehensive quality control")</f>
        <v>Domestic annual sales of refined oil products: 105.164 million tons; sales of natural gas: 207.096 billion cubic meters; production of new chemical materials; output of new chemical materials: 85.55 million tons year-on-year; production of 119 new chemical products; output of new chemical products: 84.126 million tons year-on-year; social contribution: 101; Main progress of quality management work in 2022; Key work contents: Establish a long-term mechanism for quality improvement; Formulate a quality-driven enterprise planning program; Conduct quality audits; Organize and carry out procurement of material quality through QHSE system audits, special audits and quality month activities; Upgrade wellbore quality; Upgrade oil quality in transportation links; Special action to review quality; Conduct Kunlun brand audit and endorsement; 782 petrochemical products passed the audit; Steadily increase brand influence based on quality; Promote the construction of quality culture; Carry out quality month activities; Organize special publicity activities through the Internet and new media; 2688 quality open days; 270 customer experience days; 324 quality control results press conferences; Organize employees to participate in comprehensive quality control</v>
      </c>
      <c r="B6244" s="1" t="str">
        <f ca="1">IFERROR(__xludf.DUMMYFUNCTION("GOOGLETRANSLATE(A6244, ""zh"", ""en"")"),"Product quality")</f>
        <v>Product quality</v>
      </c>
      <c r="C6244" s="1" t="str">
        <f ca="1">IFERROR(__xludf.DUMMYFUNCTION("GOOGLETRANSLATE(E6244, ""zh"", ""en"")"),"Quantitative Text")</f>
        <v>Quantitative Text</v>
      </c>
    </row>
    <row r="6245" spans="1:3" ht="13" x14ac:dyDescent="0.15">
      <c r="A6245" s="1" t="str">
        <f ca="1">IFERROR(__xludf.DUMMYFUNCTION("GOOGLETRANSLATE(A6245, ""zh"", ""en"")"),"Tibet Qomolangma's Path to Sustainable Development: Visit Tibet Qomolangma. Corporate Governance, Environment, and Industry: Building an Employee Community. 9Goals: Response to the SDGs. Good Health and Well-being: We are committed to promoting the well-b"&amp;"eing of people of all ages. Focusing on employees and overseas operations. Quality Education: We uphold the idea that everyone has equal access to quality education. We are committed to improving local cultural and educational standards at our operations,"&amp;" providing both cultural and material support. Gender Equality: We uphold the concept of gender equality and are committed to promoting fairness and justice in recruitment and other operational aspects, opposing all forms of gender discrimination. Economi"&amp;"cal and Practical Clean Energy: We are rooted in the modern clean energy industry and are committed to providing the world with greener, more environmentally friendly, and high-quality energy. We continue to advance clean energy projects in Tajikistan and"&amp;" Argentina, empowering the clean energy industry to achieve decent work and economic growth. We focus on the economic development of Tibet Qomolangma's operations, promoting lasting, inclusive, and sustainable economic growth. We improve local employment "&amp;"and provide a large number of decent jobs. Industrial Innovation and Infrastructure: We improve the infrastructure at Tibet Qomolangma's operations.")</f>
        <v>Tibet Qomolangma's Path to Sustainable Development: Visit Tibet Qomolangma. Corporate Governance, Environment, and Industry: Building an Employee Community. 9Goals: Response to the SDGs. Good Health and Well-being: We are committed to promoting the well-being of people of all ages. Focusing on employees and overseas operations. Quality Education: We uphold the idea that everyone has equal access to quality education. We are committed to improving local cultural and educational standards at our operations, providing both cultural and material support. Gender Equality: We uphold the concept of gender equality and are committed to promoting fairness and justice in recruitment and other operational aspects, opposing all forms of gender discrimination. Economical and Practical Clean Energy: We are rooted in the modern clean energy industry and are committed to providing the world with greener, more environmentally friendly, and high-quality energy. We continue to advance clean energy projects in Tajikistan and Argentina, empowering the clean energy industry to achieve decent work and economic growth. We focus on the economic development of Tibet Qomolangma's operations, promoting lasting, inclusive, and sustainable economic growth. We improve local employment and provide a large number of decent jobs. Industrial Innovation and Infrastructure: We improve the infrastructure at Tibet Qomolangma's operations.</v>
      </c>
      <c r="B6245" s="1" t="str">
        <f ca="1">IFERROR(__xludf.DUMMYFUNCTION("GOOGLETRANSLATE(A6245, ""zh"", ""en"")"),"staff")</f>
        <v>staff</v>
      </c>
      <c r="C6245" s="1" t="str">
        <f ca="1">IFERROR(__xludf.DUMMYFUNCTION("GOOGLETRANSLATE(E6245, ""zh"", ""en"")"),"Qualitative text")</f>
        <v>Qualitative text</v>
      </c>
    </row>
    <row r="6246" spans="1:3" ht="13" x14ac:dyDescent="0.15">
      <c r="A6246" s="1" t="str">
        <f ca="1">IFERROR(__xludf.DUMMYFUNCTION("GOOGLETRANSLATE(A6246, ""zh"", ""en"")"),"Haiyuan Universe Strong List, China's Excellent Management Company, China's Strongest Brand for Three Consecutive Years, Forbes China's Strongest Digital Economy, China Automotive Intelligent Innovation Technology Award, Beijing's Top 100 Private Enterpri"&amp;"ses List, Benchmark Supplier in Four Major Innovation Fields of Digital Security, the only domestic private enterprise selected in China for its strong R&amp;D and patents, listed in the China Electricity Council's Enterprise Science and Technology Innovation"&amp;" Member Top Ten Valued Companies of the Year, China's Strongest New Economy Enterprise, China International Digital Economy Expo Innovation Achievement Award, Enterprise Security Cloud, Beijing's Specialized and Innovative Enterprise, Best Digital Securit"&amp;"y Enterprise of the Year, 2018 China Enterprise-Level SaaS Industry Research Report Benchmark Case, Enterprise Security Cloud, Beijing's Top 100 Enterprises, also shortlisted in four major lists, Annual Metaverse Breakthrough Application, N World Top 100 "&amp;"Leading Enterprises in the ICT Industry, People's Daily Online People's Craftsmanship Award, Craftsmanship Product Award, Enterprise Security Cloud's Most Branded Enterprise of the Year Award, Beijing Industrial Internet Innovative Application Scenario Ca"&amp;"se, Enterprise Security Cloud, Ministry of Industry and Information Technology's National Small and Medium Enterprises Public Service Demonstration Platform, Enterprise Security Cloud, China Internet Industry Self-Discipline Contribution and Public Welfar"&amp;"e Award, Annual Most Socially Responsible Enterprise Award, High-Tech High-Speed ​​Development, Protecting National Strategic Security, Hard Technology")</f>
        <v>Haiyuan Universe Strong List, China's Excellent Management Company, China's Strongest Brand for Three Consecutive Years, Forbes China's Strongest Digital Economy, China Automotive Intelligent Innovation Technology Award, Beijing's Top 100 Private Enterprises List, Benchmark Supplier in Four Major Innovation Fields of Digital Security, the only domestic private enterprise selected in China for its strong R&amp;D and patents, listed in the China Electricity Council's Enterprise Science and Technology Innovation Member Top Ten Valued Companies of the Year, China's Strongest New Economy Enterprise, China International Digital Economy Expo Innovation Achievement Award, Enterprise Security Cloud, Beijing's Specialized and Innovative Enterprise, Best Digital Security Enterprise of the Year, 2018 China Enterprise-Level SaaS Industry Research Report Benchmark Case, Enterprise Security Cloud, Beijing's Top 100 Enterprises, also shortlisted in four major lists, Annual Metaverse Breakthrough Application, N World Top 100 Leading Enterprises in the ICT Industry, People's Daily Online People's Craftsmanship Award, Craftsmanship Product Award, Enterprise Security Cloud's Most Branded Enterprise of the Year Award, Beijing Industrial Internet Innovative Application Scenario Case, Enterprise Security Cloud, Ministry of Industry and Information Technology's National Small and Medium Enterprises Public Service Demonstration Platform, Enterprise Security Cloud, China Internet Industry Self-Discipline Contribution and Public Welfare Award, Annual Most Socially Responsible Enterprise Award, High-Tech High-Speed ​​Development, Protecting National Strategic Security, Hard Technology</v>
      </c>
      <c r="B6246" s="1" t="str">
        <f ca="1">IFERROR(__xludf.DUMMYFUNCTION("GOOGLETRANSLATE(A6246, ""zh"", ""en"")"),"Technological innovation")</f>
        <v>Technological innovation</v>
      </c>
      <c r="C6246" s="1" t="str">
        <f ca="1">IFERROR(__xludf.DUMMYFUNCTION("GOOGLETRANSLATE(E6246, ""zh"", ""en"")"),"Qualitative text")</f>
        <v>Qualitative text</v>
      </c>
    </row>
    <row r="6247" spans="1:3" ht="13" x14ac:dyDescent="0.15">
      <c r="A6247" s="1" t="str">
        <f ca="1">IFERROR(__xludf.DUMMYFUNCTION("GOOGLETRANSLATE(A6247, ""zh"", ""en"")"),"Waste Generation and Significant Impacts p.110 3062 Management of Significant Impacts Related to Waste p.110 111 3063 Waste Generated p.110 p.124 GRI 306 Waste Diverted from Disposal 2020 3064 Waste Diverted from Disposal p.110 3065 Waste Entering Disposa"&amp;"l p.110 GRI 306 Effluent and Waste 3063 Significant Spills p.110 GRI 308 Supplier Environmental Assessment GR3 Material Topics 2021 33 Material Topics Management of material issues pp.2830p.66p.69GRI308 Supplier Environmental Assessment 3081 New suppliers"&amp;" screened using environmental assessment dimensions p.69 20163082 Negative environmental impacts in the supply chain and actions taken p.66p.69GRI401 EmploymentGRI3 Material Topics 202133 Management of material topicszgdzddoeszdd4011a New employee recruit"&amp;"ment efficiency and 4011 new employee recruitment rate and employee turnover rate have not been quantified")</f>
        <v>Waste Generation and Significant Impacts p.110 3062 Management of Significant Impacts Related to Waste p.110 111 3063 Waste Generated p.110 p.124 GRI 306 Waste Diverted from Disposal 2020 3064 Waste Diverted from Disposal p.110 3065 Waste Entering Disposal p.110 GRI 306 Effluent and Waste 3063 Significant Spills p.110 GRI 308 Supplier Environmental Assessment GR3 Material Topics 2021 33 Material Topics Management of material issues pp.2830p.66p.69GRI308 Supplier Environmental Assessment 3081 New suppliers screened using environmental assessment dimensions p.69 20163082 Negative environmental impacts in the supply chain and actions taken p.66p.69GRI401 EmploymentGRI3 Material Topics 202133 Management of material topicszgdzddoeszdd4011a New employee recruitment efficiency and 4011 new employee recruitment rate and employee turnover rate have not been quantified</v>
      </c>
      <c r="B6247" s="1" t="str">
        <f ca="1">IFERROR(__xludf.DUMMYFUNCTION("GOOGLETRANSLATE(A6247, ""zh"", ""en"")"),"Waste Management")</f>
        <v>Waste Management</v>
      </c>
      <c r="C6247" s="1" t="str">
        <f ca="1">IFERROR(__xludf.DUMMYFUNCTION("GOOGLETRANSLATE(E6247, ""zh"", ""en"")"),"Qualitative text")</f>
        <v>Qualitative text</v>
      </c>
    </row>
    <row r="6248" spans="1:3" ht="13" x14ac:dyDescent="0.15">
      <c r="A6248" s="1" t="str">
        <f ca="1">IFERROR(__xludf.DUMMYFUNCTION("GOOGLETRANSLATE(A6248, ""zh"", ""en"")"),"06 Magnetic levitation chiller heat pump unit air conditioning product group standard Carbon neutrality technology Smart home appliances low-carbon operation evaluation technical specification Part 3 Household room air conditioners ISO316002022 Water effi"&amp;"ciency labeling program requirements and implementation guide 010305070902040608 Typical air conditioning product carbon footprint Carbon inventory action for whole machine factories 0.100.054.87 Original logistics stage Manufacturing stage Distribution s"&amp;"tage 84.11 Use stage 10.87 Waste disposal and reuse 29280203040506 Protecting the planet Explore a green and low-carbon future People-oriented integration Promote diversified and inclusive development Responsible procurement Create a sustainable supply ch"&amp;"ain Smart experience Lead a better life Converge hearts and minds to promote equitable development 01 Global collaborative sustainable governance ecology Haier Smart Home Co., Ltd. Environmental, Social and Governance Report Green practices throughout the"&amp;" entire life cycle We actively cooperate with upstream and downstream industry chain units, from raw material manufacturers to logistics companies, from consumers to recycling and disassembly factories, to explore product life cycle reduction around R&amp;D, "&amp;"raw material production, packaging and transportation, and product recycling.")</f>
        <v>06 Magnetic levitation chiller heat pump unit air conditioning product group standard Carbon neutrality technology Smart home appliances low-carbon operation evaluation technical specification Part 3 Household room air conditioners ISO316002022 Water efficiency labeling program requirements and implementation guide 010305070902040608 Typical air conditioning product carbon footprint Carbon inventory action for whole machine factories 0.100.054.87 Original logistics stage Manufacturing stage Distribution stage 84.11 Use stage 10.87 Waste disposal and reuse 29280203040506 Protecting the planet Explore a green and low-carbon future People-oriented integration Promote diversified and inclusive development Responsible procurement Create a sustainable supply chain Smart experience Lead a better life Converge hearts and minds to promote equitable development 01 Global collaborative sustainable governance ecology Haier Smart Home Co., Ltd. Environmental, Social and Governance Report Green practices throughout the entire life cycle We actively cooperate with upstream and downstream industry chain units, from raw material manufacturers to logistics companies, from consumers to recycling and disassembly factories, to explore product life cycle reduction around R&amp;D, raw material production, packaging and transportation, and product recycling.</v>
      </c>
      <c r="B6248" s="1" t="str">
        <f ca="1">IFERROR(__xludf.DUMMYFUNCTION("GOOGLETRANSLATE(A6248, ""zh"", ""en"")"),"carbon emissions")</f>
        <v>carbon emissions</v>
      </c>
      <c r="C6248" s="1" t="str">
        <f ca="1">IFERROR(__xludf.DUMMYFUNCTION("GOOGLETRANSLATE(E6248, ""zh"", ""en"")"),"Quantitative Text")</f>
        <v>Quantitative Text</v>
      </c>
    </row>
    <row r="6249" spans="1:3" ht="13" x14ac:dyDescent="0.15">
      <c r="A6249" s="1" t="str">
        <f ca="1">IFERROR(__xludf.DUMMYFUNCTION("GOOGLETRANSLATE(A6249, ""zh"", ""en"")"),"Disclosure Item Content Index GRI308 Supplier Environmental Assessment 20163081 New Suppliers Screened Using Environmental Criteria P683082 Negative Environmental Impacts in the Supply Chain and Actions Taken P6869 GRI401 Employment 20164011 New Employees"&amp;" and Employee Turnover P48494012 Benefits Provided to Full-Time Employees Excluding Temporary or Part-Time Employees P58604013 Parental Leave P58 GRI403 Occupational Health and Safety 20184031 Occupational Health and Safety Management System P614032 Hazar"&amp;"d Identification, Risk Assessment, and Incident Investigation P614033 Occupational Health Services P634034 Worker Participation, Consultation, and Communication on Occupational Health and Safety Matters P62634035 Worker Occupational Health and Safety Trai"&amp;"ning P62634036 Promotion of Worker Health P634037 Prevention and Mitigation of Occupational Health and Safety Impacts Directly Related to the Business Relationship P614038 Workers to Whom the Occupational Health and Safety Management System Applies P61403"&amp;"9 Work-Related Injuries P6140310 Work-Related")</f>
        <v>Disclosure Item Content Index GRI308 Supplier Environmental Assessment 20163081 New Suppliers Screened Using Environmental Criteria P683082 Negative Environmental Impacts in the Supply Chain and Actions Taken P6869 GRI401 Employment 20164011 New Employees and Employee Turnover P48494012 Benefits Provided to Full-Time Employees Excluding Temporary or Part-Time Employees P58604013 Parental Leave P58 GRI403 Occupational Health and Safety 20184031 Occupational Health and Safety Management System P614032 Hazard Identification, Risk Assessment, and Incident Investigation P614033 Occupational Health Services P634034 Worker Participation, Consultation, and Communication on Occupational Health and Safety Matters P62634035 Worker Occupational Health and Safety Training P62634036 Promotion of Worker Health P634037 Prevention and Mitigation of Occupational Health and Safety Impacts Directly Related to the Business Relationship P614038 Workers to Whom the Occupational Health and Safety Management System Applies P614039 Work-Related Injuries P6140310 Work-Related</v>
      </c>
      <c r="B6249" s="1" t="str">
        <f ca="1">IFERROR(__xludf.DUMMYFUNCTION("GOOGLETRANSLATE(A6249, ""zh"", ""en"")"),"staff")</f>
        <v>staff</v>
      </c>
      <c r="C6249" s="1" t="str">
        <f ca="1">IFERROR(__xludf.DUMMYFUNCTION("GOOGLETRANSLATE(E6249, ""zh"", ""en"")"),"Qualitative text")</f>
        <v>Qualitative text</v>
      </c>
    </row>
    <row r="6250" spans="1:3" ht="13" x14ac:dyDescent="0.15">
      <c r="A6250" s="1" t="str">
        <f ca="1">IFERROR(__xludf.DUMMYFUNCTION("GOOGLETRANSLATE(A6250, ""zh"", ""en"")"),"Health Issues P63 GRI404 Training and Education 20164041 Average hours of training per employee per year P564042 Employee skills development programs and transition assistance programs P5657 GRI405 Diversity and Equal Opportunity 20164051 Diversity of gov"&amp;"ernance bodies and employees P4651 GRI406 Anti-discrimination 20164061 Incidents of discrimination and corrective actions taken P52 GRI413 Local Community 20164131 Operations with local community involvement in impact assessments and development plans P56"&amp;"59 GRI414 Supplier Social Assessment 20164141 New suppliers screened using social criteria P674142 Negative social impacts in the supply chain and actions taken P6769 GRI416 Customer Health and Safety 20164161 Assessment of health and safety impacts of pr"&amp;"oduct and service categories P744162 Non-compliance incidents involving health and safety impacts of products and services The organization has no significant non-compliance incidents involving health and safety impacts of products and services in 2022")</f>
        <v>Health Issues P63 GRI404 Training and Education 20164041 Average hours of training per employee per year P564042 Employee skills development programs and transition assistance programs P5657 GRI405 Diversity and Equal Opportunity 20164051 Diversity of governance bodies and employees P4651 GRI406 Anti-discrimination 20164061 Incidents of discrimination and corrective actions taken P52 GRI413 Local Community 20164131 Operations with local community involvement in impact assessments and development plans P5659 GRI414 Supplier Social Assessment 20164141 New suppliers screened using social criteria P674142 Negative social impacts in the supply chain and actions taken P6769 GRI416 Customer Health and Safety 20164161 Assessment of health and safety impacts of product and service categories P744162 Non-compliance incidents involving health and safety impacts of products and services The organization has no significant non-compliance incidents involving health and safety impacts of products and services in 2022</v>
      </c>
      <c r="B6250" s="1" t="str">
        <f ca="1">IFERROR(__xludf.DUMMYFUNCTION("GOOGLETRANSLATE(A6250, ""zh"", ""en"")"),"staff")</f>
        <v>staff</v>
      </c>
      <c r="C6250" s="1" t="str">
        <f ca="1">IFERROR(__xludf.DUMMYFUNCTION("GOOGLETRANSLATE(E6250, ""zh"", ""en"")"),"Quantitative Text")</f>
        <v>Quantitative Text</v>
      </c>
    </row>
    <row r="6251" spans="1:3" ht="13" x14ac:dyDescent="0.15">
      <c r="A6251" s="1" t="str">
        <f ca="1">IFERROR(__xludf.DUMMYFUNCTION("GOOGLETRANSLATE(A6251, ""zh"", ""en"")"),"Category Indicator 202020212022 PetroChina Company Limited 2022 Environmental, Social and Governance Report 106 Environmental Energy Savings 10,000 tons of standard coal 767071 Unit oil and gas equivalent production Comprehensive energy consumption kg sta"&amp;"ndard coal 118116109 Refining Unit Energy Factor Energy Consumption 11 kg standard oil ton Factor 8.137.897.89 Unit Ethylene Energy Consumption 12 kg standard oil ton 658651604 Pollutant Emissions General Solid Waste 130,000 tons 260.3248.5 Hazardous Haza"&amp;"rdous waste volume 140,000 tons 139.694.3 General solid waste compliance disposal rate 100100 Hazardous waste compliance disposal rate 100100 Chemical oxygen demand (COD) emissions 150,000 tons 2.350.530.50 Sulfur dioxide (SO2) emissions 160,000 tons 8.84"&amp;"1.110.92 Nitrogen oxide (NOX) emissions 170,000 tons 7.765.645.01 Refining volatile organic compound (VOCs) emissions 10,000 tons 7.066.82 Environmental protection Environmental protection management investment 100 million yuan 39.23")</f>
        <v>Category Indicator 202020212022 PetroChina Company Limited 2022 Environmental, Social and Governance Report 106 Environmental Energy Savings 10,000 tons of standard coal 767071 Unit oil and gas equivalent production Comprehensive energy consumption kg standard coal 118116109 Refining Unit Energy Factor Energy Consumption 11 kg standard oil ton Factor 8.137.897.89 Unit Ethylene Energy Consumption 12 kg standard oil ton 658651604 Pollutant Emissions General Solid Waste 130,000 tons 260.3248.5 Hazardous Hazardous waste volume 140,000 tons 139.694.3 General solid waste compliance disposal rate 100100 Hazardous waste compliance disposal rate 100100 Chemical oxygen demand (COD) emissions 150,000 tons 2.350.530.50 Sulfur dioxide (SO2) emissions 160,000 tons 8.841.110.92 Nitrogen oxide (NOX) emissions 170,000 tons 7.765.645.01 Refining volatile organic compound (VOCs) emissions 10,000 tons 7.066.82 Environmental protection Environmental protection management investment 100 million yuan 39.23</v>
      </c>
      <c r="B6251" s="1" t="str">
        <f ca="1">IFERROR(__xludf.DUMMYFUNCTION("GOOGLETRANSLATE(A6251, ""zh"", ""en"")"),"Waste Management")</f>
        <v>Waste Management</v>
      </c>
      <c r="C6251" s="1" t="str">
        <f ca="1">IFERROR(__xludf.DUMMYFUNCTION("GOOGLETRANSLATE(E6251, ""zh"", ""en"")"),"Quantitative Text")</f>
        <v>Quantitative Text</v>
      </c>
    </row>
    <row r="6252" spans="1:3" ht="13" x14ac:dyDescent="0.15">
      <c r="A6252" s="1" t="str">
        <f ca="1">IFERROR(__xludf.DUMMYFUNCTION("GOOGLETRANSLATE(A6252, ""zh"", ""en"")"),"The outline of the plan was formulated and issued, guiding opinions on strengthening employee health management were issued, ensuring employees' occupational health, physical health and mental health, building healthy enterprises, achieving a 100% establi"&amp;"shment rate of employee occupational health monitoring files, a 100% detection rate of occupational disease hazard factors in the workplace, and a 99.15% occupational health examination rate for employees exposed to occupational disease hazards. Assisting"&amp;" remote areas in improving the medical infrastructure of township health centers, organizing medical institutions to conduct regular rounds and training for rural medical workers, taking multiple measures to improve the level of medical conditions in remo"&amp;"te areas, innovating medical assistance methods, providing health insurance and major disease treatment and rehabilitation subsidies for people from families with difficult financial conditions to reduce the burden on families, cooperating with profession"&amp;"al institutions to jointly implement health assistance projects such as ""Come on Baby"" Internet medical health, etc., helping young people in underdeveloped areas to obtain equal educational opportunities by creating distinctive schools, innovating stud"&amp;"ent aid models, and linking multiple educational resources, advocating for the whole society to pay attention to and work together to solve the problem of educational equity, relying on projects such as the Xuhang Student Aid and Teacher Benefit Program, "&amp;"and improving the cultural quality and development capabilities of the population in remote areas by funding students in need and training primary and secondary school teachers and administrators.")</f>
        <v>The outline of the plan was formulated and issued, guiding opinions on strengthening employee health management were issued, ensuring employees' occupational health, physical health and mental health, building healthy enterprises, achieving a 100% establishment rate of employee occupational health monitoring files, a 100% detection rate of occupational disease hazard factors in the workplace, and a 99.15% occupational health examination rate for employees exposed to occupational disease hazards. Assisting remote areas in improving the medical infrastructure of township health centers, organizing medical institutions to conduct regular rounds and training for rural medical workers, taking multiple measures to improve the level of medical conditions in remote areas, innovating medical assistance methods, providing health insurance and major disease treatment and rehabilitation subsidies for people from families with difficult financial conditions to reduce the burden on families, cooperating with professional institutions to jointly implement health assistance projects such as "Come on Baby" Internet medical health, etc., helping young people in underdeveloped areas to obtain equal educational opportunities by creating distinctive schools, innovating student aid models, and linking multiple educational resources, advocating for the whole society to pay attention to and work together to solve the problem of educational equity, relying on projects such as the Xuhang Student Aid and Teacher Benefit Program, and improving the cultural quality and development capabilities of the population in remote areas by funding students in need and training primary and secondary school teachers and administrators.</v>
      </c>
      <c r="B6252" s="1" t="str">
        <f ca="1">IFERROR(__xludf.DUMMYFUNCTION("GOOGLETRANSLATE(A6252, ""zh"", ""en"")"),"staff")</f>
        <v>staff</v>
      </c>
      <c r="C6252" s="1" t="str">
        <f ca="1">IFERROR(__xludf.DUMMYFUNCTION("GOOGLETRANSLATE(E6252, ""zh"", ""en"")"),"Qualitative text")</f>
        <v>Qualitative text</v>
      </c>
    </row>
    <row r="6253" spans="1:3" ht="13" x14ac:dyDescent="0.15">
      <c r="A6253" s="1" t="str">
        <f ca="1">IFERROR(__xludf.DUMMYFUNCTION("GOOGLETRANSLATE(A6253, ""zh"", ""en"")"),"The Institute will accelerate the construction and operation of the Shanghai Institute of New Materials and the Shenzhen Institute of New Energy, establish a greenhouse gas verification and accounting center, and lay out the construction of a carbon asset"&amp;" management and control platform. Strengthen the basic management of carbon emissions, promote the standardized management of carbon assets and the development of carbon asset projects, and promote the company's green and low-carbon transformation and dev"&amp;"elopment. Strengthen corporate governance, strengthen the board's control function over ESG, further improve board construction, optimize and adjust the organizational system of the company's headquarters, and continue to deepen the basic establishment of"&amp;" a value-oriented headquarters. Carry out compliance management, strengthen special governance of compliance management issues in annual actions and business operations, eliminate compliance risks and hidden dangers, and strengthen risk assessment. The bo"&amp;"ard of directors listens to the audit work report and risk management report and forms resolutions, and holds special meetings on ESG work. Sustainable Development Management China National Petroleum Corporation 2022 Environmental, Social and Governance R"&amp;"eport 16 Sustainable Development Committee The Sustainable Development Committee under the Board of Directors is responsible for the overall supervision of the company's ESG affairs. Mr. Huang Yongzhang, Executive Director and President of the Company, se"&amp;"rves as the Chairman of the Committee. Mr. Jiao Fangzheng, Chief Geologist, and Mr. Ren Lixin, Executive Director and Senior Vice President, serve as committee members.")</f>
        <v>The Institute will accelerate the construction and operation of the Shanghai Institute of New Materials and the Shenzhen Institute of New Energy, establish a greenhouse gas verification and accounting center, and lay out the construction of a carbon asset management and control platform. Strengthen the basic management of carbon emissions, promote the standardized management of carbon assets and the development of carbon asset projects, and promote the company's green and low-carbon transformation and development. Strengthen corporate governance, strengthen the board's control function over ESG, further improve board construction, optimize and adjust the organizational system of the company's headquarters, and continue to deepen the basic establishment of a value-oriented headquarters. Carry out compliance management, strengthen special governance of compliance management issues in annual actions and business operations, eliminate compliance risks and hidden dangers, and strengthen risk assessment. The board of directors listens to the audit work report and risk management report and forms resolutions, and holds special meetings on ESG work. Sustainable Development Management China National Petroleum Corporation 2022 Environmental, Social and Governance Report 16 Sustainable Development Committee The Sustainable Development Committee under the Board of Directors is responsible for the overall supervision of the company's ESG affairs. Mr. Huang Yongzhang, Executive Director and President of the Company, serves as the Chairman of the Committee. Mr. Jiao Fangzheng, Chief Geologist, and Mr. Ren Lixin, Executive Director and Senior Vice President, serve as committee members.</v>
      </c>
      <c r="B6253" s="1" t="str">
        <f ca="1">IFERROR(__xludf.DUMMYFUNCTION("GOOGLETRANSLATE(A6253, ""zh"", ""en"")"),"Organizational structure and operations")</f>
        <v>Organizational structure and operations</v>
      </c>
      <c r="C6253" s="1" t="str">
        <f ca="1">IFERROR(__xludf.DUMMYFUNCTION("GOOGLETRANSLATE(E6253, ""zh"", ""en"")"),"Qualitative text")</f>
        <v>Qualitative text</v>
      </c>
    </row>
    <row r="6254" spans="1:3" ht="13" x14ac:dyDescent="0.15">
      <c r="A6254" s="1" t="str">
        <f ca="1">IFERROR(__xludf.DUMMYFUNCTION("GOOGLETRANSLATE(A6254, ""zh"", ""en"")"),"5 supervisors, including 2 employee supervisors; 9 directors; 4 other professional directors not related to the core business, including 3 independent directors; 2 female directors; 3 general meetings of shareholders; 8 special board committees; 5 board m"&amp;"eetings; 4 board meetings; SDIC Capital 2022 ESG Report; About Us 12131213; SDIC Taikang Trust Essence Securities 2022; 12th Charity Festival Annual Responsible Brand Award; China Association of Public Companies 2021 Annual Report Performance Briefing; Be"&amp;"st Practices in Financial Management; Annual Gold Medal Brand Power Financial Institution; China Foundation for Poverty Alleviation; Active Contribution to Poverty Alleviation; Classification and Evaluation Results of SDIC Essence Futures; Class A AA-rate"&amp;"d Listed Companies Forum; China Top 100 Enterprises Award; China Top 100 Best Management and Operations Award; Panorama Network Institutional Friendly Communication Award; Performance Briefing; Diligence Award; Puyi Standard; Outstanding Comprehensive Com"&amp;"petitiveness Trust Company; Outstanding Asset Management Capabilities Trust Company; Outstanding Securities Investment Trust Product Award; Outstanding Family Office; Achieved the highest Class A rating in the trust industry regulatory rating for three co"&amp;"nsecutive years; Securities Association of China; Shanghai Stock Exchange; Shenzhen Stock Exchange; National Equities Exchange and Quotations; Securities Company 2022")</f>
        <v>5 supervisors, including 2 employee supervisors; 9 directors; 4 other professional directors not related to the core business, including 3 independent directors; 2 female directors; 3 general meetings of shareholders; 8 special board committees; 5 board meetings; 4 board meetings; SDIC Capital 2022 ESG Report; About Us 12131213; SDIC Taikang Trust Essence Securities 2022; 12th Charity Festival Annual Responsible Brand Award; China Association of Public Companies 2021 Annual Report Performance Briefing; Best Practices in Financial Management; Annual Gold Medal Brand Power Financial Institution; China Foundation for Poverty Alleviation; Active Contribution to Poverty Alleviation; Classification and Evaluation Results of SDIC Essence Futures; Class A AA-rated Listed Companies Forum; China Top 100 Enterprises Award; China Top 100 Best Management and Operations Award; Panorama Network Institutional Friendly Communication Award; Performance Briefing; Diligence Award; Puyi Standard; Outstanding Comprehensive Competitiveness Trust Company; Outstanding Asset Management Capabilities Trust Company; Outstanding Securities Investment Trust Product Award; Outstanding Family Office; Achieved the highest Class A rating in the trust industry regulatory rating for three consecutive years; Securities Association of China; Shanghai Stock Exchange; Shenzhen Stock Exchange; National Equities Exchange and Quotations; Securities Company 2022</v>
      </c>
      <c r="B6254" s="1" t="str">
        <f ca="1">IFERROR(__xludf.DUMMYFUNCTION("GOOGLETRANSLATE(A6254, ""zh"", ""en"")"),"Organizational structure and operations")</f>
        <v>Organizational structure and operations</v>
      </c>
      <c r="C6254" s="1" t="str">
        <f ca="1">IFERROR(__xludf.DUMMYFUNCTION("GOOGLETRANSLATE(E6254, ""zh"", ""en"")"),"Quantitative Text")</f>
        <v>Quantitative Text</v>
      </c>
    </row>
    <row r="6255" spans="1:3" ht="13" x14ac:dyDescent="0.15">
      <c r="A6255" s="1" t="str">
        <f ca="1">IFERROR(__xludf.DUMMYFUNCTION("GOOGLETRANSLATE(A6255, ""zh"", ""en"")"),"Grade A in investor education assessment, Shanghai Stock Exchange Information Disclosure Assessment Results, Grade A, National Business Daily Listed Securities Firm Brand Value Ranking, Securities Times 2022 Outstanding Risk Control Trust Company, Employe"&amp;"e Experience Research Institute and HRTechChina Employee Growth Experience Award, Digital Employee Experience Practice Award, SDIC UBS Fund, Investment Times ESG Fund Investment Star, Cailian ESG Innovation Star, China Investment and Insurance, China Asso"&amp;"ciation of Small and Medium Enterprises, China National Equities Exchange and Quotations, High-Quality Governance Enterprise, ADB Project Awarded First Prize in the 2022 Carbon Peaking and Carbon Neutrality Action Typical Cases of Institutions Directly Un"&amp;"der the State-owned Assets Supervision and Administration Commission of the State Council, SDIC Leasing has received the highest regulatory rating of Grade A from the Shanghai Municipal Financial Regulatory Bureau for three consecutive years, Shenzhen's S"&amp;"ixth Pengcheng Charity Award, Pengcheng Charity Donation Enterprise, Securities Company Classification Evaluation Results 2020, Grade A (AA) in 2021, Grade A (A) in 2022, Shanghai Securities News Integrity Trust Wealth Management Brand Award, Integrity Tr"&amp;"ust Best Securities Investment Trust Product Award, Honorary Awards, SDIC Capital 2022 ESG Report, About Us 1415 ESG Management ESG Concept SDIC Capital strategically guides the company's high-quality sustainable development")</f>
        <v>Grade A in investor education assessment, Shanghai Stock Exchange Information Disclosure Assessment Results, Grade A, National Business Daily Listed Securities Firm Brand Value Ranking, Securities Times 2022 Outstanding Risk Control Trust Company, Employee Experience Research Institute and HRTechChina Employee Growth Experience Award, Digital Employee Experience Practice Award, SDIC UBS Fund, Investment Times ESG Fund Investment Star, Cailian ESG Innovation Star, China Investment and Insurance, China Association of Small and Medium Enterprises, China National Equities Exchange and Quotations, High-Quality Governance Enterprise, ADB Project Awarded First Prize in the 2022 Carbon Peaking and Carbon Neutrality Action Typical Cases of Institutions Directly Under the State-owned Assets Supervision and Administration Commission of the State Council, SDIC Leasing has received the highest regulatory rating of Grade A from the Shanghai Municipal Financial Regulatory Bureau for three consecutive years, Shenzhen's Sixth Pengcheng Charity Award, Pengcheng Charity Donation Enterprise, Securities Company Classification Evaluation Results 2020, Grade A (AA) in 2021, Grade A (A) in 2022, Shanghai Securities News Integrity Trust Wealth Management Brand Award, Integrity Trust Best Securities Investment Trust Product Award, Honorary Awards, SDIC Capital 2022 ESG Report, About Us 1415 ESG Management ESG Concept SDIC Capital strategically guides the company's high-quality sustainable development</v>
      </c>
      <c r="B6255" s="1" t="str">
        <f ca="1">IFERROR(__xludf.DUMMYFUNCTION("GOOGLETRANSLATE(A6255, ""zh"", ""en"")"),"Sustainable certification")</f>
        <v>Sustainable certification</v>
      </c>
      <c r="C6255" s="1" t="str">
        <f ca="1">IFERROR(__xludf.DUMMYFUNCTION("GOOGLETRANSLATE(E6255, ""zh"", ""en"")"),"Quantitative Text")</f>
        <v>Quantitative Text</v>
      </c>
    </row>
    <row r="6256" spans="1:3" ht="13" x14ac:dyDescent="0.15">
      <c r="A6256" s="1" t="str">
        <f ca="1">IFERROR(__xludf.DUMMYFUNCTION("GOOGLETRANSLATE(A6256, ""zh"", ""en"")"),"Sustainable supply chain supplier ESG requirements include but are not limited to not tolerating or engaging in any form of corruption or bribery. Respecting employees' basic human rights, providing equal opportunities and treatment, prohibiting forced la"&amp;"bor and child labor, taking measures to control safety risks, providing health and safety-related training, strictly following environmental legal standards and international standards, and continuously improving environmental protection measures. Shangha"&amp;"i, Jiangsu, Henan, Zhejiang, Beijing, Liaoning, Shandong, Sichuan, Tianjin, Hubei, Guangdong, Fujian, Hunan, Heilongjiang, Inner Mongolia, Gansu, Jiangxi, Jiangxi, Jilin, Ningxia, Inner Mongolia, Gansu, Chongqing, Shanxi, Guangxi, Guizhou, Yunnan, Qinghai"&amp;", Tibet, Hainan, Hebei, Overseas Security Distribution of Shanghai Electric's core business suppliers 25142463393431240360845411823412546131116111868361107977061606033201847111402184261398 Distribution quantity 90710100020003000400050006000700080009000100"&amp;"00 Henan Liaoning Sichuan Tianjin Hubei Guangdong Fujian Hunan Heilongjiang Inner Mongolia Gansu Jiangxi Jiangxi Jilin")</f>
        <v>Sustainable supply chain supplier ESG requirements include but are not limited to not tolerating or engaging in any form of corruption or bribery. Respecting employees' basic human rights, providing equal opportunities and treatment, prohibiting forced labor and child labor, taking measures to control safety risks, providing health and safety-related training, strictly following environmental legal standards and international standards, and continuously improving environmental protection measures. Shanghai, Jiangsu, Henan, Zhejiang, Beijing, Liaoning, Shandong, Sichuan, Tianjin, Hubei, Guangdong, Fujian, Hunan, Heilongjiang, Inner Mongolia, Gansu, Jiangxi, Jiangxi, Jilin, Ningxia, Inner Mongolia, Gansu, Chongqing, Shanxi, Guangxi, Guizhou, Yunnan, Qinghai, Tibet, Hainan, Hebei, Overseas Security Distribution of Shanghai Electric's core business suppliers 25142463393431240360845411823412546131116111868361107977061606033201847111402184261398 Distribution quantity 9071010002000300040005000600070008000900010000 Henan Liaoning Sichuan Tianjin Hubei Guangdong Fujian Hunan Heilongjiang Inner Mongolia Gansu Jiangxi Jiangxi Jilin</v>
      </c>
      <c r="B6256" s="1" t="str">
        <f ca="1">IFERROR(__xludf.DUMMYFUNCTION("GOOGLETRANSLATE(A6256, ""zh"", ""en"")"),"supply chain management")</f>
        <v>supply chain management</v>
      </c>
      <c r="C6256" s="1" t="str">
        <f ca="1">IFERROR(__xludf.DUMMYFUNCTION("GOOGLETRANSLATE(E6256, ""zh"", ""en"")"),"Quantitative Text")</f>
        <v>Quantitative Text</v>
      </c>
    </row>
    <row r="6257" spans="1:3" ht="13" x14ac:dyDescent="0.15">
      <c r="A6257" s="1" t="str">
        <f ca="1">IFERROR(__xludf.DUMMYFUNCTION("GOOGLETRANSLATE(A6257, ""zh"", ""en"")"),"Ningxia Inner Mongolia Gansu Chongqing Shanxi Guangxi Guizhou Yunnan Qinghai Tibet Hainan Hebei Overseas Anhui 25133934336041141254613111611186836110797706160603320184711140218426010002000300040005000600070008000900010000 We update the qualified supplier "&amp;"database in accordance with the relevant practices of access review. Qualified suppliers of the group's core business in 2022 Release of 2022 Social Responsibility Report 2022 Social Responsibility Report A Good Atmosphere of Loving and Respecting Talents"&amp;" 05 Shanghai Electric is well aware of the importance of talent to the high-quality development of an enterprise. Therefore, we adhere to the talent concept of regarding talent as the first resource, taking the discovery and development of talents as the "&amp;"first pursuit, and providing a stage for strivers to perform. We fully protect the rights and interests of employees, establish a fair and just employment management system, provide targeted training and reasonable promotion mechanisms, create a safe work"&amp;"ing environment and a cultural atmosphere of openness, inclusiveness and diversity, rationally plan the development and growth of employees, and fully protect the physical and mental health of employees.")</f>
        <v>Ningxia Inner Mongolia Gansu Chongqing Shanxi Guangxi Guizhou Yunnan Qinghai Tibet Hainan Hebei Overseas Anhui 25133934336041141254613111611186836110797706160603320184711140218426010002000300040005000600070008000900010000 We update the qualified supplier database in accordance with the relevant practices of access review. Qualified suppliers of the group's core business in 2022 Release of 2022 Social Responsibility Report 2022 Social Responsibility Report A Good Atmosphere of Loving and Respecting Talents 05 Shanghai Electric is well aware of the importance of talent to the high-quality development of an enterprise. Therefore, we adhere to the talent concept of regarding talent as the first resource, taking the discovery and development of talents as the first pursuit, and providing a stage for strivers to perform. We fully protect the rights and interests of employees, establish a fair and just employment management system, provide targeted training and reasonable promotion mechanisms, create a safe working environment and a cultural atmosphere of openness, inclusiveness and diversity, rationally plan the development and growth of employees, and fully protect the physical and mental health of employees.</v>
      </c>
      <c r="B6257" s="1" t="str">
        <f ca="1">IFERROR(__xludf.DUMMYFUNCTION("GOOGLETRANSLATE(A6257, ""zh"", ""en"")"),"staff")</f>
        <v>staff</v>
      </c>
      <c r="C6257" s="1" t="str">
        <f ca="1">IFERROR(__xludf.DUMMYFUNCTION("GOOGLETRANSLATE(E6257, ""zh"", ""en"")"),"Qualitative text")</f>
        <v>Qualitative text</v>
      </c>
    </row>
    <row r="6258" spans="1:3" ht="13" x14ac:dyDescent="0.15">
      <c r="A6258" s="1" t="str">
        <f ca="1">IFERROR(__xludf.DUMMYFUNCTION("GOOGLETRANSLATE(A6258, ""zh"", ""en"")"),"4012 Benefits provided to full-time employees, excluding temporary and part-time employees p.82 4013 Parental leave p.82 p.123 GRI 402 Industrial Relations GRI 3 Material Topics 2021 33 Management of Material Topics pp2630 pp8283 GRI 402 Industrial Relati"&amp;"ons 2016 4021 Minimum Notice Period for Operational Changes 128 Innovation for Good Health Special Continued Innovation for Good Health GRI Sustainability Reporting Standard 2021 GRI Standards Other Resources Item location omitted GRI 403 Occupational Hea"&amp;"lth and Safety GRI 3 Material Topics 2021 33 Management of Material Topics Pp.28 30 p.84 4031 Occupational Health and Safety Management System p.93 4032 Hazard Identification Risk Assessment and Incident Investigation pp.8489 4033 Occupational Health Serv"&amp;"ices p.89 4034 Participation of Occupational Health and Safety Workers Consultation and Communication p.88 4035 Worker Occupational Health and Safety Training p.80 p.124 GRI 403 Occupational Health and Safety 2018 4")</f>
        <v>4012 Benefits provided to full-time employees, excluding temporary and part-time employees p.82 4013 Parental leave p.82 p.123 GRI 402 Industrial Relations GRI 3 Material Topics 2021 33 Management of Material Topics pp2630 pp8283 GRI 402 Industrial Relations 2016 4021 Minimum Notice Period for Operational Changes 128 Innovation for Good Health Special Continued Innovation for Good Health GRI Sustainability Reporting Standard 2021 GRI Standards Other Resources Item location omitted GRI 403 Occupational Health and Safety GRI 3 Material Topics 2021 33 Management of Material Topics Pp.28 30 p.84 4031 Occupational Health and Safety Management System p.93 4032 Hazard Identification Risk Assessment and Incident Investigation pp.8489 4033 Occupational Health Services p.89 4034 Participation of Occupational Health and Safety Workers Consultation and Communication p.88 4035 Worker Occupational Health and Safety Training p.80 p.124 GRI 403 Occupational Health and Safety 2018 4</v>
      </c>
      <c r="B6258" s="1" t="str">
        <f ca="1">IFERROR(__xludf.DUMMYFUNCTION("GOOGLETRANSLATE(A6258, ""zh"", ""en"")"),"staff")</f>
        <v>staff</v>
      </c>
      <c r="C6258" s="1" t="str">
        <f ca="1">IFERROR(__xludf.DUMMYFUNCTION("GOOGLETRANSLATE(E6258, ""zh"", ""en"")"),"Quantitative Text")</f>
        <v>Quantitative Text</v>
      </c>
    </row>
    <row r="6259" spans="1:3" ht="13" x14ac:dyDescent="0.15">
      <c r="A6259" s="1" t="str">
        <f ca="1">IFERROR(__xludf.DUMMYFUNCTION("GOOGLETRANSLATE(A6259, ""zh"", ""en"")"),"036 Promote worker health p.82 p.89 4037 Prevent and mitigate occupational health and safety impacts directly related to business relationships p.89 4038 Workers covered by the occupational health and safety management system p.93 4039 Workers 6 p.86 p.12"&amp;"4 40310 Work-related health issues p.86 p.124 GN404 Training and education GRI 3 Material topic 2021 33 Management of material topics d0282 dd4041 Average hours of training per employee per year p.75 GRI 40 4 Training and Education 2016 4042 Employee Skil"&amp;"ls Enhancement Program and Transition Assistance Program pp.7579 4043 Percentage of employees receiving regular performance and career development reviews p.81 GRI 405 Diversity and Equal Opportunity GRI 3 Material Topics 2021 33 Management of Material To"&amp;"pics Fosun Pharma Employee Diversity Policy pp.2830 pp.7073 p.82 4051 Governance Bodies and Employee Diversity p.73 p.82 40513 Not available at this time Data on the percentage of employees by gender and years of experience are provided for group manageme"&amp;"nt.")</f>
        <v>036 Promote worker health p.82 p.89 4037 Prevent and mitigate occupational health and safety impacts directly related to business relationships p.89 4038 Workers covered by the occupational health and safety management system p.93 4039 Workers 6 p.86 p.124 40310 Work-related health issues p.86 p.124 GN404 Training and education GRI 3 Material topic 2021 33 Management of material topics d0282 dd4041 Average hours of training per employee per year p.75 GRI 40 4 Training and Education 2016 4042 Employee Skills Enhancement Program and Transition Assistance Program pp.7579 4043 Percentage of employees receiving regular performance and career development reviews p.81 GRI 405 Diversity and Equal Opportunity GRI 3 Material Topics 2021 33 Management of Material Topics Fosun Pharma Employee Diversity Policy pp.2830 pp.7073 p.82 4051 Governance Bodies and Employee Diversity p.73 p.82 40513 Not available at this time Data on the percentage of employees by gender and years of experience are provided for group management.</v>
      </c>
      <c r="B6259" s="1" t="str">
        <f ca="1">IFERROR(__xludf.DUMMYFUNCTION("GOOGLETRANSLATE(A6259, ""zh"", ""en"")"),"staff")</f>
        <v>staff</v>
      </c>
      <c r="C6259" s="1" t="str">
        <f ca="1">IFERROR(__xludf.DUMMYFUNCTION("GOOGLETRANSLATE(E6259, ""zh"", ""en"")"),"Quantitative Text")</f>
        <v>Quantitative Text</v>
      </c>
    </row>
    <row r="6260" spans="1:3" ht="13" x14ac:dyDescent="0.15">
      <c r="A6260" s="1" t="str">
        <f ca="1">IFERROR(__xludf.DUMMYFUNCTION("GOOGLETRANSLATE(A6260, ""zh"", ""en"")"),"Technological Innovation and Digital Empowerment China National Petroleum Corporation 2022 Environmental, Social and Governance Report 32 Technological Innovation Technological Innovation Initiatives and Progress Key Initiatives Major Progress Formulate a"&amp;"n implementation plan to support carbon peak and carbon neutrality with technological innovation Focus on core business Energy conservation and efficiency improvement Clean substitution projects Carbon sequestration and structural optimization Four major "&amp;"carbon reduction pathways Build a low-carbon and zero-carbon technology system Strengthen top-level design The construction of an original technology source has achieved phased results Establish the Japan Institute of Advanced Materials to accelerate the "&amp;"construction and operation of the Shanghai Institute of New Materials and the Shenzhen Institute of New Energy Accelerate the construction of scientific research institutions and innovation platforms Focus on hydrogen energy storage, geothermal associated"&amp;" resources CCSCCUS, energy conservation and environmental protection and other fields to accelerate scientific and technological research and demonstration applications Key technologies for the entire CCUS industry chain Key technologies for efficient and"&amp;" comprehensive utilization of geothermal energy Major scientific and technological progress has been achieved in wide-temperature and high-power lithium titanate battery materials and battery cell preparation technologies Promote technological development"&amp;" in the green, low-carbon and new energy fields Connect with first-class scientific research institutions at home and abroad Focus on introducing high-level scientific and technological leaders Strengthen cooperation with universities to cultivate and sup"&amp;"plement young innovative talents Strengthen the construction of innovative talent teams Establish and improve intellectual property management")</f>
        <v>Technological Innovation and Digital Empowerment China National Petroleum Corporation 2022 Environmental, Social and Governance Report 32 Technological Innovation Technological Innovation Initiatives and Progress Key Initiatives Major Progress Formulate an implementation plan to support carbon peak and carbon neutrality with technological innovation Focus on core business Energy conservation and efficiency improvement Clean substitution projects Carbon sequestration and structural optimization Four major carbon reduction pathways Build a low-carbon and zero-carbon technology system Strengthen top-level design The construction of an original technology source has achieved phased results Establish the Japan Institute of Advanced Materials to accelerate the construction and operation of the Shanghai Institute of New Materials and the Shenzhen Institute of New Energy Accelerate the construction of scientific research institutions and innovation platforms Focus on hydrogen energy storage, geothermal associated resources CCSCCUS, energy conservation and environmental protection and other fields to accelerate scientific and technological research and demonstration applications Key technologies for the entire CCUS industry chain Key technologies for efficient and comprehensive utilization of geothermal energy Major scientific and technological progress has been achieved in wide-temperature and high-power lithium titanate battery materials and battery cell preparation technologies Promote technological development in the green, low-carbon and new energy fields Connect with first-class scientific research institutions at home and abroad Focus on introducing high-level scientific and technological leaders Strengthen cooperation with universities to cultivate and supplement young innovative talents Strengthen the construction of innovative talent teams Establish and improve intellectual property management</v>
      </c>
      <c r="B6260" s="1" t="str">
        <f ca="1">IFERROR(__xludf.DUMMYFUNCTION("GOOGLETRANSLATE(A6260, ""zh"", ""en"")"),"Technological innovation")</f>
        <v>Technological innovation</v>
      </c>
      <c r="C6260" s="1" t="str">
        <f ca="1">IFERROR(__xludf.DUMMYFUNCTION("GOOGLETRANSLATE(E6260, ""zh"", ""en"")"),"Qualitative text")</f>
        <v>Qualitative text</v>
      </c>
    </row>
    <row r="6261" spans="1:3" ht="13" x14ac:dyDescent="0.15">
      <c r="A6261" s="1" t="str">
        <f ca="1">IFERROR(__xludf.DUMMYFUNCTION("GOOGLETRANSLATE(A6261, ""zh"", ""en"")"),"and support service agencies, established the China Petroleum Intellectual Property Management Office and three intellectual property support centers, studied and formulated the company's intellectual property development plan 20232030, intellectual prope"&amp;"rty work evaluation method, patent award evaluation method, attached importance to intellectual property protection and management, applied for 3,700 patents, including 3,584 invention patents, obtained 1,598 authorized patents, including 1,470 invention "&amp;"patents, accounting for 96.9% of the 1,598 invention patents, and authorized invention patents accounted for 92.0% of the 23rd China Patent Award, won 1 silver award, 2 excellence awards, and 3 awards, led the formulation and revision of 5 international s"&amp;"tandards, officially released 5 of them, formed 7 major landmark technological achievements and 6 major scientific and technological advances, and 13 corporate governance 33 digital empowerment, the company regards digital transformation as a major strate"&amp;"gic measure to promote the modernization of corporate governance system and governance capabilities, vigorously promote digitalization, networking, and intelligent development, make use of digital technologies represented by cloud computing, Internet of T"&amp;"hings, 5G, big data, and artificial intelligence, focus on key directions such as intelligent technology and product innovation, integrate digital technology into corporate governance and business development, and vigorously promote the digital transforma"&amp;"tion and intelligent development of the enterprise.")</f>
        <v>and support service agencies, established the China Petroleum Intellectual Property Management Office and three intellectual property support centers, studied and formulated the company's intellectual property development plan 20232030, intellectual property work evaluation method, patent award evaluation method, attached importance to intellectual property protection and management, applied for 3,700 patents, including 3,584 invention patents, obtained 1,598 authorized patents, including 1,470 invention patents, accounting for 96.9% of the 1,598 invention patents, and authorized invention patents accounted for 92.0% of the 23rd China Patent Award, won 1 silver award, 2 excellence awards, and 3 awards, led the formulation and revision of 5 international standards, officially released 5 of them, formed 7 major landmark technological achievements and 6 major scientific and technological advances, and 13 corporate governance 33 digital empowerment, the company regards digital transformation as a major strategic measure to promote the modernization of corporate governance system and governance capabilities, vigorously promote digitalization, networking, and intelligent development, make use of digital technologies represented by cloud computing, Internet of Things, 5G, big data, and artificial intelligence, focus on key directions such as intelligent technology and product innovation, integrate digital technology into corporate governance and business development, and vigorously promote the digital transformation and intelligent development of the enterprise.</v>
      </c>
      <c r="B6261" s="1" t="str">
        <f ca="1">IFERROR(__xludf.DUMMYFUNCTION("GOOGLETRANSLATE(A6261, ""zh"", ""en"")"),"Technological innovation")</f>
        <v>Technological innovation</v>
      </c>
      <c r="C6261" s="1" t="str">
        <f ca="1">IFERROR(__xludf.DUMMYFUNCTION("GOOGLETRANSLATE(E6261, ""zh"", ""en"")"),"Quantitative Text")</f>
        <v>Quantitative Text</v>
      </c>
    </row>
    <row r="6262" spans="1:3" ht="13" x14ac:dyDescent="0.15">
      <c r="A6262" s="1" t="str">
        <f ca="1">IFERROR(__xludf.DUMMYFUNCTION("GOOGLETRANSLATE(A6262, ""zh"", ""en"")"),"Including but not limited to 1. PetroChina Labor Contract Management Measures 2. PetroChina Enterprise Leaders Performance Appraisal Measures 3. PetroChina Safety Production and Environmental Protection Responsibility System Management Measures 4. PetroCh"&amp;"ina Product Quality Supervision and Spot Check Management Regulations 5. PetroChina Employee Safety and Environmental Protection Performance Evaluation Management Measures 6. PetroChina Environmental Protection Management Regulations 7. PetroChina Environ"&amp;"mental Monitoring and Environmental Information Management Measures 8. PetroChina Project Acquisition Environmental Protection Management Regulations 9. PetroChina Pollutant Discharge Permit Implementation Management Measures 10. PetroChina Construction P"&amp;"roject Ecological and Environmental Protection Management Measures 11. PetroChina Energy and Water Conservation Management Measures 12. PetroChina Procurement Material Quality Supervision Regulations 13. PetroChina Workplace Occupational Disease Hazard Fa"&amp;"ctor Detection Management Regulations 14. PetroChina Occupational Health Supervision Management Regulations")</f>
        <v>Including but not limited to 1. PetroChina Labor Contract Management Measures 2. PetroChina Enterprise Leaders Performance Appraisal Measures 3. PetroChina Safety Production and Environmental Protection Responsibility System Management Measures 4. PetroChina Product Quality Supervision and Spot Check Management Regulations 5. PetroChina Employee Safety and Environmental Protection Performance Evaluation Management Measures 6. PetroChina Environmental Protection Management Regulations 7. PetroChina Environmental Monitoring and Environmental Information Management Measures 8. PetroChina Project Acquisition Environmental Protection Management Regulations 9. PetroChina Pollutant Discharge Permit Implementation Management Measures 10. PetroChina Construction Project Ecological and Environmental Protection Management Measures 11. PetroChina Energy and Water Conservation Management Measures 12. PetroChina Procurement Material Quality Supervision Regulations 13. PetroChina Workplace Occupational Disease Hazard Factor Detection Management Regulations 14. PetroChina Occupational Health Supervision Management Regulations</v>
      </c>
      <c r="B6262" s="1" t="str">
        <f ca="1">IFERROR(__xludf.DUMMYFUNCTION("GOOGLETRANSLATE(A6262, ""zh"", ""en"")"),"staff")</f>
        <v>staff</v>
      </c>
      <c r="C6262" s="1" t="str">
        <f ca="1">IFERROR(__xludf.DUMMYFUNCTION("GOOGLETRANSLATE(E6262, ""zh"", ""en"")"),"Qualitative text")</f>
        <v>Qualitative text</v>
      </c>
    </row>
    <row r="6263" spans="1:3" ht="13" x14ac:dyDescent="0.15">
      <c r="A6263" s="1" t="str">
        <f ca="1">IFERROR(__xludf.DUMMYFUNCTION("GOOGLETRANSLATE(A6263, ""zh"", ""en"")"),"Member Companies: Henlius, Fosun Pharma, released their first MSC and ISG ratings for several independently developed products. ASisram (01696.HK, 02696.HK) released its first ESG report for its licensed and imported innovative products. ESG reports were "&amp;"approved for listing. The Xingai 121 Special Fund was established. Fosun Kite's Yihan Likang was approved for listing. Keda's Akilencel injection was approved for listing. Member Company: Guilin Pharmaceutical Development became China's first CART cell th"&amp;"erapy product approved for listing on the market. Bucunxing Donation Ceremony for the LUOGUHUNNU Health Standard Technology Project; 5,000 bottles of Ativudine tablets; Hand-in-Hand Partnership between Rural Medical Talents and the Shanghai Soong Ching Li"&amp;"ng Revitalization Project; Azivudine Donation; Public Welfare Strategic Cooperation Foundation Launches; SAAtE Co-construction of the 4th Soong Ching Ling Foundation and Fosun Medical to Scarless World Health Demonstration Project; Rural Revitalization St"&amp;"rategy Signing Ceremony 2022Corporate; About Fosun Pharma: Rooted in China, an innovation-driven, globalized pharmaceutical and healthcare group. Fosun Pharma (Stock Code: 600196.SH, 2196.HK) is a leading Chinese healthcare group established in 1994.")</f>
        <v>Member Companies: Henlius, Fosun Pharma, released their first MSC and ISG ratings for several independently developed products. ASisram (01696.HK, 02696.HK) released its first ESG report for its licensed and imported innovative products. ESG reports were approved for listing. The Xingai 121 Special Fund was established. Fosun Kite's Yihan Likang was approved for listing. Keda's Akilencel injection was approved for listing. Member Company: Guilin Pharmaceutical Development became China's first CART cell therapy product approved for listing on the market. Bucunxing Donation Ceremony for the LUOGUHUNNU Health Standard Technology Project; 5,000 bottles of Ativudine tablets; Hand-in-Hand Partnership between Rural Medical Talents and the Shanghai Soong Ching Ling Revitalization Project; Azivudine Donation; Public Welfare Strategic Cooperation Foundation Launches; SAAtE Co-construction of the 4th Soong Ching Ling Foundation and Fosun Medical to Scarless World Health Demonstration Project; Rural Revitalization Strategy Signing Ceremony 2022Corporate; About Fosun Pharma: Rooted in China, an innovation-driven, globalized pharmaceutical and healthcare group. Fosun Pharma (Stock Code: 600196.SH, 2196.HK) is a leading Chinese healthcare group established in 1994.</v>
      </c>
      <c r="B6263" s="1" t="str">
        <f ca="1">IFERROR(__xludf.DUMMYFUNCTION("GOOGLETRANSLATE(A6263, ""zh"", ""en"")"),"Public welfare and volunteer service")</f>
        <v>Public welfare and volunteer service</v>
      </c>
      <c r="C6263" s="1" t="str">
        <f ca="1">IFERROR(__xludf.DUMMYFUNCTION("GOOGLETRANSLATE(E6263, ""zh"", ""en"")"),"Qualitative text")</f>
        <v>Qualitative text</v>
      </c>
    </row>
    <row r="6264" spans="1:3" ht="13" x14ac:dyDescent="0.15">
      <c r="A6264" s="1" t="str">
        <f ca="1">IFERROR(__xludf.DUMMYFUNCTION("GOOGLETRANSLATE(A6264, ""zh"", ""en"")"),"Conduct training on integrity risk prevention and control, quality, health, safety, environmental protection (QHSE), and other aspects to publicize the company's business and management philosophy; require suppliers to sign an access commitment letter and"&amp;" achieve a 100% coverage rate for letter signing; revise the management measures for bidder dishonesty; regularly publish dishonest information in the column of dishonesty information announcement on the China Petroleum Tendering and Bidding Network; adop"&amp;"t graded and classified treatment for quality, compliance, integrity, and other issues of suppliers in the resource library, from light to heavy; suspend product trading rights; suspend supplier trading rights; cancel product access qualifications; cancel"&amp;" supplier access qualifications; four types of exit treatment; smooth supplier communication; effective communication mechanism with suppliers; proactively understand suppliers' concerns and demands through multiple channels; continue to strengthen strate"&amp;"gic procurement relationships with 18 domestic and foreign suppliers including China Baowu and Siemens in 2022; deepen cooperation with suppliers in multiple fields; conduct active exchanges in green, environmental protection, sustainable development and "&amp;"other aspects; tap into the potential for cooperation between the two parties; focus on suppliers' health, safety, environmental protection and compliance operations; communicate with suppliers in a timely manner to improve the level of supply chain colla"&amp;"boration; track and inspect suppliers' business ethics, compliance, and performance, and incorporate relevant indicators into the supplier assessment and evaluation system")</f>
        <v>Conduct training on integrity risk prevention and control, quality, health, safety, environmental protection (QHSE), and other aspects to publicize the company's business and management philosophy; require suppliers to sign an access commitment letter and achieve a 100% coverage rate for letter signing; revise the management measures for bidder dishonesty; regularly publish dishonest information in the column of dishonesty information announcement on the China Petroleum Tendering and Bidding Network; adopt graded and classified treatment for quality, compliance, integrity, and other issues of suppliers in the resource library, from light to heavy; suspend product trading rights; suspend supplier trading rights; cancel product access qualifications; cancel supplier access qualifications; four types of exit treatment; smooth supplier communication; effective communication mechanism with suppliers; proactively understand suppliers' concerns and demands through multiple channels; continue to strengthen strategic procurement relationships with 18 domestic and foreign suppliers including China Baowu and Siemens in 2022; deepen cooperation with suppliers in multiple fields; conduct active exchanges in green, environmental protection, sustainable development and other aspects; tap into the potential for cooperation between the two parties; focus on suppliers' health, safety, environmental protection and compliance operations; communicate with suppliers in a timely manner to improve the level of supply chain collaboration; track and inspect suppliers' business ethics, compliance, and performance, and incorporate relevant indicators into the supplier assessment and evaluation system</v>
      </c>
      <c r="B6264" s="1" t="str">
        <f ca="1">IFERROR(__xludf.DUMMYFUNCTION("GOOGLETRANSLATE(A6264, ""zh"", ""en"")"),"supply chain management")</f>
        <v>supply chain management</v>
      </c>
      <c r="C6264" s="1" t="str">
        <f ca="1">IFERROR(__xludf.DUMMYFUNCTION("GOOGLETRANSLATE(E6264, ""zh"", ""en"")"),"Qualitative text")</f>
        <v>Qualitative text</v>
      </c>
    </row>
    <row r="6265" spans="1:3" ht="13" x14ac:dyDescent="0.15">
      <c r="A6265" s="1" t="str">
        <f ca="1">IFERROR(__xludf.DUMMYFUNCTION("GOOGLETRANSLATE(A6265, ""zh"", ""en"")"),"Conduct mental health promotion activities and education and training cases. COSL 2022 ESG Report 45. Maintain basic rights and interests, focus on localized and diversified talent development, implement humanistic care, and care for employee growth. COSL"&amp;" 2022 ESG Report 46. Age 2022 2021 2020 30 years and below 1570 1600 1858 31 40 years 6488 665 366 474 1 50 years 3269 2888 2788 51 years and above 1870 180 4169 8 Indicators 2022 2021 2020 Number of new employees during the reporting period 4 58328329Pro"&amp;"portion of Chinese female employees8.07.37.9Social insurance coverage100100100Labor contract signing rate100100100Proportion of female employees in management positions7.018.320.2Proportion of ethnic minority employees3.02.82.6Education level202220212020P"&amp;"hD453836Master1099929846Bachelor667560756013Below bachelor's degree537859036096Chinese employees by education level20202220212020PhD453836Master1099929846Bachelor667560756013Below bachelor's degree537859036096Chinese employees by education level")</f>
        <v>Conduct mental health promotion activities and education and training cases. COSL 2022 ESG Report 45. Maintain basic rights and interests, focus on localized and diversified talent development, implement humanistic care, and care for employee growth. COSL 2022 ESG Report 46. Age 2022 2021 2020 30 years and below 1570 1600 1858 31 40 years 6488 665 366 474 1 50 years 3269 2888 2788 51 years and above 1870 180 4169 8 Indicators 2022 2021 2020 Number of new employees during the reporting period 4 58328329Proportion of Chinese female employees8.07.37.9Social insurance coverage100100100Labor contract signing rate100100100Proportion of female employees in management positions7.018.320.2Proportion of ethnic minority employees3.02.82.6Education level202220212020PhD453836Master1099929846Bachelor667560756013Below bachelor's degree537859036096Chinese employees by education level20202220212020PhD453836Master1099929846Bachelor667560756013Below bachelor's degree537859036096Chinese employees by education level</v>
      </c>
      <c r="B6265" s="1" t="str">
        <f ca="1">IFERROR(__xludf.DUMMYFUNCTION("GOOGLETRANSLATE(A6265, ""zh"", ""en"")"),"staff")</f>
        <v>staff</v>
      </c>
      <c r="C6265" s="1" t="str">
        <f ca="1">IFERROR(__xludf.DUMMYFUNCTION("GOOGLETRANSLATE(E6265, ""zh"", ""en"")"),"Quantitative Text")</f>
        <v>Quantitative Text</v>
      </c>
    </row>
    <row r="6266" spans="1:3" ht="13" x14ac:dyDescent="0.15">
      <c r="A6266" s="1" t="str">
        <f ca="1">IFERROR(__xludf.DUMMYFUNCTION("GOOGLETRANSLATE(A6266, ""zh"", ""en"")"),"Statistics by age classification 2020 2022 Unit Chinese employees Foreign employees Unit male Female employees Unit Chinese employees Foreign employees 129 45 13 19 7 129 9 119 13 19 54 16 9 8 2022 13 9 35 12 16 2021 2022 2020 COSL 2022 ESG Report 47 Chin"&amp;"ese employees by job division 2020 2022 Unit Chinese employee turnover rate by gender 2020 2022 Unit Chinese employee turnover rate by age 2020 2022 Unit gender 2022 2021 2020 Male 96.9 97.2 95.4 Female 3.1 2.8 4.6 Age 2022 2021 2020 30 years and below 58"&amp;".1 35.9 453 140 years 28.4 51.0 43.1 41 50 years 5.7 6.2 4.6 51 years and above 7.8 6.9 7.3 Management sequence Technical sequence Operation sequence Business sequence Note: In 2022, the company optimized and adjusted the original three position sequences"&amp;" of management, technology and operation into four position sequences of management, technology and operation and business according to the functional characteristics and responsibilities of different positions.")</f>
        <v>Statistics by age classification 2020 2022 Unit Chinese employees Foreign employees Unit male Female employees Unit Chinese employees Foreign employees 129 45 13 19 7 129 9 119 13 19 54 16 9 8 2022 13 9 35 12 16 2021 2022 2020 COSL 2022 ESG Report 47 Chinese employees by job division 2020 2022 Unit Chinese employee turnover rate by gender 2020 2022 Unit Chinese employee turnover rate by age 2020 2022 Unit gender 2022 2021 2020 Male 96.9 97.2 95.4 Female 3.1 2.8 4.6 Age 2022 2021 2020 30 years and below 58.1 35.9 453 140 years 28.4 51.0 43.1 41 50 years 5.7 6.2 4.6 51 years and above 7.8 6.9 7.3 Management sequence Technical sequence Operation sequence Business sequence Note: In 2022, the company optimized and adjusted the original three position sequences of management, technology and operation into four position sequences of management, technology and operation and business according to the functional characteristics and responsibilities of different positions.</v>
      </c>
      <c r="B6266" s="1" t="str">
        <f ca="1">IFERROR(__xludf.DUMMYFUNCTION("GOOGLETRANSLATE(A6266, ""zh"", ""en"")"),"staff")</f>
        <v>staff</v>
      </c>
      <c r="C6266" s="1" t="str">
        <f ca="1">IFERROR(__xludf.DUMMYFUNCTION("GOOGLETRANSLATE(E6266, ""zh"", ""en"")"),"Quantitative Text")</f>
        <v>Quantitative Text</v>
      </c>
    </row>
    <row r="6267" spans="1:3" ht="13" x14ac:dyDescent="0.15">
      <c r="A6267" s="1" t="str">
        <f ca="1">IFERROR(__xludf.DUMMYFUNCTION("GOOGLETRANSLATE(A6267, ""zh"", ""en"")"),"China Chemical Industry Workers Ideological and Political Work Research Association, 2020 Advanced Unit for Party Conduct Construction and Anti-Corruption, Advanced Grassroots Party Organization of China Pingmei Shenma Group Committee, Excellent Leadershi"&amp;"p Team of China Pingmei Shenma Group Committee, 2020 Advanced Unit for Publicity and Reporting of China Pingmei Shenma Group Committee, Shenma Industrial Co., Ltd., 2020 Advanced Unit for Propaganda, Ideology and Culture Work of China Pingmei Shenma Group"&amp;" Committee, 2020 Advanced Unit for Complaints and Stability Work of China Pingmei Shenma Group Committee, 2020 Advanced Unit for Organizational Work of China Pingmei Shenma Group Committee, Advanced Grassroots Party Organization of China Pingmei Shenma Gr"&amp;"oup Committee, Henan Provincial People's Government, Provincial State-owned Assets Supervision and Administration Commission, Pingdingshan City Caring for the Next Generation Working Committee, Organization Department of Pingdingshan Municipal Party Commi"&amp;"ttee, City-wide Advanced Unit for Caring for the Next Generation, Pingdingshan Municipal Party Committee Veteran Cadres Bureau, Pingdingshan Municipal Spiritual Civilization Construction Steering Committee Office, Pingdingshan Municipal Education and Spor"&amp;"ts Bureau, 2020 Henan Province Ankang Cup Competition Winner, Henan Provincial Federation of Trade Unions, Henan Provincial Emergency Management Department, Henan Provincial Health Commission. 0708 Corporate Governance, Corporate Governance, Governance Me"&amp;"chanism. The company operates in strict accordance with the provisions of the Company Law, Securities Law, Listed Company Governance Guidelines, Opinions on Improving the Quality of Listed Companies, and other relevant laws and regulations.")</f>
        <v>China Chemical Industry Workers Ideological and Political Work Research Association, 2020 Advanced Unit for Party Conduct Construction and Anti-Corruption, Advanced Grassroots Party Organization of China Pingmei Shenma Group Committee, Excellent Leadership Team of China Pingmei Shenma Group Committee, 2020 Advanced Unit for Publicity and Reporting of China Pingmei Shenma Group Committee, Shenma Industrial Co., Ltd., 2020 Advanced Unit for Propaganda, Ideology and Culture Work of China Pingmei Shenma Group Committee, 2020 Advanced Unit for Complaints and Stability Work of China Pingmei Shenma Group Committee, 2020 Advanced Unit for Organizational Work of China Pingmei Shenma Group Committee, Advanced Grassroots Party Organization of China Pingmei Shenma Group Committee, Henan Provincial People's Government, Provincial State-owned Assets Supervision and Administration Commission, Pingdingshan City Caring for the Next Generation Working Committee, Organization Department of Pingdingshan Municipal Party Committee, City-wide Advanced Unit for Caring for the Next Generation, Pingdingshan Municipal Party Committee Veteran Cadres Bureau, Pingdingshan Municipal Spiritual Civilization Construction Steering Committee Office, Pingdingshan Municipal Education and Sports Bureau, 2020 Henan Province Ankang Cup Competition Winner, Henan Provincial Federation of Trade Unions, Henan Provincial Emergency Management Department, Henan Provincial Health Commission. 0708 Corporate Governance, Corporate Governance, Governance Mechanism. The company operates in strict accordance with the provisions of the Company Law, Securities Law, Listed Company Governance Guidelines, Opinions on Improving the Quality of Listed Companies, and other relevant laws and regulations.</v>
      </c>
      <c r="B6267" s="1" t="str">
        <f ca="1">IFERROR(__xludf.DUMMYFUNCTION("GOOGLETRANSLATE(A6267, ""zh"", ""en"")"),"Organizational structure and operations")</f>
        <v>Organizational structure and operations</v>
      </c>
      <c r="C6267" s="1" t="str">
        <f ca="1">IFERROR(__xludf.DUMMYFUNCTION("GOOGLETRANSLATE(E6267, ""zh"", ""en"")"),"Qualitative text")</f>
        <v>Qualitative text</v>
      </c>
    </row>
    <row r="6268" spans="1:3" ht="13" x14ac:dyDescent="0.15">
      <c r="A6268" s="1" t="str">
        <f ca="1">IFERROR(__xludf.DUMMYFUNCTION("GOOGLETRANSLATE(A6268, ""zh"", ""en"")"),"Governance mechanismM11S1.4102101021810323Risk controlM1.41.50E622015120111201Which stakeholder do you belong to? Corporate Governance and Legal System Construction S1.11.2102114191O Employees, Customers, Government, Public, Suppliers, Non-profit Organiza"&amp;"tions M1.3 Other Integrity Management, Information Security M2.114181 Optional Question: Please tick the corresponding box. Adhere to innovation-driven development M2.42.7M3.5M3.64042 Enhance the provision of quality services M2.142.18M3.141612 1. Your ov"&amp;"erall evaluation of this report is: value creation, promoting coordinated development M3.1M3.336 Very good, good, average, poor, very poor, strengthening supply management 91EGEW 2. Do you believe the quality of the social responsibility information discl"&amp;"osed in the report is strong, safety management is very high, relatively high, average, low, very low, solid, and strong supervisory governance? 3. Do you believe the report structure, safety barriers, and emergency response are strengthened? 52.111253.15"&amp;"3.71021140315410 Build a safety culture? Very reasonable, relatively reasonable, average, poor, very poor, humidification, and epidemic prevention and control 4. Do you believe the information, indicators, and data disclosed in this report are clear, accu"&amp;"rate, and complete?")</f>
        <v>Governance mechanismM11S1.4102101021810323Risk controlM1.41.50E622015120111201Which stakeholder do you belong to? Corporate Governance and Legal System Construction S1.11.2102114191O Employees, Customers, Government, Public, Suppliers, Non-profit Organizations M1.3 Other Integrity Management, Information Security M2.114181 Optional Question: Please tick the corresponding box. Adhere to innovation-driven development M2.42.7M3.5M3.64042 Enhance the provision of quality services M2.142.18M3.141612 1. Your overall evaluation of this report is: value creation, promoting coordinated development M3.1M3.336 Very good, good, average, poor, very poor, strengthening supply management 91EGEW 2. Do you believe the quality of the social responsibility information disclosed in the report is strong, safety management is very high, relatively high, average, low, very low, solid, and strong supervisory governance? 3. Do you believe the report structure, safety barriers, and emergency response are strengthened? 52.111253.153.71021140315410 Build a safety culture? Very reasonable, relatively reasonable, average, poor, very poor, humidification, and epidemic prevention and control 4. Do you believe the information, indicators, and data disclosed in this report are clear, accurate, and complete?</v>
      </c>
      <c r="B6268" s="1" t="str">
        <f ca="1">IFERROR(__xludf.DUMMYFUNCTION("GOOGLETRANSLATE(A6268, ""zh"", ""en"")"),"Legal proceedings and external sanctions")</f>
        <v>Legal proceedings and external sanctions</v>
      </c>
      <c r="C6268" s="1" t="str">
        <f ca="1">IFERROR(__xludf.DUMMYFUNCTION("GOOGLETRANSLATE(E6268, ""zh"", ""en"")"),"Qualitative text")</f>
        <v>Qualitative text</v>
      </c>
    </row>
    <row r="6269" spans="1:3" ht="13" x14ac:dyDescent="0.15">
      <c r="A6269" s="1" t="str">
        <f ca="1">IFERROR(__xludf.DUMMYFUNCTION("GOOGLETRANSLATE(A6269, ""zh"", ""en"")"),"Improve environmental management E1.11.2E1.53021302343057 Very good Better Average Poor Very poor Protect and respond to climate change 3025.303330551112E1810E21E23 Open questions Green ecology Strengthen pollution prevention and control F212.F214E216E2.1"&amp;"8302430253041330573063E3.1E3.4E3.6 What suggestions do you have for our future social responsibility work and the preparation and release of social responsibility reports? Attach importance to environmental protection education 302130423043 Protect employ"&amp;"ee rights and interests 10282014014064091 Co-construction Focus on talent training 52.142.16404140424043 A beautiful home Care for employees 2031230413 You can give feedback to Practice public welfare and charity Social responsibility management 10212.102"&amp;"21 Contact Li Xiangyang Outlook 2022 A1 Tel 03753921906 Appendix Key Responsibilities and Performance A2 Email smsyaqjsc163.com Appendix Index Table A510255 Address No. 63 Jianshe Middle Road, Pingdingshan City, Henan Province Appendix Feedback Form 10253"&amp;"5758")</f>
        <v>Improve environmental management E1.11.2E1.53021302343057 Very good Better Average Poor Very poor Protect and respond to climate change 3025.303330551112E1810E21E23 Open questions Green ecology Strengthen pollution prevention and control F212.F214E216E2.18302430253041330573063E3.1E3.4E3.6 What suggestions do you have for our future social responsibility work and the preparation and release of social responsibility reports? Attach importance to environmental protection education 302130423043 Protect employee rights and interests 10282014014064091 Co-construction Focus on talent training 52.142.16404140424043 A beautiful home Care for employees 2031230413 You can give feedback to Practice public welfare and charity Social responsibility management 10212.10221 Contact Li Xiangyang Outlook 2022 A1 Tel 03753921906 Appendix Key Responsibilities and Performance A2 Email smsyaqjsc163.com Appendix Index Table A510255 Address No. 63 Jianshe Middle Road, Pingdingshan City, Henan Province Appendix Feedback Form 102535758</v>
      </c>
      <c r="B6269" s="1" t="str">
        <f ca="1">IFERROR(__xludf.DUMMYFUNCTION("GOOGLETRANSLATE(A6269, ""zh"", ""en"")"),"staff")</f>
        <v>staff</v>
      </c>
      <c r="C6269" s="1" t="str">
        <f ca="1">IFERROR(__xludf.DUMMYFUNCTION("GOOGLETRANSLATE(E6269, ""zh"", ""en"")"),"Quantitative Text")</f>
        <v>Quantitative Text</v>
      </c>
    </row>
    <row r="6270" spans="1:3" ht="13" x14ac:dyDescent="0.15">
      <c r="A6270" s="1" t="str">
        <f ca="1">IFERROR(__xludf.DUMMYFUNCTION("GOOGLETRANSLATE(A6270, ""zh"", ""en"")"),"At the same time, we continue to increase our investment in R&amp;D. This year's R&amp;D investment was RMB1,758.66 million, accounting for 10.26% of the audited total operating income for this year. Table 2022 Important R&amp;D or Registration Progress of Joincare D"&amp;"ate Important R&amp;D or Registration Progress of the Year February 2022 LZ001 obtained the drug clinical trial approval notice April 2022 Levosalbutamol Hydrochloride Nebulized Inhalation Solution 3ml1.25mg obtained the drug registration certificate April 20"&amp;"22 Salmeterol Fluticasone Inhalation Powder obtained the clinical trial notification April 2022 Novel Coronavirus Antigen Detection Reagent obtained the medical device registration certificate April 2022 In June 2022, terbutaline sulfate nebulized inhalat"&amp;"ion solution obtained drug registration approval. In September 2022, XYP001 obtained clinical trial notification. In September 2022, the recombinant novel coronavirus fusion protein vaccine was included in the sequential booster immunization emergency use"&amp;". In September 2022, ilaprazole sodium for injection and ilaprazole enteric-coated tablets obtained registration approval in Indonesia. In October 2022, acetylcysteine ​​solution for inhalation obtained drug registration approval. In October 2022, tobramy"&amp;"cin inhalation solution obtained drug registration approval. In November 2022, AirProⅡ nebulizer obtained Class II medical device registration certificate. In January 2022,")</f>
        <v>At the same time, we continue to increase our investment in R&amp;D. This year's R&amp;D investment was RMB1,758.66 million, accounting for 10.26% of the audited total operating income for this year. Table 2022 Important R&amp;D or Registration Progress of Joincare Date Important R&amp;D or Registration Progress of the Year February 2022 LZ001 obtained the drug clinical trial approval notice April 2022 Levosalbutamol Hydrochloride Nebulized Inhalation Solution 3ml1.25mg obtained the drug registration certificate April 2022 Salmeterol Fluticasone Inhalation Powder obtained the clinical trial notification April 2022 Novel Coronavirus Antigen Detection Reagent obtained the medical device registration certificate April 2022 In June 2022, terbutaline sulfate nebulized inhalation solution obtained drug registration approval. In September 2022, XYP001 obtained clinical trial notification. In September 2022, the recombinant novel coronavirus fusion protein vaccine was included in the sequential booster immunization emergency use. In September 2022, ilaprazole sodium for injection and ilaprazole enteric-coated tablets obtained registration approval in Indonesia. In October 2022, acetylcysteine ​​solution for inhalation obtained drug registration approval. In October 2022, tobramycin inhalation solution obtained drug registration approval. In November 2022, AirProⅡ nebulizer obtained Class II medical device registration certificate. In January 2022,</v>
      </c>
      <c r="B6270" s="1" t="str">
        <f ca="1">IFERROR(__xludf.DUMMYFUNCTION("GOOGLETRANSLATE(A6270, ""zh"", ""en"")"),"Technological innovation")</f>
        <v>Technological innovation</v>
      </c>
      <c r="C6270" s="1" t="str">
        <f ca="1">IFERROR(__xludf.DUMMYFUNCTION("GOOGLETRANSLATE(E6270, ""zh"", ""en"")"),"Quantitative Text")</f>
        <v>Quantitative Text</v>
      </c>
    </row>
    <row r="6271" spans="1:3" ht="13" x14ac:dyDescent="0.15">
      <c r="A6271" s="1" t="str">
        <f ca="1">IFERROR(__xludf.DUMMYFUNCTION("GOOGLETRANSLATE(A6271, ""zh"", ""en"")"),"In January, eprazole enteric-coated microcapsules obtained clinical trial approval notice. In December 2022, AirForce nebulizer obtained Class II medical device registration certificate. In December 2022, powder inhaler completed Class I medical device re"&amp;"gistration. In December 2022, semaglutide injection launched its first Phase III clinical trial center. 201811601177155716151717201920182022 Number and proportion of R&amp;D personnel of Kangyuan Pharmaceutical Co., Ltd. 202020212022 Number of R&amp;D personnel P"&amp;"ercentage of R&amp;D personnel 10.97 12.49 12.2012.16 9.272 0182022 Kangyuan's R&amp;D investment and its proportion in total revenue 2018853.581065.981260.531849.822019202020211758.6620227.629.3211.6310.268.90 R&amp;D investment amount RMB million R&amp;D investment as "&amp;"a percentage of operating revenue 40 Kangyuan Pharmaceutical Group Co., Ltd. 6.1.1 Committed to respiratory health Chronic respiratory diseases are a large group of diseases represented by chronic obstructive pulmonary disease (COPD), asthma, etc., which "&amp;"are characterized by high prevalence, high disability rate, high mortality rate and high disease burden.")</f>
        <v>In January, eprazole enteric-coated microcapsules obtained clinical trial approval notice. In December 2022, AirForce nebulizer obtained Class II medical device registration certificate. In December 2022, powder inhaler completed Class I medical device registration. In December 2022, semaglutide injection launched its first Phase III clinical trial center. 201811601177155716151717201920182022 Number and proportion of R&amp;D personnel of Kangyuan Pharmaceutical Co., Ltd. 202020212022 Number of R&amp;D personnel Percentage of R&amp;D personnel 10.97 12.49 12.2012.16 9.272 0182022 Kangyuan's R&amp;D investment and its proportion in total revenue 2018853.581065.981260.531849.822019202020211758.6620227.629.3211.6310.268.90 R&amp;D investment amount RMB million R&amp;D investment as a percentage of operating revenue 40 Kangyuan Pharmaceutical Group Co., Ltd. 6.1.1 Committed to respiratory health Chronic respiratory diseases are a large group of diseases represented by chronic obstructive pulmonary disease (COPD), asthma, etc., which are characterized by high prevalence, high disability rate, high mortality rate and high disease burden.</v>
      </c>
      <c r="B6271" s="1" t="str">
        <f ca="1">IFERROR(__xludf.DUMMYFUNCTION("GOOGLETRANSLATE(A6271, ""zh"", ""en"")"),"Technological innovation")</f>
        <v>Technological innovation</v>
      </c>
      <c r="C6271" s="1" t="str">
        <f ca="1">IFERROR(__xludf.DUMMYFUNCTION("GOOGLETRANSLATE(E6271, ""zh"", ""en"")"),"Quantitative Text")</f>
        <v>Quantitative Text</v>
      </c>
    </row>
    <row r="6272" spans="1:3" ht="13" x14ac:dyDescent="0.15">
      <c r="A6272" s="1" t="str">
        <f ca="1">IFERROR(__xludf.DUMMYFUNCTION("GOOGLETRANSLATE(A6272, ""zh"", ""en"")"),"6.718.2 Petrochemicals 54.558.363.6 Compliance and Integrity Risk Prevention and Control Management Compliance training coverage rate 100 100 100 Integrity risk prevention and control training coverage rate includes board members and all employees 100 100")</f>
        <v>6.718.2 Petrochemicals 54.558.363.6 Compliance and Integrity Risk Prevention and Control Management Compliance training coverage rate 100 100 100 Integrity risk prevention and control training coverage rate includes board members and all employees 100 100</v>
      </c>
      <c r="B6272" s="1" t="str">
        <f ca="1">IFERROR(__xludf.DUMMYFUNCTION("GOOGLETRANSLATE(A6272, ""zh"", ""en"")"),"Anti-corruption and anti-money laundering")</f>
        <v>Anti-corruption and anti-money laundering</v>
      </c>
      <c r="C6272" s="1" t="str">
        <f ca="1">IFERROR(__xludf.DUMMYFUNCTION("GOOGLETRANSLATE(E6272, ""zh"", ""en"")"),"Quantitative Text")</f>
        <v>Quantitative Text</v>
      </c>
    </row>
    <row r="6273" spans="1:3" ht="13" x14ac:dyDescent="0.15">
      <c r="A6273" s="1" t="str">
        <f ca="1">IFERROR(__xludf.DUMMYFUNCTION("GOOGLETRANSLATE(A6273, ""zh"", ""en"")"),"2022.72022.72022.92022.112022.122022.12 Won the Outstanding Brand Image Award at the 11th China Financial Summit 2022 Chairman was awarded the Outstanding Influential Entrepreneur Award at the 11th China Financial Summit 2022 Selected for the 11th consecu"&amp;"tive year in the Hang Seng A-share Sustainable Development Enterprise Benchmark Index Selected for the State-owned Assets Supervision and Administration Commission of the State Council's Responsibility Cloud Research Institute's Central Enterprise ESG Pio"&amp;"neer 50 Index Central Enterprise ESG Social Value Pioneer 50 Index and Central Enterprise ESG Risk Management Pioneer 50 Index Selected for the China Social Responsibility 100 Forum 2022 ESG Golden Bull Award Governance Pioneer won the 22nd China Top 100 "&amp;"Listed Companies in China Summit Forum, 2022 Top 100 Best Management and Operations Award, COSL 2022 ESG Report 4. Business Development: Business Layout, Asia Pacific, Singapore, Indonesia, Malaysia, Thailand, Middle East, Iraq, Saudi Arabia, Kuwait, UAE,"&amp;" Europe, Norway, UK, Americas, Canada, Mexico, Brazil, Africa, Uganda. Business Areas: Geophysical Exploration and Engineering Survey Services, Drilling Services, Oilfield Technology Services, Integrated and New Energy Services, Shipping Services, Offshor"&amp;"e Seismic Data Acquisition, Marine Engineering Surveys, Seismic Data Processing and Interpretation, Basic Engineering, Offshore Drilling Platforms, Module Drilling Rig Support Platforms, Land Drilling Rigs, Drilling Rig Management, Oil Casing and Tubing L"&amp;"ogging, Drilling and Completion Fluid Directional Drilling")</f>
        <v>2022.72022.72022.92022.112022.122022.12 Won the Outstanding Brand Image Award at the 11th China Financial Summit 2022 Chairman was awarded the Outstanding Influential Entrepreneur Award at the 11th China Financial Summit 2022 Selected for the 11th consecutive year in the Hang Seng A-share Sustainable Development Enterprise Benchmark Index Selected for the State-owned Assets Supervision and Administration Commission of the State Council's Responsibility Cloud Research Institute's Central Enterprise ESG Pioneer 50 Index Central Enterprise ESG Social Value Pioneer 50 Index and Central Enterprise ESG Risk Management Pioneer 50 Index Selected for the China Social Responsibility 100 Forum 2022 ESG Golden Bull Award Governance Pioneer won the 22nd China Top 100 Listed Companies in China Summit Forum, 2022 Top 100 Best Management and Operations Award, COSL 2022 ESG Report 4. Business Development: Business Layout, Asia Pacific, Singapore, Indonesia, Malaysia, Thailand, Middle East, Iraq, Saudi Arabia, Kuwait, UAE, Europe, Norway, UK, Americas, Canada, Mexico, Brazil, Africa, Uganda. Business Areas: Geophysical Exploration and Engineering Survey Services, Drilling Services, Oilfield Technology Services, Integrated and New Energy Services, Shipping Services, Offshore Seismic Data Acquisition, Marine Engineering Surveys, Seismic Data Processing and Interpretation, Basic Engineering, Offshore Drilling Platforms, Module Drilling Rig Support Platforms, Land Drilling Rigs, Drilling Rig Management, Oil Casing and Tubing Logging, Drilling and Completion Fluid Directional Drilling</v>
      </c>
      <c r="B6273" s="1" t="str">
        <f ca="1">IFERROR(__xludf.DUMMYFUNCTION("GOOGLETRANSLATE(A6273, ""zh"", ""en"")"),"Sustainable certification")</f>
        <v>Sustainable certification</v>
      </c>
      <c r="C6273" s="1" t="str">
        <f ca="1">IFERROR(__xludf.DUMMYFUNCTION("GOOGLETRANSLATE(E6273, ""zh"", ""en"")"),"Quantitative Text")</f>
        <v>Quantitative Text</v>
      </c>
    </row>
    <row r="6274" spans="1:3" ht="13" x14ac:dyDescent="0.15">
      <c r="A6274" s="1" t="str">
        <f ca="1">IFERROR(__xludf.DUMMYFUNCTION("GOOGLETRANSLATE(A6274, ""zh"", ""en"")"),"The Ten Principles of the Global Compact Corresponding Chapter in This Report Human Rights 1. Businesses should support and respect internationally recognized human rights 1.1 Sustainable Development Management 4.1 Employee Human Rights Protection 5.1 Com"&amp;"munity Impact Management 5.3 Overseas Community Development 2. Ensure not to be complicit in human rights abusers 4.1 Employee Human Rights Protection 5.1 Community Impact Management PetroChina Company Limited 2022 Environmental, Social and Governance Rep"&amp;"ort 118 The Ten Principles of the Global Compact Corresponding Chapter in This Report Labor Rights 3. Businesses should support freedom of association and effectively recognize the right to collective bargaining 4.1 Employee Human Rights Protection 4. Eli"&amp;"minate all forms of forced and compulsory labor 4.1 Employee Human Rights Protection Human Rights Protection 5. Effectively Abolish Child Labor 4.1 Employee Human Rights Protection 6. Eliminate Discrimination in Employment and Occupation 4.1 Employee Huma"&amp;"n Rights Protection Environmental Protection 7. Businesses should support a precautionary approach to environmental challenges 2 Climate Change and Energy Transition 3 Environmental Protection 8. Take proactive actions to promote more environmentally resp"&amp;"onsible practices 2 Climate Change and Energy Transition 3 Environmental Protection 9. Encourage the development and diffusion of environmentally friendly technologies 6.1 Technological Innovation and Digital Empowerment 2 Climate Change and Energy Transi"&amp;"tion 3 Environmental Protection Anti-Corruption 10. Businesses should work to combat all forms of corruption, including extortion and bribery 1.2 Governance Structure 1.3 Governance Content 1.4")</f>
        <v>The Ten Principles of the Global Compact Corresponding Chapter in This Report Human Rights 1. Businesses should support and respect internationally recognized human rights 1.1 Sustainable Development Management 4.1 Employee Human Rights Protection 5.1 Community Impact Management 5.3 Overseas Community Development 2. Ensure not to be complicit in human rights abusers 4.1 Employee Human Rights Protection 5.1 Community Impact Management PetroChina Company Limited 2022 Environmental, Social and Governance Report 118 The Ten Principles of the Global Compact Corresponding Chapter in This Report Labor Rights 3. Businesses should support freedom of association and effectively recognize the right to collective bargaining 4.1 Employee Human Rights Protection 4. Eliminate all forms of forced and compulsory labor 4.1 Employee Human Rights Protection Human Rights Protection 5. Effectively Abolish Child Labor 4.1 Employee Human Rights Protection 6. Eliminate Discrimination in Employment and Occupation 4.1 Employee Human Rights Protection Environmental Protection 7. Businesses should support a precautionary approach to environmental challenges 2 Climate Change and Energy Transition 3 Environmental Protection 8. Take proactive actions to promote more environmentally responsible practices 2 Climate Change and Energy Transition 3 Environmental Protection 9. Encourage the development and diffusion of environmentally friendly technologies 6.1 Technological Innovation and Digital Empowerment 2 Climate Change and Energy Transition 3 Environmental Protection Anti-Corruption 10. Businesses should work to combat all forms of corruption, including extortion and bribery 1.2 Governance Structure 1.3 Governance Content 1.4</v>
      </c>
      <c r="B6274" s="1" t="str">
        <f ca="1">IFERROR(__xludf.DUMMYFUNCTION("GOOGLETRANSLATE(A6274, ""zh"", ""en"")"),"staff")</f>
        <v>staff</v>
      </c>
      <c r="C6274" s="1" t="str">
        <f ca="1">IFERROR(__xludf.DUMMYFUNCTION("GOOGLETRANSLATE(E6274, ""zh"", ""en"")"),"Qualitative text")</f>
        <v>Qualitative text</v>
      </c>
    </row>
    <row r="6275" spans="1:3" ht="13" x14ac:dyDescent="0.15">
      <c r="A6275" s="1" t="str">
        <f ca="1">IFERROR(__xludf.DUMMYFUNCTION("GOOGLETRANSLATE(A6275, ""zh"", ""en"")"),"Supply Chain Management Board Statement GOV12112122132142222223224 About this Report 222324313233 About Us 2126 Chairman's Statement GOV1GOV4CCE1CCE6ENV3SOC7SOC1321120122031203230213031 Corporate Governance Sustainability Management GOV1212213214218219222"&amp;"223224 Governance Structure GOV1292102112132152162172262274051 Governance Content GOV1GOV3SO C822620522053 Supply Chain Management GOV3SHS1SOC1SOC2308130824141 Stakeholder Communication and Engagement SOC10SOC12229 Technological Innovation and Digital Emp"&amp;"owerment CCE3IPIECAAPI2020GRI2021 Chapter Content Indicator Index We refer to the Oil and Gas Industry Sustainability Reporting Guidelines 2020 jointly issued by the International Petroleum Industry Environmental Protection Association (IPIECA) and the Am"&amp;"erican Petroleum Institute (API) and the GRI Sustainability Reporting Standard 2021 issued by the Global Sustainability Standards Board (GSSB) for ESG information disclosure.")</f>
        <v>Supply Chain Management Board Statement GOV12112122132142222223224 About this Report 222324313233 About Us 2126 Chairman's Statement GOV1GOV4CCE1CCE6ENV3SOC7SOC1321120122031203230213031 Corporate Governance Sustainability Management GOV1212213214218219222223224 Governance Structure GOV1292102112132152162172262274051 Governance Content GOV1GOV3SO C822620522053 Supply Chain Management GOV3SHS1SOC1SOC2308130824141 Stakeholder Communication and Engagement SOC10SOC12229 Technological Innovation and Digital Empowerment CCE3IPIECAAPI2020GRI2021 Chapter Content Indicator Index We refer to the Oil and Gas Industry Sustainability Reporting Guidelines 2020 jointly issued by the International Petroleum Industry Environmental Protection Association (IPIECA) and the American Petroleum Institute (API) and the GRI Sustainability Reporting Standard 2021 issued by the Global Sustainability Standards Board (GSSB) for ESG information disclosure.</v>
      </c>
      <c r="B6275" s="1" t="str">
        <f ca="1">IFERROR(__xludf.DUMMYFUNCTION("GOOGLETRANSLATE(A6275, ""zh"", ""en"")"),"supply chain management")</f>
        <v>supply chain management</v>
      </c>
      <c r="C6275" s="1" t="str">
        <f ca="1">IFERROR(__xludf.DUMMYFUNCTION("GOOGLETRANSLATE(E6275, ""zh"", ""en"")"),"Qualitative text")</f>
        <v>Qualitative text</v>
      </c>
    </row>
    <row r="6276" spans="1:3" ht="13" x14ac:dyDescent="0.15">
      <c r="A6276" s="1" t="str">
        <f ca="1">IFERROR(__xludf.DUMMYFUNCTION("GOOGLETRANSLATE(A6276, ""zh"", ""en"")"),"The company set up a factory to explore new models of urban digital security. A local company invested in experts, big data technology and other capabilities to jointly build a local operation company with the city to play a leading role in helping the ci"&amp;"ty build a talent gathering and innovation hub. The city security brain established a city network map surveying and mapping system, a vulnerability risk scanning and detection system, a security data collection system, a big data analysis system and a se"&amp;"curity operation system to form a centralized security center. The city anti-fraud cloud built an Internet anti-fraud platform to provide accurate anti-fraud data for public security and financial operators, and anti-fraud warning and risk interception se"&amp;"rvices for citizens to create a fraud-free city. The enterprise security cloud provides enterprises with turnkey security services through cloud services to solve the problems of small and medium-sized enterprises' digital security: no money, no people, n"&amp;"o technology, no effect and no guarantee. The city digital security operation center established a security expert operation team to continuously monitor the security situation around the clock, continuously discover, block, track, locate and report secur"&amp;"ity incidents, and provide decision-making and technical support to city leaders and regulatory departments. The whole network digital security brain data service expert service MDRMSSP service operation analysis perception protection object operation sys"&amp;"tem intelligent analysis platform Discover blocking, tracking, countermeasure positioning, clearing, repairing, source reinforcement and reporting. See events, see threats, see risks, see battlefield knowledge work platform expert team intelligence model "&amp;"asset fingerprint knowledge graph")</f>
        <v>The company set up a factory to explore new models of urban digital security. A local company invested in experts, big data technology and other capabilities to jointly build a local operation company with the city to play a leading role in helping the city build a talent gathering and innovation hub. The city security brain established a city network map surveying and mapping system, a vulnerability risk scanning and detection system, a security data collection system, a big data analysis system and a security operation system to form a centralized security center. The city anti-fraud cloud built an Internet anti-fraud platform to provide accurate anti-fraud data for public security and financial operators, and anti-fraud warning and risk interception services for citizens to create a fraud-free city. The enterprise security cloud provides enterprises with turnkey security services through cloud services to solve the problems of small and medium-sized enterprises' digital security: no money, no people, no technology, no effect and no guarantee. The city digital security operation center established a security expert operation team to continuously monitor the security situation around the clock, continuously discover, block, track, locate and report security incidents, and provide decision-making and technical support to city leaders and regulatory departments. The whole network digital security brain data service expert service MDRMSSP service operation analysis perception protection object operation system intelligent analysis platform Discover blocking, tracking, countermeasure positioning, clearing, repairing, source reinforcement and reporting. See events, see threats, see risks, see battlefield knowledge work platform expert team intelligence model asset fingerprint knowledge graph</v>
      </c>
      <c r="B6276" s="1" t="str">
        <f ca="1">IFERROR(__xludf.DUMMYFUNCTION("GOOGLETRANSLATE(A6276, ""zh"", ""en"")"),"Data security")</f>
        <v>Data security</v>
      </c>
      <c r="C6276" s="1" t="str">
        <f ca="1">IFERROR(__xludf.DUMMYFUNCTION("GOOGLETRANSLATE(E6276, ""zh"", ""en"")"),"Qualitative text")</f>
        <v>Qualitative text</v>
      </c>
    </row>
    <row r="6277" spans="1:3" ht="13" x14ac:dyDescent="0.15">
      <c r="A6277" s="1" t="str">
        <f ca="1">IFERROR(__xludf.DUMMYFUNCTION("GOOGLETRANSLATE(A6277, ""zh"", ""en"")"),"Local team, cloud team attack and defense, TTPAPT, organization anti-fraud model, situational awareness platform, threat intelligence platform, threat hunting platform, attack and defense origin platform, wall chart combat platform, sandbox, SIEM, SOAR, X"&amp;"DR analysis, big data correlation analysis, threat map analysis, AI and mining prediction, APT detection analysis, multi-source model, intelligent analysis, security big data platform, data collection, single-dimensional detection, terminal network, cloud"&amp;" edge data, behavioral asset mapping, risk detection, equipment application data testing and drills, threat trapping, penetration testing, attack and defense drills, operating system, application service tools, software, network identity data assets, loca"&amp;"l network, cloud platform, multi-cloud architecture, hybrid cloud architecture, Internet of Things, enter the ESG management special topic, see responsibility and commitment Safety first, people-oriented, mutual benefit and win-win GRI Content Index www.."&amp;"cn..Figure Security Capability Test and Verification Platform focuses on the digital security of small and medium-sized enterprises and actively provides SaaS-based one-stop security cloud services to small and medium-sized enterprises to help them achiev"&amp;"e digital transformation. Enterprise Security Cloud was officially launched on Year Month Day, empowering small and medium-sized enterprises with national-level security capabilities to help small and medium-sized enterprises with limited funds, technolog"&amp;"y and talents to obtain free and comprehensive digital security management services. Since its launch, the platform has been highly welcomed by all sectors of society and has been adopted by many government, enterprises, educational institutions and other"&amp;" units. It has also been deployed in key supply chain enterprises in many provinces in China.")</f>
        <v>Local team, cloud team attack and defense, TTPAPT, organization anti-fraud model, situational awareness platform, threat intelligence platform, threat hunting platform, attack and defense origin platform, wall chart combat platform, sandbox, SIEM, SOAR, XDR analysis, big data correlation analysis, threat map analysis, AI and mining prediction, APT detection analysis, multi-source model, intelligent analysis, security big data platform, data collection, single-dimensional detection, terminal network, cloud edge data, behavioral asset mapping, risk detection, equipment application data testing and drills, threat trapping, penetration testing, attack and defense drills, operating system, application service tools, software, network identity data assets, local network, cloud platform, multi-cloud architecture, hybrid cloud architecture, Internet of Things, enter the ESG management special topic, see responsibility and commitment Safety first, people-oriented, mutual benefit and win-win GRI Content Index www..cn..Figure Security Capability Test and Verification Platform focuses on the digital security of small and medium-sized enterprises and actively provides SaaS-based one-stop security cloud services to small and medium-sized enterprises to help them achieve digital transformation. Enterprise Security Cloud was officially launched on Year Month Day, empowering small and medium-sized enterprises with national-level security capabilities to help small and medium-sized enterprises with limited funds, technology and talents to obtain free and comprehensive digital security management services. Since its launch, the platform has been highly welcomed by all sectors of society and has been adopted by many government, enterprises, educational institutions and other units. It has also been deployed in key supply chain enterprises in many provinces in China.</v>
      </c>
      <c r="B6277" s="1" t="str">
        <f ca="1">IFERROR(__xludf.DUMMYFUNCTION("GOOGLETRANSLATE(A6277, ""zh"", ""en"")"),"Data security")</f>
        <v>Data security</v>
      </c>
      <c r="C6277" s="1" t="str">
        <f ca="1">IFERROR(__xludf.DUMMYFUNCTION("GOOGLETRANSLATE(E6277, ""zh"", ""en"")"),"Qualitative text")</f>
        <v>Qualitative text</v>
      </c>
    </row>
    <row r="6278" spans="1:3" ht="13" x14ac:dyDescent="0.15">
      <c r="A6278" s="1" t="str">
        <f ca="1">IFERROR(__xludf.DUMMYFUNCTION("GOOGLETRANSLATE(A6278, ""zh"", ""en"")"),"Operating income Tax paid Unit: Billion Kang Unit: RMB 439.52890.1122.7123.17 Net profit attributable to shareholders of listed companies Net profit attributable to shareholders of listed companies after deducting non-recurring gains and losses Unit: Bill"&amp;"ion Kang Unit: RMB 47.2938.7337.3132.77 Pharmaceutical operating income Medical device and medical diagnosis operating income Medical health service operating income Unit: Billion Kang Unit: RMB Unit: RMB 308.1269.4960.8059.3841.1812 Innovation for Gcod H"&amp;"ealth Continuous Innovation Enjoying Health Industry Association Fosun Pharma and its members List of major national associations and social organizations in which the company participates Name of organization Position held Company entity Vice President o"&amp;"f China Association of Public Companies Vice President of Fosun Pharma Member of China Chemical Pharmaceutical Industry Association Member of Guilin Pharmaceutical Vice President of China Pharmaceutical Enterprise Management Association Fosun Pharma Presi"&amp;"dent of China Pharmaceutical Materials Association Fosun Pharma Vice President of China Pharmaceutical Innovation Promotion Association Fosun Pharma Vice President of National Pharmaceutical Technology Market Society Fosun Pharma Rotating President of Chi"&amp;"na OTC Drug Association Fosun Pharma Vice President of China Western Medicine Supervision and Management Research Association Fosun Pharma Executive Vice President of China Pharmaceutical Policy Research Association Fosun Pharma Executive Director of Chin"&amp;"a Price Association Fosun Pharma Member of China Vaccine Industry Association Huai Li")</f>
        <v>Operating income Tax paid Unit: Billion Kang Unit: RMB 439.52890.1122.7123.17 Net profit attributable to shareholders of listed companies Net profit attributable to shareholders of listed companies after deducting non-recurring gains and losses Unit: Billion Kang Unit: RMB 47.2938.7337.3132.77 Pharmaceutical operating income Medical device and medical diagnosis operating income Medical health service operating income Unit: Billion Kang Unit: RMB Unit: RMB 308.1269.4960.8059.3841.1812 Innovation for Gcod Health Continuous Innovation Enjoying Health Industry Association Fosun Pharma and its members List of major national associations and social organizations in which the company participates Name of organization Position held Company entity Vice President of China Association of Public Companies Vice President of Fosun Pharma Member of China Chemical Pharmaceutical Industry Association Member of Guilin Pharmaceutical Vice President of China Pharmaceutical Enterprise Management Association Fosun Pharma President of China Pharmaceutical Materials Association Fosun Pharma Vice President of China Pharmaceutical Innovation Promotion Association Fosun Pharma Vice President of National Pharmaceutical Technology Market Society Fosun Pharma Rotating President of China OTC Drug Association Fosun Pharma Vice President of China Western Medicine Supervision and Management Research Association Fosun Pharma Executive Vice President of China Pharmaceutical Policy Research Association Fosun Pharma Executive Director of China Price Association Fosun Pharma Member of China Vaccine Industry Association Huai Li</v>
      </c>
      <c r="B6278" s="1" t="str">
        <f ca="1">IFERROR(__xludf.DUMMYFUNCTION("GOOGLETRANSLATE(A6278, ""zh"", ""en"")"),"Tax transparency")</f>
        <v>Tax transparency</v>
      </c>
      <c r="C6278" s="1" t="str">
        <f ca="1">IFERROR(__xludf.DUMMYFUNCTION("GOOGLETRANSLATE(E6278, ""zh"", ""en"")"),"Quantitative Text")</f>
        <v>Quantitative Text</v>
      </c>
    </row>
    <row r="6279" spans="1:3" ht="13" x14ac:dyDescent="0.15">
      <c r="A6279" s="1" t="str">
        <f ca="1">IFERROR(__xludf.DUMMYFUNCTION("GOOGLETRANSLATE(A6279, ""zh"", ""en"")"),"Feng, Director of the China Hemp Medicine Association; Guilin Nanyao; Member of the China Biochemical Pharmaceutical Industry Association; Erye Pharmaceutical; Vice President of the Medical Laboratory Industry Branch of the National Health Industry Enterp"&amp;"rise Management Association; Fosun Diagnostics; Chairman of the In Vitro Diagnostic System Professional Committee of the China Medical Device Industry Association; Fosun Diagnostics; Vice President of the Laboratory Medicine Branch of the China Medical Eq"&amp;"uipment Association; Fosun Diagnostics; Member of the China Medical Equipment Industry Association; Fosun Beiling; Member of the Emergency Digital Equipment Branch of the China Medical Equipment Association; Fosun Beite; Director of the Pharmaceutical Log"&amp;"istics Branch of the China Logistics and Purchasing Association; Fosun Beiling; Director of the Standardization Technical Committee of the China Automobile Maintenance and Repair Industry Association; Fosun Beiling; Member of the Auto Show and Medical Equ"&amp;"ipment Branch of the China Medical Equipment Association; Fosun Member of the Standardization Working Committee of the China Medical Education and Assistance Association; Director of Fosun Beiling; Member of the China Non-Public Medical Equipment Purchasi"&amp;"ng Association; Member of Shenzhen Hang Seng Hospital; Director of the Ouju Art Committee of Wenzhou Geriatric Hospital; Member of Fosun Divine Doctor; Member of the China Adult Education Association; Shenzhen Hang Seng Hospital; Member of the Professiona"&amp;"l Committee of the China Association of Research Hospitals; Suqian Zhongchun Hospital. 2022CorporateSocialResponsibilityReport13 Standardize corporate governance and organizational structure. Fosun Pharma Group responds to market changes and risks through"&amp;" proactive transformation. Fosun Pharma promotes and strengthens cross-departmental management and timely optimizes organizational structure.")</f>
        <v>Feng, Director of the China Hemp Medicine Association; Guilin Nanyao; Member of the China Biochemical Pharmaceutical Industry Association; Erye Pharmaceutical; Vice President of the Medical Laboratory Industry Branch of the National Health Industry Enterprise Management Association; Fosun Diagnostics; Chairman of the In Vitro Diagnostic System Professional Committee of the China Medical Device Industry Association; Fosun Diagnostics; Vice President of the Laboratory Medicine Branch of the China Medical Equipment Association; Fosun Diagnostics; Member of the China Medical Equipment Industry Association; Fosun Beiling; Member of the Emergency Digital Equipment Branch of the China Medical Equipment Association; Fosun Beite; Director of the Pharmaceutical Logistics Branch of the China Logistics and Purchasing Association; Fosun Beiling; Director of the Standardization Technical Committee of the China Automobile Maintenance and Repair Industry Association; Fosun Beiling; Member of the Auto Show and Medical Equipment Branch of the China Medical Equipment Association; Fosun Member of the Standardization Working Committee of the China Medical Education and Assistance Association; Director of Fosun Beiling; Member of the China Non-Public Medical Equipment Purchasing Association; Member of Shenzhen Hang Seng Hospital; Director of the Ouju Art Committee of Wenzhou Geriatric Hospital; Member of Fosun Divine Doctor; Member of the China Adult Education Association; Shenzhen Hang Seng Hospital; Member of the Professional Committee of the China Association of Research Hospitals; Suqian Zhongchun Hospital. 2022CorporateSocialResponsibilityReport13 Standardize corporate governance and organizational structure. Fosun Pharma Group responds to market changes and risks through proactive transformation. Fosun Pharma promotes and strengthens cross-departmental management and timely optimizes organizational structure.</v>
      </c>
      <c r="B6279" s="1" t="str">
        <f ca="1">IFERROR(__xludf.DUMMYFUNCTION("GOOGLETRANSLATE(A6279, ""zh"", ""en"")"),"Organizational structure and operations")</f>
        <v>Organizational structure and operations</v>
      </c>
      <c r="C6279" s="1" t="str">
        <f ca="1">IFERROR(__xludf.DUMMYFUNCTION("GOOGLETRANSLATE(E6279, ""zh"", ""en"")"),"Qualitative text")</f>
        <v>Qualitative text</v>
      </c>
    </row>
    <row r="6280" spans="1:3" ht="13" x14ac:dyDescent="0.15">
      <c r="A6280" s="1" t="str">
        <f ca="1">IFERROR(__xludf.DUMMYFUNCTION("GOOGLETRANSLATE(A6280, ""zh"", ""en"")"),"88 Joincare Pharmaceutical Group Co., Ltd. CSR Indicator Unit 2020 2021 2022 2. Social Responsibility 2.1 Employment Total number of employees by gender Employment type Age group and region Total number of employees 124661323414116 Gender Male 66897044753"&amp;"1 Female 577761906585 Age 30 and below 44944393502631 49 years old 730080428204 50 and above 672799886 Employee category General manager and above 104 Director-level 233 Manager-level 1204 Other employees 12575 Region Region Mainland Chinese 1244813218140"&amp;"97 Hong Kong, Macao and Taiwan 646 Foreigners 121213 Employee Diversity Percentage of women at the executive level 26.7 Percentage of women at the management level 634.2 Percentage of women in management positions in revenue-generating functions 28.8 Perc"&amp;"entage of women in STEM-related positions 55.5 Number of ethnic minority employees 7784 Employment Status Total number of newly hired employees 4351 Total number of newly hired employees by gender and age group Gender Male 2326 Female 225 Age 30 and below"&amp;" 26643149 years old 166450 and above 23 Internal recruitment ratio 4.06 Management refers to employees at the manager level and above")</f>
        <v>88 Joincare Pharmaceutical Group Co., Ltd. CSR Indicator Unit 2020 2021 2022 2. Social Responsibility 2.1 Employment Total number of employees by gender Employment type Age group and region Total number of employees 124661323414116 Gender Male 668970447531 Female 577761906585 Age 30 and below 44944393502631 49 years old 730080428204 50 and above 672799886 Employee category General manager and above 104 Director-level 233 Manager-level 1204 Other employees 12575 Region Region Mainland Chinese 124481321814097 Hong Kong, Macao and Taiwan 646 Foreigners 121213 Employee Diversity Percentage of women at the executive level 26.7 Percentage of women at the management level 634.2 Percentage of women in management positions in revenue-generating functions 28.8 Percentage of women in STEM-related positions 55.5 Number of ethnic minority employees 7784 Employment Status Total number of newly hired employees 4351 Total number of newly hired employees by gender and age group Gender Male 2326 Female 225 Age 30 and below 26643149 years old 166450 and above 23 Internal recruitment ratio 4.06 Management refers to employees at the manager level and above</v>
      </c>
      <c r="B6280" s="1" t="str">
        <f ca="1">IFERROR(__xludf.DUMMYFUNCTION("GOOGLETRANSLATE(A6280, ""zh"", ""en"")"),"staff")</f>
        <v>staff</v>
      </c>
      <c r="C6280" s="1" t="str">
        <f ca="1">IFERROR(__xludf.DUMMYFUNCTION("GOOGLETRANSLATE(E6280, ""zh"", ""en"")"),"Quantitative Text")</f>
        <v>Quantitative Text</v>
      </c>
    </row>
    <row r="6281" spans="1:3" ht="13" x14ac:dyDescent="0.15">
      <c r="A6281" s="1" t="str">
        <f ca="1">IFERROR(__xludf.DUMMYFUNCTION("GOOGLETRANSLATE(A6281, ""zh"", ""en"")"),"892022 Social Responsibility Report CSR Indicator Unit 2020 2021 2022 Internal Recruitment Ratio by Gender and Age Group Gender Male 54.10 Female 45.90 Age 30 and below 27.873149 70.4950 and above 1.64 Average Working Years of Employees Male Employees 8.2"&amp;" Average Working Years of Female Employees 6.4 Employee Turnover Rate Overall Employee Turnover Rate 171617 Employee Turnover Rate by Gender and Age Group Gender Male 10 Female 11 Age 30 and below 133149 950 and above 6 Employee Satisfaction Survey Employ"&amp;"ee Satisfaction 872.2 Health and Safety Number of work-related injuries Number of full-time employees who died from work-related injuries Number of workdays lost by full-time employees due to work-related injuries Days 197133214 Rate of lost time accident"&amp;"s per million working hours Full-time employees Times per million working hours 0.25 Number of contract workers who died from work-related injuries Number of workdays lost by contract workers due to work-related injuries Days 0 Rate of lost time accidents"&amp;" per million working hours Contract workers Times per million working hours 02.3 Training and Development Training hours for all employees Hours 12198721027812895409 Training hours for male employees Hours 664782561602474502 Training hours for female empl"&amp;"oyees Hours 555090466210420908 Average training hours for employees Hours 9")</f>
        <v>892022 Social Responsibility Report CSR Indicator Unit 2020 2021 2022 Internal Recruitment Ratio by Gender and Age Group Gender Male 54.10 Female 45.90 Age 30 and below 27.873149 70.4950 and above 1.64 Average Working Years of Employees Male Employees 8.2 Average Working Years of Female Employees 6.4 Employee Turnover Rate Overall Employee Turnover Rate 171617 Employee Turnover Rate by Gender and Age Group Gender Male 10 Female 11 Age 30 and below 133149 950 and above 6 Employee Satisfaction Survey Employee Satisfaction 872.2 Health and Safety Number of work-related injuries Number of full-time employees who died from work-related injuries Number of workdays lost by full-time employees due to work-related injuries Days 197133214 Rate of lost time accidents per million working hours Full-time employees Times per million working hours 0.25 Number of contract workers who died from work-related injuries Number of workdays lost by contract workers due to work-related injuries Days 0 Rate of lost time accidents per million working hours Contract workers Times per million working hours 02.3 Training and Development Training hours for all employees Hours 12198721027812895409 Training hours for male employees Hours 664782561602474502 Training hours for female employees Hours 555090466210420908 Average training hours for employees Hours 9</v>
      </c>
      <c r="B6281" s="1" t="str">
        <f ca="1">IFERROR(__xludf.DUMMYFUNCTION("GOOGLETRANSLATE(A6281, ""zh"", ""en"")"),"staff")</f>
        <v>staff</v>
      </c>
      <c r="C6281" s="1" t="str">
        <f ca="1">IFERROR(__xludf.DUMMYFUNCTION("GOOGLETRANSLATE(E6281, ""zh"", ""en"")"),"Quantitative Text")</f>
        <v>Quantitative Text</v>
      </c>
    </row>
    <row r="6282" spans="1:3" ht="13" x14ac:dyDescent="0.15">
      <c r="A6282" s="1" t="str">
        <f ca="1">IFERROR(__xludf.DUMMYFUNCTION("GOOGLETRANSLATE(A6282, ""zh"", ""en"")"),"Anti-corruption training provided to directors and employees: Number of directors who participated in anti-corruption training: 9; Total hours of anti-corruption training provided to directors: 99; Number of employees who participated in anti-corruption t"&amp;"raining: 14,116; Total hours of anti-corruption training provided to employees: 27,533.52.")</f>
        <v>Anti-corruption training provided to directors and employees: Number of directors who participated in anti-corruption training: 9; Total hours of anti-corruption training provided to directors: 99; Number of employees who participated in anti-corruption training: 14,116; Total hours of anti-corruption training provided to employees: 27,533.52.</v>
      </c>
      <c r="B6282" s="1" t="str">
        <f ca="1">IFERROR(__xludf.DUMMYFUNCTION("GOOGLETRANSLATE(A6282, ""zh"", ""en"")"),"Anti-corruption and anti-money laundering")</f>
        <v>Anti-corruption and anti-money laundering</v>
      </c>
      <c r="C6282" s="1" t="str">
        <f ca="1">IFERROR(__xludf.DUMMYFUNCTION("GOOGLETRANSLATE(E6282, ""zh"", ""en"")"),"Quantitative Text")</f>
        <v>Quantitative Text</v>
      </c>
    </row>
    <row r="6283" spans="1:3" ht="13" x14ac:dyDescent="0.15">
      <c r="A6283" s="1" t="str">
        <f ca="1">IFERROR(__xludf.DUMMYFUNCTION("GOOGLETRANSLATE(A6283, ""zh"", ""en"")"),"Female employees 18593133002022 Total number of employees by gender Employees worldwide As of the end of the reporting period, there were 109586 Male employees 52723249702022 Number of domestic employees Number of overseas employees Total number of employ"&amp;"ees by age 754711649864210432202222348613978842041222 Age 30 years old (excluding those below) Age 40 to 50 years old (excluding those aged 30 to 40 years old) Age 50 years old and above (including those aged 50 and above) Number of domestic employees Num"&amp;"ber of overseas employees Grassroots senior management Middle management Total number of employees by rank Number of domestic employees 48811924589042 022Number of overseas employees4945395323812022Total number of employees by type190010075500817521688202"&amp;"24877341914710669402792022Number of domestic employeesNumber of overseas employeesProduction staffSales staffTechnical staffFinance staffAdministrative staff0203040506Protecting the planetExploring a green and low-carbon futureIntegrating people and singl"&amp;"esPromoting diverse and inclusive developmentResponsible procurementBuilding a sustainable supply chainSmart experienceLeading a better lifeUniting hearts and mindsPromoting equitable development01Global collaborative sustainable governance ecosystem4746H"&amp;"aier Smart Home Co., Ltd. Environmental, Social and Governance ReportBy region")</f>
        <v>Female employees 18593133002022 Total number of employees by gender Employees worldwide As of the end of the reporting period, there were 109586 Male employees 52723249702022 Number of domestic employees Number of overseas employees Total number of employees by age 754711649864210432202222348613978842041222 Age 30 years old (excluding those below) Age 40 to 50 years old (excluding those aged 30 to 40 years old) Age 50 years old and above (including those aged 50 and above) Number of domestic employees Number of overseas employees Grassroots senior management Middle management Total number of employees by rank Number of domestic employees 48811924589042 022Number of overseas employees4945395323812022Total number of employees by type19001007550081752168820224877341914710669402792022Number of domestic employeesNumber of overseas employeesProduction staffSales staffTechnical staffFinance staffAdministrative staff0203040506Protecting the planetExploring a green and low-carbon futureIntegrating people and singlesPromoting diverse and inclusive developmentResponsible procurementBuilding a sustainable supply chainSmart experienceLeading a better lifeUniting hearts and mindsPromoting equitable development01Global collaborative sustainable governance ecosystem4746Haier Smart Home Co., Ltd. Environmental, Social and Governance ReportBy region</v>
      </c>
      <c r="B6283" s="1" t="str">
        <f ca="1">IFERROR(__xludf.DUMMYFUNCTION("GOOGLETRANSLATE(A6283, ""zh"", ""en"")"),"staff")</f>
        <v>staff</v>
      </c>
      <c r="C6283" s="1" t="str">
        <f ca="1">IFERROR(__xludf.DUMMYFUNCTION("GOOGLETRANSLATE(E6283, ""zh"", ""en"")"),"Quantitative Text")</f>
        <v>Quantitative Text</v>
      </c>
    </row>
    <row r="6284" spans="1:3" ht="13" x14ac:dyDescent="0.15">
      <c r="A6284" s="1" t="str">
        <f ca="1">IFERROR(__xludf.DUMMYFUNCTION("GOOGLETRANSLATE(A6284, ""zh"", ""en"")"),"Total number of employees 2022 employees 72827 China 2022 employees 6613 Europe 2022 employees 11628 Asia and Africa 2022 employees 16746 Americas 2022 employees 1772 Australia and New Zealand Domestic employee turnover rate Age 30 years old (excluding th"&amp;"ose below) Age 30 to 40 years old (excluding those above) Age 50 years old (including those above) Age 40 to 50 years old (excluding those above) China Americas Europe Asia, Africa, Australia and New Zealand Overseas employee turnover rate Male employees "&amp;"Female employees Domestic employee turnover rate Overseas employee turnover rate Employee turnover rate by region 22.03 10.64 5.45 3.13 47.97 21.30 16.51 15.02 17.68 15. 3717.1039.4115.1618.3714.7820.0430.05Employee turnover rate by ageEmployee turnover r"&amp;"ate by gender0203040506Protecting the planetExploring a green and low-carbon futureIntegrating people and single-source businessPromoting diverse and inclusive developmentResponsible procurementBuilding a sustainable supply chainSmart experienceLeading a "&amp;"better lifeUniting hearts and mindsPromoting equitable development01Global collaborative and sustainable governance ecosystem4948Haier Smart Home Co., Ltd. Environmental, Social and Governance ReportAchieving world-class inclusivenessGEA is committed to b"&amp;"ecoming a more inclusive and diverse companyJoin CEOAction and commit to continuously promoting a diverse and inclusive work environment")</f>
        <v>Total number of employees 2022 employees 72827 China 2022 employees 6613 Europe 2022 employees 11628 Asia and Africa 2022 employees 16746 Americas 2022 employees 1772 Australia and New Zealand Domestic employee turnover rate Age 30 years old (excluding those below) Age 30 to 40 years old (excluding those above) Age 50 years old (including those above) Age 40 to 50 years old (excluding those above) China Americas Europe Asia, Africa, Australia and New Zealand Overseas employee turnover rate Male employees Female employees Domestic employee turnover rate Overseas employee turnover rate Employee turnover rate by region 22.03 10.64 5.45 3.13 47.97 21.30 16.51 15.02 17.68 15. 3717.1039.4115.1618.3714.7820.0430.05Employee turnover rate by ageEmployee turnover rate by gender0203040506Protecting the planetExploring a green and low-carbon futureIntegrating people and single-source businessPromoting diverse and inclusive developmentResponsible procurementBuilding a sustainable supply chainSmart experienceLeading a better lifeUniting hearts and mindsPromoting equitable development01Global collaborative and sustainable governance ecosystem4948Haier Smart Home Co., Ltd. Environmental, Social and Governance ReportAchieving world-class inclusivenessGEA is committed to becoming a more inclusive and diverse companyJoin CEOAction and commit to continuously promoting a diverse and inclusive work environment</v>
      </c>
      <c r="B6284" s="1" t="str">
        <f ca="1">IFERROR(__xludf.DUMMYFUNCTION("GOOGLETRANSLATE(A6284, ""zh"", ""en"")"),"staff")</f>
        <v>staff</v>
      </c>
      <c r="C6284" s="1" t="str">
        <f ca="1">IFERROR(__xludf.DUMMYFUNCTION("GOOGLETRANSLATE(E6284, ""zh"", ""en"")"),"Quantitative Text")</f>
        <v>Quantitative Text</v>
      </c>
    </row>
    <row r="6285" spans="1:3" ht="13" x14ac:dyDescent="0.15">
      <c r="A6285" s="1" t="str">
        <f ca="1">IFERROR(__xludf.DUMMYFUNCTION("GOOGLETRANSLATE(A6285, ""zh"", ""en"")"),"Low-carbon operation situation 2022 2021 2020 Percentage of off-counter account transactions 99.64 99.58 99.51 Migration rate of financial transactions through electronic channels 97.87 97.34 96.57 China Construction Bank Corporation 2022 Social Responsib"&amp;"ility Report 493 Social Performance Employee situation 2022 2021 2020 Total number of employees 352 588 351 252 349 671 By gender Male employees 162 139 161 715 160 0 30 Female employees 190 449 189 537 189 641 By age group 30 years and below 78 59 47 370"&amp;" 97 39 49 31 to 40 years old 1 0440110450910003741 to 50 years old 822839223810566551 to 59 years old 87006805916985960 and above 304205161By region People in the Yangtze River Delta 526195218352083 People in the Pearl River Delta 451474526944833 People i"&amp;"n the Bohai Rim 580095745057346 People in the Central Region 720567895178228 People in the Western Region 751406760567348 People in the Northeast 338433430534650 Head office staff 144291414613842 Overseas staff 1")</f>
        <v>Low-carbon operation situation 2022 2021 2020 Percentage of off-counter account transactions 99.64 99.58 99.51 Migration rate of financial transactions through electronic channels 97.87 97.34 96.57 China Construction Bank Corporation 2022 Social Responsibility Report 493 Social Performance Employee situation 2022 2021 2020 Total number of employees 352 588 351 252 349 671 By gender Male employees 162 139 161 715 160 0 30 Female employees 190 449 189 537 189 641 By age group 30 years and below 78 59 47 370 97 39 49 31 to 40 years old 1 0440110450910003741 to 50 years old 822839223810566551 to 59 years old 87006805916985960 and above 304205161By region People in the Yangtze River Delta 526195218352083 People in the Pearl River Delta 451474526944833 People in the Bohai Rim 580095745057346 People in the Central Region 720567895178228 People in the Western Region 751406760567348 People in the Northeast 338433430534650 Head office staff 144291414613842 Overseas staff 1</v>
      </c>
      <c r="B6285" s="1" t="str">
        <f ca="1">IFERROR(__xludf.DUMMYFUNCTION("GOOGLETRANSLATE(A6285, ""zh"", ""en"")"),"staff")</f>
        <v>staff</v>
      </c>
      <c r="C6285" s="1" t="str">
        <f ca="1">IFERROR(__xludf.DUMMYFUNCTION("GOOGLETRANSLATE(E6285, ""zh"", ""en"")"),"Quantitative Text")</f>
        <v>Quantitative Text</v>
      </c>
    </row>
    <row r="6286" spans="1:3" ht="13" x14ac:dyDescent="0.15">
      <c r="A6286" s="1" t="str">
        <f ca="1">IFERROR(__xludf.DUMMYFUNCTION("GOOGLETRANSLATE(A6286, ""zh"", ""en"")"),"34513431341By employment type, there are also dispatched workers 338434703556By other types, ethnic minority employees 216692092820382Foreign employees 104310331034New employees 175911646216397Proportion of males hired through campus recruitment 42.344.34"&amp;"3.4Proportion of females hired through campus recruitment 57.755.756.6China Construction Bank Corporation 2022 Social Responsibility Report 50Employee Turnover 202220212020Overall turnover rate 1.71.91.6By gender, male 1.61.91.5Female Gender 1.8 2.0 1.7 A"&amp;"ge classification 25 and below 5.2 6.7 5.5 26 to 35 3.1 3.4 2.9 36 to 45 0.9 1.0 0.8 46 to 54 0.2 0.3 0.3 55 and above 0.2 0.2 0.2 By region Yangtze River Delta 2.9 3.3 2.8 Pearl River Delta 2.0 2.2 1.5 Bohai Rim 1.2 1.5 1.3 Central China 1.3 1.4 1.2 West"&amp;"ern China 1.5 1.9 1.5 Northeast China 1.1 1.1 1.0 Head office 2.5 3.3 2.6 Overseas 13.0 10.1 9.0 Note 1. The head office includes the headquarters credit card center, customer service center, direct service center, and training center")</f>
        <v>34513431341By employment type, there are also dispatched workers 338434703556By other types, ethnic minority employees 216692092820382Foreign employees 104310331034New employees 175911646216397Proportion of males hired through campus recruitment 42.344.343.4Proportion of females hired through campus recruitment 57.755.756.6China Construction Bank Corporation 2022 Social Responsibility Report 50Employee Turnover 202220212020Overall turnover rate 1.71.91.6By gender, male 1.61.91.5Female Gender 1.8 2.0 1.7 Age classification 25 and below 5.2 6.7 5.5 26 to 35 3.1 3.4 2.9 36 to 45 0.9 1.0 0.8 46 to 54 0.2 0.3 0.3 55 and above 0.2 0.2 0.2 By region Yangtze River Delta 2.9 3.3 2.8 Pearl River Delta 2.0 2.2 1.5 Bohai Rim 1.2 1.5 1.3 Central China 1.3 1.4 1.2 Western China 1.5 1.9 1.5 Northeast China 1.1 1.1 1.0 Head office 2.5 3.3 2.6 Overseas 13.0 10.1 9.0 Note 1. The head office includes the headquarters credit card center, customer service center, direct service center, and training center</v>
      </c>
      <c r="B6286" s="1" t="str">
        <f ca="1">IFERROR(__xludf.DUMMYFUNCTION("GOOGLETRANSLATE(A6286, ""zh"", ""en"")"),"staff")</f>
        <v>staff</v>
      </c>
      <c r="C6286" s="1" t="str">
        <f ca="1">IFERROR(__xludf.DUMMYFUNCTION("GOOGLETRANSLATE(E6286, ""zh"", ""en"")"),"Quantitative Text")</f>
        <v>Quantitative Text</v>
      </c>
    </row>
    <row r="6287" spans="1:3" ht="13" x14ac:dyDescent="0.15">
      <c r="A6287" s="1" t="str">
        <f ca="1">IFERROR(__xludf.DUMMYFUNCTION("GOOGLETRANSLATE(A6287, ""zh"", ""en"")"),"Energy conservation and emission reduction: Total carbon emission reduction: Electricity conservation, natural gas conservation, purchased steam: 9,433 tons, 8.86 million kWh, 968,000 cubic meters, 4,700 tons. Summary of key energy conservation and emissi"&amp;"on reduction projects of some member companies of Fosun Pharma: Energy conservation and emission reduction measures. Company name: Emerging technology and equipment application, process and layout optimization, energy management system, energy consumption"&amp;" savings, carbon reduction, Wanbang Pharmaceutical air conditioning, U-shaped dehumidification heat pipe installation, national body agent comprehensive energy conservation optimization, electricity, 987,000 kWh, internal photovoltaic power generation sys"&amp;"tem installation, purchased Moqi 400 tons, 825 Wanbang Jinqiao air conditioner, ethylene glycol unit, crude air compressor system, electricity, 380,000 kWh, system operation mode optimization, purchased Kuiqi 150 tons, 317 Fuhui Pharmaceutical, energy-sav"&amp;"ing heat pipe installation, electricity, 5.96 million kWh, internal photovoltaic power generation system installation, purchased Yin 1,000-ton steam 746 Kaimao Biological Animal Room Refrigeration Pipe and Air Conditioning Unit Renovation Cold Storage Air"&amp;" Conditioning Operation Mode Optimization Electricity 850,000 kWh 865 Wanbang Fulin LED Light Replacement Electricity 49,000 kWh 43 Yaoyou Pharmaceutical People and LED Light Replacement Air Conditioning Water Supply Steel Door Speed ​​Modification Electr"&amp;"icity 768,000 kWh Condensate Water National Utilization Device Installation Natural Gas 3.42 million cubic meters 1143 Yaoyou Xinxi Water and Soil Air Conditioning Energy Saving Rerouting Freeze Drying Machine Comprehensive Energy Saving Optimization Elec"&amp;"tricity 1.789 million kWh L.I6 Dongsheng Pharmaceutical Weak Furnace Comprehensive Energy Consumption Optimization Vehicle Electricity 138,000 kWh Vacuum System Energy Saving Rerouting Natural Gas 40,000 cubic meters 160 Hexin Pharmaceutical Weak Protecti"&amp;"on Renovation Powder Injection Production Line Refrigeration Unit Operation Time Optimization Electricity 80,000 kWh Natural Gas 25,000 cubic meters 9")</f>
        <v>Energy conservation and emission reduction: Total carbon emission reduction: Electricity conservation, natural gas conservation, purchased steam: 9,433 tons, 8.86 million kWh, 968,000 cubic meters, 4,700 tons. Summary of key energy conservation and emission reduction projects of some member companies of Fosun Pharma: Energy conservation and emission reduction measures. Company name: Emerging technology and equipment application, process and layout optimization, energy management system, energy consumption savings, carbon reduction, Wanbang Pharmaceutical air conditioning, U-shaped dehumidification heat pipe installation, national body agent comprehensive energy conservation optimization, electricity, 987,000 kWh, internal photovoltaic power generation system installation, purchased Moqi 400 tons, 825 Wanbang Jinqiao air conditioner, ethylene glycol unit, crude air compressor system, electricity, 380,000 kWh, system operation mode optimization, purchased Kuiqi 150 tons, 317 Fuhui Pharmaceutical, energy-saving heat pipe installation, electricity, 5.96 million kWh, internal photovoltaic power generation system installation, purchased Yin 1,000-ton steam 746 Kaimao Biological Animal Room Refrigeration Pipe and Air Conditioning Unit Renovation Cold Storage Air Conditioning Operation Mode Optimization Electricity 850,000 kWh 865 Wanbang Fulin LED Light Replacement Electricity 49,000 kWh 43 Yaoyou Pharmaceutical People and LED Light Replacement Air Conditioning Water Supply Steel Door Speed ​​Modification Electricity 768,000 kWh Condensate Water National Utilization Device Installation Natural Gas 3.42 million cubic meters 1143 Yaoyou Xinxi Water and Soil Air Conditioning Energy Saving Rerouting Freeze Drying Machine Comprehensive Energy Saving Optimization Electricity 1.789 million kWh L.I6 Dongsheng Pharmaceutical Weak Furnace Comprehensive Energy Consumption Optimization Vehicle Electricity 138,000 kWh Vacuum System Energy Saving Rerouting Natural Gas 40,000 cubic meters 160 Hexin Pharmaceutical Weak Protection Renovation Powder Injection Production Line Refrigeration Unit Operation Time Optimization Electricity 80,000 kWh Natural Gas 25,000 cubic meters 9</v>
      </c>
      <c r="B6287" s="1" t="str">
        <f ca="1">IFERROR(__xludf.DUMMYFUNCTION("GOOGLETRANSLATE(A6287, ""zh"", ""en"")"),"carbon emissions")</f>
        <v>carbon emissions</v>
      </c>
      <c r="C6287" s="1" t="str">
        <f ca="1">IFERROR(__xludf.DUMMYFUNCTION("GOOGLETRANSLATE(E6287, ""zh"", ""en"")"),"Quantitative Text")</f>
        <v>Quantitative Text</v>
      </c>
    </row>
    <row r="6288" spans="1:3" ht="13" x14ac:dyDescent="0.15">
      <c r="A6288" s="1" t="str">
        <f ca="1">IFERROR(__xludf.DUMMYFUNCTION("GOOGLETRANSLATE(A6288, ""zh"", ""en"")"),"2023 is the first year for the full implementation of the spirit of the 20th National Congress of the Communist Party of China and a year full of hope. We will continue to deepen the new financial action at a higher level and in a wider range of fields to"&amp;" serve high-quality development and contribute to the comprehensive construction of a modern socialist country. Chairman Tian Guoli of China Construction Bank Corporation 2022 highlights focus on the development of an automated ESG rating tool applicable "&amp;"to all corporate customers and its promotion and application throughout the bank. The balance of green loans reached 2.75 trillion yuan, a year-on-year increase of 40.09%. With 350,000 employees worldwide, we provide high-quality mobile banking services t"&amp;"o 440 million individual customers, 14,000 outlets provide professional services for inclusive finance, and have accumulated 100 million registered users of the CCB Life APP. The Zhihuimin Project has provided training for 64,000 sessions, benefiting 5.51"&amp;" million small and micro business owners and farmers. The balance of inclusive finance loans reached 2.35 trillion yuan. The balance of agricultural loans served 2.53 million inclusive finance loan customers. The Huidongni app has corporate users exceedin"&amp;"g the credit limit. 650,000 farmers have loans. The balance of farmers' production and operating loans has exceeded 200 billion yuan. 14,000 institutions have shared diverse value, helping to improve people's livelihoods and promote green development. The"&amp;" Labor Harbor has 8.9 million credit customers, serving over 17 million individual users, 2 million households, 1.60 trillion yuan, 3 trillion yuan, 13,800 businesses, and 225 million people. Green Finance Development Strategic Plan 2022-2025 Service Carb"&amp;"on Peaking and Carbon Neutrality Action Plan. China Construction Bank CSR Report.")</f>
        <v>2023 is the first year for the full implementation of the spirit of the 20th National Congress of the Communist Party of China and a year full of hope. We will continue to deepen the new financial action at a higher level and in a wider range of fields to serve high-quality development and contribute to the comprehensive construction of a modern socialist country. Chairman Tian Guoli of China Construction Bank Corporation 2022 highlights focus on the development of an automated ESG rating tool applicable to all corporate customers and its promotion and application throughout the bank. The balance of green loans reached 2.75 trillion yuan, a year-on-year increase of 40.09%. With 350,000 employees worldwide, we provide high-quality mobile banking services to 440 million individual customers, 14,000 outlets provide professional services for inclusive finance, and have accumulated 100 million registered users of the CCB Life APP. The Zhihuimin Project has provided training for 64,000 sessions, benefiting 5.51 million small and micro business owners and farmers. The balance of inclusive finance loans reached 2.35 trillion yuan. The balance of agricultural loans served 2.53 million inclusive finance loan customers. The Huidongni app has corporate users exceeding the credit limit. 650,000 farmers have loans. The balance of farmers' production and operating loans has exceeded 200 billion yuan. 14,000 institutions have shared diverse value, helping to improve people's livelihoods and promote green development. The Labor Harbor has 8.9 million credit customers, serving over 17 million individual users, 2 million households, 1.60 trillion yuan, 3 trillion yuan, 13,800 businesses, and 225 million people. Green Finance Development Strategic Plan 2022-2025 Service Carbon Peaking and Carbon Neutrality Action Plan. China Construction Bank CSR Report.</v>
      </c>
      <c r="B6288" s="1" t="str">
        <f ca="1">IFERROR(__xludf.DUMMYFUNCTION("GOOGLETRANSLATE(A6288, ""zh"", ""en"")"),"Green Finance")</f>
        <v>Green Finance</v>
      </c>
      <c r="C6288" s="1" t="str">
        <f ca="1">IFERROR(__xludf.DUMMYFUNCTION("GOOGLETRANSLATE(E6288, ""zh"", ""en"")"),"Quantitative Text")</f>
        <v>Quantitative Text</v>
      </c>
    </row>
    <row r="6289" spans="1:3" ht="13" x14ac:dyDescent="0.15">
      <c r="A6289" s="1" t="str">
        <f ca="1">IFERROR(__xludf.DUMMYFUNCTION("GOOGLETRANSLATE(A6289, ""zh"", ""en"")"),"7. Empowering government services with outlets and channels. More than 14,000 outlets participated in the underwriting of 87 domestic and overseas green and sustainable development bonds. Green credit supported projects saved 135.05 million tons of standa"&amp;"rd coal. Issued the first domestic sustainable development-linked financial bond with an issuance scale of 10 billion yuan and an underwriting scale of 156.067 billion yuan. Reduced carbon dioxide equivalent emissions by 135.3 million tons. Rooted in rura"&amp;"l areas, established 3,167 Yunong Schools. The CCB learning platform received 1.06 billion visits and launched 82 innovation studios for model workers and craftsmen. Donated a total of 128 million yuan to charity. Carried out 481,800 hours of volunteer se"&amp;"rvice. Social contribution per share: 4.16 yuan. Yunongtong service points cover most villages across the country. 440,000 contracted farmers. 178 The Yunongtong APP provides convenient smart village affairs, e-commerce, public services and basic financia"&amp;"l services to 5 million farmers. The CCB Jianrong Home Platform serves 43 million individual users. The public rental housing management information system has been expanded to 330 cities. More than 200 long-term rental communities are open for business, "&amp;"offering over 8,000 government services that can be handled, checked and booked. 2022 Highlights Focus on 8: Study, Think, Practice, and Act with Dedication. On the new journey of comprehensively building a modern socialist country and marching towards th"&amp;"e second centenary goal, China Construction Bank fully implements Xi Jinping Thought on Socialism with Chinese Characteristics for a New Era, fully understands the profound connotation and practical requirements of high-quality development, and unswerving"&amp;"ly follows the path of financial development with Chinese characteristics, and unswervingly promotes the high-quality development of the financial industry.")</f>
        <v>7. Empowering government services with outlets and channels. More than 14,000 outlets participated in the underwriting of 87 domestic and overseas green and sustainable development bonds. Green credit supported projects saved 135.05 million tons of standard coal. Issued the first domestic sustainable development-linked financial bond with an issuance scale of 10 billion yuan and an underwriting scale of 156.067 billion yuan. Reduced carbon dioxide equivalent emissions by 135.3 million tons. Rooted in rural areas, established 3,167 Yunong Schools. The CCB learning platform received 1.06 billion visits and launched 82 innovation studios for model workers and craftsmen. Donated a total of 128 million yuan to charity. Carried out 481,800 hours of volunteer service. Social contribution per share: 4.16 yuan. Yunongtong service points cover most villages across the country. 440,000 contracted farmers. 178 The Yunongtong APP provides convenient smart village affairs, e-commerce, public services and basic financial services to 5 million farmers. The CCB Jianrong Home Platform serves 43 million individual users. The public rental housing management information system has been expanded to 330 cities. More than 200 long-term rental communities are open for business, offering over 8,000 government services that can be handled, checked and booked. 2022 Highlights Focus on 8: Study, Think, Practice, and Act with Dedication. On the new journey of comprehensively building a modern socialist country and marching towards the second centenary goal, China Construction Bank fully implements Xi Jinping Thought on Socialism with Chinese Characteristics for a New Era, fully understands the profound connotation and practical requirements of high-quality development, and unswervingly follows the path of financial development with Chinese characteristics, and unswervingly promotes the high-quality development of the financial industry.</v>
      </c>
      <c r="B6289" s="1" t="str">
        <f ca="1">IFERROR(__xludf.DUMMYFUNCTION("GOOGLETRANSLATE(A6289, ""zh"", ""en"")"),"Public welfare and volunteer service")</f>
        <v>Public welfare and volunteer service</v>
      </c>
      <c r="C6289" s="1" t="str">
        <f ca="1">IFERROR(__xludf.DUMMYFUNCTION("GOOGLETRANSLATE(E6289, ""zh"", ""en"")"),"Quantitative Text")</f>
        <v>Quantitative Text</v>
      </c>
    </row>
    <row r="6290" spans="1:3" ht="13" x14ac:dyDescent="0.15">
      <c r="A6290" s="1" t="str">
        <f ca="1">IFERROR(__xludf.DUMMYFUNCTION("GOOGLETRANSLATE(A6290, ""zh"", ""en"")"),"Training stages: T1T2T6T7T12T13T24; Exploration period; Adaptation period; Settlement period; Commitment period; Integrate into Wanbang; Training themes: Workplace newbie science course; Project management and independence; 100 professional literacy cours"&amp;"es; Basic communication skills; Advanced professional literacy courses; Self-motivation; Quantity management skills; The mindset of Taotong; Professional life certificate; Police media elite; Introduction to Six Sigma; 4 lessons on how to be a professiona"&amp;"l; Become a workplace interpersonal communication expert; Four habits of being a professional; Special topic: I will introduce 1 quick method; Master office etiquette and you will master the rules of survival in the workplace; How to support your boss and"&amp;" team; Four ways to cultivate professional skills; Four keywords such as time management; Series of courses; Mastering PPT to improve communication efficiency and optional courses; Isolation and speech To be effective in your work, you need to think more "&amp;"deeply. Mind mapping: workplace effectiveness. Building effective interpersonal relationships. Workplace stress management methods. Building good interpersonal relationships and coping with stress. Keys to a happy workday. Training stages: T1, T2, T6, T7,"&amp;" T12, T13, T24. Exploration period, Adaptation period, Settlement period, Commitment period. Integration into the Wanbang Pharmaceutical and Life Sciences Foundation. Training themes: On-the-job communication, industry-leading career planning, and self-im"&amp;"provement. Project management and the points system. Class committees are fully autonomous. Student self-organization training: behavioral records, empowerment, cognitive sustainability, and operational growth. Sharing information on Wanbang Haitong theme"&amp;" events. Good communication multiplies influence. Worldwide career planning activities. Career planning workshops. Project management theme sharing. Excellent activities. Mature team.")</f>
        <v>Training stages: T1T2T6T7T12T13T24; Exploration period; Adaptation period; Settlement period; Commitment period; Integrate into Wanbang; Training themes: Workplace newbie science course; Project management and independence; 100 professional literacy courses; Basic communication skills; Advanced professional literacy courses; Self-motivation; Quantity management skills; The mindset of Taotong; Professional life certificate; Police media elite; Introduction to Six Sigma; 4 lessons on how to be a professional; Become a workplace interpersonal communication expert; Four habits of being a professional; Special topic: I will introduce 1 quick method; Master office etiquette and you will master the rules of survival in the workplace; How to support your boss and team; Four ways to cultivate professional skills; Four keywords such as time management; Series of courses; Mastering PPT to improve communication efficiency and optional courses; Isolation and speech To be effective in your work, you need to think more deeply. Mind mapping: workplace effectiveness. Building effective interpersonal relationships. Workplace stress management methods. Building good interpersonal relationships and coping with stress. Keys to a happy workday. Training stages: T1, T2, T6, T7, T12, T13, T24. Exploration period, Adaptation period, Settlement period, Commitment period. Integration into the Wanbang Pharmaceutical and Life Sciences Foundation. Training themes: On-the-job communication, industry-leading career planning, and self-improvement. Project management and the points system. Class committees are fully autonomous. Student self-organization training: behavioral records, empowerment, cognitive sustainability, and operational growth. Sharing information on Wanbang Haitong theme events. Good communication multiplies influence. Worldwide career planning activities. Career planning workshops. Project management theme sharing. Excellent activities. Mature team.</v>
      </c>
      <c r="B6290" s="1" t="str">
        <f ca="1">IFERROR(__xludf.DUMMYFUNCTION("GOOGLETRANSLATE(A6290, ""zh"", ""en"")"),"staff")</f>
        <v>staff</v>
      </c>
      <c r="C6290" s="1" t="str">
        <f ca="1">IFERROR(__xludf.DUMMYFUNCTION("GOOGLETRANSLATE(E6290, ""zh"", ""en"")"),"Qualitative text")</f>
        <v>Qualitative text</v>
      </c>
    </row>
    <row r="6291" spans="1:3" ht="13" x14ac:dyDescent="0.15">
      <c r="A6291" s="1" t="str">
        <f ca="1">IFERROR(__xludf.DUMMYFUNCTION("GOOGLETRANSLATE(A6291, ""zh"", ""en"")"),"Medicine collection style such as coffee theme research through 124 daily sharing sessions on heat disease environment and culture corporate culture competition special meetings basketball badminton children OLT24 competitive activities T24 internal commu"&amp;"nication diagram to help or internal passenger aviation recovery 78 Innovation for GcodHealth continuous innovation to enjoy health case teaching instructor 5 June July August June of the following year July of the following year T24 number management sys"&amp;"tem T24 number incentive system system implementation and monitoring review optimization optimization and determination evaluation and incentives T24 activity line T24 number incentive assistance system report publicity meeting to the apprenticeship cerem"&amp;"ony Teacher's Day thank you activities summary performance collection style teaching instructor creation mentor empowerment line mentor addition station teaching skills training outstanding number sharing teaching newcomer empowerment teaching experience "&amp;"Experience accumulation and inheritance output data with learning plan T24 certificate account table T24 face iron feedback table review optimization evaluation and assessment A. T24 comprehensive performance B. Teaching completion C. Experience accumulat"&amp;"ion D. Teaching according to contribution chart mentor cell content Di Ke T1T2T6T7T12T13T24 exploration period adaptation period precipitation period commitment period T24 on-the-job training behavior record March interview 1st anniversary sharing meeting"&amp;" performance appraisal competency department internal regularization assessment excellent T24 recommendation chart or Jizicheng Wanbang Pharmaceutical 2022 new employee training new employee teaching is the key content of enterprise development and talent"&amp;" reserve. In the future, human resources will provide continuous optimization development assistance for personnel development at all levels from the perspective of talent development strategy and business needs.")</f>
        <v>Medicine collection style such as coffee theme research through 124 daily sharing sessions on heat disease environment and culture corporate culture competition special meetings basketball badminton children OLT24 competitive activities T24 internal communication diagram to help or internal passenger aviation recovery 78 Innovation for GcodHealth continuous innovation to enjoy health case teaching instructor 5 June July August June of the following year July of the following year T24 number management system T24 number incentive system system implementation and monitoring review optimization optimization and determination evaluation and incentives T24 activity line T24 number incentive assistance system report publicity meeting to the apprenticeship ceremony Teacher's Day thank you activities summary performance collection style teaching instructor creation mentor empowerment line mentor addition station teaching skills training outstanding number sharing teaching newcomer empowerment teaching experience Experience accumulation and inheritance output data with learning plan T24 certificate account table T24 face iron feedback table review optimization evaluation and assessment A. T24 comprehensive performance B. Teaching completion C. Experience accumulation D. Teaching according to contribution chart mentor cell content Di Ke T1T2T6T7T12T13T24 exploration period adaptation period precipitation period commitment period T24 on-the-job training behavior record March interview 1st anniversary sharing meeting performance appraisal competency department internal regularization assessment excellent T24 recommendation chart or Jizicheng Wanbang Pharmaceutical 2022 new employee training new employee teaching is the key content of enterprise development and talent reserve. In the future, human resources will provide continuous optimization development assistance for personnel development at all levels from the perspective of talent development strategy and business needs.</v>
      </c>
      <c r="B6291" s="1" t="str">
        <f ca="1">IFERROR(__xludf.DUMMYFUNCTION("GOOGLETRANSLATE(A6291, ""zh"", ""en"")"),"staff")</f>
        <v>staff</v>
      </c>
      <c r="C6291" s="1" t="str">
        <f ca="1">IFERROR(__xludf.DUMMYFUNCTION("GOOGLETRANSLATE(E6291, ""zh"", ""en"")"),"Qualitative text")</f>
        <v>Qualitative text</v>
      </c>
    </row>
    <row r="6292" spans="1:3" ht="13" x14ac:dyDescent="0.15">
      <c r="A6292" s="1" t="str">
        <f ca="1">IFERROR(__xludf.DUMMYFUNCTION("GOOGLETRANSLATE(A6292, ""zh"", ""en"")"),"21 UN Global Compact Ten Principles Content Index Climate-related Financial Disclosure TCFD Content Index China Petroleum &amp; Chemical Corporation China Petroleum &amp; Chemical Corporation 115116 Corporate Governance Build a Solid Security Line Address Climate"&amp;" Change Respect Human Rights and Talent Cultivation Environmental Protection Fulfill Social Responsibility Scope Global Compact Senior Corporate Member Standard Disclosure Index Strategic Management and Participation Standard 1 The company's senior-level "&amp;"sustainability strategy formulated in accordance with the Global Compact principles 129 Standard 2 The company's effective decision-making processes and management systems for achieving sustainability 91417436768799395 Standard 3 The company's cooperation"&amp;" with all major stakeholders 25279597101102 United Nations Goal and Issue Standard 4 Actions taken to support broad UN goals and issues 13 Implementation Standard for Human Rights Principles 5 Strategies or policies formulated based on a strong commitment"&amp;" by the company to human rights 7980 Standard 6 Effective management systems formulated by the company incorporating human rights principles 97980 Standard 7 Effective monitoring and evaluation mechanisms formulated by the company incorporating human righ"&amp;"ts principles 97980 Standard 8 Significant achievements achieved by the company incorporating human rights principles 7986 Implementation Standard for Labor Rights Principles 9 Strategies or policies formulated based on a strong commitment by the company "&amp;"to labor rights 7980 Standard 10 Effective management systems formulated by the company incorporating labor rights principles 97986 Standard 11 Effective monitoring and evaluation mechanisms formulated by the company incorporating labor rights principles")</f>
        <v>21 UN Global Compact Ten Principles Content Index Climate-related Financial Disclosure TCFD Content Index China Petroleum &amp; Chemical Corporation China Petroleum &amp; Chemical Corporation 115116 Corporate Governance Build a Solid Security Line Address Climate Change Respect Human Rights and Talent Cultivation Environmental Protection Fulfill Social Responsibility Scope Global Compact Senior Corporate Member Standard Disclosure Index Strategic Management and Participation Standard 1 The company's senior-level sustainability strategy formulated in accordance with the Global Compact principles 129 Standard 2 The company's effective decision-making processes and management systems for achieving sustainability 91417436768799395 Standard 3 The company's cooperation with all major stakeholders 25279597101102 United Nations Goal and Issue Standard 4 Actions taken to support broad UN goals and issues 13 Implementation Standard for Human Rights Principles 5 Strategies or policies formulated based on a strong commitment by the company to human rights 7980 Standard 6 Effective management systems formulated by the company incorporating human rights principles 97980 Standard 7 Effective monitoring and evaluation mechanisms formulated by the company incorporating human rights principles 97980 Standard 8 Significant achievements achieved by the company incorporating human rights principles 7986 Implementation Standard for Labor Rights Principles 9 Strategies or policies formulated based on a strong commitment by the company to labor rights 7980 Standard 10 Effective management systems formulated by the company incorporating labor rights principles 97986 Standard 11 Effective monitoring and evaluation mechanisms formulated by the company incorporating labor rights principles</v>
      </c>
      <c r="B6292" s="1" t="str">
        <f ca="1">IFERROR(__xludf.DUMMYFUNCTION("GOOGLETRANSLATE(A6292, ""zh"", ""en"")"),"staff")</f>
        <v>staff</v>
      </c>
      <c r="C6292" s="1" t="str">
        <f ca="1">IFERROR(__xludf.DUMMYFUNCTION("GOOGLETRANSLATE(E6292, ""zh"", ""en"")"),"Quantitative Text")</f>
        <v>Quantitative Text</v>
      </c>
    </row>
    <row r="6293" spans="1:3" ht="13" x14ac:dyDescent="0.15">
      <c r="A6293" s="1" t="str">
        <f ca="1">IFERROR(__xludf.DUMMYFUNCTION("GOOGLETRANSLATE(A6293, ""zh"", ""en"")"),"Case: Qingdao Petrochemical actively participates in green electricity pilot transactions, with 88 MW of installed capacity and 2,452 distributed photovoltaic power generation projects built in total. By 2022, it is expected that by the end of 2022, 1,199"&amp;" new gas station photovoltaic stations will be built. The electricity generated will be mainly used for the gas stations' own electricity consumption and electric vehicles. 7,000 distributed photovoltaic power generation sites have been built, with an add"&amp;"itional installed capacity of 44.2 MW. 23 carbon-neutral fueling stations have been built, and 3 carbon-neutral oil depots have been built. China Petroleum &amp; Chemical Corporation China Petroleum &amp; Chemical Corporation 4748 Corporate Governance Builds a So"&amp;"lid Safety Line to Respond to Climate Change Respects Human Rights and Talent Cultivation Environmental Protection Fulfills Social Responsibilities Facility Material Type City State Province First Collector Annex to the certificate SCS RSB PC0048 The foll"&amp;"owing facilities are included in the certificate scope No. 1402 14th Floor Innovation Building Southwest Jiaotong University No. 111 North 1st Section of 2nd Ring Road Intelligent City Jinniu District Chengducity Chi")</f>
        <v>Case: Qingdao Petrochemical actively participates in green electricity pilot transactions, with 88 MW of installed capacity and 2,452 distributed photovoltaic power generation projects built in total. By 2022, it is expected that by the end of 2022, 1,199 new gas station photovoltaic stations will be built. The electricity generated will be mainly used for the gas stations' own electricity consumption and electric vehicles. 7,000 distributed photovoltaic power generation sites have been built, with an additional installed capacity of 44.2 MW. 23 carbon-neutral fueling stations have been built, and 3 carbon-neutral oil depots have been built. China Petroleum &amp; Chemical Corporation China Petroleum &amp; Chemical Corporation 4748 Corporate Governance Builds a Solid Safety Line to Respond to Climate Change Respects Human Rights and Talent Cultivation Environmental Protection Fulfills Social Responsibilities Facility Material Type City State Province First Collector Annex to the certificate SCS RSB PC0048 The following facilities are included in the certificate scope No. 1402 14th Floor Innovation Building Southwest Jiaotong University No. 111 North 1st Section of 2nd Ring Road Intelligent City Jinniu District Chengducity Chi</v>
      </c>
      <c r="B6293" s="1" t="str">
        <f ca="1">IFERROR(__xludf.DUMMYFUNCTION("GOOGLETRANSLATE(A6293, ""zh"", ""en"")"),"Clean Technology")</f>
        <v>Clean Technology</v>
      </c>
      <c r="C6293" s="1" t="str">
        <f ca="1">IFERROR(__xludf.DUMMYFUNCTION("GOOGLETRANSLATE(E6293, ""zh"", ""en"")"),"Quantitative Text")</f>
        <v>Quantitative Text</v>
      </c>
    </row>
    <row r="6294" spans="1:3" ht="13" x14ac:dyDescent="0.15">
      <c r="A6294" s="1" t="str">
        <f ca="1">IFERROR(__xludf.DUMMYFUNCTION("GOOGLETRANSLATE(A6294, ""zh"", ""en"")"),"GRI 408 Child Labor GRI 3 Material Topics 2021 33 Management of Material Topics zedor82dd GRI 408 Child Labor 2016 4081 Operations and Suppliers at Significant Risk of Child Labor Incidents p.82 No such circumstances 2022 Corporate Social Responsibility R"&amp;"eport 129 GRI Sustainability Reporting Standard 2021 GRI Standard Other Resources Disclosure Item Location Omitted GRI 409 Forced or Compulsory Labor GRI 13 Material Topics 2021 33 Management of Material Topics pp.2830 p.82 GRI 409 Forced or Compulsory La"&amp;"bor 2016 4091 Operations at Significant Risk of Forced or Compulsory Labor Incidents No such situation for sites and suppliers GRI 413 Local Communities GRI 3 Material Topics 2021 33 Management of Material Topics pp. 2830 p. 114 4131 Operations with local"&amp;" community involvement in impact assessments and development plans GRI 413 Local Communities 2016 4132 Operations with actual or potential significant negative impacts on local communities No such situation GRI 414 Supplier Social Assessment GRI 13 Materi"&amp;"al Topics 2021 33 Management of Material Topics pp. 2830 p. 66 Fosun Pharma Supplier Code of Conduct GRI 414 Supplier Social Assessment 4141 New suppliers screened using social assessment dimensions p. 66 2016 4142 Negative social impacts in the supply ch"&amp;"ain and actions taken p. 6")</f>
        <v>GRI 408 Child Labor GRI 3 Material Topics 2021 33 Management of Material Topics zedor82dd GRI 408 Child Labor 2016 4081 Operations and Suppliers at Significant Risk of Child Labor Incidents p.82 No such circumstances 2022 Corporate Social Responsibility Report 129 GRI Sustainability Reporting Standard 2021 GRI Standard Other Resources Disclosure Item Location Omitted GRI 409 Forced or Compulsory Labor GRI 13 Material Topics 2021 33 Management of Material Topics pp.2830 p.82 GRI 409 Forced or Compulsory Labor 2016 4091 Operations at Significant Risk of Forced or Compulsory Labor Incidents No such situation for sites and suppliers GRI 413 Local Communities GRI 3 Material Topics 2021 33 Management of Material Topics pp. 2830 p. 114 4131 Operations with local community involvement in impact assessments and development plans GRI 413 Local Communities 2016 4132 Operations with actual or potential significant negative impacts on local communities No such situation GRI 414 Supplier Social Assessment GRI 13 Material Topics 2021 33 Management of Material Topics pp. 2830 p. 66 Fosun Pharma Supplier Code of Conduct GRI 414 Supplier Social Assessment 4141 New suppliers screened using social assessment dimensions p. 66 2016 4142 Negative social impacts in the supply chain and actions taken p. 6</v>
      </c>
      <c r="B6294" s="1" t="str">
        <f ca="1">IFERROR(__xludf.DUMMYFUNCTION("GOOGLETRANSLATE(A6294, ""zh"", ""en"")"),"staff")</f>
        <v>staff</v>
      </c>
      <c r="C6294" s="1" t="str">
        <f ca="1">IFERROR(__xludf.DUMMYFUNCTION("GOOGLETRANSLATE(E6294, ""zh"", ""en"")"),"Quantitative Text")</f>
        <v>Quantitative Text</v>
      </c>
    </row>
    <row r="6295" spans="1:3" ht="13" x14ac:dyDescent="0.15">
      <c r="A6295" s="1" t="str">
        <f ca="1">IFERROR(__xludf.DUMMYFUNCTION("GOOGLETRANSLATE(A6295, ""zh"", ""en"")"),"Implementation of major public welfare projects Project name Cooperating organization Cumulative donation amount Project duration Until the end of 2022 Building the Future China Construction Bank’s High School Student Growth Plan China Education Developme"&amp;"nt Foundation RMB166 million, RMB166 million disbursed since 2007, 98,900 high school students supported Mother’s Health Express China Construction Bank’s funding plan China Women’s Development Foundation RMB77 million, 512 Mother’s Health Express vehicle"&amp;"s purchased since 2011 and put into use in 24 provinces, autonomous regions, townships and counties including Xinjiang, Tibet, Gansu and Qinghai Supporting CCB Hope Primary Schools China Youth Development Foundation RMB19.06 million, 46 Hope Primary Schoo"&amp;"ls built since 1996, 60 classrooms donated for music, art, sports, science and technology, and moral education, over 800 teachers trained, 250 teachers and students participated in the Beijing Summer Camp Caring for Tibet China Construction Bank and China"&amp;" Construction Investment Scholarship China Foundation for Poverty Alleviation RMB3.5 million, RMB3.45 million disbursed since 2007, 780 students supported in Tibet Building a Home for Rural Revitalization Public Welfare Project China Charity Federation RM"&amp;"B10 million, 1 in central and western China since 2021")</f>
        <v>Implementation of major public welfare projects Project name Cooperating organization Cumulative donation amount Project duration Until the end of 2022 Building the Future China Construction Bank’s High School Student Growth Plan China Education Development Foundation RMB166 million, RMB166 million disbursed since 2007, 98,900 high school students supported Mother’s Health Express China Construction Bank’s funding plan China Women’s Development Foundation RMB77 million, 512 Mother’s Health Express vehicles purchased since 2011 and put into use in 24 provinces, autonomous regions, townships and counties including Xinjiang, Tibet, Gansu and Qinghai Supporting CCB Hope Primary Schools China Youth Development Foundation RMB19.06 million, 46 Hope Primary Schools built since 1996, 60 classrooms donated for music, art, sports, science and technology, and moral education, over 800 teachers trained, 250 teachers and students participated in the Beijing Summer Camp Caring for Tibet China Construction Bank and China Construction Investment Scholarship China Foundation for Poverty Alleviation RMB3.5 million, RMB3.45 million disbursed since 2007, 780 students supported in Tibet Building a Home for Rural Revitalization Public Welfare Project China Charity Federation RMB10 million, 1 in central and western China since 2021</v>
      </c>
      <c r="B6295" s="1" t="str">
        <f ca="1">IFERROR(__xludf.DUMMYFUNCTION("GOOGLETRANSLATE(A6295, ""zh"", ""en"")"),"Public welfare and volunteer service")</f>
        <v>Public welfare and volunteer service</v>
      </c>
      <c r="C6295" s="1" t="str">
        <f ca="1">IFERROR(__xludf.DUMMYFUNCTION("GOOGLETRANSLATE(E6295, ""zh"", ""en"")"),"Quantitative Text")</f>
        <v>Quantitative Text</v>
      </c>
    </row>
    <row r="6296" spans="1:3" ht="13" x14ac:dyDescent="0.15">
      <c r="A6296" s="1" t="str">
        <f ca="1">IFERROR(__xludf.DUMMYFUNCTION("GOOGLETRANSLATE(A6296, ""zh"", ""en"")"),"0 provinces and regions have launched the ""Light Up Green Villages"" solar streetlight program; Rural Revitalization Leader Training; Points for Dreams Micro-Charity; China Youth Development Foundation; China Literature and Art Foundation; China Youth Vo"&amp;"lunteer Association; Youth Volunteer Action Guidance Center of the Central Committee of the Communist Youth League; RMB 10.26 million; Donated to build 164 Happy Music Classrooms since 2012; Training for rural music and art teachers; China Youth Volunteer"&amp;" Association and Youth Volunteer Action Guidance Center of the Central Committee of the Communist Youth League; Youth Home; China Construction Bank Corporation 2022 Social Responsibility Report 74; Kindness and Wisdom Love Education Action; China Construc"&amp;"tion Bank Youth Volunteer Association; Local Youth League Committees of all branches; RMB 6 million; Donated money and materials to over 16,000 teachers and students in underdeveloped areas since 2016; Organized over 150 teachers and students to participa"&amp;"te in summer and winter camps; Sanjiangyuan Ecological Environmental Protection Project; Sanjiangyuan Ecological Protection Foundation; RMB 1 million; 2022 to date; Construction of ecological demonstration villages in Sanjiangyuan National Park; Establish"&amp;"ing the ecological value of harmonious coexistence between man and nature; A member firm of Ernst Young Global Limited.")</f>
        <v>0 provinces and regions have launched the "Light Up Green Villages" solar streetlight program; Rural Revitalization Leader Training; Points for Dreams Micro-Charity; China Youth Development Foundation; China Literature and Art Foundation; China Youth Volunteer Association; Youth Volunteer Action Guidance Center of the Central Committee of the Communist Youth League; RMB 10.26 million; Donated to build 164 Happy Music Classrooms since 2012; Training for rural music and art teachers; China Youth Volunteer Association and Youth Volunteer Action Guidance Center of the Central Committee of the Communist Youth League; Youth Home; China Construction Bank Corporation 2022 Social Responsibility Report 74; Kindness and Wisdom Love Education Action; China Construction Bank Youth Volunteer Association; Local Youth League Committees of all branches; RMB 6 million; Donated money and materials to over 16,000 teachers and students in underdeveloped areas since 2016; Organized over 150 teachers and students to participate in summer and winter camps; Sanjiangyuan Ecological Environmental Protection Project; Sanjiangyuan Ecological Protection Foundation; RMB 1 million; 2022 to date; Construction of ecological demonstration villages in Sanjiangyuan National Park; Establishing the ecological value of harmonious coexistence between man and nature; A member firm of Ernst Young Global Limited.</v>
      </c>
      <c r="B6296" s="1" t="str">
        <f ca="1">IFERROR(__xludf.DUMMYFUNCTION("GOOGLETRANSLATE(A6296, ""zh"", ""en"")"),"Public welfare and volunteer service")</f>
        <v>Public welfare and volunteer service</v>
      </c>
      <c r="C6296" s="1" t="str">
        <f ca="1">IFERROR(__xludf.DUMMYFUNCTION("GOOGLETRANSLATE(E6296, ""zh"", ""en"")"),"Quantitative Text")</f>
        <v>Quantitative Text</v>
      </c>
    </row>
    <row r="6297" spans="1:3" ht="13" x14ac:dyDescent="0.15">
      <c r="A6297" s="1" t="str">
        <f ca="1">IFERROR(__xludf.DUMMYFUNCTION("GOOGLETRANSLATE(A6297, ""zh"", ""en"")"),"China National Storage and Recycling Corporation Limited April 14, 2023 Appendix Index Index First-level Title Second-level Title Guidelines for Corporate Social Responsibility Reporting in China CASSCSR5.0 Report Location Report Overview P101 Chairman's "&amp;"Speech P205 About Us Company Profile P4.1 P4.3 G3.708 Corporate Strategy P4.209 Company Honors P4.109 Corporate Governance Party Building Leadership G111 Board Construction G1.1 G1.2 G1.1012 Compliance Operation G1.3 G1.414 Integrity Education G1.715 Pric"&amp;"e Value Storage Business Capabilities V2.5 V2.7 17 Scientific Research and Innovation V2.2 V2.8 19 Information Construction V2.2 V2.4 21 Financial Performance A2 25 Environmental Responsibility Green Operations E1.7 27 Green Office E2.14 V4.3 27 Green Con"&amp;"struction E1.3 E1.5 V4.2 V4.4 28 Social Responsibility Management Social Responsibility Work System G3.1 G3.3 32 Responsibility Performance G3.8 33 Communication with Stakeholders G3.6 34 Participating Social Organizations G3.6 35 Responsibility Integrati"&amp;"on G3.6 36")</f>
        <v>China National Storage and Recycling Corporation Limited April 14, 2023 Appendix Index Index First-level Title Second-level Title Guidelines for Corporate Social Responsibility Reporting in China CASSCSR5.0 Report Location Report Overview P101 Chairman's Speech P205 About Us Company Profile P4.1 P4.3 G3.708 Corporate Strategy P4.209 Company Honors P4.109 Corporate Governance Party Building Leadership G111 Board Construction G1.1 G1.2 G1.1012 Compliance Operation G1.3 G1.414 Integrity Education G1.715 Price Value Storage Business Capabilities V2.5 V2.7 17 Scientific Research and Innovation V2.2 V2.8 19 Information Construction V2.2 V2.4 21 Financial Performance A2 25 Environmental Responsibility Green Operations E1.7 27 Green Office E2.14 V4.3 27 Green Construction E1.3 E1.5 V4.2 V4.4 28 Social Responsibility Management Social Responsibility Work System G3.1 G3.3 32 Responsibility Performance G3.8 33 Communication with Stakeholders G3.6 34 Participating Social Organizations G3.6 35 Responsibility Integration G3.6 36</v>
      </c>
      <c r="B6297" s="1" t="str">
        <f ca="1">IFERROR(__xludf.DUMMYFUNCTION("GOOGLETRANSLATE(A6297, ""zh"", ""en"")"),"Organizational structure and operations")</f>
        <v>Organizational structure and operations</v>
      </c>
      <c r="C6297" s="1" t="str">
        <f ca="1">IFERROR(__xludf.DUMMYFUNCTION("GOOGLETRANSLATE(E6297, ""zh"", ""en"")"),"Qualitative text")</f>
        <v>Qualitative text</v>
      </c>
    </row>
    <row r="6298" spans="1:3" ht="13" x14ac:dyDescent="0.15">
      <c r="A6298" s="1" t="str">
        <f ca="1">IFERROR(__xludf.DUMMYFUNCTION("GOOGLETRANSLATE(A6298, ""zh"", ""en"")"),"Futures Business, Public Fund Business, Securities Business, Trust Business, SDIC Capital 2022 ESG Report, About Us, 0809 Development History, the company's predecessor, China Textile Investment Development Co., Ltd. (hereinafter referred to as China Text"&amp;"ile Investment), was established and listed on the Shanghai Stock Exchange. In 1997, China Textile Investment acquired Essence Securities Co., Ltd. through a share issuance, raising RMB6 billion in supporting financing. The company sold its original texti"&amp;"le assets and acquired SDIC Zhonggu Futures Co., Ltd., successfully completing the transformation of its main business from the textile industry to the securities industry. The company was renamed SDIC Essence Co., Ltd. (hereinafter referred to as SDIC Es"&amp;"sence). In 2015, SDIC Essence acquired SDIC Capital Holdings Co., Ltd. and changed its name to SDIC Capital Co., Ltd. in December of the same year. The company has since become a central state-owned enterprise with licenses for securities, trust funds, fu"&amp;"tures, and insurance. The listed financial holding platform completed a private placement to raise RMB8 billion to increase the capital of Essence Securities and entrusted the management of Bohai Bank. In 2017, Essence Securities was established. Essence "&amp;"Securities Investment Co., Ltd. SDIC Capital completed a RMB1.62 billion capital increase in SDIC Taikang Trust. In 2019, it entrusted the management of China Investment Insurance Co., Ltd. SDIC Capital was officially included in the first batch of MSCI C"&amp;"hina Indices. SDIC Capital Holdings Shanghai Chuangfengshen")</f>
        <v>Futures Business, Public Fund Business, Securities Business, Trust Business, SDIC Capital 2022 ESG Report, About Us, 0809 Development History, the company's predecessor, China Textile Investment Development Co., Ltd. (hereinafter referred to as China Textile Investment), was established and listed on the Shanghai Stock Exchange. In 1997, China Textile Investment acquired Essence Securities Co., Ltd. through a share issuance, raising RMB6 billion in supporting financing. The company sold its original textile assets and acquired SDIC Zhonggu Futures Co., Ltd., successfully completing the transformation of its main business from the textile industry to the securities industry. The company was renamed SDIC Essence Co., Ltd. (hereinafter referred to as SDIC Essence). In 2015, SDIC Essence acquired SDIC Capital Holdings Co., Ltd. and changed its name to SDIC Capital Co., Ltd. in December of the same year. The company has since become a central state-owned enterprise with licenses for securities, trust funds, futures, and insurance. The listed financial holding platform completed a private placement to raise RMB8 billion to increase the capital of Essence Securities and entrusted the management of Bohai Bank. In 2017, Essence Securities was established. Essence Securities Investment Co., Ltd. SDIC Capital completed a RMB1.62 billion capital increase in SDIC Taikang Trust. In 2019, it entrusted the management of China Investment Insurance Co., Ltd. SDIC Capital was officially included in the first batch of MSCI China Indices. SDIC Capital Holdings Shanghai Chuangfengshen</v>
      </c>
      <c r="B6298" s="1" t="str">
        <f ca="1">IFERROR(__xludf.DUMMYFUNCTION("GOOGLETRANSLATE(A6298, ""zh"", ""en"")"),"Organizational structure and operations")</f>
        <v>Organizational structure and operations</v>
      </c>
      <c r="C6298" s="1" t="str">
        <f ca="1">IFERROR(__xludf.DUMMYFUNCTION("GOOGLETRANSLATE(E6298, ""zh"", ""en"")"),"Quantitative Text")</f>
        <v>Quantitative Text</v>
      </c>
    </row>
    <row r="6299" spans="1:3" ht="13" x14ac:dyDescent="0.15">
      <c r="A6299" s="1" t="str">
        <f ca="1">IFERROR(__xludf.DUMMYFUNCTION("GOOGLETRANSLATE(A6299, ""zh"", ""en"")"),"Shenzhen Huijie Investment and others jointly initiated the establishment of SDIC Chuangfeng Investment Management Co., Ltd. In 2018, Essence Securities established Essence Securities Asset Management Co., Ltd. Essence Asset Management obtained the securi"&amp;"ties and futures business license in June of the same year. SDIC Capital completed the issuance of 8 billion yuan of convertible bonds and used them to increase the capital of Essence Securities. In 2020, SDIC Capital was rated A in the Shanghai Stock Exc"&amp;"hange's information disclosure evaluation for three consecutive years. In 2022, it was entrusted with the management of SDIC Leasing. SDIC Capital was rated as a management benchmark enterprise in the state-owned key enterprise management benchmark creati"&amp;"on campaign organized by the State-owned Assets Supervision and Administration Commission of the State Council, and is the only central government to receive this honor. 2021 Enterprise Financial Holding Platform SDIC Capital 2022 ESG Report About Us 1011"&amp;"10112022 Responsibility Review Annual Performance Operating Performance Total Assets RMB266.593 billion Net Assets Attributable to Parent RMB51.211 billion Total Profit RMB4.061 billion Total Operating Revenue RMB171.36 Environmental Performance Social Pe"&amp;"rformance Serving the Real Economy Funding RMB248.929 billion Funding provided for inclusive finance-related projects RMB136.757 billion Funding provided for national strategy-related projects RMB341.25 Funding provided for key areas such as central and w"&amp;"estern regions")</f>
        <v>Shenzhen Huijie Investment and others jointly initiated the establishment of SDIC Chuangfeng Investment Management Co., Ltd. In 2018, Essence Securities established Essence Securities Asset Management Co., Ltd. Essence Asset Management obtained the securities and futures business license in June of the same year. SDIC Capital completed the issuance of 8 billion yuan of convertible bonds and used them to increase the capital of Essence Securities. In 2020, SDIC Capital was rated A in the Shanghai Stock Exchange's information disclosure evaluation for three consecutive years. In 2022, it was entrusted with the management of SDIC Leasing. SDIC Capital was rated as a management benchmark enterprise in the state-owned key enterprise management benchmark creation campaign organized by the State-owned Assets Supervision and Administration Commission of the State Council, and is the only central government to receive this honor. 2021 Enterprise Financial Holding Platform SDIC Capital 2022 ESG Report About Us 101110112022 Responsibility Review Annual Performance Operating Performance Total Assets RMB266.593 billion Net Assets Attributable to Parent RMB51.211 billion Total Profit RMB4.061 billion Total Operating Revenue RMB171.36 Environmental Performance Social Performance Serving the Real Economy Funding RMB248.929 billion Funding provided for inclusive finance-related projects RMB136.757 billion Funding provided for national strategy-related projects RMB341.25 Funding provided for key areas such as central and western regions</v>
      </c>
      <c r="B6299" s="1" t="str">
        <f ca="1">IFERROR(__xludf.DUMMYFUNCTION("GOOGLETRANSLATE(A6299, ""zh"", ""en"")"),"Organizational structure and operations")</f>
        <v>Organizational structure and operations</v>
      </c>
      <c r="C6299" s="1" t="str">
        <f ca="1">IFERROR(__xludf.DUMMYFUNCTION("GOOGLETRANSLATE(E6299, ""zh"", ""en"")"),"Quantitative Text")</f>
        <v>Quantitative Text</v>
      </c>
    </row>
    <row r="6300" spans="1:3" ht="13" x14ac:dyDescent="0.15">
      <c r="A6300" s="1" t="str">
        <f ca="1">IFERROR(__xludf.DUMMYFUNCTION("GOOGLETRANSLATE(A6300, ""zh"", ""en"")"),"The scale of funds provided by the region is RMB 17.053 billion. The number of customer consultations received is 688,511. The number of investor education activities held is 3,157 hours. The total time of employee volunteer service is 131,250. The total "&amp;"time of employee training is 131,250. The total amount of external donations is RMB 408,719.50, 1782 hours. Scope 1 greenhouse gas emissions are 816.31 tons of carbon dioxide equivalent. Scope 2 greenhouse gas emissions are 17,805.75 tons of carbon dioxid"&amp;"e equivalent. Natural gas consumption is 21,433 cubic meters. Gasoline consumption of self-owned vehicles is 326,051.62 liters. Water consumption is 141 417.53 tons of electricity consumption, 19637953 kWh of governance performance. The company's board of"&amp;" directors has established a strategy and ESG committee with a response rate of 100%. 45 risk compliance trainings were conducted, 270 audit projects were carried out, 1243 first-topic learning sessions were conducted, and 97 questions on the SSE E-intera"&amp;"ctive platform were answered. The above operating and ESG performance does not include entrusted management companies except for the scale of funds for serving the real economy, the scale of funds provided for inclusive finance-related projects, the scale"&amp;" of funds provided for national strategy-related projects, and the scale of funds provided for key regions such as the central and western regions.")</f>
        <v>The scale of funds provided by the region is RMB 17.053 billion. The number of customer consultations received is 688,511. The number of investor education activities held is 3,157 hours. The total time of employee volunteer service is 131,250. The total time of employee training is 131,250. The total amount of external donations is RMB 408,719.50, 1782 hours. Scope 1 greenhouse gas emissions are 816.31 tons of carbon dioxide equivalent. Scope 2 greenhouse gas emissions are 17,805.75 tons of carbon dioxide equivalent. Natural gas consumption is 21,433 cubic meters. Gasoline consumption of self-owned vehicles is 326,051.62 liters. Water consumption is 141 417.53 tons of electricity consumption, 19637953 kWh of governance performance. The company's board of directors has established a strategy and ESG committee with a response rate of 100%. 45 risk compliance trainings were conducted, 270 audit projects were carried out, 1243 first-topic learning sessions were conducted, and 97 questions on the SSE E-interactive platform were answered. The above operating and ESG performance does not include entrusted management companies except for the scale of funds for serving the real economy, the scale of funds provided for inclusive finance-related projects, the scale of funds provided for national strategy-related projects, and the scale of funds provided for key regions such as the central and western regions.</v>
      </c>
      <c r="B6300" s="1" t="str">
        <f ca="1">IFERROR(__xludf.DUMMYFUNCTION("GOOGLETRANSLATE(A6300, ""zh"", ""en"")"),"Public welfare and volunteer service")</f>
        <v>Public welfare and volunteer service</v>
      </c>
      <c r="C6300" s="1" t="str">
        <f ca="1">IFERROR(__xludf.DUMMYFUNCTION("GOOGLETRANSLATE(E6300, ""zh"", ""en"")"),"Quantitative Text")</f>
        <v>Quantitative Text</v>
      </c>
    </row>
    <row r="6301" spans="1:3" ht="13" x14ac:dyDescent="0.15">
      <c r="A6301" s="1" t="str">
        <f ca="1">IFERROR(__xludf.DUMMYFUNCTION("GOOGLETRANSLATE(A6301, ""zh"", ""en"")"),"China Construction Bank Corporation 2022 Social Responsibility Report Environmental, Social and Governance Report March 2023 China Construction Bank Corporation 2022 Social Responsibility Report 2 Table of Contents Report Description ....................."&amp;"...........................................................3 Chairman's Message ................................................................................4 2022 Highlights ............................................................................."&amp;".........7 Special Topics Study, Reflection, Practice, and Perseverance ......................................9 Our Original Aspiration: Safeguarding Steady Economic Development and Inclusive Benefits")</f>
        <v>China Construction Bank Corporation 2022 Social Responsibility Report Environmental, Social and Governance Report March 2023 China Construction Bank Corporation 2022 Social Responsibility Report 2 Table of Contents Report Description ................................................................................3 Chairman's Message ................................................................................4 2022 Highlights ......................................................................................7 Special Topics Study, Reflection, Practice, and Perseverance ......................................9 Our Original Aspiration: Safeguarding Steady Economic Development and Inclusive Benefits</v>
      </c>
      <c r="B6301" s="1" t="str">
        <f ca="1">IFERROR(__xludf.DUMMYFUNCTION("GOOGLETRANSLATE(A6301, ""zh"", ""en"")"),"irrelevant text")</f>
        <v>irrelevant text</v>
      </c>
      <c r="C6301" s="1" t="str">
        <f ca="1">IFERROR(__xludf.DUMMYFUNCTION("GOOGLETRANSLATE(E6301, ""zh"", ""en"")"),"irrelevant text")</f>
        <v>irrelevant text</v>
      </c>
    </row>
    <row r="6302" spans="1:3" ht="13" x14ac:dyDescent="0.15">
      <c r="A6302" s="1" t="str">
        <f ca="1">IFERROR(__xludf.DUMMYFUNCTION("GOOGLETRANSLATE(A6302, ""zh"", ""en"")"),"Report Independent Assurance Report Continued Ernst &amp; Young Hua Ming 2023 Special No. 60438537A02 China Construction Bank Corporation By region: Yangtze River Delta Employees Pearl River Delta Employees Bohai Rim Employees Central Region Employees Western"&amp;" Region Employees Northeast Region Employees Head Office Employees Overseas Employees By employment type Other labor dispatch employees By other types Minority employees Employees New employees Employees Foreign employees % of male employees hired through"&amp;" campus recruitment % of female employees hired through campus recruitment Overall turnover rate By gender: Male % of female % By age: 25 and below 26 35 36 45 46 54 55 and above The above is divided into the following regions: Yangtze River Delta, Pearl "&amp;"River Delta, Bohai Rim, Central Region, Western Region, Northeast Region, Head Office, Overseas Deaths, Death Rate, Workdays Lost Due to Work Injuries, Number of Days, Percentage of Male Employees Participating in Training, Percentage of Female Employees "&amp;"Participating in Training, Percentage of First-tier Branches, Bank Level, and Head Office Department Level and Above Participating in Training, Percentage of First-tier Branches, Bank Level, First-tier Branch Department Level, and Head Office Division Lev"&amp;"el Participating in Training, Percentage of Business Manager Level and Below Participating in Training, Average Training Hours for Male Employees, Average Training Hours for Female Employees, Average Training Hours for First-tier Branches, Bank Level, and"&amp;" Head Office Department Level and Above, Average Training Hours for Second-tier Branches, Bank Level, First-tier Branch Department Level, and Head Office Division Level")</f>
        <v>Report Independent Assurance Report Continued Ernst &amp; Young Hua Ming 2023 Special No. 60438537A02 China Construction Bank Corporation By region: Yangtze River Delta Employees Pearl River Delta Employees Bohai Rim Employees Central Region Employees Western Region Employees Northeast Region Employees Head Office Employees Overseas Employees By employment type Other labor dispatch employees By other types Minority employees Employees New employees Employees Foreign employees % of male employees hired through campus recruitment % of female employees hired through campus recruitment Overall turnover rate By gender: Male % of female % By age: 25 and below 26 35 36 45 46 54 55 and above The above is divided into the following regions: Yangtze River Delta, Pearl River Delta, Bohai Rim, Central Region, Western Region, Northeast Region, Head Office, Overseas Deaths, Death Rate, Workdays Lost Due to Work Injuries, Number of Days, Percentage of Male Employees Participating in Training, Percentage of Female Employees Participating in Training, Percentage of First-tier Branches, Bank Level, and Head Office Department Level and Above Participating in Training, Percentage of First-tier Branches, Bank Level, First-tier Branch Department Level, and Head Office Division Level Participating in Training, Percentage of Business Manager Level and Below Participating in Training, Average Training Hours for Male Employees, Average Training Hours for Female Employees, Average Training Hours for First-tier Branches, Bank Level, and Head Office Department Level and Above, Average Training Hours for Second-tier Branches, Bank Level, First-tier Branch Department Level, and Head Office Division Level</v>
      </c>
      <c r="B6302" s="1" t="str">
        <f ca="1">IFERROR(__xludf.DUMMYFUNCTION("GOOGLETRANSLATE(A6302, ""zh"", ""en"")"),"staff")</f>
        <v>staff</v>
      </c>
      <c r="C6302" s="1" t="str">
        <f ca="1">IFERROR(__xludf.DUMMYFUNCTION("GOOGLETRANSLATE(E6302, ""zh"", ""en"")"),"Quantitative Text")</f>
        <v>Quantitative Text</v>
      </c>
    </row>
    <row r="6303" spans="1:3" ht="13" x14ac:dyDescent="0.15">
      <c r="A6303" s="1" t="str">
        <f ca="1">IFERROR(__xludf.DUMMYFUNCTION("GOOGLETRANSLATE(A6303, ""zh"", ""en"")"),"Average training hours (hours) Average training hours for business manager level and below (hours) Number of suppliers in the Yangtze River Delta Number of suppliers in the Pearl River Delta Number of suppliers in the Bohai Rim Number of suppliers in the "&amp;"Central region Number of suppliers in the Western region Number of suppliers in the Northeast region Percentage of procurement expenditure for local suppliers Fulfillment rate of procurement contracts Participation rate of external experts Number of suppl"&amp;"ier social responsibility trainings conducted, including interviews and business exchanges times 76 A member firm of Ernst Young Global Limited Social Responsibility Report Independent Assurance Report Continued EY Hua Ming 2023 Special No. 60438537A02 Ch"&amp;"ina Construction Bank Corporation Number of online banking users (million) Number of personal mobile banking users (million) Number of WeChat banking-bound users (million) Number of telephone banking customers (million) Number of self-service banks Number"&amp;" of ATMs (ATMs) Number of smart ATMs (STMs) Number of smart banks Number of business outlets with wheelchair-accessible ramps Number of outlets with caring windows Number of outlets with workers' harbors Our assurance work is limited to the performance in"&amp;"formation for 2022 selected in the social responsibility report. Other information disclosed in the social responsibility report Information for 2021 and prior years is not within the scope of our work")</f>
        <v>Average training hours (hours) Average training hours for business manager level and below (hours) Number of suppliers in the Yangtze River Delta Number of suppliers in the Pearl River Delta Number of suppliers in the Bohai Rim Number of suppliers in the Central region Number of suppliers in the Western region Number of suppliers in the Northeast region Percentage of procurement expenditure for local suppliers Fulfillment rate of procurement contracts Participation rate of external experts Number of supplier social responsibility trainings conducted, including interviews and business exchanges times 76 A member firm of Ernst Young Global Limited Social Responsibility Report Independent Assurance Report Continued EY Hua Ming 2023 Special No. 60438537A02 China Construction Bank Corporation Number of online banking users (million) Number of personal mobile banking users (million) Number of WeChat banking-bound users (million) Number of telephone banking customers (million) Number of self-service banks Number of ATMs (ATMs) Number of smart ATMs (STMs) Number of smart banks Number of business outlets with wheelchair-accessible ramps Number of outlets with caring windows Number of outlets with workers' harbors Our assurance work is limited to the performance information for 2022 selected in the social responsibility report. Other information disclosed in the social responsibility report Information for 2021 and prior years is not within the scope of our work</v>
      </c>
      <c r="B6303" s="1" t="str">
        <f ca="1">IFERROR(__xludf.DUMMYFUNCTION("GOOGLETRANSLATE(A6303, ""zh"", ""en"")"),"supply chain management")</f>
        <v>supply chain management</v>
      </c>
      <c r="C6303" s="1" t="str">
        <f ca="1">IFERROR(__xludf.DUMMYFUNCTION("GOOGLETRANSLATE(E6303, ""zh"", ""en"")"),"Quantitative Text")</f>
        <v>Quantitative Text</v>
      </c>
    </row>
    <row r="6304" spans="1:3" ht="13" x14ac:dyDescent="0.15">
      <c r="A6304" s="1" t="str">
        <f ca="1">IFERROR(__xludf.DUMMYFUNCTION("GOOGLETRANSLATE(A6304, ""zh"", ""en"")"),"Chinese Language and Culture Training Activity Opening Ceremony Visit Tibet Mount Everest Corporate Governance Environment Industry Co-building Employee Community 45 Appendix GRI Standard Index Disclosure Topics Disclosure Item Disclosure Item Title Corre"&amp;"sponding Chapter Basis About This Report GRI102 General Disclosure 2016 Organization Overview 1021 Organization Name Visit Tibet Mount Everest 1022 Activities Brand Products and Services Visit Tibet Mount Everest 1023 Headquarters Location Visit Tibet Mou"&amp;"nt Everest 1026 Markets Served Visit Tibet Mount Everest 1027 Organization Size Visit Tibet Mount Everest Stakeholder Engagement 10240 List of Stakeholder Groups ESG Governance 10242 Stakeholders Identification and Selection of ESG Governance 10243 Stakeh"&amp;"older Engagement Guidelines ESG Governance 10244 Key Topics and Concerns Raised Collective ESG Governance 46 2022 Tibet Mount Everest Sustainability Report Reporting Practices 10245 Entities Covered in the Consolidated Financial Statements About This Repo"&amp;"rt 10246 Defining Report Content and Topic Boundaries About This Report 10247 List of Material Topics ESG Governance 10248 Restatements of Information About This Report 10249 Reporting Changes About This Report 10250 Reporting Period About This Report 102"&amp;"53 Contact Information for Questions Related to the Report About")</f>
        <v>Chinese Language and Culture Training Activity Opening Ceremony Visit Tibet Mount Everest Corporate Governance Environment Industry Co-building Employee Community 45 Appendix GRI Standard Index Disclosure Topics Disclosure Item Disclosure Item Title Corresponding Chapter Basis About This Report GRI102 General Disclosure 2016 Organization Overview 1021 Organization Name Visit Tibet Mount Everest 1022 Activities Brand Products and Services Visit Tibet Mount Everest 1023 Headquarters Location Visit Tibet Mount Everest 1026 Markets Served Visit Tibet Mount Everest 1027 Organization Size Visit Tibet Mount Everest Stakeholder Engagement 10240 List of Stakeholder Groups ESG Governance 10242 Stakeholders Identification and Selection of ESG Governance 10243 Stakeholder Engagement Guidelines ESG Governance 10244 Key Topics and Concerns Raised Collective ESG Governance 46 2022 Tibet Mount Everest Sustainability Report Reporting Practices 10245 Entities Covered in the Consolidated Financial Statements About This Report 10246 Defining Report Content and Topic Boundaries About This Report 10247 List of Material Topics ESG Governance 10248 Restatements of Information About This Report 10249 Reporting Changes About This Report 10250 Reporting Period About This Report 10253 Contact Information for Questions Related to the Report About</v>
      </c>
      <c r="B6304" s="1" t="str">
        <f ca="1">IFERROR(__xludf.DUMMYFUNCTION("GOOGLETRANSLATE(A6304, ""zh"", ""en"")"),"Organizational structure and operations")</f>
        <v>Organizational structure and operations</v>
      </c>
      <c r="C6304" s="1" t="str">
        <f ca="1">IFERROR(__xludf.DUMMYFUNCTION("GOOGLETRANSLATE(E6304, ""zh"", ""en"")"),"Quantitative Text")</f>
        <v>Quantitative Text</v>
      </c>
    </row>
    <row r="6305" spans="1:3" ht="13" x14ac:dyDescent="0.15">
      <c r="A6305" s="1" t="str">
        <f ca="1">IFERROR(__xludf.DUMMYFUNCTION("GOOGLETRANSLATE(A6305, ""zh"", ""en"")"),"Material Topics of This Report GRI 205 Anti-Corruption 2016 2051 Operations Subject to Corruption Risk Assessment Business Ethics 2052 Communication and Training of Anti-Corruption Policies and Procedures Business Ethical Environment GRI 302 Energy 2016 3"&amp;"024 Reduction of Energy Consumption Energy Management 3025 Reduction of Energy Requirements of Products and Services Energy Management GRI 303 Water Resources 2016 GRI 103 Water Resources Management Approach Water Resources Utilization 3033 Water Recyclin"&amp;"g and Reuse Water Resources Utilization GRI 305 Emissions 2016 GRI 103 Emissions Management Approach Emissions Management 3051 Direct Scope 1 Greenhouse Gas Emissions Climate Change 3052 Energy Indirect Category 2 Greenhouse Gas Emissions Climate Change V"&amp;"isit Tibet Mount Everest Corporate Governance Environment Industry Co-building Employee Community 47 3054 Greenhouse Gas Emission Intensity Climate Change GRI 306 Wastewater and Waste 2016 GRI 103 Wastewater and Waste Management Methods Wastewater Managem"&amp;"ent Waste Management 3062 Total Waste by Category and Treatment Method Waste Management GRI 307 Environmental Compliance 2016 GRI 103 Environmental Compliance Management Methods Environmental Management 3071 Violations of Environmental Laws and Regulation"&amp;"s Environmental Management Society GRI 401 Employment 2016 GRI 10")</f>
        <v>Material Topics of This Report GRI 205 Anti-Corruption 2016 2051 Operations Subject to Corruption Risk Assessment Business Ethics 2052 Communication and Training of Anti-Corruption Policies and Procedures Business Ethical Environment GRI 302 Energy 2016 3024 Reduction of Energy Consumption Energy Management 3025 Reduction of Energy Requirements of Products and Services Energy Management GRI 303 Water Resources 2016 GRI 103 Water Resources Management Approach Water Resources Utilization 3033 Water Recycling and Reuse Water Resources Utilization GRI 305 Emissions 2016 GRI 103 Emissions Management Approach Emissions Management 3051 Direct Scope 1 Greenhouse Gas Emissions Climate Change 3052 Energy Indirect Category 2 Greenhouse Gas Emissions Climate Change Visit Tibet Mount Everest Corporate Governance Environment Industry Co-building Employee Community 47 3054 Greenhouse Gas Emission Intensity Climate Change GRI 306 Wastewater and Waste 2016 GRI 103 Wastewater and Waste Management Methods Wastewater Management Waste Management 3062 Total Waste by Category and Treatment Method Waste Management GRI 307 Environmental Compliance 2016 GRI 103 Environmental Compliance Management Methods Environmental Management 3071 Violations of Environmental Laws and Regulations Environmental Management Society GRI 401 Employment 2016 GRI 10</v>
      </c>
      <c r="B6305" s="1" t="str">
        <f ca="1">IFERROR(__xludf.DUMMYFUNCTION("GOOGLETRANSLATE(A6305, ""zh"", ""en"")"),"Legal proceedings and external sanctions")</f>
        <v>Legal proceedings and external sanctions</v>
      </c>
      <c r="C6305" s="1" t="str">
        <f ca="1">IFERROR(__xludf.DUMMYFUNCTION("GOOGLETRANSLATE(E6305, ""zh"", ""en"")"),"Qualitative text")</f>
        <v>Qualitative text</v>
      </c>
    </row>
    <row r="6306" spans="1:3" ht="13" x14ac:dyDescent="0.15">
      <c r="A6306" s="1" t="str">
        <f ca="1">IFERROR(__xludf.DUMMYFUNCTION("GOOGLETRANSLATE(A6306, ""zh"", ""en"")"),"3 Employment Management Approach Employee Benefits 4011 New Hires and Employee Turnover Employee Benefits 4012 Benefits Provided to Full-Time Employees (Excluding Temporary or Part-Time Employees) Employee Benefits GRI 403 Occupational Health and Safety 2"&amp;"016 GRI 103 Occupational Health and Safety Management Approach Health and Safety 4031 Occupational Health and Safety Management System Health and Safety Health and Safety 4032 Hazard Identification, Risk Assessment, and Incident Investigation Health and S"&amp;"afety 4034 Worker Participation, Consultation, and Communication in Occupational Health and Safety 4035 Worker Occupational Health and Safety Training Health and Safety Health and Safety 4039 Occupational Health and Safety GRI 404 Training and Education 2"&amp;"016 GRI 103 Training and Education Management Methods Career Development Promotion and Training 4041 Average Number of Training Hours Per Employee Per Year Promotion and Training 4042 Employee Skills Improvement Program and Transition Assistance Program P"&amp;"romotion and Training 48 2022 Tibet Mount Everest Sustainability Report Company Address No. 65, Beijing Middle Road, Chengguan District, Lhasa, Tibet Autonomous Region Office Address No. 305, Liuying Road, Jing'an District, Shanghai Email: zhufengdbzhufen"&amp;"ggufen.com Official Website: www.xizangzhufeng.c")</f>
        <v>3 Employment Management Approach Employee Benefits 4011 New Hires and Employee Turnover Employee Benefits 4012 Benefits Provided to Full-Time Employees (Excluding Temporary or Part-Time Employees) Employee Benefits GRI 403 Occupational Health and Safety 2016 GRI 103 Occupational Health and Safety Management Approach Health and Safety 4031 Occupational Health and Safety Management System Health and Safety Health and Safety 4032 Hazard Identification, Risk Assessment, and Incident Investigation Health and Safety 4034 Worker Participation, Consultation, and Communication in Occupational Health and Safety 4035 Worker Occupational Health and Safety Training Health and Safety Health and Safety 4039 Occupational Health and Safety GRI 404 Training and Education 2016 GRI 103 Training and Education Management Methods Career Development Promotion and Training 4041 Average Number of Training Hours Per Employee Per Year Promotion and Training 4042 Employee Skills Improvement Program and Transition Assistance Program Promotion and Training 48 2022 Tibet Mount Everest Sustainability Report Company Address No. 65, Beijing Middle Road, Chengguan District, Lhasa, Tibet Autonomous Region Office Address No. 305, Liuying Road, Jing'an District, Shanghai Email: zhufengdbzhufenggufen.com Official Website: www.xizangzhufeng.c</v>
      </c>
      <c r="B6306" s="1" t="str">
        <f ca="1">IFERROR(__xludf.DUMMYFUNCTION("GOOGLETRANSLATE(A6306, ""zh"", ""en"")"),"staff")</f>
        <v>staff</v>
      </c>
      <c r="C6306" s="1" t="str">
        <f ca="1">IFERROR(__xludf.DUMMYFUNCTION("GOOGLETRANSLATE(E6306, ""zh"", ""en"")"),"Qualitative text")</f>
        <v>Qualitative text</v>
      </c>
    </row>
    <row r="6307" spans="1:3" ht="13" x14ac:dyDescent="0.15">
      <c r="A6307" s="1" t="str">
        <f ca="1">IFERROR(__xludf.DUMMYFUNCTION("GOOGLETRANSLATE(A6307, ""zh"", ""en"")"),"You can download the electronic document of this report from the Dima Shares website at https://www.dima.cn/2022DIMA Social Responsibility Report. Thanks to all colleagues who provided information for this report. Quick Read: Dima Responsibility 202242022"&amp;" Dima Shares CSR52022 Dima Shares Honor 6 Dongyuan Group marches forward courageously and fulfills its responsibilities and commitments wholeheartedly. Dima Industry is professionally responsible only for a safe and happy life. Dongyuan Zhixin is people-o"&amp;"riented and creates an organically growing city. 14 Dongyuan Renzhi focuses on service for every moment of peace of mind. 28 Yuanjuchang reconstructs neighborhood relationships and links multiple resources. 301822 Changqingshe follows the trend to provide"&amp;" comprehensive elderly care services. 32 New Consumption Sector New Choices in Consumption New Aesthetics of Cities 24 Technology Empowers Smart Cities and People's Livelihoods 26 Green Buildings 34 Green Construction Green Production 34 35 Green Operatio"&amp;"ns Low-Carbon Big Data 36 38 Employee Big Data 40 Stabilize Employment and Improve Efficiency Fair Employment 40 41 Overcome Difficulties and Fight Against the Epidemic 46 The Path of Public Welfare Perseverance Education and Aid Building a Dream for the "&amp;"Future 48 49 Welfare System Employee Care 41 42 Incentive Mechanism 42 Disaster Relief and Resilience Charitable Donations Remain True to Our Original Aspiration 50 51 Cultural Prosperity Starts from the Heart 52 Rural Revitalization Remains Firm 52 54 Em"&amp;"ployee Safety and Health 43 Training System 44 Communication Mechanism 44 Company Introduction 7 Business Sector 8 20")</f>
        <v>You can download the electronic document of this report from the Dima Shares website at https://www.dima.cn/2022DIMA Social Responsibility Report. Thanks to all colleagues who provided information for this report. Quick Read: Dima Responsibility 202242022 Dima Shares CSR52022 Dima Shares Honor 6 Dongyuan Group marches forward courageously and fulfills its responsibilities and commitments wholeheartedly. Dima Industry is professionally responsible only for a safe and happy life. Dongyuan Zhixin is people-oriented and creates an organically growing city. 14 Dongyuan Renzhi focuses on service for every moment of peace of mind. 28 Yuanjuchang reconstructs neighborhood relationships and links multiple resources. 301822 Changqingshe follows the trend to provide comprehensive elderly care services. 32 New Consumption Sector New Choices in Consumption New Aesthetics of Cities 24 Technology Empowers Smart Cities and People's Livelihoods 26 Green Buildings 34 Green Construction Green Production 34 35 Green Operations Low-Carbon Big Data 36 38 Employee Big Data 40 Stabilize Employment and Improve Efficiency Fair Employment 40 41 Overcome Difficulties and Fight Against the Epidemic 46 The Path of Public Welfare Perseverance Education and Aid Building a Dream for the Future 48 49 Welfare System Employee Care 41 42 Incentive Mechanism 42 Disaster Relief and Resilience Charitable Donations Remain True to Our Original Aspiration 50 51 Cultural Prosperity Starts from the Heart 52 Rural Revitalization Remains Firm 52 54 Employee Safety and Health 43 Training System 44 Communication Mechanism 44 Company Introduction 7 Business Sector 8 20</v>
      </c>
      <c r="B6307" s="1" t="str">
        <f ca="1">IFERROR(__xludf.DUMMYFUNCTION("GOOGLETRANSLATE(A6307, ""zh"", ""en"")"),"irrelevant text")</f>
        <v>irrelevant text</v>
      </c>
      <c r="C6307" s="1" t="str">
        <f ca="1">IFERROR(__xludf.DUMMYFUNCTION("GOOGLETRANSLATE(E6307, ""zh"", ""en"")"),"irrelevant text")</f>
        <v>irrelevant text</v>
      </c>
    </row>
    <row r="6308" spans="1:3" ht="13" x14ac:dyDescent="0.15">
      <c r="A6308" s="1" t="str">
        <f ca="1">IFERROR(__xludf.DUMMYFUNCTION("GOOGLETRANSLATE(A6308, ""zh"", ""en"")"),"All-China Women's Federation National Private Listed Companies ESG Evaluation Top 50 Winner Dima Shares Awarded by All-China Federation of Industry and Commerce Chongqing Charity Award Winner Dima Shares Awarded by Chongqing Municipal Human Resources and "&amp;"Social Security Bureau Civil Affairs Bureau Chongqing Top 100 Private Enterprises Winner Dima Shares Awarded by Chongqing Federation of Industry and Commerce Annual Value Real Estate Listed Company Winner Dima Shares Awarded by National Business Daily 202"&amp;"2 ESG Practice Benchmark Award Winner Dima Shares Awarded by Ta Kung Pao China's Top 100 Private Enterprises for Social Responsibility Winner Dima Shares Awarded by All-China Federation of Industry and Commerce 2022 Excellent Service Enterprise Winner Don"&amp;"gyuan Renzhi Awarded by China Times 2022 China Property Service Southwest Brand Top 20 Winners: Dongyuan Renzhi Award Presenter: China Property Research Association, CRE Property Management National Top Ten Delivery Power Projects Winner: Dongyuan Group A"&amp;"ward Presenter: CRE 2022 Video Marketing Breakthrough Award Winner: Dongyuan Group Award Presenter: Time Weekly 2022 China Real Estate Construction Leading Brand Winner: Dongyuan Group Award Presenter: China Index Academy 2022 Dima Shares Honor List Compa"&amp;"ny Profile, Vision and Mission: Dima Shares SH.600565 was founded in 1997 and listed on the Shanghai Stock Exchange in 2002. It is the first private listed company in Chongqing and the first listed company in China's special vehicle industry.")</f>
        <v>All-China Women's Federation National Private Listed Companies ESG Evaluation Top 50 Winner Dima Shares Awarded by All-China Federation of Industry and Commerce Chongqing Charity Award Winner Dima Shares Awarded by Chongqing Municipal Human Resources and Social Security Bureau Civil Affairs Bureau Chongqing Top 100 Private Enterprises Winner Dima Shares Awarded by Chongqing Federation of Industry and Commerce Annual Value Real Estate Listed Company Winner Dima Shares Awarded by National Business Daily 2022 ESG Practice Benchmark Award Winner Dima Shares Awarded by Ta Kung Pao China's Top 100 Private Enterprises for Social Responsibility Winner Dima Shares Awarded by All-China Federation of Industry and Commerce 2022 Excellent Service Enterprise Winner Dongyuan Renzhi Awarded by China Times 2022 China Property Service Southwest Brand Top 20 Winners: Dongyuan Renzhi Award Presenter: China Property Research Association, CRE Property Management National Top Ten Delivery Power Projects Winner: Dongyuan Group Award Presenter: CRE 2022 Video Marketing Breakthrough Award Winner: Dongyuan Group Award Presenter: Time Weekly 2022 China Real Estate Construction Leading Brand Winner: Dongyuan Group Award Presenter: China Index Academy 2022 Dima Shares Honor List Company Profile, Vision and Mission: Dima Shares SH.600565 was founded in 1997 and listed on the Shanghai Stock Exchange in 2002. It is the first private listed company in Chongqing and the first listed company in China's special vehicle industry.</v>
      </c>
      <c r="B6308" s="1" t="str">
        <f ca="1">IFERROR(__xludf.DUMMYFUNCTION("GOOGLETRANSLATE(A6308, ""zh"", ""en"")"),"Sustainable certification")</f>
        <v>Sustainable certification</v>
      </c>
      <c r="C6308" s="1" t="str">
        <f ca="1">IFERROR(__xludf.DUMMYFUNCTION("GOOGLETRANSLATE(E6308, ""zh"", ""en"")"),"Quantitative Text")</f>
        <v>Quantitative Text</v>
      </c>
    </row>
    <row r="6309" spans="1:3" ht="13" x14ac:dyDescent="0.15">
      <c r="A6309" s="1" t="str">
        <f ca="1">IFERROR(__xludf.DUMMYFUNCTION("GOOGLETRANSLATE(A6309, ""zh"", ""en"")"),"The company's practice of green and low-carbon development to help achieve the dual carbon goals was selected as one of the best ESG practice cases by the China Association of Securities Regulatory Commissions. It participated in the China Petroleum and C"&amp;"hemical Industry Federation's ESG work launch meeting, participated in the China Social Responsibility 100 Forum series of events, and actively and effectively communicated with the Climate Action 100 CA100 investor group on issues such as energy transiti"&amp;"on paths and carbon emissions control. It also held fruitful exchanges with the company's shareholders. It held the China Petroleum Open Day for the fifth consecutive year. It also established a communication mechanism for stakeholders' expectations of co"&amp;"rporate governance 29, stabilized energy supply, promoted harmonious economic and social development, played a leading role in brand technology, paid taxes according to law, contributed corporate experience, and carried out strategic cooperation with rele"&amp;"vant departments. It participated in special seminars and forums, standardized shareholder corporate governance, achieved stable performance growth and sustainable development, fulfilled statutory information disclosure obligations, carried out performanc"&amp;"e roadshows and other communication activities, released regular reports, held performance briefings and investor exchanges, protected employees' basic rights and interests, achieved career development, increased salaries and benefits, elected employee re"&amp;"presentatives to join the Supervisory Board, established trade unions at all levels, held employee representative conferences and reported on their work, held various employee training programs, established a complaint feedback mailbox, achieved fair and "&amp;"transparent procurement for business partners, and achieved win-win cooperation, held bidding meetings, held large-scale cross-border business negotiations and technical exchanges, leveraged the electronic trading platform, shared management experience an"&amp;"d technical standards, negotiated contracts and held regular meetings, and held partner training.")</f>
        <v>The company's practice of green and low-carbon development to help achieve the dual carbon goals was selected as one of the best ESG practice cases by the China Association of Securities Regulatory Commissions. It participated in the China Petroleum and Chemical Industry Federation's ESG work launch meeting, participated in the China Social Responsibility 100 Forum series of events, and actively and effectively communicated with the Climate Action 100 CA100 investor group on issues such as energy transition paths and carbon emissions control. It also held fruitful exchanges with the company's shareholders. It held the China Petroleum Open Day for the fifth consecutive year. It also established a communication mechanism for stakeholders' expectations of corporate governance 29, stabilized energy supply, promoted harmonious economic and social development, played a leading role in brand technology, paid taxes according to law, contributed corporate experience, and carried out strategic cooperation with relevant departments. It participated in special seminars and forums, standardized shareholder corporate governance, achieved stable performance growth and sustainable development, fulfilled statutory information disclosure obligations, carried out performance roadshows and other communication activities, released regular reports, held performance briefings and investor exchanges, protected employees' basic rights and interests, achieved career development, increased salaries and benefits, elected employee representatives to join the Supervisory Board, established trade unions at all levels, held employee representative conferences and reported on their work, held various employee training programs, established a complaint feedback mailbox, achieved fair and transparent procurement for business partners, and achieved win-win cooperation, held bidding meetings, held large-scale cross-border business negotiations and technical exchanges, leveraged the electronic trading platform, shared management experience and technical standards, negotiated contracts and held regular meetings, and held partner training.</v>
      </c>
      <c r="B6309" s="1" t="str">
        <f ca="1">IFERROR(__xludf.DUMMYFUNCTION("GOOGLETRANSLATE(A6309, ""zh"", ""en"")"),"staff")</f>
        <v>staff</v>
      </c>
      <c r="C6309" s="1" t="str">
        <f ca="1">IFERROR(__xludf.DUMMYFUNCTION("GOOGLETRANSLATE(E6309, ""zh"", ""en"")"),"Qualitative text")</f>
        <v>Qualitative text</v>
      </c>
    </row>
    <row r="6310" spans="1:3" ht="13" x14ac:dyDescent="0.15">
      <c r="A6310" s="1" t="str">
        <f ca="1">IFERROR(__xludf.DUMMYFUNCTION("GOOGLETRANSLATE(A6310, ""zh"", ""en"")"),"Taking 2022 as the base year, while maintaining output growth, we will strive to reduce Scope 1 and Scope 2 greenhouse gas emissions per 10,000 yuan of output value by 3% in 2023. Taking 2022 as the base year, while maintaining output growth, we will stri"&amp;"ve to reduce energy consumption per 10,000 yuan of output value by 3% in 2023. Taking 2022 as the base year, while maintaining output growth, we will strive to reduce water consumption per 10,000 yuan of output value by 3% in 2023. Taking 2022 as the base"&amp;" year, while maintaining output growth, we will strive to reduce hazardous waste disposal per 10,000 yuan of output value by 3% in 2023, and dispose of it in compliance with regulations. By 2023, the recycling industry will recycle 6.6 million units of re"&amp;"cycled plastic pellets and 20,000 tons of recycled plastic pellets. By 2025, 100 factories will be ISO50001 certified. By 2025, 100 factories will be ISO14001 certified. By 2025, the waste recovery rate will reach 96% FPA.")</f>
        <v>Taking 2022 as the base year, while maintaining output growth, we will strive to reduce Scope 1 and Scope 2 greenhouse gas emissions per 10,000 yuan of output value by 3% in 2023. Taking 2022 as the base year, while maintaining output growth, we will strive to reduce energy consumption per 10,000 yuan of output value by 3% in 2023. Taking 2022 as the base year, while maintaining output growth, we will strive to reduce water consumption per 10,000 yuan of output value by 3% in 2023. Taking 2022 as the base year, while maintaining output growth, we will strive to reduce hazardous waste disposal per 10,000 yuan of output value by 3% in 2023, and dispose of it in compliance with regulations. By 2023, the recycling industry will recycle 6.6 million units of recycled plastic pellets and 20,000 tons of recycled plastic pellets. By 2025, 100 factories will be ISO50001 certified. By 2025, 100 factories will be ISO14001 certified. By 2025, the waste recovery rate will reach 96% FPA.</v>
      </c>
      <c r="B6310" s="1" t="str">
        <f ca="1">IFERROR(__xludf.DUMMYFUNCTION("GOOGLETRANSLATE(A6310, ""zh"", ""en"")"),"Waste Management")</f>
        <v>Waste Management</v>
      </c>
      <c r="C6310" s="1" t="str">
        <f ca="1">IFERROR(__xludf.DUMMYFUNCTION("GOOGLETRANSLATE(E6310, ""zh"", ""en"")"),"Quantitative Text")</f>
        <v>Quantitative Text</v>
      </c>
    </row>
    <row r="6311" spans="1:3" ht="13" x14ac:dyDescent="0.15">
      <c r="A6311" s="1" t="str">
        <f ca="1">IFERROR(__xludf.DUMMYFUNCTION("GOOGLETRANSLATE(A6311, ""zh"", ""en"")"),"Hope Primary Schools respond to the call for common prosperity and support rural revitalization. We insist on helping those in need and showing responsibility. Our goals for the next 13 years are to integrate people and singles to promote diverse and incl"&amp;"usive development. Flexible and diversified incentive mechanisms empower employees to develop rapidly. Precise care enhances employees' sense of happiness and accomplishment at work. We are committed to achieving a 100% response rate to employee complaint"&amp;"s, 100% employee satisfaction, striving to achieve zero safety accidents, ensuring employee health and safety, 100% employee empowerment and care projects, creating diverse learning scenarios on the platform, enabling intelligent push of learning resource"&amp;"s, focusing on improving employee experience, creating a diverse and open talent system, maximizing people's value, deepening performance reforms, motivating and empowering employees to maximize their own value, and continuing to enhance diversity and... "&amp;"Inclusiveness promotes the development and rights protection of female employees. By 2025, GEA aims to achieve a 40% female workforce and a 40% employee population of color. Goals for the next 13 years include responsible procurement, building a sustainab"&amp;"le supply chain, increasing the social responsibility audit rate of the top 80 suppliers to 90%, recycling 100% of supplier integrity reminders, and providing integrity training. Actively implement dual-carbon projects for the top 80 suppliers and share d"&amp;"ual-carbon green supplier projects. Conduct conflict mineral due diligence on the top 80 existing suppliers. Based on the core action directions clearly defined by the ESG strategy system, we have set 13-year ESG goals and actively taken actions to achiev"&amp;"e them.")</f>
        <v>Hope Primary Schools respond to the call for common prosperity and support rural revitalization. We insist on helping those in need and showing responsibility. Our goals for the next 13 years are to integrate people and singles to promote diverse and inclusive development. Flexible and diversified incentive mechanisms empower employees to develop rapidly. Precise care enhances employees' sense of happiness and accomplishment at work. We are committed to achieving a 100% response rate to employee complaints, 100% employee satisfaction, striving to achieve zero safety accidents, ensuring employee health and safety, 100% employee empowerment and care projects, creating diverse learning scenarios on the platform, enabling intelligent push of learning resources, focusing on improving employee experience, creating a diverse and open talent system, maximizing people's value, deepening performance reforms, motivating and empowering employees to maximize their own value, and continuing to enhance diversity and... Inclusiveness promotes the development and rights protection of female employees. By 2025, GEA aims to achieve a 40% female workforce and a 40% employee population of color. Goals for the next 13 years include responsible procurement, building a sustainable supply chain, increasing the social responsibility audit rate of the top 80 suppliers to 90%, recycling 100% of supplier integrity reminders, and providing integrity training. Actively implement dual-carbon projects for the top 80 suppliers and share dual-carbon green supplier projects. Conduct conflict mineral due diligence on the top 80 existing suppliers. Based on the core action directions clearly defined by the ESG strategy system, we have set 13-year ESG goals and actively taken actions to achieve them.</v>
      </c>
      <c r="B6311" s="1" t="str">
        <f ca="1">IFERROR(__xludf.DUMMYFUNCTION("GOOGLETRANSLATE(A6311, ""zh"", ""en"")"),"staff")</f>
        <v>staff</v>
      </c>
      <c r="C6311" s="1" t="str">
        <f ca="1">IFERROR(__xludf.DUMMYFUNCTION("GOOGLETRANSLATE(E6311, ""zh"", ""en"")"),"Qualitative text")</f>
        <v>Qualitative text</v>
      </c>
    </row>
    <row r="6312" spans="1:3" ht="13" x14ac:dyDescent="0.15">
      <c r="A6312" s="1" t="str">
        <f ca="1">IFERROR(__xludf.DUMMYFUNCTION("GOOGLETRANSLATE(A6312, ""zh"", ""en"")"),"The first release of Zhejiang Zhongda Group Co., Ltd.'s 2009 Social Responsibility Report was in April 2010. The second release of Zhejiang Zhongda Group Co., Ltd.'s 2010 Social Responsibility Report was in April 2011. The third release of Zhejiang Wuchan"&amp;" Zhongda Yuantong Group Co., Ltd.'s 2011 Social Responsibility Report was in April 2012. The fourth release of Zhejiang Wuchan Zhongda Yuantong Group Co., Ltd.'s 2012 Social Responsibility Report was in April 2013. The fifth release of Zhejiang Wuchan Zho"&amp;"ngda Yuantong Group Co., Ltd.'s 2013 Social Responsibility Report was in April 2014. The sixth release of Zhejiang Wuchan Zhongda Yuantong Group Co., Ltd.'s 2015 Social Responsibility Report was in March 2016. 2014 Social Responsibility Report (7th releas"&amp;"e, April 2016) 2015 Social Responsibility Report (8th release, April 2017) 2016 Social Responsibility Report (9th release, April 2018) 2017 Social Responsibility Report (10th release, April 2019) 2018 Social Responsibility Report (11th release, April 2020"&amp;") 2019 Social Responsibility Report (12th release, April 2021)")</f>
        <v>The first release of Zhejiang Zhongda Group Co., Ltd.'s 2009 Social Responsibility Report was in April 2010. The second release of Zhejiang Zhongda Group Co., Ltd.'s 2010 Social Responsibility Report was in April 2011. The third release of Zhejiang Wuchan Zhongda Yuantong Group Co., Ltd.'s 2011 Social Responsibility Report was in April 2012. The fourth release of Zhejiang Wuchan Zhongda Yuantong Group Co., Ltd.'s 2012 Social Responsibility Report was in April 2013. The fifth release of Zhejiang Wuchan Zhongda Yuantong Group Co., Ltd.'s 2013 Social Responsibility Report was in April 2014. The sixth release of Zhejiang Wuchan Zhongda Yuantong Group Co., Ltd.'s 2015 Social Responsibility Report was in March 2016. 2014 Social Responsibility Report (7th release, April 2016) 2015 Social Responsibility Report (8th release, April 2017) 2016 Social Responsibility Report (9th release, April 2018) 2017 Social Responsibility Report (10th release, April 2019) 2018 Social Responsibility Report (11th release, April 2020) 2019 Social Responsibility Report (12th release, April 2021)</v>
      </c>
      <c r="B6312" s="1" t="str">
        <f ca="1">IFERROR(__xludf.DUMMYFUNCTION("GOOGLETRANSLATE(A6312, ""zh"", ""en"")"),"Information Disclosure and Investor Communication")</f>
        <v>Information Disclosure and Investor Communication</v>
      </c>
      <c r="C6312" s="1" t="str">
        <f ca="1">IFERROR(__xludf.DUMMYFUNCTION("GOOGLETRANSLATE(E6312, ""zh"", ""en"")"),"Quantitative Text")</f>
        <v>Quantitative Text</v>
      </c>
    </row>
    <row r="6313" spans="1:3" ht="13" x14ac:dyDescent="0.15">
      <c r="A6313" s="1" t="str">
        <f ca="1">IFERROR(__xludf.DUMMYFUNCTION("GOOGLETRANSLATE(A6313, ""zh"", ""en"")"),"We have ensured zero accidents, safeguarded the planet, explored a green and low-carbon future, achieved green certification for energy conservation and emission reduction, recycled 6.13 million used household appliances, dismantled factories, established"&amp;" strategic partnerships with over 40 strategic partners, established over 1,300 recycling companies, and established 2,624 recycling networks in districts and counties. We have promoted diversified and inclusive development through the integration of peop"&amp;"le and singles. We have organized 697 factory emergency drills with a total of 132,000 participants, 721 park emergency drills with a total of 7,882 participants, and 59,887 participants in the Safety Production Month activities. We have completed 14,000 "&amp;"physical examinations for operators in positions with occupational hazards and provided psychological counseling for 720 people. The trade union has organized over 1,000 employee activities, resolved 100 employee complaints, and attracted technology profe"&amp;"ssionals from 53 countries. Talent: 1,085 people; Employee training coverage: 100%; Average training time per employee: 70.5 hours; Union coverage: 100%; Special collective contract signing rate for female employees: 100%; Zero illegal or irregular employ"&amp;"ment incidents; Employee development and training; Employee health and safety; Employee care; Global suppliers: 3,831; Newly introduced suppliers: 165; 1,086 suppliers obtained ISO9000 certification; 629 suppliers obtained ISO14000 certification; 112 supp"&amp;"liers obtained ISOTS16949 certification; 21 suppliers obtained OHSAS18001 certification; 20 suppliers obtained ISO45001 certification; Supplier integrity reminder letter signing rate: 100; Supplier conflict minerals survey: 1,401 suppliers; Dual carbon su"&amp;"rvey: 2")</f>
        <v>We have ensured zero accidents, safeguarded the planet, explored a green and low-carbon future, achieved green certification for energy conservation and emission reduction, recycled 6.13 million used household appliances, dismantled factories, established strategic partnerships with over 40 strategic partners, established over 1,300 recycling companies, and established 2,624 recycling networks in districts and counties. We have promoted diversified and inclusive development through the integration of people and singles. We have organized 697 factory emergency drills with a total of 132,000 participants, 721 park emergency drills with a total of 7,882 participants, and 59,887 participants in the Safety Production Month activities. We have completed 14,000 physical examinations for operators in positions with occupational hazards and provided psychological counseling for 720 people. The trade union has organized over 1,000 employee activities, resolved 100 employee complaints, and attracted technology professionals from 53 countries. Talent: 1,085 people; Employee training coverage: 100%; Average training time per employee: 70.5 hours; Union coverage: 100%; Special collective contract signing rate for female employees: 100%; Zero illegal or irregular employment incidents; Employee development and training; Employee health and safety; Employee care; Global suppliers: 3,831; Newly introduced suppliers: 165; 1,086 suppliers obtained ISO9000 certification; 629 suppliers obtained ISO14000 certification; 112 suppliers obtained ISOTS16949 certification; 21 suppliers obtained OHSAS18001 certification; 20 suppliers obtained ISO45001 certification; Supplier integrity reminder letter signing rate: 100; Supplier conflict minerals survey: 1,401 suppliers; Dual carbon survey: 2</v>
      </c>
      <c r="B6313" s="1" t="str">
        <f ca="1">IFERROR(__xludf.DUMMYFUNCTION("GOOGLETRANSLATE(A6313, ""zh"", ""en"")"),"staff")</f>
        <v>staff</v>
      </c>
      <c r="C6313" s="1" t="str">
        <f ca="1">IFERROR(__xludf.DUMMYFUNCTION("GOOGLETRANSLATE(E6313, ""zh"", ""en"")"),"Quantitative Text")</f>
        <v>Quantitative Text</v>
      </c>
    </row>
    <row r="6314" spans="1:3" ht="13" x14ac:dyDescent="0.15">
      <c r="A6314" s="1" t="str">
        <f ca="1">IFERROR(__xludf.DUMMYFUNCTION("GOOGLETRANSLATE(A6314, ""zh"", ""en"")"),"00 suppliers have been audited for social responsibility. 221 suppliers have been audited in two years. The total audit percentage is 59. 100 supply chain factories have passed ISO14001 environmental management system certification. All factories in the d"&amp;"omestic operation area have passed ISO9001 quality management system certification. The product recall rate is 0. The product defect rate has decreased by 25% year-on-year.")</f>
        <v>00 suppliers have been audited for social responsibility. 221 suppliers have been audited in two years. The total audit percentage is 59. 100 supply chain factories have passed ISO14001 environmental management system certification. All factories in the domestic operation area have passed ISO9001 quality management system certification. The product recall rate is 0. The product defect rate has decreased by 25% year-on-year.</v>
      </c>
      <c r="B6314" s="1" t="str">
        <f ca="1">IFERROR(__xludf.DUMMYFUNCTION("GOOGLETRANSLATE(A6314, ""zh"", ""en"")"),"Product quality")</f>
        <v>Product quality</v>
      </c>
      <c r="C6314" s="1" t="str">
        <f ca="1">IFERROR(__xludf.DUMMYFUNCTION("GOOGLETRANSLATE(E6314, ""zh"", ""en"")"),"Quantitative Text")</f>
        <v>Quantitative Text</v>
      </c>
    </row>
    <row r="6315" spans="1:3" ht="13" x14ac:dyDescent="0.15">
      <c r="A6315" s="1" t="str">
        <f ca="1">IFERROR(__xludf.DUMMYFUNCTION("GOOGLETRANSLATE(A6315, ""zh"", ""en"")"),"The user complaint rate was 0.17, the complaint settlement rate and the resolution satisfaction rate were both 100%. 6,466 online training sessions and 20,010 offline training sessions were conducted to improve service quality, with 178,427 service person"&amp;"nel participating. A total of more than 92,000 patent applications were filed, including more than 59,000 invention patents, more than 16,000 overseas invention patents, and 11 national patent gold awards were obtained. During the reporting period, a tota"&amp;"l of 10,441 patents were authorized, including 3,963 invention patents. A total of 40,391 patents were owned, including 16,738 invention patents.")</f>
        <v>The user complaint rate was 0.17, the complaint settlement rate and the resolution satisfaction rate were both 100%. 6,466 online training sessions and 20,010 offline training sessions were conducted to improve service quality, with 178,427 service personnel participating. A total of more than 92,000 patent applications were filed, including more than 59,000 invention patents, more than 16,000 overseas invention patents, and 11 national patent gold awards were obtained. During the reporting period, a total of 10,441 patents were authorized, including 3,963 invention patents. A total of 40,391 patents were owned, including 16,738 invention patents.</v>
      </c>
      <c r="B6315" s="1" t="str">
        <f ca="1">IFERROR(__xludf.DUMMYFUNCTION("GOOGLETRANSLATE(A6315, ""zh"", ""en"")"),"Technological innovation")</f>
        <v>Technological innovation</v>
      </c>
      <c r="C6315" s="1" t="str">
        <f ca="1">IFERROR(__xludf.DUMMYFUNCTION("GOOGLETRANSLATE(E6315, ""zh"", ""en"")"),"Quantitative Text")</f>
        <v>Quantitative Text</v>
      </c>
    </row>
    <row r="6316" spans="1:3" ht="13" x14ac:dyDescent="0.15">
      <c r="A6316" s="1" t="str">
        <f ca="1">IFERROR(__xludf.DUMMYFUNCTION("GOOGLETRANSLATE(A6316, ""zh"", ""en"")"),"The Hope Project has invested a total of 128 million yuan to build 366 Hope Schools, and its annual public welfare donations have exceeded 19 million yuan.")</f>
        <v>The Hope Project has invested a total of 128 million yuan to build 366 Hope Schools, and its annual public welfare donations have exceeded 19 million yuan.</v>
      </c>
      <c r="B6316" s="1" t="str">
        <f ca="1">IFERROR(__xludf.DUMMYFUNCTION("GOOGLETRANSLATE(A6316, ""zh"", ""en"")"),"Public welfare and volunteer service")</f>
        <v>Public welfare and volunteer service</v>
      </c>
      <c r="C6316" s="1" t="str">
        <f ca="1">IFERROR(__xludf.DUMMYFUNCTION("GOOGLETRANSLATE(E6316, ""zh"", ""en"")"),"Quantitative Text")</f>
        <v>Quantitative Text</v>
      </c>
    </row>
    <row r="6317" spans="1:3" ht="13" x14ac:dyDescent="0.15">
      <c r="A6317" s="1" t="str">
        <f ca="1">IFERROR(__xludf.DUMMYFUNCTION("GOOGLETRANSLATE(A6317, ""zh"", ""en"")"),"1112 Indicators Total assets Operating income Number of R&amp;D personnel R&amp;D personnel ratio R&amp;D investment R&amp;D investment ratio of operating income Number of patents applied for Number of newly authorized patents Customer satisfaction Unit 100 million yuan "&amp;"100 million yuan Person 100 million yuan Item 2021 354.06205.49174210.8410.615.161828890.70360.23223.38175810.9411.345.082801472020 324.23206.8168211.189.374.609711890.112022 operating charities Some responsibilities fulfilled in 2022 Honors and awards in"&amp;"dicators Total charitable donations Rural revitalization investment Number of volunteer activities Number of employees participating in volunteer activities Unit 10,000 yuan 10,000 yuan Number of employees 2021 50 10.57 269.33 25 23 00 2020 51 28.23 112.0"&amp;"3 2021 00 2022 47 0 5.66 87 26 24 00 Issuing organization Ministry of Industry and Information Technology China Enterprise Confederation China Enterprise Confederation All-China Federation of Industry and Commerce Hubei Enterprise Confederation Hubei Ente"&amp;"rprise Confederation Hubei Federation of Industry and Commerce Hubei Federation of Industry and Commerce Hubei Provincial Market Supervision Administration Wuhan Enterprise Confederation Wuhan Enterprise Confederation Wuhan Federation of Industry and Comm"&amp;"erce Wuhan Federation of Industry and Commerce Wuhan State-owned Assets Supervision and Administration Commission Wuhan Academy of Social Sciences Wuhan Federation of Industry and Commerce Yangtze River Daily Newspaper Group")</f>
        <v>1112 Indicators Total assets Operating income Number of R&amp;D personnel R&amp;D personnel ratio R&amp;D investment R&amp;D investment ratio of operating income Number of patents applied for Number of newly authorized patents Customer satisfaction Unit 100 million yuan 100 million yuan Person 100 million yuan Item 2021 354.06205.49174210.8410.615.161828890.70360.23223.38175810.9411.345.082801472020 324.23206.8168211.189.374.609711890.112022 operating charities Some responsibilities fulfilled in 2022 Honors and awards indicators Total charitable donations Rural revitalization investment Number of volunteer activities Number of employees participating in volunteer activities Unit 10,000 yuan 10,000 yuan Number of employees 2021 50 10.57 269.33 25 23 00 2020 51 28.23 112.03 2021 00 2022 47 0 5.66 87 26 24 00 Issuing organization Ministry of Industry and Information Technology China Enterprise Confederation China Enterprise Confederation All-China Federation of Industry and Commerce Hubei Enterprise Confederation Hubei Enterprise Confederation Hubei Federation of Industry and Commerce Hubei Federation of Industry and Commerce Hubei Provincial Market Supervision Administration Wuhan Enterprise Confederation Wuhan Enterprise Confederation Wuhan Federation of Industry and Commerce Wuhan Federation of Industry and Commerce Wuhan State-owned Assets Supervision and Administration Commission Wuhan Academy of Social Sciences Wuhan Federation of Industry and Commerce Yangtze River Daily Newspaper Group</v>
      </c>
      <c r="B6317" s="1" t="str">
        <f ca="1">IFERROR(__xludf.DUMMYFUNCTION("GOOGLETRANSLATE(A6317, ""zh"", ""en"")"),"Public welfare and volunteer service")</f>
        <v>Public welfare and volunteer service</v>
      </c>
      <c r="C6317" s="1" t="str">
        <f ca="1">IFERROR(__xludf.DUMMYFUNCTION("GOOGLETRANSLATE(E6317, ""zh"", ""en"")"),"Quantitative Text")</f>
        <v>Quantitative Text</v>
      </c>
    </row>
    <row r="6318" spans="1:3" ht="13" x14ac:dyDescent="0.15">
      <c r="A6318" s="1" t="str">
        <f ca="1">IFERROR(__xludf.DUMMYFUNCTION("GOOGLETRANSLATE(A6318, ""zh"", ""en"")"),"Jointly awarded by Wuhan Municipal Anti-Drug Committee, Wuhan Municipal Committee of the Communist Party of China Military-Civilian Integration Development Committee, MinEnet Award Name: 28th among the Top 100 Chinese Pharmaceutical Industrial Enterprises"&amp;", 71st among the Top 100 Chinese Large Enterprises for Innovation, 426th among the Top 500 Chinese Manufacturing Enterprises, 357th among the Top 500 Chinese Private Manufacturing Enterprises, 44th among the Top 100 Hubei Enterprises, 17th among the Top 1"&amp;"00 Hubei Manufacturing Enterprises, 25th among the Top 100 Private Enterprises in Hubei Province, 9th among the Top 100 Private Manufacturing Enterprises in Hubei Province, 35th among the Top 100 Wuhan Enterprises, 7th among the Top 100 Wuhan Manufacturin"&amp;"g Enterprises, 17th among the Top 100 Wuhan Private Manufacturing Enterprises, and 2nd among the Top 50 Wuhan Private Manufacturing Enterprises. Social Responsibility Case Award Wuhan City Anti-Drug Pioneer Wuhan City Military-Civilian Integration Unit Ra"&amp;"nked 13th in the Top 100 Chinese Chemical Pharmaceutical Companies Employee Indicators Total number of employees Turnover rate Labor contract signing rate Social insurance coverage rate Physical examination coverage rate Percentage of female senior manage"&amp;"rs Employee training investment per unit Personnel 10,000 yuan 2020 1504214.7810010010021.313342021 1607215.2810010010020.314232022 1607015.1310010010019.30352 Safety Indicators Annual work-related injury mortality rate of employees Annual serious injury "&amp;"rate of employees Major fire and explosion accidents Major environmental pollution accidents Major occupational diseases")</f>
        <v>Jointly awarded by Wuhan Municipal Anti-Drug Committee, Wuhan Municipal Committee of the Communist Party of China Military-Civilian Integration Development Committee, MinEnet Award Name: 28th among the Top 100 Chinese Pharmaceutical Industrial Enterprises, 71st among the Top 100 Chinese Large Enterprises for Innovation, 426th among the Top 500 Chinese Manufacturing Enterprises, 357th among the Top 500 Chinese Private Manufacturing Enterprises, 44th among the Top 100 Hubei Enterprises, 17th among the Top 100 Hubei Manufacturing Enterprises, 25th among the Top 100 Private Enterprises in Hubei Province, 9th among the Top 100 Private Manufacturing Enterprises in Hubei Province, 35th among the Top 100 Wuhan Enterprises, 7th among the Top 100 Wuhan Manufacturing Enterprises, 17th among the Top 100 Wuhan Private Manufacturing Enterprises, and 2nd among the Top 50 Wuhan Private Manufacturing Enterprises. Social Responsibility Case Award Wuhan City Anti-Drug Pioneer Wuhan City Military-Civilian Integration Unit Ranked 13th in the Top 100 Chinese Chemical Pharmaceutical Companies Employee Indicators Total number of employees Turnover rate Labor contract signing rate Social insurance coverage rate Physical examination coverage rate Percentage of female senior managers Employee training investment per unit Personnel 10,000 yuan 2020 1504214.7810010010021.313342021 1607215.2810010010020.314232022 1607015.1310010010019.30352 Safety Indicators Annual work-related injury mortality rate of employees Annual serious injury rate of employees Major fire and explosion accidents Major environmental pollution accidents Major occupational diseases</v>
      </c>
      <c r="B6318" s="1" t="str">
        <f ca="1">IFERROR(__xludf.DUMMYFUNCTION("GOOGLETRANSLATE(A6318, ""zh"", ""en"")"),"staff")</f>
        <v>staff</v>
      </c>
      <c r="C6318" s="1" t="str">
        <f ca="1">IFERROR(__xludf.DUMMYFUNCTION("GOOGLETRANSLATE(E6318, ""zh"", ""en"")"),"Quantitative Text")</f>
        <v>Quantitative Text</v>
      </c>
    </row>
    <row r="6319" spans="1:3" ht="13" x14ac:dyDescent="0.15">
      <c r="A6319" s="1" t="str">
        <f ca="1">IFERROR(__xludf.DUMMYFUNCTION("GOOGLETRANSLATE(A6319, ""zh"", ""en"")"),"The 14th Five-Year Plan period is an important period for the company to implement the new development concept and achieve high-quality transformation and development. It is also an important period for the company to seize development opportunities and a"&amp;"ccelerate production. 5354 Shenma Industrial Co., Ltd. 20.21 Social Responsibility Report Appendix Key Responsibility Performance Total Options Sub-options 2021 Appendix Key Responsibility Performance Proportion of disabled people employed 1.0 Total socia"&amp;"l security amount RMB 10,000 26951.36 Percentage of employees covered 100 Recruitment expenses paid RMB 10,000 4.09 Environmental performance Percentage of employees covered by collective agreements 100 Total Options Sub-options 2020 2021 Percentage of em"&amp;"ployees covered by formal collective agreements on working conditions 100 Percentage of employees covered by formally elected employee representatives 10 Product usage Number of product recalls 6 Customer satisfaction 98.1198.11 Working conditions Employe"&amp;"es who enjoyed maternity leave and paternity leave 138 Customer health and safety Product-related safety incidents 00 Number of people who returned to work after maternity leave and paternity leave 138 Energy consumption Electricity consumption MWh 829021"&amp;".20817531.70 Employees who were still employed within 12 months after returning to work 138 Total water consumption, tons 545820827.8040701199.20 Percentage of employees who received regular performance and career development evaluations 100 Water resourc"&amp;"es Wastewater discharge, tons 71838508462128 Percentage of employees who received vocational or skill-related training 100 Water resources recycled, tons 534217741.20")</f>
        <v>The 14th Five-Year Plan period is an important period for the company to implement the new development concept and achieve high-quality transformation and development. It is also an important period for the company to seize development opportunities and accelerate production. 5354 Shenma Industrial Co., Ltd. 20.21 Social Responsibility Report Appendix Key Responsibility Performance Total Options Sub-options 2021 Appendix Key Responsibility Performance Proportion of disabled people employed 1.0 Total social security amount RMB 10,000 26951.36 Percentage of employees covered 100 Recruitment expenses paid RMB 10,000 4.09 Environmental performance Percentage of employees covered by collective agreements 100 Total Options Sub-options 2020 2021 Percentage of employees covered by formal collective agreements on working conditions 100 Percentage of employees covered by formally elected employee representatives 10 Product usage Number of product recalls 6 Customer satisfaction 98.1198.11 Working conditions Employees who enjoyed maternity leave and paternity leave 138 Customer health and safety Product-related safety incidents 00 Number of people who returned to work after maternity leave and paternity leave 138 Energy consumption Electricity consumption MWh 829021.20817531.70 Employees who were still employed within 12 months after returning to work 138 Total water consumption, tons 545820827.8040701199.20 Percentage of employees who received regular performance and career development evaluations 100 Water resources Wastewater discharge, tons 71838508462128 Percentage of employees who received vocational or skill-related training 100 Water resources recycled, tons 534217741.20</v>
      </c>
      <c r="B6319" s="1" t="str">
        <f ca="1">IFERROR(__xludf.DUMMYFUNCTION("GOOGLETRANSLATE(A6319, ""zh"", ""en"")"),"staff")</f>
        <v>staff</v>
      </c>
      <c r="C6319" s="1" t="str">
        <f ca="1">IFERROR(__xludf.DUMMYFUNCTION("GOOGLETRANSLATE(E6319, ""zh"", ""en"")"),"Quantitative Text")</f>
        <v>Quantitative Text</v>
      </c>
    </row>
    <row r="6320" spans="1:3" ht="13" x14ac:dyDescent="0.15">
      <c r="A6320" s="1" t="str">
        <f ca="1">IFERROR(__xludf.DUMMYFUNCTION("GOOGLETRANSLATE(A6320, ""zh"", ""en"")"),"Number of information security training sessions conducted more than twice a year Percentage of employees trained in the total number of employees 2 times 100 Frequency of safety inspections Number of reports received by the company 7 Inspection cycle for"&amp;" special equipment Once a year Number of reports of confirmed incidents or legal proceedings 1 Number of safety training hours per person 606 times 38 hours Percentage of business locations that have undergone internal audit risk assessments for business "&amp;"ethics issues in the total number of business locations 100 Employee personal protective equipment rate 100 Legal proceedings in the area of ​​business ethics Employee health and safety Number of work-related deaths in 2021 0 Number of work-related injuri"&amp;"es Sustainable procurement performance 5 Number of people suffering from occupational diseases 0 Option Percentage of sites that have conducted employee health and safety risk assessments in 2021 in all workplaces 100 Sustainable procurement charter for S"&amp;"upplier Code of Conduct 100 Employees representing Health and Safety Committees as a percentage of all employees in all regions 12 Percentage of suppliers that have signed agreements that include environmental, labor, and human rights requirements 100 Per"&amp;"centage of ISO45001 certified operating sites as a percentage of all sites 75 Percentage of target suppliers that have undergone Corporate Social Responsibility (CSR) assessments, such as questionnaires 100 Total number of employees 10358 Percentage of ta"&amp;"rget suppliers that have undergone CSR on-site audits 40 Working conditions Percentage of women in senior management positions 16.67 Percentage of buyers within the company who have received sustainable procurement training 100 Percentage of employees fro"&amp;"m ethnic minorities and/or underrepresented groups in senior management positions 4.2 Environmental issues that occurred in 2021 at the supplier")</f>
        <v>Number of information security training sessions conducted more than twice a year Percentage of employees trained in the total number of employees 2 times 100 Frequency of safety inspections Number of reports received by the company 7 Inspection cycle for special equipment Once a year Number of reports of confirmed incidents or legal proceedings 1 Number of safety training hours per person 606 times 38 hours Percentage of business locations that have undergone internal audit risk assessments for business ethics issues in the total number of business locations 100 Employee personal protective equipment rate 100 Legal proceedings in the area of ​​business ethics Employee health and safety Number of work-related deaths in 2021 0 Number of work-related injuries Sustainable procurement performance 5 Number of people suffering from occupational diseases 0 Option Percentage of sites that have conducted employee health and safety risk assessments in 2021 in all workplaces 100 Sustainable procurement charter for Supplier Code of Conduct 100 Employees representing Health and Safety Committees as a percentage of all employees in all regions 12 Percentage of suppliers that have signed agreements that include environmental, labor, and human rights requirements 100 Percentage of ISO45001 certified operating sites as a percentage of all sites 75 Percentage of target suppliers that have undergone Corporate Social Responsibility (CSR) assessments, such as questionnaires 100 Total number of employees 10358 Percentage of target suppliers that have undergone CSR on-site audits 40 Working conditions Percentage of women in senior management positions 16.67 Percentage of buyers within the company who have received sustainable procurement training 100 Percentage of employees from ethnic minorities and/or underrepresented groups in senior management positions 4.2 Environmental issues that occurred in 2021 at the supplier</v>
      </c>
      <c r="B6320" s="1" t="str">
        <f ca="1">IFERROR(__xludf.DUMMYFUNCTION("GOOGLETRANSLATE(A6320, ""zh"", ""en"")"),"Legal proceedings and external sanctions")</f>
        <v>Legal proceedings and external sanctions</v>
      </c>
      <c r="C6320" s="1" t="str">
        <f ca="1">IFERROR(__xludf.DUMMYFUNCTION("GOOGLETRANSLATE(E6320, ""zh"", ""en"")"),"Quantitative Text")</f>
        <v>Quantitative Text</v>
      </c>
    </row>
    <row r="6321" spans="1:3" ht="13" x14ac:dyDescent="0.15">
      <c r="A6321" s="1" t="str">
        <f ca="1">IFERROR(__xludf.DUMMYFUNCTION("GOOGLETRANSLATE(A6321, ""zh"", ""en"")"),"Name of association Role Entity Name Beijing Artificial Intelligence Industry Alliance Beijing Software Association Industrial Internet Industry Alliance Internet Society of China Beijing Network Industry Association China Copyright Association China Inte"&amp;"rnet Society Federation China Cyberspace Security Association China Network Audiovisual Program Services Association Zhejiang Network Audiovisual Association World Internet Conference Vice Chairman Member Vice Chairman Vice Chairman Ordinary Member Unit S"&amp;"tanding Director Unit Standing Director Unit Vice Director Unit Ordinary Member Unit Standing Director Unit Senior Member Unit Beijing Qihoo Technology Co., Ltd. Beijing Qihoo Technology Co., Ltd. 360 Security Technology Co., Ltd. 360 Security Technology "&amp;"Co., Ltd. Beijing Qihoo Technology Co., Ltd. 360 Security Technology Co., Ltd. 360 Security Technology Co., Ltd. Beijing Qihoo Technology Co., Ltd., Wenzhou Xunchi Digital Technology Co., Ltd., Beijing Qihoo Technology Co., Ltd., Wenzhou Xunchi Digital Te"&amp;"chnology Co., Ltd., Beijing Hongying Information Technology Co., Ltd. .. Global Reporting Initiative (GRI) Content Index: Exploring ESG Management: Responsibility, Safety First, People First, Mutual Benefit and Win-Win. GRI Content Index: www..cn. Disclos"&amp;"ure Item: Disclosure Location: GRI General Disclosures. Organizational Details: Entities Included in the Organization's Sustainability Report. Reporting Period: Reporting Frequency and Contact Information: Restatement. External Assurance Activities: Value"&amp;" Chain and Other Business Relationships. Employees: Non-employees. Governance Structure and Composition: Nomination and Selection of the Highest Governance Body. The Highest Governance Body's Chair's Oversight Role in Managing Impacts: Responsibility for "&amp;"Managing Impacts.")</f>
        <v>Name of association Role Entity Name Beijing Artificial Intelligence Industry Alliance Beijing Software Association Industrial Internet Industry Alliance Internet Society of China Beijing Network Industry Association China Copyright Association China Internet Society Federation China Cyberspace Security Association China Network Audiovisual Program Services Association Zhejiang Network Audiovisual Association World Internet Conference Vice Chairman Member Vice Chairman Vice Chairman Ordinary Member Unit Standing Director Unit Standing Director Unit Vice Director Unit Ordinary Member Unit Standing Director Unit Senior Member Unit Beijing Qihoo Technology Co., Ltd. Beijing Qihoo Technology Co., Ltd. 360 Security Technology Co., Ltd. 360 Security Technology Co., Ltd. Beijing Qihoo Technology Co., Ltd. 360 Security Technology Co., Ltd. 360 Security Technology Co., Ltd. Beijing Qihoo Technology Co., Ltd., Wenzhou Xunchi Digital Technology Co., Ltd., Beijing Qihoo Technology Co., Ltd., Wenzhou Xunchi Digital Technology Co., Ltd., Beijing Hongying Information Technology Co., Ltd. .. Global Reporting Initiative (GRI) Content Index: Exploring ESG Management: Responsibility, Safety First, People First, Mutual Benefit and Win-Win. GRI Content Index: www..cn. Disclosure Item: Disclosure Location: GRI General Disclosures. Organizational Details: Entities Included in the Organization's Sustainability Report. Reporting Period: Reporting Frequency and Contact Information: Restatement. External Assurance Activities: Value Chain and Other Business Relationships. Employees: Non-employees. Governance Structure and Composition: Nomination and Selection of the Highest Governance Body. The Highest Governance Body's Chair's Oversight Role in Managing Impacts: Responsibility for Managing Impacts.</v>
      </c>
      <c r="B6321" s="1" t="str">
        <f ca="1">IFERROR(__xludf.DUMMYFUNCTION("GOOGLETRANSLATE(A6321, ""zh"", ""en"")"),"Organizational structure and operations")</f>
        <v>Organizational structure and operations</v>
      </c>
      <c r="C6321" s="1" t="str">
        <f ca="1">IFERROR(__xludf.DUMMYFUNCTION("GOOGLETRANSLATE(E6321, ""zh"", ""en"")"),"Qualitative text")</f>
        <v>Qualitative text</v>
      </c>
    </row>
    <row r="6322" spans="1:3" ht="13" x14ac:dyDescent="0.15">
      <c r="A6322" s="1" t="str">
        <f ca="1">IFERROR(__xludf.DUMMYFUNCTION("GOOGLETRANSLATE(A6322, ""zh"", ""en"")"),"Authorization for Appointment; Role of the Highest Governance Body in the Sustainability Report; Conflicts of Interest; Communication of Significant Concerns; Shared Knowledge of the Highest Governance Body; Remuneration Policy; Procedure for Determining "&amp;"Remuneration; Statement on Sustainability Strategy; About 360; About 360; About 360; About This Report; Responsible Supply Chain; People-Oriented High-Quality Development; Protecting Employee Rights and Interests; Legal and Compliance Operation ... ESG Ma"&amp;"nagement; ESG Management; Talent Cultivation and Development; Talent Cultivation and Development; ESG Management; Disclosure Items; Disclosure Location; GRI Material Topics; Process for Identifying Material Topics; List of Material Topics; Management of M"&amp;"aterial Topics; ESG Management; ESG Management; Disclosure Items; Disclosure Location; GRI Material Topics; I. Indirect Economic Impacts; Infrastructure Investment and Support Services; Significant Indirect Economic Impacts; Contribution to Social Welfare"&amp;"; Disclosure Item; Location of Disclosure; GRI; Economic Performance; Defined Benefit Plan Obligations and Other Retirement Plans; Employee Benefits and Care; Disclosure Item; Location of Disclosure; Compliance with Laws and Regulations; Membership of Ass"&amp;"ociations; Methods of Stakeholder Engagement; Legal and Compliant Operations; Contribution to Industry Development; ESG Management; Disclosure Item; Location of Disclosure; GRI; Anti-Corruption; Operational Points for Corruption Risk Assessment; Communica"&amp;"tion and Training of Anti-Corruption Policies and Procedures; Confirmed Corruption Incidents and Actions Taken; Business Ethics and Anti-Corruption; Business Ethics and Anti-Corruption; Business Ethics and Anti-Corruption; Disclosure Item; Location of Dis"&amp;"closure; GRI; Employment; New Employees; Hiring Rates and Employee Turnover Rates are provided for full-time employees and do not include temporary or part-time employees.")</f>
        <v>Authorization for Appointment; Role of the Highest Governance Body in the Sustainability Report; Conflicts of Interest; Communication of Significant Concerns; Shared Knowledge of the Highest Governance Body; Remuneration Policy; Procedure for Determining Remuneration; Statement on Sustainability Strategy; About 360; About 360; About 360; About This Report; Responsible Supply Chain; People-Oriented High-Quality Development; Protecting Employee Rights and Interests; Legal and Compliance Operation ... ESG Management; ESG Management; Talent Cultivation and Development; Talent Cultivation and Development; ESG Management; Disclosure Items; Disclosure Location; GRI Material Topics; Process for Identifying Material Topics; List of Material Topics; Management of Material Topics; ESG Management; ESG Management; Disclosure Items; Disclosure Location; GRI Material Topics; I. Indirect Economic Impacts; Infrastructure Investment and Support Services; Significant Indirect Economic Impacts; Contribution to Social Welfare; Disclosure Item; Location of Disclosure; GRI; Economic Performance; Defined Benefit Plan Obligations and Other Retirement Plans; Employee Benefits and Care; Disclosure Item; Location of Disclosure; Compliance with Laws and Regulations; Membership of Associations; Methods of Stakeholder Engagement; Legal and Compliant Operations; Contribution to Industry Development; ESG Management; Disclosure Item; Location of Disclosure; GRI; Anti-Corruption; Operational Points for Corruption Risk Assessment; Communication and Training of Anti-Corruption Policies and Procedures; Confirmed Corruption Incidents and Actions Taken; Business Ethics and Anti-Corruption; Business Ethics and Anti-Corruption; Business Ethics and Anti-Corruption; Disclosure Item; Location of Disclosure; GRI; Employment; New Employees; Hiring Rates and Employee Turnover Rates are provided for full-time employees and do not include temporary or part-time employees.</v>
      </c>
      <c r="B6322" s="1" t="str">
        <f ca="1">IFERROR(__xludf.DUMMYFUNCTION("GOOGLETRANSLATE(A6322, ""zh"", ""en"")"),"staff")</f>
        <v>staff</v>
      </c>
      <c r="C6322" s="1" t="str">
        <f ca="1">IFERROR(__xludf.DUMMYFUNCTION("GOOGLETRANSLATE(E6322, ""zh"", ""en"")"),"Qualitative text")</f>
        <v>Qualitative text</v>
      </c>
    </row>
    <row r="6323" spans="1:3" ht="13" x14ac:dyDescent="0.15">
      <c r="A6323" s="1" t="str">
        <f ca="1">IFERROR(__xludf.DUMMYFUNCTION("GOOGLETRANSLATE(A6323, ""zh"", ""en"")"),"Worker welfare protection Employee rights protection Employee rights disclosure item Disclosure location GRI Local society Operations with local community participation impact assessment and development plans Operations with actual or potential significan"&amp;"t negative impacts on local communities Engagement in social welfare Engagement in social welfare disclosure item Disclosure location GRI Supplier social assessment New suppliers screened using social assessment dimensions Negative social impacts of the s"&amp;"upply chain and actions taken Responsible supply chain Responsible supply chain disclosure item Disclosure location GRI Training and education Average hours of training per employee per year Employee skills improvement programs and transition assistance p"&amp;"rograms Talent cultivation and development Talent cultivation and development disclosure item Disclosure location GRI Occupational health and safety Occupational health and safety management system Hazard identification, risk assessment and accident inves"&amp;"tigation Check occupational health services, occupational health and safety affairs, worker participation, opinion solicitation and communication, care for employee health, care for employee health, care for employee health, care for employee health, care"&amp;" for employee health, disclosure items, disclosure location, GRI, energy, reduce energy consumption, green operation management, disclosure items, disclosure location, GRI, public policy, political donations, participation in social welfare, disclosure it"&amp;"ems, disclosure location, GRI, diversity and equal opportunity, governance bodies and employee diversity, protect employee rights, occupational health and safety training for workers, promote worker health, care for employee health, care for employee heal"&amp;"th, enter the ESG management topic, see responsibility, safety first, people-oriented, mutual benefit and win-win, GRI content index, www..cn..www..cn, reader feedback information form, dear readers, thank you for taking the time to read this.")</f>
        <v>Worker welfare protection Employee rights protection Employee rights disclosure item Disclosure location GRI Local society Operations with local community participation impact assessment and development plans Operations with actual or potential significant negative impacts on local communities Engagement in social welfare Engagement in social welfare disclosure item Disclosure location GRI Supplier social assessment New suppliers screened using social assessment dimensions Negative social impacts of the supply chain and actions taken Responsible supply chain Responsible supply chain disclosure item Disclosure location GRI Training and education Average hours of training per employee per year Employee skills improvement programs and transition assistance programs Talent cultivation and development Talent cultivation and development disclosure item Disclosure location GRI Occupational health and safety Occupational health and safety management system Hazard identification, risk assessment and accident investigation Check occupational health services, occupational health and safety affairs, worker participation, opinion solicitation and communication, care for employee health, care for employee health, care for employee health, care for employee health, care for employee health, disclosure items, disclosure location, GRI, energy, reduce energy consumption, green operation management, disclosure items, disclosure location, GRI, public policy, political donations, participation in social welfare, disclosure items, disclosure location, GRI, diversity and equal opportunity, governance bodies and employee diversity, protect employee rights, occupational health and safety training for workers, promote worker health, care for employee health, care for employee health, enter the ESG management topic, see responsibility, safety first, people-oriented, mutual benefit and win-win, GRI content index, www..cn..www..cn, reader feedback information form, dear readers, thank you for taking the time to read this.</v>
      </c>
      <c r="B6323" s="1" t="str">
        <f ca="1">IFERROR(__xludf.DUMMYFUNCTION("GOOGLETRANSLATE(A6323, ""zh"", ""en"")"),"staff")</f>
        <v>staff</v>
      </c>
      <c r="C6323" s="1" t="str">
        <f ca="1">IFERROR(__xludf.DUMMYFUNCTION("GOOGLETRANSLATE(E6323, ""zh"", ""en"")"),"Qualitative text")</f>
        <v>Qualitative text</v>
      </c>
    </row>
    <row r="6324" spans="1:3" ht="13" x14ac:dyDescent="0.15">
      <c r="A6324" s="1" t="str">
        <f ca="1">IFERROR(__xludf.DUMMYFUNCTION("GOOGLETRANSLATE(A6324, ""zh"", ""en"")"),"2022 Social Responsibility Report 3 Contents Preface................................................................................................1 I. About Us......................................................................................4 II. Co"&amp;"rporate Governance................................................................6 I. Corporate Governance System..................................................6 II. Summary")</f>
        <v>2022 Social Responsibility Report 3 Contents Preface................................................................................................1 I. About Us......................................................................................4 II. Corporate Governance................................................................6 I. Corporate Governance System..................................................6 II. Summary</v>
      </c>
      <c r="B6324" s="1" t="str">
        <f ca="1">IFERROR(__xludf.DUMMYFUNCTION("GOOGLETRANSLATE(A6324, ""zh"", ""en"")"),"irrelevant text")</f>
        <v>irrelevant text</v>
      </c>
      <c r="C6324" s="1" t="str">
        <f ca="1">IFERROR(__xludf.DUMMYFUNCTION("GOOGLETRANSLATE(E6324, ""zh"", ""en"")"),"irrelevant text")</f>
        <v>irrelevant text</v>
      </c>
    </row>
    <row r="6325" spans="1:3" ht="13" x14ac:dyDescent="0.15">
      <c r="A6325" s="1" t="str">
        <f ca="1">IFERROR(__xludf.DUMMYFUNCTION("GOOGLETRANSLATE(A6325, ""zh"", ""en"")"),".................................................12 V. Social Responsibility.......................................................................15 I. Caring for Employees............................................................15 II. Social Welfare."&amp;".................................................................19 2022 Annual Social Responsibility Report 4 I. About Us China Animal Husbandry Industry Co., Ltd. (abbreviated as China Animal Husbandry) was established on December 25, 1998 and listed on"&amp;" the Shanghai Stock Exchange on January 7, 1999. Stock name: China Animal Husbandry Co., Ltd. Stock code: 600")</f>
        <v>.................................................12 V. Social Responsibility.......................................................................15 I. Caring for Employees............................................................15 II. Social Welfare..................................................................19 2022 Annual Social Responsibility Report 4 I. About Us China Animal Husbandry Industry Co., Ltd. (abbreviated as China Animal Husbandry) was established on December 25, 1998 and listed on the Shanghai Stock Exchange on January 7, 1999. Stock name: China Animal Husbandry Co., Ltd. Stock code: 600</v>
      </c>
      <c r="B6325" s="1" t="str">
        <f ca="1">IFERROR(__xludf.DUMMYFUNCTION("GOOGLETRANSLATE(A6325, ""zh"", ""en"")"),"irrelevant text")</f>
        <v>irrelevant text</v>
      </c>
      <c r="C6325" s="1" t="str">
        <f ca="1">IFERROR(__xludf.DUMMYFUNCTION("GOOGLETRANSLATE(E6325, ""zh"", ""en"")"),"irrelevant text")</f>
        <v>irrelevant text</v>
      </c>
    </row>
    <row r="6326" spans="1:3" ht="13" x14ac:dyDescent="0.15">
      <c r="A6326" s="1" t="str">
        <f ca="1">IFERROR(__xludf.DUMMYFUNCTION("GOOGLETRANSLATE(A6326, ""zh"", ""en"")"),"The Shidao Bay High Temperature Gas-Cooled Reactor Nuclear Power Plant, a major national science and technology project, operates smoothly. 262022 Social Responsibility Report Honorary Awards 26 Serial Number Award Winning Unit 12022 Shanghai Key Product "&amp;"Quality Research Outstanding Organization Award Shanghai Electric Group Co., Ltd. China Electric Power Quality Engineering Award Shanghai Key Product Quality Research Achievements Serial Number Award-winning Project Name Award-winning Participating Unit A"&amp;"ward Level 1 Quality Research on the First 1300MW Class Water-Hydrogen-Cooled Nuclear Power Generator of Hualong One Shanghai Electric Power Plant Equipment Co., Ltd. Shanghai Generator Plant Second Prize in Shanghai Key Product Quality Research 2 Improve"&amp;"ment of Efficiency and Reliability of Waste-to-energy Steam Turbine Shanghai Steam Turbine Plant Co., Ltd. Shanghai Key Product Quality Research Third Prize 3 New Million-Level High-Efficiency Ultra-Supercritical Tower Boiler Shanghai Boiler Factory Co., "&amp;"Ltd. Shanghai Key Product Quality Research Third Prize 46MW Offshore Medium and Low Wind Speed ​​Wind Turbine Quality Research Shanghai Electric Wind Power Group Co., Ltd. Shanghai Key Product Quality Research Third Prize National Machinery, Metallurgy an"&amp;"d Building Materials Industry Employees Technical Innovation Achievement Award Serial Number Winning Project Name Winning Participating Unit Award Level 1 Intelligent Digital Rail Transit iDRT System and Demonstration Application Shanghai Electric Group I"&amp;"ntelligent Transportation Technology Co., Ltd. Special Prize 2 Building Machine Room and Lane Simulation Vibration and Noise Reduction Project R&amp;D and Productization Shanghai Mitsubishi Electric")</f>
        <v>The Shidao Bay High Temperature Gas-Cooled Reactor Nuclear Power Plant, a major national science and technology project, operates smoothly. 262022 Social Responsibility Report Honorary Awards 26 Serial Number Award Winning Unit 12022 Shanghai Key Product Quality Research Outstanding Organization Award Shanghai Electric Group Co., Ltd. China Electric Power Quality Engineering Award Shanghai Key Product Quality Research Achievements Serial Number Award-winning Project Name Award-winning Participating Unit Award Level 1 Quality Research on the First 1300MW Class Water-Hydrogen-Cooled Nuclear Power Generator of Hualong One Shanghai Electric Power Plant Equipment Co., Ltd. Shanghai Generator Plant Second Prize in Shanghai Key Product Quality Research 2 Improvement of Efficiency and Reliability of Waste-to-energy Steam Turbine Shanghai Steam Turbine Plant Co., Ltd. Shanghai Key Product Quality Research Third Prize 3 New Million-Level High-Efficiency Ultra-Supercritical Tower Boiler Shanghai Boiler Factory Co., Ltd. Shanghai Key Product Quality Research Third Prize 46MW Offshore Medium and Low Wind Speed ​​Wind Turbine Quality Research Shanghai Electric Wind Power Group Co., Ltd. Shanghai Key Product Quality Research Third Prize National Machinery, Metallurgy and Building Materials Industry Employees Technical Innovation Achievement Award Serial Number Winning Project Name Winning Participating Unit Award Level 1 Intelligent Digital Rail Transit iDRT System and Demonstration Application Shanghai Electric Group Intelligent Transportation Technology Co., Ltd. Special Prize 2 Building Machine Room and Lane Simulation Vibration and Noise Reduction Project R&amp;D and Productization Shanghai Mitsubishi Electric</v>
      </c>
      <c r="B6326" s="1" t="str">
        <f ca="1">IFERROR(__xludf.DUMMYFUNCTION("GOOGLETRANSLATE(A6326, ""zh"", ""en"")"),"Product quality")</f>
        <v>Product quality</v>
      </c>
      <c r="C6326" s="1" t="str">
        <f ca="1">IFERROR(__xludf.DUMMYFUNCTION("GOOGLETRANSLATE(E6326, ""zh"", ""en"")"),"Quantitative Text")</f>
        <v>Quantitative Text</v>
      </c>
    </row>
    <row r="6327" spans="1:3" ht="13" x14ac:dyDescent="0.15">
      <c r="A6327" s="1" t="str">
        <f ca="1">IFERROR(__xludf.DUMMYFUNCTION("GOOGLETRANSLATE(A6327, ""zh"", ""en"")"),"First Prize: 36MW Wind Turbine Aerial Replacement Transformer Tooling Electrical Wind Power Second Prize: 4 Multi-chamber Horizontal Nickel Oxygen Pressure Leaching System Complete Technology Shanghai Boiler Plant Co., Ltd. Second Prize: 5 Gas Turbine Dis"&amp;"c Air Cooling Hole Machining Tool and Process Optimization Shanghai Steam Turbine Plant Co., Ltd. Third Prize: 6 Key Technologies and Applications of Water Quality and Quantity Sensors Based on Village and Town Sewage Operations Shanghai Electric Digital "&amp;"Intelligence Ecological Technology Co., Ltd. Third Prize: 7 Reducing the Overcutting of Blade Profiles Caused by Asynchronous Use of Single-Drive Equipment Through Activities Top-notch Application Wuxi Turbine Blade Co., Ltd. Third Prize Serial Number Win"&amp;"ning Project Name Winning Participating Unit Winning Level 1 Ningxia Weigang New Energy Co., Ltd. Shapo 200MW Photovoltaic Composite Project in Tou District Shanghai Electric Environmental Protection Group 2022 China Electric Power Quality Engineering Awa"&amp;"rd General Contracting Design 2 Muli County Puleihai Muli Laojun Temple Wind Zone 99MW Phase I and Phase II Wind Power Generation Project 2022 China Electric Power Quality Engineering Award General Contracting Shanghai Quality Association Quality and Tech"&amp;"nology Award Serial Number Winning Project Name Winning Participating Unit Award 1 Gas Turbine Partial Load Operation Quality Improvement Technology Innovation Application Shanghai Electric Gas Turbine Co., Ltd. Comprehensive Quality Innovation Achievemen"&amp;"t Excellence Award 2022 Highlights List 26 Shanghai Electric Group Co., Ltd. 27 Green Production Serial Number Winning Participating Unit Award Level 1 Shanghai Siemens Line Protection System")</f>
        <v>First Prize: 36MW Wind Turbine Aerial Replacement Transformer Tooling Electrical Wind Power Second Prize: 4 Multi-chamber Horizontal Nickel Oxygen Pressure Leaching System Complete Technology Shanghai Boiler Plant Co., Ltd. Second Prize: 5 Gas Turbine Disc Air Cooling Hole Machining Tool and Process Optimization Shanghai Steam Turbine Plant Co., Ltd. Third Prize: 6 Key Technologies and Applications of Water Quality and Quantity Sensors Based on Village and Town Sewage Operations Shanghai Electric Digital Intelligence Ecological Technology Co., Ltd. Third Prize: 7 Reducing the Overcutting of Blade Profiles Caused by Asynchronous Use of Single-Drive Equipment Through Activities Top-notch Application Wuxi Turbine Blade Co., Ltd. Third Prize Serial Number Winning Project Name Winning Participating Unit Winning Level 1 Ningxia Weigang New Energy Co., Ltd. Shapo 200MW Photovoltaic Composite Project in Tou District Shanghai Electric Environmental Protection Group 2022 China Electric Power Quality Engineering Award General Contracting Design 2 Muli County Puleihai Muli Laojun Temple Wind Zone 99MW Phase I and Phase II Wind Power Generation Project 2022 China Electric Power Quality Engineering Award General Contracting Shanghai Quality Association Quality and Technology Award Serial Number Winning Project Name Winning Participating Unit Award 1 Gas Turbine Partial Load Operation Quality Improvement Technology Innovation Application Shanghai Electric Gas Turbine Co., Ltd. Comprehensive Quality Innovation Achievement Excellence Award 2022 Highlights List 26 Shanghai Electric Group Co., Ltd. 27 Green Production Serial Number Winning Participating Unit Award Level 1 Shanghai Siemens Line Protection System</v>
      </c>
      <c r="B6327" s="1" t="str">
        <f ca="1">IFERROR(__xludf.DUMMYFUNCTION("GOOGLETRANSLATE(A6327, ""zh"", ""en"")"),"Technological innovation")</f>
        <v>Technological innovation</v>
      </c>
      <c r="C6327" s="1" t="str">
        <f ca="1">IFERROR(__xludf.DUMMYFUNCTION("GOOGLETRANSLATE(E6327, ""zh"", ""en"")"),"Quantitative Text")</f>
        <v>Quantitative Text</v>
      </c>
    </row>
    <row r="6328" spans="1:3" ht="13" x14ac:dyDescent="0.15">
      <c r="A6328" s="1" t="str">
        <f ca="1">IFERROR(__xludf.DUMMYFUNCTION("GOOGLETRANSLATE(A6328, ""zh"", ""en"")"),"2021 Shanghai SASAC Youth Civilized Unit Award for Electric Wind Power 9 Nantong Project Design Team Shanghai Electric Environmental Protection Group 2021 Shanghai SASAC Youth Civilized Unit Award 10 Intelligent Equipment Product Department Central Resear"&amp;"ch Institute 2021 Shanghai SASAC Youth Civilized Unit Award 11 Order Department Sales Office Shanghai Boiler Plant Co., Ltd. 2021 Shanghai SASAC Youth Civilized Unit Award 12C Project Installation and Commissioning Youth Commando Shanghai Electric Power P"&amp;"lant 2021 Shanghai SASAC Youth Commando 13 Dubai Phase V Project Youth Commando Shanghai Electric Power Plant 2021 Shanghai SASAC Youth Commando 1 4. R&amp;D Team of China's First 50 Mvar Air-Cooled Phase Modulator at the Generator Plant; Shanghai Electric Po"&amp;"wer Plant's 2021 Shanghai SASAC Youth Commando; 15. Taipingling Project Progress Improvement Team; Shanghai Electric Nuclear Power's 2021 Shanghai SASAC Youth Commando; 16. Yangpu District One Network Management Technical Service Project Team's Youth Comm"&amp;"ando; Shanghai Electric Automation Group's 2021 Shanghai SASAC Youth Commando; 27. 2022 Social Responsibility Report; 2022 Social Responsibility Report; A Solid and Stable Foundation for Development 01. Shanghai Electric firmly believes that a complete go"&amp;"vernance structure, strict risk control, and unimpeded communication channels are the foundation for the company's stable development.")</f>
        <v>2021 Shanghai SASAC Youth Civilized Unit Award for Electric Wind Power 9 Nantong Project Design Team Shanghai Electric Environmental Protection Group 2021 Shanghai SASAC Youth Civilized Unit Award 10 Intelligent Equipment Product Department Central Research Institute 2021 Shanghai SASAC Youth Civilized Unit Award 11 Order Department Sales Office Shanghai Boiler Plant Co., Ltd. 2021 Shanghai SASAC Youth Civilized Unit Award 12C Project Installation and Commissioning Youth Commando Shanghai Electric Power Plant 2021 Shanghai SASAC Youth Commando 13 Dubai Phase V Project Youth Commando Shanghai Electric Power Plant 2021 Shanghai SASAC Youth Commando 1 4. R&amp;D Team of China's First 50 Mvar Air-Cooled Phase Modulator at the Generator Plant; Shanghai Electric Power Plant's 2021 Shanghai SASAC Youth Commando; 15. Taipingling Project Progress Improvement Team; Shanghai Electric Nuclear Power's 2021 Shanghai SASAC Youth Commando; 16. Yangpu District One Network Management Technical Service Project Team's Youth Commando; Shanghai Electric Automation Group's 2021 Shanghai SASAC Youth Commando; 27. 2022 Social Responsibility Report; 2022 Social Responsibility Report; A Solid and Stable Foundation for Development 01. Shanghai Electric firmly believes that a complete governance structure, strict risk control, and unimpeded communication channels are the foundation for the company's stable development.</v>
      </c>
      <c r="B6328" s="1" t="str">
        <f ca="1">IFERROR(__xludf.DUMMYFUNCTION("GOOGLETRANSLATE(A6328, ""zh"", ""en"")"),"Organizational structure and operations")</f>
        <v>Organizational structure and operations</v>
      </c>
      <c r="C6328" s="1" t="str">
        <f ca="1">IFERROR(__xludf.DUMMYFUNCTION("GOOGLETRANSLATE(E6328, ""zh"", ""en"")"),"Qualitative text")</f>
        <v>Qualitative text</v>
      </c>
    </row>
    <row r="6329" spans="1:3" ht="13" x14ac:dyDescent="0.15">
      <c r="A6329" s="1" t="str">
        <f ca="1">IFERROR(__xludf.DUMMYFUNCTION("GOOGLETRANSLATE(A6329, ""zh"", ""en"")"),"Employee work-related injuries 202220212020 Number of deaths due to work 10108 Death rate due to work 0.0030.0030.002 Number of working days lost due to work-related injuries 158771835021093 Employee training 20222021 Percentage of male employees particip"&amp;"ating in training 99.8199.42 Percentage of female employees participating in training 99.9199.98 Percentage of first-tier branch level and head office department level and above participating in training 100100 Percentage of second-tier branch level first"&amp;"-tier branch department level and head office division level participating in training 100100 Percentage of business manager level and below participating in training 99.8599.64 Average training hours for male employees 157 .6399.85Average training hours "&amp;"for female employees (hours) 191.68112.60China Construction Bank Corporation 2022 Social Responsibility Report51Average training hours for first-tier branches at bank level and head office department level and above (hours) 101.75161.39Average training ho"&amp;"urs for second-tier branches at bank level, first-tier branches at department level and head office division level (hours) 156.28152.30Average training hours for business manager level and below (hours) 185.30104.80Supplier management 20222021220Number of"&amp;" suppliers in the Yangtze River Delta 13268100476584Number of suppliers in the Pearl River Delta 78896372487")</f>
        <v>Employee work-related injuries 202220212020 Number of deaths due to work 10108 Death rate due to work 0.0030.0030.002 Number of working days lost due to work-related injuries 158771835021093 Employee training 20222021 Percentage of male employees participating in training 99.8199.42 Percentage of female employees participating in training 99.9199.98 Percentage of first-tier branch level and head office department level and above participating in training 100100 Percentage of second-tier branch level first-tier branch department level and head office division level participating in training 100100 Percentage of business manager level and below participating in training 99.8599.64 Average training hours for male employees 157 .6399.85Average training hours for female employees (hours) 191.68112.60China Construction Bank Corporation 2022 Social Responsibility Report51Average training hours for first-tier branches at bank level and head office department level and above (hours) 101.75161.39Average training hours for second-tier branches at bank level, first-tier branches at department level and head office division level (hours) 156.28152.30Average training hours for business manager level and below (hours) 185.30104.80Supplier management 20222021220Number of suppliers in the Yangtze River Delta 13268100476584Number of suppliers in the Pearl River Delta 78896372487</v>
      </c>
      <c r="B6329" s="1" t="str">
        <f ca="1">IFERROR(__xludf.DUMMYFUNCTION("GOOGLETRANSLATE(A6329, ""zh"", ""en"")"),"staff")</f>
        <v>staff</v>
      </c>
      <c r="C6329" s="1" t="str">
        <f ca="1">IFERROR(__xludf.DUMMYFUNCTION("GOOGLETRANSLATE(E6329, ""zh"", ""en"")"),"Quantitative Text")</f>
        <v>Quantitative Text</v>
      </c>
    </row>
    <row r="6330" spans="1:3" ht="13" x14ac:dyDescent="0.15">
      <c r="A6330" s="1" t="str">
        <f ca="1">IFERROR(__xludf.DUMMYFUNCTION("GOOGLETRANSLATE(A6330, ""zh"", ""en"")"),"4 Number of suppliers in the Bohai Rim region 802563464366 Number of suppliers in the central region 688554573544 Number of suppliers in the western region 938873205088 Number of suppliers in the Northeast region 484938782533 Procurement expenditure of lo"&amp;"cal suppliers as a percentage 99.5699.6699.63 Procurement contract fulfillment rate 100100100 Participation rate of external experts 9.669.416.68 Number of supplier social responsibility trainings conducted, including interviews and business exchanges 223"&amp;"532 Service channel construction status 202220212020 Number of online banking users 10,000 41713403323816 7 Number of personal mobile banking users: 10,000 439974171138794 Number of WeChat banking bound users: 10,000 13116113439441 Number of telephone ban"&amp;"king customers: 10,000 465464468141964 Number of self-service banks: 215582367925529 Number of ATMs: 569436903079144 Number of smart ATMs: 485954949549816 Number of smart banks: 636363 Number of business outlets with wheelchair accessible ramps: 112281102"&amp;"710904 Number of outlets with love windows: 138731400814145 Number of outlets with workers' harbors")</f>
        <v>4 Number of suppliers in the Bohai Rim region 802563464366 Number of suppliers in the central region 688554573544 Number of suppliers in the western region 938873205088 Number of suppliers in the Northeast region 484938782533 Procurement expenditure of local suppliers as a percentage 99.5699.6699.63 Procurement contract fulfillment rate 100100100 Participation rate of external experts 9.669.416.68 Number of supplier social responsibility trainings conducted, including interviews and business exchanges 223532 Service channel construction status 202220212020 Number of online banking users 10,000 41713403323816 7 Number of personal mobile banking users: 10,000 439974171138794 Number of WeChat banking bound users: 10,000 13116113439441 Number of telephone banking customers: 10,000 465464468141964 Number of self-service banks: 215582367925529 Number of ATMs: 569436903079144 Number of smart ATMs: 485954949549816 Number of smart banks: 636363 Number of business outlets with wheelchair accessible ramps: 112281102710904 Number of outlets with love windows: 138731400814145 Number of outlets with workers' harbors</v>
      </c>
      <c r="B6330" s="1" t="str">
        <f ca="1">IFERROR(__xludf.DUMMYFUNCTION("GOOGLETRANSLATE(A6330, ""zh"", ""en"")"),"supply chain management")</f>
        <v>supply chain management</v>
      </c>
      <c r="C6330" s="1" t="str">
        <f ca="1">IFERROR(__xludf.DUMMYFUNCTION("GOOGLETRANSLATE(E6330, ""zh"", ""en"")"),"Quantitative Text")</f>
        <v>Quantitative Text</v>
      </c>
    </row>
    <row r="6331" spans="1:3" ht="13" x14ac:dyDescent="0.15">
      <c r="A6331" s="1" t="str">
        <f ca="1">IFERROR(__xludf.DUMMYFUNCTION("GOOGLETRANSLATE(A6331, ""zh"", ""en"")"),"Quantity 138751404014163 China Construction Bank Corporation 2022 Social Responsibility Report 52 Social Recognition Rating Awarding Agency Rating Results Honor Name MSCI 2022 ESG Rating Maintained A FTSE Russell H-shares Selected as Constituent Stock of "&amp;"FTSE Russell FTSE4Good Index Series CSI ESG Rating CSI ESG Rating Rated AAA Hang Seng Index Consecutive Selection into Hang Seng A-share Sustainable Development Enterprise Benchmark Index Communist Youth League Central Committee Jinzhi Huimin Rural Revita"&amp;"lization 10,000 Students Summer Rural Practice Project Won the Outstanding Social Practice Brand Project Ministry of Education CCB Huimin Classroom Co-building a Better Community Project Selected as the First Batch of Community Education Demonstration Pra"&amp;"ctice Innovation Projects: The Ministry of Industry and Information Technology's Yugong Creative Classroom project won the Outstanding Brand Activity Award in the selection of training programs for leading talents in the management of small and medium-siz"&amp;"ed enterprises; China Banking and Insurance Regulatory Commission's 315 Consumer Rights Protection Education and Promotion Week Outstanding Organizer; Financial Education Promotion Month Outstanding Organizer; China Banking Association's Special Contribut"&amp;"ion Unit; Green Bank Evaluation Advanced Unit; International Finance Forum IFF Global Green Finance Award Innovation Award; Asia Money Magazine's Best Bank for Social Responsibility in China; Asian Banker Magazine's Best Retail Bank in Asia Pacific; China"&amp;"'s Best Retail Bank; China's Best Large Retail Bank; China Construction Bank Corporation's 2022 Social Responsibility Report 53; Xinhuanet's 2022 Enterprise ESG Development Forum; Enterprise ESG Outstanding")</f>
        <v>Quantity 138751404014163 China Construction Bank Corporation 2022 Social Responsibility Report 52 Social Recognition Rating Awarding Agency Rating Results Honor Name MSCI 2022 ESG Rating Maintained A FTSE Russell H-shares Selected as Constituent Stock of FTSE Russell FTSE4Good Index Series CSI ESG Rating CSI ESG Rating Rated AAA Hang Seng Index Consecutive Selection into Hang Seng A-share Sustainable Development Enterprise Benchmark Index Communist Youth League Central Committee Jinzhi Huimin Rural Revitalization 10,000 Students Summer Rural Practice Project Won the Outstanding Social Practice Brand Project Ministry of Education CCB Huimin Classroom Co-building a Better Community Project Selected as the First Batch of Community Education Demonstration Practice Innovation Projects: The Ministry of Industry and Information Technology's Yugong Creative Classroom project won the Outstanding Brand Activity Award in the selection of training programs for leading talents in the management of small and medium-sized enterprises; China Banking and Insurance Regulatory Commission's 315 Consumer Rights Protection Education and Promotion Week Outstanding Organizer; Financial Education Promotion Month Outstanding Organizer; China Banking Association's Special Contribution Unit; Green Bank Evaluation Advanced Unit; International Finance Forum IFF Global Green Finance Award Innovation Award; Asia Money Magazine's Best Bank for Social Responsibility in China; Asian Banker Magazine's Best Retail Bank in Asia Pacific; China's Best Retail Bank; China's Best Large Retail Bank; China Construction Bank Corporation's 2022 Social Responsibility Report 53; Xinhuanet's 2022 Enterprise ESG Development Forum; Enterprise ESG Outstanding</v>
      </c>
      <c r="B6331" s="1" t="str">
        <f ca="1">IFERROR(__xludf.DUMMYFUNCTION("GOOGLETRANSLATE(A6331, ""zh"", ""en"")"),"Sustainable certification")</f>
        <v>Sustainable certification</v>
      </c>
      <c r="C6331" s="1" t="str">
        <f ca="1">IFERROR(__xludf.DUMMYFUNCTION("GOOGLETRANSLATE(E6331, ""zh"", ""en"")"),"Quantitative Text")</f>
        <v>Quantitative Text</v>
      </c>
    </row>
    <row r="6332" spans="1:3" ht="13" x14ac:dyDescent="0.15">
      <c r="A6332" s="1" t="str">
        <f ca="1">IFERROR(__xludf.DUMMYFUNCTION("GOOGLETRANSLATE(A6332, ""zh"", ""en"")"),"Social Responsibility Practice Cases; Xinhua News Agency Shanghai Finance and Development Laboratory Annual Outstanding Financial Enterprise Social Responsibility Case Award; China News Service 18th China Corporate Social Responsibility Forum Annual Respo"&amp;"nsible Enterprise; Banker Magazine Top Ten Green Finance Innovation Award; Top Ten Digital Wealth Management Innovation Award; China Banking and Insurance News China Finance Annual Top Ten Social Responsibility Report; Worker Harbor Awarded Annual Outstan"&amp;"ding Social Responsibility Project; China Banking and Insurance Industry Annual Service Innovation Case - Typical Case of Financial Consumer Rights Protection; Global Sustainable Development Case Library International Expert Committee ESG Case Selected in"&amp;"to the Global Sustainable Development Business Case Library; China Business News 2022 China Economic and Financial High-Quality Development Summit; Excellent Competitiveness and Social Responsibility Financial Institution National Business Daily's Most So"&amp;"cially Responsible Listed Company; Sina.com's 2022 China Enterprise ESG Golden Responsibility Award; Outstanding Sustainable Development Enterprise of the Year; Best Environmental E-Responsibility Award; Responsible Investment and Responsible Banking Awar"&amp;"d; Phoenix.com's 2022 Charity Gala Special Contribution Award; Southern Weekend's 14th China Corporate Social Responsibility Annual Conference; Banking Industry's Outstanding Responsible Enterprise of the Year; Outstanding Responsible Enterprise of the Ye"&amp;"ar; Model Responsible Enterprise of the Year; Responsible Governance of the Year; China Construction Bank Corporation 2022 Social Responsibility Report 54 ESG Disclosure 1. Governance Governance Structure Statement of the Board of Directors The Bank has e"&amp;"stablished a well-defined and well-structured ESG governance structure, creating a long-term mechanism for efficient, coordinated and fully-participated ESG governance and continuously improving high-quality sustainable development.")</f>
        <v>Social Responsibility Practice Cases; Xinhua News Agency Shanghai Finance and Development Laboratory Annual Outstanding Financial Enterprise Social Responsibility Case Award; China News Service 18th China Corporate Social Responsibility Forum Annual Responsible Enterprise; Banker Magazine Top Ten Green Finance Innovation Award; Top Ten Digital Wealth Management Innovation Award; China Banking and Insurance News China Finance Annual Top Ten Social Responsibility Report; Worker Harbor Awarded Annual Outstanding Social Responsibility Project; China Banking and Insurance Industry Annual Service Innovation Case - Typical Case of Financial Consumer Rights Protection; Global Sustainable Development Case Library International Expert Committee ESG Case Selected into the Global Sustainable Development Business Case Library; China Business News 2022 China Economic and Financial High-Quality Development Summit; Excellent Competitiveness and Social Responsibility Financial Institution National Business Daily's Most Socially Responsible Listed Company; Sina.com's 2022 China Enterprise ESG Golden Responsibility Award; Outstanding Sustainable Development Enterprise of the Year; Best Environmental E-Responsibility Award; Responsible Investment and Responsible Banking Award; Phoenix.com's 2022 Charity Gala Special Contribution Award; Southern Weekend's 14th China Corporate Social Responsibility Annual Conference; Banking Industry's Outstanding Responsible Enterprise of the Year; Outstanding Responsible Enterprise of the Year; Model Responsible Enterprise of the Year; Responsible Governance of the Year; China Construction Bank Corporation 2022 Social Responsibility Report 54 ESG Disclosure 1. Governance Governance Structure Statement of the Board of Directors The Bank has established a well-defined and well-structured ESG governance structure, creating a long-term mechanism for efficient, coordinated and fully-participated ESG governance and continuously improving high-quality sustainable development.</v>
      </c>
      <c r="B6332" s="1" t="str">
        <f ca="1">IFERROR(__xludf.DUMMYFUNCTION("GOOGLETRANSLATE(A6332, ""zh"", ""en"")"),"Sustainable certification")</f>
        <v>Sustainable certification</v>
      </c>
      <c r="C6332" s="1" t="str">
        <f ca="1">IFERROR(__xludf.DUMMYFUNCTION("GOOGLETRANSLATE(E6332, ""zh"", ""en"")"),"Qualitative text")</f>
        <v>Qualitative text</v>
      </c>
    </row>
    <row r="6333" spans="1:3" ht="13" x14ac:dyDescent="0.15">
      <c r="A6333" s="1" t="str">
        <f ca="1">IFERROR(__xludf.DUMMYFUNCTION("GOOGLETRANSLATE(A6333, ""zh"", ""en"")"),"Total number of employees: 167971885819785 Total number of female employees: 154611742118614 Total number of employees: 402448515575 Project End of 2020 End of 2021 End of 2022 Labor contract signing rate: 10000L100 Trade union committee coverage rate: 10"&amp;"0100100 Disabled employees: 0.220.230.23 Minority employees: 2.903.085.49 Total number of employees: 93411172107 Total number of training hours: 1959960091377319 Proportion of female employees returning to work and retaining their jobs after maternity lea"&amp;"ve: 1001001 002022CorporateSocialResponsibilityReport123Fosun Pharma Group Environmental Health and Safety EHS Core Indicator Project 2020 2021 2022 Total new water volume Unit cubic meter Annual 93818181052181110545581 Total sewage discharge Unit ton Ann"&amp;"ual 650547974975817523754 Chemical oxygen demand emissions Unit ton Annual 655704841 Hydrogen and ammonia emissions Unit ton Annual 88146175 Water tank strength Unit cubic meter Revenue in 10,000 yuan 3.102.702.40 Sewage discharge intensity Unit ton Reven"&amp;"ue in 10,000 yuan 2.15")</f>
        <v>Total number of employees: 167971885819785 Total number of female employees: 154611742118614 Total number of employees: 402448515575 Project End of 2020 End of 2021 End of 2022 Labor contract signing rate: 10000L100 Trade union committee coverage rate: 100100100 Disabled employees: 0.220.230.23 Minority employees: 2.903.085.49 Total number of employees: 93411172107 Total number of training hours: 1959960091377319 Proportion of female employees returning to work and retaining their jobs after maternity leave: 1001001 002022CorporateSocialResponsibilityReport123Fosun Pharma Group Environmental Health and Safety EHS Core Indicator Project 2020 2021 2022 Total new water volume Unit cubic meter Annual 93818181052181110545581 Total sewage discharge Unit ton Annual 650547974975817523754 Chemical oxygen demand emissions Unit ton Annual 655704841 Hydrogen and ammonia emissions Unit ton Annual 88146175 Water tank strength Unit cubic meter Revenue in 10,000 yuan 3.102.702.40 Sewage discharge intensity Unit ton Revenue in 10,000 yuan 2.15</v>
      </c>
      <c r="B6333" s="1" t="str">
        <f ca="1">IFERROR(__xludf.DUMMYFUNCTION("GOOGLETRANSLATE(A6333, ""zh"", ""en"")"),"staff")</f>
        <v>staff</v>
      </c>
      <c r="C6333" s="1" t="str">
        <f ca="1">IFERROR(__xludf.DUMMYFUNCTION("GOOGLETRANSLATE(E6333, ""zh"", ""en"")"),"Quantitative Text")</f>
        <v>Quantitative Text</v>
      </c>
    </row>
    <row r="6334" spans="1:3" ht="13" x14ac:dyDescent="0.15">
      <c r="A6334" s="1" t="str">
        <f ca="1">IFERROR(__xludf.DUMMYFUNCTION("GOOGLETRANSLATE(A6334, ""zh"", ""en"")"),"1.921.71 Chemical oxygen demand emission intensity unit: 10,000 grams per 10,000 yuan revenue 0.220.180.19 Hydrogen ammonia emission intensity unit: kilogram per 10,000 yuan revenue 0.0300.0380.040 Hydroxide emissions unit: ton per year 158182204 Carbon d"&amp;"ioxide emissions unit: ton per year 105101118 Particulate matter emissions unit: ton per year 372530 Nitrogen oxides emission intensity unit: gram per 10,000 yuan revenue 46.6146.45 Carbon dioxide emission intensity unit: gram per 10,000 yuan revenue 25.9"&amp;"126.91 Particulate matter emission intensity unit: gram per 10,000 yuan revenue 6.456.90 VOCs emission compliance rate 100100100 Total waste volume unit: ton per year 49286 .066328.469147.4 Dangerous material quantity unit ton per year 5914.55953.77567.7 "&amp;"Total waste intensity unit thousand grams per ten thousand yuan revenue 16.2617.0115.72 Dangerous intensity unit kilogram per ten thousand yuan revenue 1.951.531.72 Total carbon emission unit ton per year 8278589001126916b6 Comprehensive energy consumptio"&amp;"n unit GJ per year 9955980487438368603 Carbon emission intensity unit cross ten thousand yuan revenue 0.270.230.22 Comprehensive energy consumption intensity unit GJ per ten thousand yuan revenue 2.532.061.90 Loss rate per million working hours 0.3130.170"&amp;"0.101 Recordable per million working hours")</f>
        <v>1.921.71 Chemical oxygen demand emission intensity unit: 10,000 grams per 10,000 yuan revenue 0.220.180.19 Hydrogen ammonia emission intensity unit: kilogram per 10,000 yuan revenue 0.0300.0380.040 Hydroxide emissions unit: ton per year 158182204 Carbon dioxide emissions unit: ton per year 105101118 Particulate matter emissions unit: ton per year 372530 Nitrogen oxides emission intensity unit: gram per 10,000 yuan revenue 46.6146.45 Carbon dioxide emission intensity unit: gram per 10,000 yuan revenue 25.9126.91 Particulate matter emission intensity unit: gram per 10,000 yuan revenue 6.456.90 VOCs emission compliance rate 100100100 Total waste volume unit: ton per year 49286 .066328.469147.4 Dangerous material quantity unit ton per year 5914.55953.77567.7 Total waste intensity unit thousand grams per ten thousand yuan revenue 16.2617.0115.72 Dangerous intensity unit kilogram per ten thousand yuan revenue 1.951.531.72 Total carbon emission unit ton per year 8278589001126916b6 Comprehensive energy consumption unit GJ per year 9955980487438368603 Carbon emission intensity unit cross ten thousand yuan revenue 0.270.230.22 Comprehensive energy consumption intensity unit GJ per ten thousand yuan revenue 2.532.061.90 Loss rate per million working hours 0.3130.1700.101 Recordable per million working hours</v>
      </c>
      <c r="B6334" s="1" t="str">
        <f ca="1">IFERROR(__xludf.DUMMYFUNCTION("GOOGLETRANSLATE(A6334, ""zh"", ""en"")"),"Waste Management")</f>
        <v>Waste Management</v>
      </c>
      <c r="C6334" s="1" t="str">
        <f ca="1">IFERROR(__xludf.DUMMYFUNCTION("GOOGLETRANSLATE(E6334, ""zh"", ""en"")"),"Quantitative Text")</f>
        <v>Quantitative Text</v>
      </c>
    </row>
    <row r="6335" spans="1:3" ht="13" x14ac:dyDescent="0.15">
      <c r="A6335" s="1" t="str">
        <f ca="1">IFERROR(__xludf.DUMMYFUNCTION("GOOGLETRANSLATE(A6335, ""zh"", ""en"")"),"The China Petroleum Agricultural Development Lecture Hall, a proprietary training platform, has been established. Adhering to a problem-oriented approach, the platform tailors courses on rural revitalization, including specialized technical courses, to th"&amp;"e needs of the assisted areas, with over 300 sessions. 197,000 online training sessions have been provided throughout the year. The China Petroleum Scholarship Program has been implemented for the 22nd consecutive year, awarding 4.47 million yuan in schol"&amp;"arships to 685 outstanding university students from 17 universities, including China University of Petroleum. PetroChina 2022 Environmental, Social, and Governance Report 8: Actions and Achievements on the United Nations Sustainable Development Goals. Hel"&amp;"ped communities build water-saving irrigation projects to promote local agricultural development. Implemented clean drinking water projects such as the Sweet Community Project. Helped local communities build wells to address drinking water difficulties. V"&amp;"igorously implemented policies to stabilize oil production and increase gas production. Domestic marketable natural gas production remained stable. Natural gas sales reached 207.096 billion cubic meters, up 5.9% year-on-year. The company helped optimize t"&amp;"he national energy structure, introduced foreign natural gas resources through multiple channels, promoted the development of new energy and new materials, actively expanded new energy businesses such as geothermal, wind, solar, hydrogen, and charging and"&amp;" swapping stations, and achieved a new energy development and utilization capacity of 8 million tons of standard coal. Child labor and forced labor were prohibited annually, and no child labor or forced labor incidents occurred. Any form of discrimination"&amp;" based on gender, region, religion, or nationality was opposed. The proportion of female employees and the proportion of foreign employees in overseas projects reached 24.5% and 9.6% respectively. The company managed community impacts, worked hard to crea"&amp;"te jobs, contributed to tax revenue, and developed together with the community. Infrastructure in remote areas was improved. Characteristic industries drove local economic and social development. Official oil and gas contracts were fulfilled.")</f>
        <v>The China Petroleum Agricultural Development Lecture Hall, a proprietary training platform, has been established. Adhering to a problem-oriented approach, the platform tailors courses on rural revitalization, including specialized technical courses, to the needs of the assisted areas, with over 300 sessions. 197,000 online training sessions have been provided throughout the year. The China Petroleum Scholarship Program has been implemented for the 22nd consecutive year, awarding 4.47 million yuan in scholarships to 685 outstanding university students from 17 universities, including China University of Petroleum. PetroChina 2022 Environmental, Social, and Governance Report 8: Actions and Achievements on the United Nations Sustainable Development Goals. Helped communities build water-saving irrigation projects to promote local agricultural development. Implemented clean drinking water projects such as the Sweet Community Project. Helped local communities build wells to address drinking water difficulties. Vigorously implemented policies to stabilize oil production and increase gas production. Domestic marketable natural gas production remained stable. Natural gas sales reached 207.096 billion cubic meters, up 5.9% year-on-year. The company helped optimize the national energy structure, introduced foreign natural gas resources through multiple channels, promoted the development of new energy and new materials, actively expanded new energy businesses such as geothermal, wind, solar, hydrogen, and charging and swapping stations, and achieved a new energy development and utilization capacity of 8 million tons of standard coal. Child labor and forced labor were prohibited annually, and no child labor or forced labor incidents occurred. Any form of discrimination based on gender, region, religion, or nationality was opposed. The proportion of female employees and the proportion of foreign employees in overseas projects reached 24.5% and 9.6% respectively. The company managed community impacts, worked hard to create jobs, contributed to tax revenue, and developed together with the community. Infrastructure in remote areas was improved. Characteristic industries drove local economic and social development. Official oil and gas contracts were fulfilled.</v>
      </c>
      <c r="B6335" s="1" t="str">
        <f ca="1">IFERROR(__xludf.DUMMYFUNCTION("GOOGLETRANSLATE(A6335, ""zh"", ""en"")"),"Rural assistance")</f>
        <v>Rural assistance</v>
      </c>
      <c r="C6335" s="1" t="str">
        <f ca="1">IFERROR(__xludf.DUMMYFUNCTION("GOOGLETRANSLATE(E6335, ""zh"", ""en"")"),"Quantitative Text")</f>
        <v>Quantitative Text</v>
      </c>
    </row>
    <row r="6336" spans="1:3" ht="13" x14ac:dyDescent="0.15">
      <c r="A6336" s="1" t="str">
        <f ca="1">IFERROR(__xludf.DUMMYFUNCTION("GOOGLETRANSLATE(A6336, ""zh"", ""en"")"),"The responsibilities and missions of the partnership are to provide all-weather and comprehensive clean energy supply support and services for the preparation and holding of the Beijing Winter Olympics and Paralympics; to light the first green hydrogen to"&amp;"rch in the history of the Winter Olympics; to adhere to the people-oriented approach, respect and treat every employee equally; to improve the salary and benefits system; to safeguard and protect the legal rights and interests of employees; to open up car"&amp;"eer paths and build a growth platform for employees; to vigorously implement the strategic measures of strengthening the company with talents; to provide a total training time of 15.1 million hours per year; to provide an average training time of 37.9 hou"&amp;"rs per person; to promote the construction of livelihood projects; to improve the production and living conditions of frontline employees; to protect the vital interests of employees; to achieve the simultaneous growth of employee income and corporate dev"&amp;"elopment; to cultivate local suppliers and contractors during construction and operation; to create jobs and promote local economic development; to implement the creation and development strategy in depth. The new strategy improves the scientific research"&amp;" and innovation system and mechanism, vigorously strengthens the key core technology research and development, scientific and technological innovation capabilities and scientific and technological talent team building, pays attention to scientific and tec"&amp;"hnological cooperation and exchange, standard setting, technical intellectual property protection, and achievement transformation, promotion and application. New research institutes have been established in Shanghai, Shenzhen and Japan. The proportion of "&amp;"invention patents and the number of Patent Cooperation Treaty (PCT) patent applications continue to increase. The company has 27,913 R&amp;D personnel. The annual R&amp;D expenditure is 28.718 billion yuan, an increase of 21.0% over the same period last year, acc"&amp;"ounting for 0.9% of the company's operating income. According to the three main lines of business development, management transformation and technology empowerment, digital transformation is implemented to promote intelligent development, build intelligen"&amp;"t oil and gas fields, intelligent refining and intelligent sales to help industry transformation and upgrading. China National Petroleum Corporation and the United Nations 2030 Sustainable Development Goals")</f>
        <v>The responsibilities and missions of the partnership are to provide all-weather and comprehensive clean energy supply support and services for the preparation and holding of the Beijing Winter Olympics and Paralympics; to light the first green hydrogen torch in the history of the Winter Olympics; to adhere to the people-oriented approach, respect and treat every employee equally; to improve the salary and benefits system; to safeguard and protect the legal rights and interests of employees; to open up career paths and build a growth platform for employees; to vigorously implement the strategic measures of strengthening the company with talents; to provide a total training time of 15.1 million hours per year; to provide an average training time of 37.9 hours per person; to promote the construction of livelihood projects; to improve the production and living conditions of frontline employees; to protect the vital interests of employees; to achieve the simultaneous growth of employee income and corporate development; to cultivate local suppliers and contractors during construction and operation; to create jobs and promote local economic development; to implement the creation and development strategy in depth. The new strategy improves the scientific research and innovation system and mechanism, vigorously strengthens the key core technology research and development, scientific and technological innovation capabilities and scientific and technological talent team building, pays attention to scientific and technological cooperation and exchange, standard setting, technical intellectual property protection, and achievement transformation, promotion and application. New research institutes have been established in Shanghai, Shenzhen and Japan. The proportion of invention patents and the number of Patent Cooperation Treaty (PCT) patent applications continue to increase. The company has 27,913 R&amp;D personnel. The annual R&amp;D expenditure is 28.718 billion yuan, an increase of 21.0% over the same period last year, accounting for 0.9% of the company's operating income. According to the three main lines of business development, management transformation and technology empowerment, digital transformation is implemented to promote intelligent development, build intelligent oil and gas fields, intelligent refining and intelligent sales to help industry transformation and upgrading. China National Petroleum Corporation and the United Nations 2030 Sustainable Development Goals</v>
      </c>
      <c r="B6336" s="1" t="str">
        <f ca="1">IFERROR(__xludf.DUMMYFUNCTION("GOOGLETRANSLATE(A6336, ""zh"", ""en"")"),"staff")</f>
        <v>staff</v>
      </c>
      <c r="C6336" s="1" t="str">
        <f ca="1">IFERROR(__xludf.DUMMYFUNCTION("GOOGLETRANSLATE(E6336, ""zh"", ""en"")"),"Quantitative Text")</f>
        <v>Quantitative Text</v>
      </c>
    </row>
    <row r="6337" spans="1:3" ht="13" x14ac:dyDescent="0.15">
      <c r="A6337" s="1" t="str">
        <f ca="1">IFERROR(__xludf.DUMMYFUNCTION("GOOGLETRANSLATE(A6337, ""zh"", ""en"")"),"Implementation of the 2022 Environmental, Social and Governance Report of China National Petroleum Corporation 10. Actions and Achievements on the United Nations Sustainable Development Goals. Implementation of the Anti-Commercial Bribery Handbook, Integr"&amp;"ity and Compliance Handbook, Employee Handbook, Corporate Culture Handbook, and other regulations. Adhering to business ethics, upholding the principles of honesty and trustworthiness, equal consultation, mutual benefit, and win-win outcomes. Promoting tr"&amp;"ansparent transactions. Striving to maintain a fair and equitable competitive order in business activities. Strengthening ESG management of the supply chain. Deeply participating in the work of the China Oil and Gas Enterprise Methane Control Alliance. Co"&amp;"llaborating with OGCI member companies to share technologies and experiences and jointly promote global climate governance. Actively participating in the national methane monitoring pilot program. Conducting special research on targets and pathways for me"&amp;"thane emission control in my country's oil and gas sector before 2030. Adhering to the environmentally friendly philosophy of clean development, continuously implementing environmental control and monitoring projects. Protecting the marine ecological envi"&amp;"ronment and biodiversity in business locations. Strictly complying with local environmental protection policies. Observing laws and regulations prohibiting the hunting, gathering, and trading of nationally protected wild animals and plants and their produ"&amp;"cts. Protecting local rare species and biodiversity. Formulating and issuing ecological protection action plans. Regulations and management systems such as ecological and environmental protection bans. Continuously improving the biodiversity protection wo"&amp;"rk system. Incorporating biodiversity risk assessment into the entire project life cycle management. Implementing biodiversity conservation projects. Protecting animal and plant habitats. China National Petroleum Corporation and the United Nations 2030 Su"&amp;"stainable Development Goals 11. Welcome to this report. Thank you for your continued interest and support for China National Petroleum Corporation.")</f>
        <v>Implementation of the 2022 Environmental, Social and Governance Report of China National Petroleum Corporation 10. Actions and Achievements on the United Nations Sustainable Development Goals. Implementation of the Anti-Commercial Bribery Handbook, Integrity and Compliance Handbook, Employee Handbook, Corporate Culture Handbook, and other regulations. Adhering to business ethics, upholding the principles of honesty and trustworthiness, equal consultation, mutual benefit, and win-win outcomes. Promoting transparent transactions. Striving to maintain a fair and equitable competitive order in business activities. Strengthening ESG management of the supply chain. Deeply participating in the work of the China Oil and Gas Enterprise Methane Control Alliance. Collaborating with OGCI member companies to share technologies and experiences and jointly promote global climate governance. Actively participating in the national methane monitoring pilot program. Conducting special research on targets and pathways for methane emission control in my country's oil and gas sector before 2030. Adhering to the environmentally friendly philosophy of clean development, continuously implementing environmental control and monitoring projects. Protecting the marine ecological environment and biodiversity in business locations. Strictly complying with local environmental protection policies. Observing laws and regulations prohibiting the hunting, gathering, and trading of nationally protected wild animals and plants and their products. Protecting local rare species and biodiversity. Formulating and issuing ecological protection action plans. Regulations and management systems such as ecological and environmental protection bans. Continuously improving the biodiversity protection work system. Incorporating biodiversity risk assessment into the entire project life cycle management. Implementing biodiversity conservation projects. Protecting animal and plant habitats. China National Petroleum Corporation and the United Nations 2030 Sustainable Development Goals 11. Welcome to this report. Thank you for your continued interest and support for China National Petroleum Corporation.</v>
      </c>
      <c r="B6337" s="1" t="str">
        <f ca="1">IFERROR(__xludf.DUMMYFUNCTION("GOOGLETRANSLATE(A6337, ""zh"", ""en"")"),"biodiversity")</f>
        <v>biodiversity</v>
      </c>
      <c r="C6337" s="1" t="str">
        <f ca="1">IFERROR(__xludf.DUMMYFUNCTION("GOOGLETRANSLATE(E6337, ""zh"", ""en"")"),"Qualitative text")</f>
        <v>Qualitative text</v>
      </c>
    </row>
    <row r="6338" spans="1:3" ht="13" x14ac:dyDescent="0.15">
      <c r="A6338" s="1" t="str">
        <f ca="1">IFERROR(__xludf.DUMMYFUNCTION("GOOGLETRANSLATE(A6338, ""zh"", ""en"")"),"China Petroleum &amp; Chemical Corporation China Petroleum &amp; Chemical Corporation 105106 Corporate Governance Build a Solid Safety Line Respond to Climate Change Respect Human Rights and Talent Cultivation Environmental Protection Fulfill Social Responsibilit"&amp;"ies Indicator Unit 202020212022 Employee Occupational Health Examination Rate 99.999.999.9 Physical Examination and Health Record Coverage Rate 99.999.999.9 Newly Diagnosed Cases of Occupational Diseases 121210 Number of Reported Accidents 321 Number of D"&amp;"eaths Due to Production Safety Accidents 322.2 Million Working Hours Accident Rate 0.10620.11470.07046.2 Million Working Hours Fatality Rate 0.000720.000710.00045 Number of Production Safety Emergency Drills 10,000 times 585859 Number of participants in p"&amp;"roduction safety emergency drills 10,000 times 329331332 Index unit 202020212022 Number of suppliers who passed the qualification review 214462507226768 Among them, the number of suppliers in mainland China 2329424917 Overseas suppliers 17781851 Proportio"&amp;"n of suppliers who passed the quality environment and occupational health and safety management system certification 31.330.629.8 Specific number of suppliers who passed the quality management system ISO9000 certification 103271195211634 Proportion of sup"&amp;"pliers who passed the quality management system ISO9000 certification 48.247.743.5 Suppliers who passed the environment")</f>
        <v>China Petroleum &amp; Chemical Corporation China Petroleum &amp; Chemical Corporation 105106 Corporate Governance Build a Solid Safety Line Respond to Climate Change Respect Human Rights and Talent Cultivation Environmental Protection Fulfill Social Responsibilities Indicator Unit 202020212022 Employee Occupational Health Examination Rate 99.999.999.9 Physical Examination and Health Record Coverage Rate 99.999.999.9 Newly Diagnosed Cases of Occupational Diseases 121210 Number of Reported Accidents 321 Number of Deaths Due to Production Safety Accidents 322.2 Million Working Hours Accident Rate 0.10620.11470.07046.2 Million Working Hours Fatality Rate 0.000720.000710.00045 Number of Production Safety Emergency Drills 10,000 times 585859 Number of participants in production safety emergency drills 10,000 times 329331332 Index unit 202020212022 Number of suppliers who passed the qualification review 214462507226768 Among them, the number of suppliers in mainland China 2329424917 Overseas suppliers 17781851 Proportion of suppliers who passed the quality environment and occupational health and safety management system certification 31.330.629.8 Specific number of suppliers who passed the quality management system ISO9000 certification 103271195211634 Proportion of suppliers who passed the quality management system ISO9000 certification 48.247.743.5 Suppliers who passed the environment</v>
      </c>
      <c r="B6338" s="1" t="str">
        <f ca="1">IFERROR(__xludf.DUMMYFUNCTION("GOOGLETRANSLATE(A6338, ""zh"", ""en"")"),"staff")</f>
        <v>staff</v>
      </c>
      <c r="C6338" s="1" t="str">
        <f ca="1">IFERROR(__xludf.DUMMYFUNCTION("GOOGLETRANSLATE(E6338, ""zh"", ""en"")"),"Quantitative Text")</f>
        <v>Quantitative Text</v>
      </c>
    </row>
    <row r="6339" spans="1:3" ht="13" x14ac:dyDescent="0.15">
      <c r="A6339" s="1" t="str">
        <f ca="1">IFERROR(__xludf.DUMMYFUNCTION("GOOGLETRANSLATE(A6339, ""zh"", ""en"")"),"The specific number of suppliers that have passed ISO14000 certification for the management system is 741285119271 The proportion of suppliers that have passed ISO14000 certification for the environmental management system is 34.634.034.6 The specific num"&amp;"ber of suppliers that have passed ISO18000 certification for the occupational health and safety management system is 704479998273 The proportion of suppliers that have passed ISO18000 certification for the occupational health and safety management system "&amp;"is 32.831.930.9 The proportion of the top five suppliers in the total procurement amount is 5.75.15.8 Bidding procurement rate is 85.286.086.0 Open bidding rate is 97.196.796.9 Indicator unit 202020212022 Total number of employees is 38406 5385751374791 A"&amp;"mong them, the number of employees aged 30 and below is 40076410294382631 The number of employees aged 50 and above is 25494824370622406851 The number of employees aged 51 and above is 89041101016106897 Among them, the number of male employees is 25705326"&amp;"2108258762 The number of female employees is 127012123643116029 The proportion of female employees is 33.132.131.0 The proportion of women in management positions is 12.5912.9113.45 The proportion of ethnic minority employees is 3.84.04.2 The number of ne"&amp;"w employees hired during the reporting period is 160112106220891 During the reporting period")</f>
        <v>The specific number of suppliers that have passed ISO14000 certification for the management system is 741285119271 The proportion of suppliers that have passed ISO14000 certification for the environmental management system is 34.634.034.6 The specific number of suppliers that have passed ISO18000 certification for the occupational health and safety management system is 704479998273 The proportion of suppliers that have passed ISO18000 certification for the occupational health and safety management system is 32.831.930.9 The proportion of the top five suppliers in the total procurement amount is 5.75.15.8 Bidding procurement rate is 85.286.086.0 Open bidding rate is 97.196.796.9 Indicator unit 202020212022 Total number of employees is 38406 5385751374791 Among them, the number of employees aged 30 and below is 40076410294382631 The number of employees aged 50 and above is 25494824370622406851 The number of employees aged 51 and above is 89041101016106897 Among them, the number of male employees is 257053262108258762 The number of female employees is 127012123643116029 The proportion of female employees is 33.132.131.0 The proportion of women in management positions is 12.5912.9113.45 The proportion of ethnic minority employees is 3.84.04.2 The number of new employees hired during the reporting period is 160112106220891 During the reporting period</v>
      </c>
      <c r="B6339" s="1" t="str">
        <f ca="1">IFERROR(__xludf.DUMMYFUNCTION("GOOGLETRANSLATE(A6339, ""zh"", ""en"")"),"staff")</f>
        <v>staff</v>
      </c>
      <c r="C6339" s="1" t="str">
        <f ca="1">IFERROR(__xludf.DUMMYFUNCTION("GOOGLETRANSLATE(E6339, ""zh"", ""en"")"),"Quantitative Text")</f>
        <v>Quantitative Text</v>
      </c>
    </row>
    <row r="6340" spans="1:3" ht="13" x14ac:dyDescent="0.15">
      <c r="A6340" s="1" t="str">
        <f ca="1">IFERROR(__xludf.DUMMYFUNCTION("GOOGLETRANSLATE(A6340, ""zh"", ""en"")"),"Number of natural attrition within the company: 139631179715046 Employee turnover rate: 0.690.640.69 Among them, the turnover rate of male employees is 0.560.60 The turnover rate of female employees is 0.870.97 Among them, the turnover rate of employees a"&amp;"ged 30 and below is 1.53.102.6531 The turnover rate of employees aged 50 and above is 0.50.560.59 The turnover rate of employees aged 51 and above is 0.30.160.30 Among them, the turnover rate of senior managers is 0.60 The turnover rate of middle managers"&amp;" is 0.23 The turnover rate of grassroots employees is 0.71 Collective contract coverage rate is 100100100 Social insurance coverage rate is 100100100 Enterprise annuity coverage rate is 80.5981.4880 Ratio of employees participating in trade unions Example"&amp;" 100100100 Vocational training coverage rate 85.787.399.3 Total hours of employee vocational training 128531651463760114815488 Average hours of employee vocational training 33.4735.7139.53 Among them, the average training time for males is 52.6155.2858.31"&amp;" The average training time for females is 53.5355.6458.68 Among them, the training time for senior managers is 52.2159.1561.35 The training time for middle managers is 48.6555.3758.56 The average training time for grass-roots employees is 45.6252.8154.21 "&amp;"Number of employees receiving vocational training 15")</f>
        <v>Number of natural attrition within the company: 139631179715046 Employee turnover rate: 0.690.640.69 Among them, the turnover rate of male employees is 0.560.60 The turnover rate of female employees is 0.870.97 Among them, the turnover rate of employees aged 30 and below is 1.53.102.6531 The turnover rate of employees aged 50 and above is 0.50.560.59 The turnover rate of employees aged 51 and above is 0.30.160.30 Among them, the turnover rate of senior managers is 0.60 The turnover rate of middle managers is 0.23 The turnover rate of grassroots employees is 0.71 Collective contract coverage rate is 100100100 Social insurance coverage rate is 100100100 Enterprise annuity coverage rate is 80.5981.4880 Ratio of employees participating in trade unions Example 100100100 Vocational training coverage rate 85.787.399.3 Total hours of employee vocational training 128531651463760114815488 Average hours of employee vocational training 33.4735.7139.53 Among them, the average training time for males is 52.6155.2858.31 The average training time for females is 53.5355.6458.68 Among them, the training time for senior managers is 52.2159.1561.35 The training time for middle managers is 48.6555.3758.56 The average training time for grass-roots employees is 45.6252.8154.21 Number of employees receiving vocational training 15</v>
      </c>
      <c r="B6340" s="1" t="str">
        <f ca="1">IFERROR(__xludf.DUMMYFUNCTION("GOOGLETRANSLATE(A6340, ""zh"", ""en"")"),"staff")</f>
        <v>staff</v>
      </c>
      <c r="C6340" s="1" t="str">
        <f ca="1">IFERROR(__xludf.DUMMYFUNCTION("GOOGLETRANSLATE(E6340, ""zh"", ""en"")"),"Quantitative Text")</f>
        <v>Quantitative Text</v>
      </c>
    </row>
    <row r="6341" spans="1:3" ht="13" x14ac:dyDescent="0.15">
      <c r="A6341" s="1" t="str">
        <f ca="1">IFERROR(__xludf.DUMMYFUNCTION("GOOGLETRANSLATE(A6341, ""zh"", ""en"")"),"3650117251291442848Of which, online training participants: 125980061521706375520Online training duration: 277213005143290060847600Of which, male employees’ training participation rate: 36.8539.2642.74Female employees’ training participation rate: 35.6238."&amp;"2741.63Of which, senior managers’ training participation rate: 95.695.7796.28Middle managers’ training participation rate: 92.593.6394.75Grassroots employees’ training participation rate: 85.687.3889.63Supply ChainSocial PerformanceEmployment and Training"&amp;"Occupational Health and SafetySINOPEC Sinopec Corporation (Sinopec Group) 107108 Corporate Governance: Building a Strong Safety Line, Addressing Climate Change, Respecting Human Rights, Cultivating Talents, Protecting the Environment, and Fulfilling Socia"&amp;"l Responsibilities Independent Assurance Report Sinopec Corporation (Sinopec Group) Sinopec Corporation 109110 Corporate Governance: Building a Strong Safety Line, Addressing Climate Change, Respecting Human Rights, Cultivating Talents, Protecting the Env"&amp;"ironment, and Fulfilling Social Responsibilities KPMG Huazhen Certified Public Accountants LLP Beijing, China Key Data Basis for Reporting Total Greenhouse Gas Emissions (million tons of CO2 equivalent) The total greenhouse gas emissions disclosed in the "&amp;"Sustainability Report refer to the direct and indirect greenhouse gas emissions generated by the production and operation enterprises under Sinopec Corporation.")</f>
        <v>3650117251291442848Of which, online training participants: 125980061521706375520Online training duration: 277213005143290060847600Of which, male employees’ training participation rate: 36.8539.2642.74Female employees’ training participation rate: 35.6238.2741.63Of which, senior managers’ training participation rate: 95.695.7796.28Middle managers’ training participation rate: 92.593.6394.75Grassroots employees’ training participation rate: 85.687.3889.63Supply ChainSocial PerformanceEmployment and TrainingOccupational Health and SafetySINOPEC Sinopec Corporation (Sinopec Group) 107108 Corporate Governance: Building a Strong Safety Line, Addressing Climate Change, Respecting Human Rights, Cultivating Talents, Protecting the Environment, and Fulfilling Social Responsibilities Independent Assurance Report Sinopec Corporation (Sinopec Group) Sinopec Corporation 109110 Corporate Governance: Building a Strong Safety Line, Addressing Climate Change, Respecting Human Rights, Cultivating Talents, Protecting the Environment, and Fulfilling Social Responsibilities KPMG Huazhen Certified Public Accountants LLP Beijing, China Key Data Basis for Reporting Total Greenhouse Gas Emissions (million tons of CO2 equivalent) The total greenhouse gas emissions disclosed in the Sustainability Report refer to the direct and indirect greenhouse gas emissions generated by the production and operation enterprises under Sinopec Corporation.</v>
      </c>
      <c r="B6341" s="1" t="str">
        <f ca="1">IFERROR(__xludf.DUMMYFUNCTION("GOOGLETRANSLATE(A6341, ""zh"", ""en"")"),"staff")</f>
        <v>staff</v>
      </c>
      <c r="C6341" s="1" t="str">
        <f ca="1">IFERROR(__xludf.DUMMYFUNCTION("GOOGLETRANSLATE(E6341, ""zh"", ""en"")"),"Quantitative Text")</f>
        <v>Quantitative Text</v>
      </c>
    </row>
    <row r="6342" spans="1:3" ht="13" x14ac:dyDescent="0.15">
      <c r="A6342" s="1" t="str">
        <f ca="1">IFERROR(__xludf.DUMMYFUNCTION("GOOGLETRANSLATE(A6342, ""zh"", ""en"")"),"1 Ping An Bank Co., Ltd. 2022 Sustainability Report 2 Executive Message 2022 is a milestone year. The 20th National Congress of the Communist Party of China outlined a grand blueprint for the great rejuvenation of the Chinese nation and embarked on a new "&amp;"journey full of glory and dreams.")</f>
        <v>1 Ping An Bank Co., Ltd. 2022 Sustainability Report 2 Executive Message 2022 is a milestone year. The 20th National Congress of the Communist Party of China outlined a grand blueprint for the great rejuvenation of the Chinese nation and embarked on a new journey full of glory and dreams.</v>
      </c>
      <c r="B6342" s="1" t="str">
        <f ca="1">IFERROR(__xludf.DUMMYFUNCTION("GOOGLETRANSLATE(A6342, ""zh"", ""en"")"),"irrelevant text")</f>
        <v>irrelevant text</v>
      </c>
      <c r="C6342" s="1" t="str">
        <f ca="1">IFERROR(__xludf.DUMMYFUNCTION("GOOGLETRANSLATE(E6342, ""zh"", ""en"")"),"irrelevant text")</f>
        <v>irrelevant text</v>
      </c>
    </row>
    <row r="6343" spans="1:3" ht="13" x14ac:dyDescent="0.15">
      <c r="A6343" s="1" t="str">
        <f ca="1">IFERROR(__xludf.DUMMYFUNCTION("GOOGLETRANSLATE(A6343, ""zh"", ""en"")"),"Adhere to the fundamentals of finance and serve the real economy")</f>
        <v>Adhere to the fundamentals of finance and serve the real economy</v>
      </c>
      <c r="B6343" s="1" t="str">
        <f ca="1">IFERROR(__xludf.DUMMYFUNCTION("GOOGLETRANSLATE(A6343, ""zh"", ""en"")"),"irrelevant text")</f>
        <v>irrelevant text</v>
      </c>
      <c r="C6343" s="1" t="str">
        <f ca="1">IFERROR(__xludf.DUMMYFUNCTION("GOOGLETRANSLATE(E6343, ""zh"", ""en"")"),"irrelevant text")</f>
        <v>irrelevant text</v>
      </c>
    </row>
    <row r="6344" spans="1:3" ht="13" x14ac:dyDescent="0.15">
      <c r="A6344" s="1" t="str">
        <f ca="1">IFERROR(__xludf.DUMMYFUNCTION("GOOGLETRANSLATE(A6344, ""zh"", ""en"")"),"For retail customers, we are committed to building Intelligent Bank 3.0, promoting the realization of people's aspirations for a better life through professional and inclusive finance. By leveraging the leading technological capabilities accumulated over "&amp;"the years, we are enhancing our service capabilities, enabling our 80% long-tail customer base to receive more professional, precise, and inclusive financial services.")</f>
        <v>For retail customers, we are committed to building Intelligent Bank 3.0, promoting the realization of people's aspirations for a better life through professional and inclusive finance. By leveraging the leading technological capabilities accumulated over the years, we are enhancing our service capabilities, enabling our 80% long-tail customer base to receive more professional, precise, and inclusive financial services.</v>
      </c>
      <c r="B6344" s="1" t="str">
        <f ca="1">IFERROR(__xludf.DUMMYFUNCTION("GOOGLETRANSLATE(A6344, ""zh"", ""en"")"),"Customers and Consumers")</f>
        <v>Customers and Consumers</v>
      </c>
      <c r="C6344" s="1" t="str">
        <f ca="1">IFERROR(__xludf.DUMMYFUNCTION("GOOGLETRANSLATE(E6344, ""zh"", ""en"")"),"Qualitative text")</f>
        <v>Qualitative text</v>
      </c>
    </row>
    <row r="6345" spans="1:3" ht="13" x14ac:dyDescent="0.15">
      <c r="A6345" s="1" t="str">
        <f ca="1">IFERROR(__xludf.DUMMYFUNCTION("GOOGLETRANSLATE(A6345, ""zh"", ""en"")"),"Deepen green financial services to achieve dual carbon goals")</f>
        <v>Deepen green financial services to achieve dual carbon goals</v>
      </c>
      <c r="B6345" s="1" t="str">
        <f ca="1">IFERROR(__xludf.DUMMYFUNCTION("GOOGLETRANSLATE(A6345, ""zh"", ""en"")"),"Green Finance")</f>
        <v>Green Finance</v>
      </c>
      <c r="C6345" s="1" t="str">
        <f ca="1">IFERROR(__xludf.DUMMYFUNCTION("GOOGLETRANSLATE(E6345, ""zh"", ""en"")"),"Qualitative text")</f>
        <v>Qualitative text</v>
      </c>
    </row>
    <row r="6346" spans="1:3" ht="13" x14ac:dyDescent="0.15">
      <c r="A6346" s="1" t="str">
        <f ca="1">IFERROR(__xludf.DUMMYFUNCTION("GOOGLETRANSLATE(A6346, ""zh"", ""en"")"),"We launched a special campaign to develop three customer strategies for green financial products, promoting long-term operations and asset allocation for core customer groups in the green industry.")</f>
        <v>We launched a special campaign to develop three customer strategies for green financial products, promoting long-term operations and asset allocation for core customer groups in the green industry.</v>
      </c>
      <c r="B6346" s="1" t="str">
        <f ca="1">IFERROR(__xludf.DUMMYFUNCTION("GOOGLETRANSLATE(A6346, ""zh"", ""en"")"),"Green Finance")</f>
        <v>Green Finance</v>
      </c>
      <c r="C6346" s="1" t="str">
        <f ca="1">IFERROR(__xludf.DUMMYFUNCTION("GOOGLETRANSLATE(E6346, ""zh"", ""en"")"),"Qualitative text")</f>
        <v>Qualitative text</v>
      </c>
    </row>
    <row r="6347" spans="1:3" ht="13" x14ac:dyDescent="0.15">
      <c r="A6347" s="1" t="str">
        <f ca="1">IFERROR(__xludf.DUMMYFUNCTION("GOOGLETRANSLATE(A6347, ""zh"", ""en"")"),"We successfully issued 20 billion yuan of green financial bonds to support the development of green industries")</f>
        <v>We successfully issued 20 billion yuan of green financial bonds to support the development of green industries</v>
      </c>
      <c r="B6347" s="1" t="str">
        <f ca="1">IFERROR(__xludf.DUMMYFUNCTION("GOOGLETRANSLATE(A6347, ""zh"", ""en"")"),"Green Finance")</f>
        <v>Green Finance</v>
      </c>
      <c r="C6347" s="1" t="str">
        <f ca="1">IFERROR(__xludf.DUMMYFUNCTION("GOOGLETRANSLATE(E6347, ""zh"", ""en"")"),"Quantitative Text")</f>
        <v>Quantitative Text</v>
      </c>
    </row>
    <row r="6348" spans="1:3" ht="13" x14ac:dyDescent="0.15">
      <c r="A6348" s="1" t="str">
        <f ca="1">IFERROR(__xludf.DUMMYFUNCTION("GOOGLETRANSLATE(A6348, ""zh"", ""en"")"),"At the end of 2022, the Bank's green loan balance was RMB 109.768 billion, an increase of 58.8% from the end of the previous year.")</f>
        <v>At the end of 2022, the Bank's green loan balance was RMB 109.768 billion, an increase of 58.8% from the end of the previous year.</v>
      </c>
      <c r="B6348" s="1" t="str">
        <f ca="1">IFERROR(__xludf.DUMMYFUNCTION("GOOGLETRANSLATE(A6348, ""zh"", ""en"")"),"Green Finance")</f>
        <v>Green Finance</v>
      </c>
      <c r="C6348" s="1" t="str">
        <f ca="1">IFERROR(__xludf.DUMMYFUNCTION("GOOGLETRANSLATE(E6348, ""zh"", ""en"")"),"Quantitative Text")</f>
        <v>Quantitative Text</v>
      </c>
    </row>
    <row r="6349" spans="1:3" ht="13" x14ac:dyDescent="0.15">
      <c r="A6349" s="1" t="str">
        <f ca="1">IFERROR(__xludf.DUMMYFUNCTION("GOOGLETRANSLATE(A6349, ""zh"", ""en"")"),"In 2022, we won the International Finance Forum IFF Global Green Finance Award of the Year")</f>
        <v>In 2022, we won the International Finance Forum IFF Global Green Finance Award of the Year</v>
      </c>
      <c r="B6349" s="1" t="str">
        <f ca="1">IFERROR(__xludf.DUMMYFUNCTION("GOOGLETRANSLATE(A6349, ""zh"", ""en"")"),"Green Finance")</f>
        <v>Green Finance</v>
      </c>
      <c r="C6349" s="1" t="str">
        <f ca="1">IFERROR(__xludf.DUMMYFUNCTION("GOOGLETRANSLATE(E6349, ""zh"", ""en"")"),"Quantitative Text")</f>
        <v>Quantitative Text</v>
      </c>
    </row>
    <row r="6350" spans="1:3" ht="13" x14ac:dyDescent="0.15">
      <c r="A6350" s="1" t="str">
        <f ca="1">IFERROR(__xludf.DUMMYFUNCTION("GOOGLETRANSLATE(A6350, ""zh"", ""en"")"),"We strive to expand and extend the 421 service model for rural revitalization. Through financing, intellectual capital, branding, and technology, we promote the integration of comprehensive finance with agriculture, rural areas, and farmers. We are commit"&amp;"ted to building an industrial revitalization co-construction platform under government guidance that integrates farmers, agricultural enterprises, banks, insurance, and agricultural research institutes.")</f>
        <v>We strive to expand and extend the 421 service model for rural revitalization. Through financing, intellectual capital, branding, and technology, we promote the integration of comprehensive finance with agriculture, rural areas, and farmers. We are committed to building an industrial revitalization co-construction platform under government guidance that integrates farmers, agricultural enterprises, banks, insurance, and agricultural research institutes.</v>
      </c>
      <c r="B6350" s="1" t="str">
        <f ca="1">IFERROR(__xludf.DUMMYFUNCTION("GOOGLETRANSLATE(A6350, ""zh"", ""en"")"),"Rural assistance")</f>
        <v>Rural assistance</v>
      </c>
      <c r="C6350" s="1" t="str">
        <f ca="1">IFERROR(__xludf.DUMMYFUNCTION("GOOGLETRANSLATE(E6350, ""zh"", ""en"")"),"Qualitative text")</f>
        <v>Qualitative text</v>
      </c>
    </row>
    <row r="6351" spans="1:3" ht="13" x14ac:dyDescent="0.15">
      <c r="A6351" s="1" t="str">
        <f ca="1">IFERROR(__xludf.DUMMYFUNCTION("GOOGLETRANSLATE(A6351, ""zh"", ""en"")"),"In 2022, we invested 33.078 billion yuan in rural revitalization support funds, with a total investment of 69.254 billion yuan.")</f>
        <v>In 2022, we invested 33.078 billion yuan in rural revitalization support funds, with a total investment of 69.254 billion yuan.</v>
      </c>
      <c r="B6351" s="1" t="str">
        <f ca="1">IFERROR(__xludf.DUMMYFUNCTION("GOOGLETRANSLATE(A6351, ""zh"", ""en"")"),"Rural assistance")</f>
        <v>Rural assistance</v>
      </c>
      <c r="C6351" s="1" t="str">
        <f ca="1">IFERROR(__xludf.DUMMYFUNCTION("GOOGLETRANSLATE(E6351, ""zh"", ""en"")"),"Quantitative Text")</f>
        <v>Quantitative Text</v>
      </c>
    </row>
    <row r="6352" spans="1:3" ht="13" x14ac:dyDescent="0.15">
      <c r="A6352" s="1" t="str">
        <f ca="1">IFERROR(__xludf.DUMMYFUNCTION("GOOGLETRANSLATE(A6352, ""zh"", ""en"")"),"We have built the Ping An Public Welfare Internet Fundraising Information Platform to build a safe and reliable bridge between donors and recipients. We use casual charity to gather small acts of kindness and great love to support rural revitalization, wo"&amp;"men's development, community development, education, student aid, disaster relief and other public welfare projects.")</f>
        <v>We have built the Ping An Public Welfare Internet Fundraising Information Platform to build a safe and reliable bridge between donors and recipients. We use casual charity to gather small acts of kindness and great love to support rural revitalization, women's development, community development, education, student aid, disaster relief and other public welfare projects.</v>
      </c>
      <c r="B6352" s="1" t="str">
        <f ca="1">IFERROR(__xludf.DUMMYFUNCTION("GOOGLETRANSLATE(A6352, ""zh"", ""en"")"),"Public welfare and volunteer service")</f>
        <v>Public welfare and volunteer service</v>
      </c>
      <c r="C6352" s="1" t="str">
        <f ca="1">IFERROR(__xludf.DUMMYFUNCTION("GOOGLETRANSLATE(E6352, ""zh"", ""en"")"),"Qualitative text")</f>
        <v>Qualitative text</v>
      </c>
    </row>
    <row r="6353" spans="1:3" ht="13" x14ac:dyDescent="0.15">
      <c r="A6353" s="1" t="str">
        <f ca="1">IFERROR(__xludf.DUMMYFUNCTION("GOOGLETRANSLATE(A6353, ""zh"", ""en"")"),"In 2022, we donated RMB 58.2206 million to support education, poverty alleviation, epidemic prevention and disaster relief.")</f>
        <v>In 2022, we donated RMB 58.2206 million to support education, poverty alleviation, epidemic prevention and disaster relief.</v>
      </c>
      <c r="B6353" s="1" t="str">
        <f ca="1">IFERROR(__xludf.DUMMYFUNCTION("GOOGLETRANSLATE(A6353, ""zh"", ""en"")"),"Public welfare and volunteer service")</f>
        <v>Public welfare and volunteer service</v>
      </c>
      <c r="C6353" s="1" t="str">
        <f ca="1">IFERROR(__xludf.DUMMYFUNCTION("GOOGLETRANSLATE(E6353, ""zh"", ""en"")"),"Quantitative Text")</f>
        <v>Quantitative Text</v>
      </c>
    </row>
    <row r="6354" spans="1:3" ht="13" x14ac:dyDescent="0.15">
      <c r="A6354" s="1" t="str">
        <f ca="1">IFERROR(__xludf.DUMMYFUNCTION("GOOGLETRANSLATE(A6354, ""zh"", ""en"")"),"Accelerate digital transformation and enhance customer experience")</f>
        <v>Accelerate digital transformation and enhance customer experience</v>
      </c>
      <c r="B6354" s="1" t="str">
        <f ca="1">IFERROR(__xludf.DUMMYFUNCTION("GOOGLETRANSLATE(A6354, ""zh"", ""en"")"),"Customers and Consumers")</f>
        <v>Customers and Consumers</v>
      </c>
      <c r="C6354" s="1" t="str">
        <f ca="1">IFERROR(__xludf.DUMMYFUNCTION("GOOGLETRANSLATE(E6354, ""zh"", ""en"")"),"Qualitative text")</f>
        <v>Qualitative text</v>
      </c>
    </row>
    <row r="6355" spans="1:3" ht="13" x14ac:dyDescent="0.15">
      <c r="A6355" s="1" t="str">
        <f ca="1">IFERROR(__xludf.DUMMYFUNCTION("GOOGLETRANSLATE(A6355, ""zh"", ""en"")"),"We released the Pocket Bank App 6.0 and upgraded it to Pocket Butler 2.0, leveraging our comprehensive financial and technological capabilities to create more convenient, intelligent, and secure online financial services.")</f>
        <v>We released the Pocket Bank App 6.0 and upgraded it to Pocket Butler 2.0, leveraging our comprehensive financial and technological capabilities to create more convenient, intelligent, and secure online financial services.</v>
      </c>
      <c r="B6355" s="1" t="str">
        <f ca="1">IFERROR(__xludf.DUMMYFUNCTION("GOOGLETRANSLATE(A6355, ""zh"", ""en"")"),"Technological innovation")</f>
        <v>Technological innovation</v>
      </c>
      <c r="C6355" s="1" t="str">
        <f ca="1">IFERROR(__xludf.DUMMYFUNCTION("GOOGLETRANSLATE(E6355, ""zh"", ""en"")"),"Qualitative text")</f>
        <v>Qualitative text</v>
      </c>
    </row>
    <row r="6356" spans="1:3" ht="13" x14ac:dyDescent="0.15">
      <c r="A6356" s="1" t="str">
        <f ca="1">IFERROR(__xludf.DUMMYFUNCTION("GOOGLETRANSLATE(A6356, ""zh"", ""en"")"),"Continuously upgrade branch services to provide customers with a more comfortable and efficient business experience through intelligent upgrades and convenient renovations")</f>
        <v>Continuously upgrade branch services to provide customers with a more comfortable and efficient business experience through intelligent upgrades and convenient renovations</v>
      </c>
      <c r="B6356" s="1" t="str">
        <f ca="1">IFERROR(__xludf.DUMMYFUNCTION("GOOGLETRANSLATE(A6356, ""zh"", ""en"")"),"Customers and Consumers")</f>
        <v>Customers and Consumers</v>
      </c>
      <c r="C6356" s="1" t="str">
        <f ca="1">IFERROR(__xludf.DUMMYFUNCTION("GOOGLETRANSLATE(E6356, ""zh"", ""en"")"),"Qualitative text")</f>
        <v>Qualitative text</v>
      </c>
    </row>
    <row r="6357" spans="1:3" ht="13" x14ac:dyDescent="0.15">
      <c r="A6357" s="1" t="str">
        <f ca="1">IFERROR(__xludf.DUMMYFUNCTION("GOOGLETRANSLATE(A6357, ""zh"", ""en"")"),"We further strengthened the control of the entire consumer protection process, improved customer privacy and data security management, upgraded our anti-fraud system, and were awarded the comprehensive governance level for our data security governance cap"&amp;"abilities.")</f>
        <v>We further strengthened the control of the entire consumer protection process, improved customer privacy and data security management, upgraded our anti-fraud system, and were awarded the comprehensive governance level for our data security governance capabilities.</v>
      </c>
      <c r="B6357" s="1" t="str">
        <f ca="1">IFERROR(__xludf.DUMMYFUNCTION("GOOGLETRANSLATE(A6357, ""zh"", ""en"")"),"Data security")</f>
        <v>Data security</v>
      </c>
      <c r="C6357" s="1" t="str">
        <f ca="1">IFERROR(__xludf.DUMMYFUNCTION("GOOGLETRANSLATE(E6357, ""zh"", ""en"")"),"Quantitative Text")</f>
        <v>Quantitative Text</v>
      </c>
    </row>
    <row r="6358" spans="1:3" ht="13" x14ac:dyDescent="0.15">
      <c r="A6358" s="1" t="str">
        <f ca="1">IFERROR(__xludf.DUMMYFUNCTION("GOOGLETRANSLATE(A6358, ""zh"", ""en"")"),"We have integrated online and offline channels to innovate and popularize financial knowledge. In 2022, we conducted 21,715 consumer protection publicity activities, reaching over 440 million people.")</f>
        <v>We have integrated online and offline channels to innovate and popularize financial knowledge. In 2022, we conducted 21,715 consumer protection publicity activities, reaching over 440 million people.</v>
      </c>
      <c r="B6358" s="1" t="str">
        <f ca="1">IFERROR(__xludf.DUMMYFUNCTION("GOOGLETRANSLATE(A6358, ""zh"", ""en"")"),"Customers and Consumers")</f>
        <v>Customers and Consumers</v>
      </c>
      <c r="C6358" s="1" t="str">
        <f ca="1">IFERROR(__xludf.DUMMYFUNCTION("GOOGLETRANSLATE(E6358, ""zh"", ""en"")"),"Quantitative Text")</f>
        <v>Quantitative Text</v>
      </c>
    </row>
    <row r="6359" spans="1:3" ht="13" x14ac:dyDescent="0.15">
      <c r="A6359" s="1" t="str">
        <f ca="1">IFERROR(__xludf.DUMMYFUNCTION("GOOGLETRANSLATE(A6359, ""zh"", ""en"")"),"Work hard and stand at the forefront, carry forward the past and forge ahead")</f>
        <v>Work hard and stand at the forefront, carry forward the past and forge ahead</v>
      </c>
      <c r="B6359" s="1" t="str">
        <f ca="1">IFERROR(__xludf.DUMMYFUNCTION("GOOGLETRANSLATE(A6359, ""zh"", ""en"")"),"irrelevant text")</f>
        <v>irrelevant text</v>
      </c>
      <c r="C6359" s="1" t="str">
        <f ca="1">IFERROR(__xludf.DUMMYFUNCTION("GOOGLETRANSLATE(E6359, ""zh"", ""en"")"),"irrelevant text")</f>
        <v>irrelevant text</v>
      </c>
    </row>
    <row r="6360" spans="1:3" ht="13" x14ac:dyDescent="0.15">
      <c r="A6360" s="1" t="str">
        <f ca="1">IFERROR(__xludf.DUMMYFUNCTION("GOOGLETRANSLATE(A6360, ""zh"", ""en"")"),"As of the end of 2022, the Bank has 109 branches and 1,191 business offices providing customers with a variety of financial services.")</f>
        <v>As of the end of 2022, the Bank has 109 branches and 1,191 business offices providing customers with a variety of financial services.</v>
      </c>
      <c r="B6360" s="1" t="str">
        <f ca="1">IFERROR(__xludf.DUMMYFUNCTION("GOOGLETRANSLATE(A6360, ""zh"", ""en"")"),"Customers and Consumers")</f>
        <v>Customers and Consumers</v>
      </c>
      <c r="C6360" s="1" t="str">
        <f ca="1">IFERROR(__xludf.DUMMYFUNCTION("GOOGLETRANSLATE(E6360, ""zh"", ""en"")"),"Quantitative Text")</f>
        <v>Quantitative Text</v>
      </c>
    </row>
    <row r="6361" spans="1:3" ht="13" x14ac:dyDescent="0.15">
      <c r="A6361" s="1" t="str">
        <f ca="1">IFERROR(__xludf.DUMMYFUNCTION("GOOGLETRANSLATE(A6361, ""zh"", ""en"")"),"The Bank closely follows national strategies and continuously improves its capabilities in providing financial services to the real economy, contributing to high-quality economic development. With the strategic goal of building China's most outstanding an"&amp;"d globally leading intelligent retail bank, the Bank adheres to the twelve-character strategic principle of ""technology-driven retail breakthroughs"" and focuses on refining corporate banking, striving to build a digital banking ecosystem and banking pla"&amp;"tform. The Bank's ""three business cards"" ensure that its products and services demonstrate professional value and provide customers with worry-free, time-saving, and cost-effective financial services.")</f>
        <v>The Bank closely follows national strategies and continuously improves its capabilities in providing financial services to the real economy, contributing to high-quality economic development. With the strategic goal of building China's most outstanding and globally leading intelligent retail bank, the Bank adheres to the twelve-character strategic principle of "technology-driven retail breakthroughs" and focuses on refining corporate banking, striving to build a digital banking ecosystem and banking platform. The Bank's "three business cards" ensure that its products and services demonstrate professional value and provide customers with worry-free, time-saving, and cost-effective financial services.</v>
      </c>
      <c r="B6361" s="1" t="str">
        <f ca="1">IFERROR(__xludf.DUMMYFUNCTION("GOOGLETRANSLATE(A6361, ""zh"", ""en"")"),"Customers and Consumers")</f>
        <v>Customers and Consumers</v>
      </c>
      <c r="C6361" s="1" t="str">
        <f ca="1">IFERROR(__xludf.DUMMYFUNCTION("GOOGLETRANSLATE(E6361, ""zh"", ""en"")"),"Qualitative text")</f>
        <v>Qualitative text</v>
      </c>
    </row>
    <row r="6362" spans="1:3" ht="13" x14ac:dyDescent="0.15">
      <c r="A6362" s="1" t="str">
        <f ca="1">IFERROR(__xludf.DUMMYFUNCTION("GOOGLETRANSLATE(A6362, ""zh"", ""en"")"),"1. ESG Key Performance Indicators 2022 2021 2020 Economic Performance Total assets RMB 100 million 532 15.14 49 213.80 44 68 5.14 Total deposits RMB 100 million 331 26.84 29 618.19 26 73 1.18 Total loans including discounts RMB 100 million 332 91.61 30 63"&amp;" 4.48 26 66 2.97 Corporate loans RMB 128 17.71 115 31.27 10 61 3.57 Personal loans RMB 100 million 204 73.90 19 103.21 16 04 9 .40 Operating income RMB 1798.951693.831535.42 Net profit RMB 455.16363.36289.28 Basic earnings per share RMB 2.201.731.40 Two-i"&amp;"ncrease and Two-control Small and Micro Enterprise Loan Balance RMB 5282.263821.592828.30 Two-increase and Two-control Small and Micro Enterprise Loan Growth Rate 38.2235.7138.83 Environmental Performance Green Credit Balance RMB 1097.68691.35227.00 Total"&amp;" Green Finance Business RMB 1 700.51137.27 Number of video conferences held 15740110490167751 Social performance Customer service NPS Net Promoter Score 86.585.783.0 Total number of employees 4420740651380977 Social insurance coverage rate 100100100 Total"&amp;" tax payment RMB 100 million 276.01241.54252.2 Total external donations RMB 10,000 5822.0612196.069154.63 Cumulative investment in industrial poverty alleviation RMB 100 million 692.54361 .76253.09 2. Honorary Awards Award Time Important Award Name Awardi"&amp;"ng Organization January 2022 Best Chinese Private Bank Best Customer Service Award Wealth Management February 2022 Best Fintech Security Award Jin Song Award March 2022 VISA 2021 Outstanding Acquiring Business Partner Award Mastercard 2021 Excellent Acqui"&amp;"ring Bank American Express Outstanding Acquiring Partner Award JCB 2021 Outstanding Partner Award International Card Organization March 2022 Green Bank Significant Progress Award China Banking Association April 2022 China Best Investor Relations Award for"&amp;" Listed Companies; Best Board of Directors Award for Investor Relations of Listed Companies in China; Securities Times May 2022; Top Ten Social Responsibility Reports of China's Financial Industry; China Banking and Insurance News May 2022; Outstanding Di"&amp;"gital Operation Case of the Year; China Banking and Insurance News and China Rural Finance Jointly Awarded; Best Investor Relations Company June 2022; Best ESG; Best Investor Relations Team; Institutional Investor July 2022; Best Bank in the Guangdong-Hon"&amp;"g Kong-Macao Greater Bay Area; Best Digital Bank in the Greater Bay Area; Asia Money August 2022; Best Joint-Stock Retail Bank in China in 2022; Asian Banker 8 2022; Best SME Bank in China in 2022; Best Auto Loan Product in 2022; Top Ten Green Finance Inn"&amp;"ovation Awards in September 2022; Top Ten Retail Bank Innovation Awards in China; Top Ten Risk Management Innovation Awards in October 2022; Future Customer Experience Leader in IDC China November 2022; Global Green Finance Awards of the Year; IFF Interna"&amp;"tional Financial Forum November 2022; Best Private Equity Sales Bank in China in December 2022; China Fund Management News December 2022; Financial Service Pilot Platform of the Year; Economic Observer and Jointly awarded by Jingguan Media: Best Private B"&amp;"ank for Ultra-High Net Worth Customer Service (December 2022); Best Private Bank for Technological Innovation (Global Finance, December 2022); Tianji Award for Outstanding Asset Custody Bank (2022); Tianji Award for Technological Innovation Bank (2022); S"&amp;"ecurities Times, December 2022; Asia's Outstanding Institutional Customer Service Bank (2022); 21st Century Business Herald, December 2022; Listed on the ESG Innovation Lab list (Wall Street Journal, December 2022); 2022 Outstanding Brand in Healthcare Fi"&amp;"nancial Services (ifeng.com, January 2023); Outstanding Enterprise in Rural Revitalization (China Yi Company, Corporate Social Responsibility); Tencent Atomic Think Tank, January 2023; 2. Promoting Sustainable Development: 1. Sustainable Development Strat"&amp;"egy: The Bank upholds the sustainable development concept of creating value through responsibility and giving back to society with sincerity, integrating the sustainable development strategy into its operations and management to create value for sharehold"&amp;"ers, clients, employees, partners, the community, and the environment, building a green bank, a value bank, a humanistic bank, a caring bank, and a brand bank. Using responsible finance to promote economic development, social progress, and environmental i"&amp;"mprovement, the Bank helps the people achieve a better life.")</f>
        <v>1. ESG Key Performance Indicators 2022 2021 2020 Economic Performance Total assets RMB 100 million 532 15.14 49 213.80 44 68 5.14 Total deposits RMB 100 million 331 26.84 29 618.19 26 73 1.18 Total loans including discounts RMB 100 million 332 91.61 30 63 4.48 26 66 2.97 Corporate loans RMB 128 17.71 115 31.27 10 61 3.57 Personal loans RMB 100 million 204 73.90 19 103.21 16 04 9 .40 Operating income RMB 1798.951693.831535.42 Net profit RMB 455.16363.36289.28 Basic earnings per share RMB 2.201.731.40 Two-increase and Two-control Small and Micro Enterprise Loan Balance RMB 5282.263821.592828.30 Two-increase and Two-control Small and Micro Enterprise Loan Growth Rate 38.2235.7138.83 Environmental Performance Green Credit Balance RMB 1097.68691.35227.00 Total Green Finance Business RMB 1 700.51137.27 Number of video conferences held 15740110490167751 Social performance Customer service NPS Net Promoter Score 86.585.783.0 Total number of employees 4420740651380977 Social insurance coverage rate 100100100 Total tax payment RMB 100 million 276.01241.54252.2 Total external donations RMB 10,000 5822.0612196.069154.63 Cumulative investment in industrial poverty alleviation RMB 100 million 692.54361 .76253.09 2. Honorary Awards Award Time Important Award Name Awarding Organization January 2022 Best Chinese Private Bank Best Customer Service Award Wealth Management February 2022 Best Fintech Security Award Jin Song Award March 2022 VISA 2021 Outstanding Acquiring Business Partner Award Mastercard 2021 Excellent Acquiring Bank American Express Outstanding Acquiring Partner Award JCB 2021 Outstanding Partner Award International Card Organization March 2022 Green Bank Significant Progress Award China Banking Association April 2022 China Best Investor Relations Award for Listed Companies; Best Board of Directors Award for Investor Relations of Listed Companies in China; Securities Times May 2022; Top Ten Social Responsibility Reports of China's Financial Industry; China Banking and Insurance News May 2022; Outstanding Digital Operation Case of the Year; China Banking and Insurance News and China Rural Finance Jointly Awarded; Best Investor Relations Company June 2022; Best ESG; Best Investor Relations Team; Institutional Investor July 2022; Best Bank in the Guangdong-Hong Kong-Macao Greater Bay Area; Best Digital Bank in the Greater Bay Area; Asia Money August 2022; Best Joint-Stock Retail Bank in China in 2022; Asian Banker 8 2022; Best SME Bank in China in 2022; Best Auto Loan Product in 2022; Top Ten Green Finance Innovation Awards in September 2022; Top Ten Retail Bank Innovation Awards in China; Top Ten Risk Management Innovation Awards in October 2022; Future Customer Experience Leader in IDC China November 2022; Global Green Finance Awards of the Year; IFF International Financial Forum November 2022; Best Private Equity Sales Bank in China in December 2022; China Fund Management News December 2022; Financial Service Pilot Platform of the Year; Economic Observer and Jointly awarded by Jingguan Media: Best Private Bank for Ultra-High Net Worth Customer Service (December 2022); Best Private Bank for Technological Innovation (Global Finance, December 2022); Tianji Award for Outstanding Asset Custody Bank (2022); Tianji Award for Technological Innovation Bank (2022); Securities Times, December 2022; Asia's Outstanding Institutional Customer Service Bank (2022); 21st Century Business Herald, December 2022; Listed on the ESG Innovation Lab list (Wall Street Journal, December 2022); 2022 Outstanding Brand in Healthcare Financial Services (ifeng.com, January 2023); Outstanding Enterprise in Rural Revitalization (China Yi Company, Corporate Social Responsibility); Tencent Atomic Think Tank, January 2023; 2. Promoting Sustainable Development: 1. Sustainable Development Strategy: The Bank upholds the sustainable development concept of creating value through responsibility and giving back to society with sincerity, integrating the sustainable development strategy into its operations and management to create value for shareholders, clients, employees, partners, the community, and the environment, building a green bank, a value bank, a humanistic bank, a caring bank, and a brand bank. Using responsible finance to promote economic development, social progress, and environmental improvement, the Bank helps the people achieve a better life.</v>
      </c>
      <c r="B6362" s="1" t="str">
        <f ca="1">IFERROR(__xludf.DUMMYFUNCTION("GOOGLETRANSLATE(A6362, ""zh"", ""en"")"),"Sustainable certification")</f>
        <v>Sustainable certification</v>
      </c>
      <c r="C6362" s="1" t="str">
        <f ca="1">IFERROR(__xludf.DUMMYFUNCTION("GOOGLETRANSLATE(E6362, ""zh"", ""en"")"),"Qualitative text")</f>
        <v>Qualitative text</v>
      </c>
    </row>
    <row r="6363" spans="1:3" ht="13" x14ac:dyDescent="0.15">
      <c r="A6363" s="1" t="str">
        <f ca="1">IFERROR(__xludf.DUMMYFUNCTION("GOOGLETRANSLATE(A6363, ""zh"", ""en"")"),"In terms of the environment, we will implement the green development concept, innovate green financial products and services, increase support for green industries, promote green operations, and build an environmentally friendly green bank.")</f>
        <v>In terms of the environment, we will implement the green development concept, innovate green financial products and services, increase support for green industries, promote green operations, and build an environmentally friendly green bank.</v>
      </c>
      <c r="B6363" s="1" t="str">
        <f ca="1">IFERROR(__xludf.DUMMYFUNCTION("GOOGLETRANSLATE(A6363, ""zh"", ""en"")"),"Green Finance")</f>
        <v>Green Finance</v>
      </c>
      <c r="C6363" s="1" t="str">
        <f ca="1">IFERROR(__xludf.DUMMYFUNCTION("GOOGLETRANSLATE(E6363, ""zh"", ""en"")"),"Qualitative text")</f>
        <v>Qualitative text</v>
      </c>
    </row>
    <row r="6364" spans="1:3" ht="13" x14ac:dyDescent="0.15">
      <c r="A6364" s="1" t="str">
        <f ca="1">IFERROR(__xludf.DUMMYFUNCTION("GOOGLETRANSLATE(A6364, ""zh"", ""en"")"),"In terms of society, we implement the national rural revitalization strategy, contribute to common prosperity, care for the growth of employees, devote ourselves to public welfare, and build a warm and caring bank.")</f>
        <v>In terms of society, we implement the national rural revitalization strategy, contribute to common prosperity, care for the growth of employees, devote ourselves to public welfare, and build a warm and caring bank.</v>
      </c>
      <c r="B6364" s="1" t="str">
        <f ca="1">IFERROR(__xludf.DUMMYFUNCTION("GOOGLETRANSLATE(A6364, ""zh"", ""en"")"),"Public welfare and volunteer service")</f>
        <v>Public welfare and volunteer service</v>
      </c>
      <c r="C6364" s="1" t="str">
        <f ca="1">IFERROR(__xludf.DUMMYFUNCTION("GOOGLETRANSLATE(E6364, ""zh"", ""en"")"),"Qualitative text")</f>
        <v>Qualitative text</v>
      </c>
    </row>
    <row r="6365" spans="1:3" ht="13" x14ac:dyDescent="0.15">
      <c r="A6365" s="1" t="str">
        <f ca="1">IFERROR(__xludf.DUMMYFUNCTION("GOOGLETRANSLATE(A6365, ""zh"", ""en"")"),"In terms of governance, we will improve corporate governance and risk management to safeguard sound operations, effectively protect the rights and interests of stakeholders, and build a brand bank with sustainable development.")</f>
        <v>In terms of governance, we will improve corporate governance and risk management to safeguard sound operations, effectively protect the rights and interests of stakeholders, and build a brand bank with sustainable development.</v>
      </c>
      <c r="B6365" s="1" t="str">
        <f ca="1">IFERROR(__xludf.DUMMYFUNCTION("GOOGLETRANSLATE(A6365, ""zh"", ""en"")"),"Organizational structure and operations")</f>
        <v>Organizational structure and operations</v>
      </c>
      <c r="C6365" s="1" t="str">
        <f ca="1">IFERROR(__xludf.DUMMYFUNCTION("GOOGLETRANSLATE(E6365, ""zh"", ""en"")"),"Qualitative text")</f>
        <v>Qualitative text</v>
      </c>
    </row>
    <row r="6366" spans="1:3" ht="13" x14ac:dyDescent="0.15">
      <c r="A6366" s="1" t="str">
        <f ca="1">IFERROR(__xludf.DUMMYFUNCTION("GOOGLETRANSLATE(A6366, ""zh"", ""en"")"),"10.2 Sustainability Management The Board is the highest decision-making and responsible body for the Bank's environmental, social and governance (ESG) affairs. The Bank's Board of Directors pays close attention to environmental, social and governance (ESG"&amp;") work and continuously improves its ESG governance structure.")</f>
        <v>10.2 Sustainability Management The Board is the highest decision-making and responsible body for the Bank's environmental, social and governance (ESG) affairs. The Bank's Board of Directors pays close attention to environmental, social and governance (ESG) work and continuously improves its ESG governance structure.</v>
      </c>
      <c r="B6366" s="1" t="str">
        <f ca="1">IFERROR(__xludf.DUMMYFUNCTION("GOOGLETRANSLATE(A6366, ""zh"", ""en"")"),"Organizational structure and operations")</f>
        <v>Organizational structure and operations</v>
      </c>
      <c r="C6366" s="1" t="str">
        <f ca="1">IFERROR(__xludf.DUMMYFUNCTION("GOOGLETRANSLATE(E6366, ""zh"", ""en"")"),"Qualitative text")</f>
        <v>Qualitative text</v>
      </c>
    </row>
    <row r="6367" spans="1:3" ht="13" x14ac:dyDescent="0.15">
      <c r="A6367" s="1" t="str">
        <f ca="1">IFERROR(__xludf.DUMMYFUNCTION("GOOGLETRANSLATE(A6367, ""zh"", ""en"")"),"The Bank has continuously improved its sustainable development work system, forming a sustainable development management framework and work structure with the Board of Directors making strategic decisions, senior management directly leading the way, the H"&amp;"ead Office coordinating the work of all departments of the Head Office, and joint participation from all branches in promoting implementation. This framework and work structure involves the active participation of all employees of the Bank, ensuring the i"&amp;"mplementation of sustainable development management concepts and behaviors in daily work.")</f>
        <v>The Bank has continuously improved its sustainable development work system, forming a sustainable development management framework and work structure with the Board of Directors making strategic decisions, senior management directly leading the way, the Head Office coordinating the work of all departments of the Head Office, and joint participation from all branches in promoting implementation. This framework and work structure involves the active participation of all employees of the Bank, ensuring the implementation of sustainable development management concepts and behaviors in daily work.</v>
      </c>
      <c r="B6367" s="1" t="str">
        <f ca="1">IFERROR(__xludf.DUMMYFUNCTION("GOOGLETRANSLATE(A6367, ""zh"", ""en"")"),"Organizational structure and operations")</f>
        <v>Organizational structure and operations</v>
      </c>
      <c r="C6367" s="1" t="str">
        <f ca="1">IFERROR(__xludf.DUMMYFUNCTION("GOOGLETRANSLATE(E6367, ""zh"", ""en"")"),"Qualitative text")</f>
        <v>Qualitative text</v>
      </c>
    </row>
    <row r="6368" spans="1:3" ht="13" x14ac:dyDescent="0.15">
      <c r="A6368" s="1" t="str">
        <f ca="1">IFERROR(__xludf.DUMMYFUNCTION("GOOGLETRANSLATE(A6368, ""zh"", ""en"")"),"3. Stakeholder Communication The Bank has established a regular communication mechanism with stakeholders. Through multi-channel and multi-form communication activities, we understand the expectations and demands of stakeholders, actively respond to their"&amp;" concerns, and build harmonious and stable stakeholder relationships.")</f>
        <v>3. Stakeholder Communication The Bank has established a regular communication mechanism with stakeholders. Through multi-channel and multi-form communication activities, we understand the expectations and demands of stakeholders, actively respond to their concerns, and build harmonious and stable stakeholder relationships.</v>
      </c>
      <c r="B6368" s="1" t="str">
        <f ca="1">IFERROR(__xludf.DUMMYFUNCTION("GOOGLETRANSLATE(A6368, ""zh"", ""en"")"),"Information Disclosure and Investor Communication")</f>
        <v>Information Disclosure and Investor Communication</v>
      </c>
      <c r="C6368" s="1" t="str">
        <f ca="1">IFERROR(__xludf.DUMMYFUNCTION("GOOGLETRANSLATE(E6368, ""zh"", ""en"")"),"Qualitative text")</f>
        <v>Qualitative text</v>
      </c>
    </row>
    <row r="6369" spans="1:3" ht="13" x14ac:dyDescent="0.15">
      <c r="A6369" s="1" t="str">
        <f ca="1">IFERROR(__xludf.DUMMYFUNCTION("GOOGLETRANSLATE(A6369, ""zh"", ""en"")"),"In the Shenzhen Stock Exchange's annual assessment of listed companies' information disclosure, the Bank has been rated the highest grade, A, for 11 consecutive years.")</f>
        <v>In the Shenzhen Stock Exchange's annual assessment of listed companies' information disclosure, the Bank has been rated the highest grade, A, for 11 consecutive years.</v>
      </c>
      <c r="B6369" s="1" t="str">
        <f ca="1">IFERROR(__xludf.DUMMYFUNCTION("GOOGLETRANSLATE(A6369, ""zh"", ""en"")"),"Information Disclosure and Investor Communication")</f>
        <v>Information Disclosure and Investor Communication</v>
      </c>
      <c r="C6369" s="1" t="str">
        <f ca="1">IFERROR(__xludf.DUMMYFUNCTION("GOOGLETRANSLATE(E6369, ""zh"", ""en"")"),"Quantitative Text")</f>
        <v>Quantitative Text</v>
      </c>
    </row>
    <row r="6370" spans="1:3" ht="13" x14ac:dyDescent="0.15">
      <c r="A6370" s="1" t="str">
        <f ca="1">IFERROR(__xludf.DUMMYFUNCTION("GOOGLETRANSLATE(A6370, ""zh"", ""en"")"),"Stakeholders' Expectations Communication Methods Government and Regulatory Agencies Compliance Management Integrity Building Serving Local Development Customer Rights Protection Win-Win Cooperation Research and Implementation of Regulatory Policies Daily "&amp;"Approval and Supervision-Related Research and Discussion Meetings Reporting Statistical Reports Information Disclosure Participation in Industry Association Activities Shareholders and Investors Economic Performance Regular Reports and Information Announc"&amp;"ements 11 Prudent Development Risk Management ESG Performance Investor Research and Communication Conference Themes Open Day Activities Investor Daily Inquiry Response Partners Industry Cooperation and Development Supply Chain Management Partner Training "&amp;"Partner Conferences Customers Fintech Innovation and Product and Service Innovation Customer Rights Protection Improving Customer Experience Popularizing Financial Knowledge 95511 SMS and Phone Official Website WeChat and Other Interactive Platforms Custo"&amp;"mer Care Activities Customer Satisfaction Surveys Daily Contact with Account Managers Employees Employee Career Development Employee Health and Safety Employee Rights Protection Employee Satisfaction Surveys Symposiums and Training Activities Internal Pub"&amp;"lications Intranet and Other Platforms Complaint and Reporting Mechanisms Environmental Response to Climate Change Energy Management Water Resources Management Waste Management Energy and Resources Management Green Office Initiative Environmental Protecti"&amp;"on Activities Climate-Related Stress Testing Community Practice Responsible Investment Serving the Society and People's Livelihoods Assisting Rural Revitalization Contributing to Social Welfare Volunteer Services Targeted Poverty Alleviation Actions Commu"&amp;"nity Project Construction Employee Volunteering Community Service Activities Green Finance ESG-Related Institutions Communication with investors Communication time Communication target Communication topic February 3 Reclaim Finance Oil and Gas Policy Tool"&amp;" (OGPT) New oil and gas policy tool February 11 BlackRock Investments reduces credit to high-carbon industries February 17 Rainforest Action Network Banking on Climate Chaos 2022 March 28 Asia Research and Engagement Banking Asia's Future May 6 Oaktree Ca"&amp;"pital United Nations Global Compact May 13 Sustainalytics Brownfield asset disputes May 26 AllianceBernstein ESG themed survey May 30 Singapore Arohi Capital Greenhouse Gas Protocol (GHG) application June 2 Standard &amp; Poor's CSA assessment and ESG scoring"&amp;" November 3 JPMorgan Asset Management ESG survey November 23 MSCI Bloomberg Green Bond Index Four material topics Based on the materiality analysis model, the Bank continued to identify, assess and screen sustainable development issues on the basis of pre"&amp;"vious years' work, and identified material issues that are important to the Company and stakeholders, and disclosed and responded to them in the report.")</f>
        <v>Stakeholders' Expectations Communication Methods Government and Regulatory Agencies Compliance Management Integrity Building Serving Local Development Customer Rights Protection Win-Win Cooperation Research and Implementation of Regulatory Policies Daily Approval and Supervision-Related Research and Discussion Meetings Reporting Statistical Reports Information Disclosure Participation in Industry Association Activities Shareholders and Investors Economic Performance Regular Reports and Information Announcements 11 Prudent Development Risk Management ESG Performance Investor Research and Communication Conference Themes Open Day Activities Investor Daily Inquiry Response Partners Industry Cooperation and Development Supply Chain Management Partner Training Partner Conferences Customers Fintech Innovation and Product and Service Innovation Customer Rights Protection Improving Customer Experience Popularizing Financial Knowledge 95511 SMS and Phone Official Website WeChat and Other Interactive Platforms Customer Care Activities Customer Satisfaction Surveys Daily Contact with Account Managers Employees Employee Career Development Employee Health and Safety Employee Rights Protection Employee Satisfaction Surveys Symposiums and Training Activities Internal Publications Intranet and Other Platforms Complaint and Reporting Mechanisms Environmental Response to Climate Change Energy Management Water Resources Management Waste Management Energy and Resources Management Green Office Initiative Environmental Protection Activities Climate-Related Stress Testing Community Practice Responsible Investment Serving the Society and People's Livelihoods Assisting Rural Revitalization Contributing to Social Welfare Volunteer Services Targeted Poverty Alleviation Actions Community Project Construction Employee Volunteering Community Service Activities Green Finance ESG-Related Institutions Communication with investors Communication time Communication target Communication topic February 3 Reclaim Finance Oil and Gas Policy Tool (OGPT) New oil and gas policy tool February 11 BlackRock Investments reduces credit to high-carbon industries February 17 Rainforest Action Network Banking on Climate Chaos 2022 March 28 Asia Research and Engagement Banking Asia's Future May 6 Oaktree Capital United Nations Global Compact May 13 Sustainalytics Brownfield asset disputes May 26 AllianceBernstein ESG themed survey May 30 Singapore Arohi Capital Greenhouse Gas Protocol (GHG) application June 2 Standard &amp; Poor's CSA assessment and ESG scoring November 3 JPMorgan Asset Management ESG survey November 23 MSCI Bloomberg Green Bond Index Four material topics Based on the materiality analysis model, the Bank continued to identify, assess and screen sustainable development issues on the basis of previous years' work, and identified material issues that are important to the Company and stakeholders, and disclosed and responded to them in the report.</v>
      </c>
      <c r="B6370" s="1" t="str">
        <f ca="1">IFERROR(__xludf.DUMMYFUNCTION("GOOGLETRANSLATE(A6370, ""zh"", ""en"")"),"Information Disclosure and Investor Communication")</f>
        <v>Information Disclosure and Investor Communication</v>
      </c>
      <c r="C6370" s="1" t="str">
        <f ca="1">IFERROR(__xludf.DUMMYFUNCTION("GOOGLETRANSLATE(E6370, ""zh"", ""en"")"),"Qualitative text")</f>
        <v>Qualitative text</v>
      </c>
    </row>
    <row r="6371" spans="1:3" ht="13" x14ac:dyDescent="0.15">
      <c r="A6371" s="1" t="str">
        <f ca="1">IFERROR(__xludf.DUMMYFUNCTION("GOOGLETRANSLATE(A6371, ""zh"", ""en"")"),"Importance to stakeholders Importance to the Bank's sustainable development Practicing social welfare Business ethics and compliance Data security and privacy protection Employee career development Risk management Supporting rural revitalization Corporate"&amp;" governance Fintech innovation Inclusive finance Green financial services for the real economy Improving service experience Consumer rights protection Implementing national strategies Supply chain management Green operations Important Important Very impor"&amp;"tant Very important 13. Promoting prudent operations The Bank has established a vision of high-quality development and a prudent and compliant operating philosophy Improve risk management Strengthen internal control and compliance Implementing the develop"&amp;"ment philosophy of innovation, coordination, greenness, openness and sharing Actively fulfilling social responsibilities Create harmonious social relations and form good corporate governance practices")</f>
        <v>Importance to stakeholders Importance to the Bank's sustainable development Practicing social welfare Business ethics and compliance Data security and privacy protection Employee career development Risk management Supporting rural revitalization Corporate governance Fintech innovation Inclusive finance Green financial services for the real economy Improving service experience Consumer rights protection Implementing national strategies Supply chain management Green operations Important Important Very important Very important 13. Promoting prudent operations The Bank has established a vision of high-quality development and a prudent and compliant operating philosophy Improve risk management Strengthen internal control and compliance Implementing the development philosophy of innovation, coordination, greenness, openness and sharing Actively fulfilling social responsibilities Create harmonious social relations and form good corporate governance practices</v>
      </c>
      <c r="B6371" s="1" t="str">
        <f ca="1">IFERROR(__xludf.DUMMYFUNCTION("GOOGLETRANSLATE(A6371, ""zh"", ""en"")"),"Information Disclosure and Investor Communication")</f>
        <v>Information Disclosure and Investor Communication</v>
      </c>
      <c r="C6371" s="1" t="str">
        <f ca="1">IFERROR(__xludf.DUMMYFUNCTION("GOOGLETRANSLATE(E6371, ""zh"", ""en"")"),"Qualitative text")</f>
        <v>Qualitative text</v>
      </c>
    </row>
    <row r="6372" spans="1:3" ht="13" x14ac:dyDescent="0.15">
      <c r="A6372" s="1" t="str">
        <f ca="1">IFERROR(__xludf.DUMMYFUNCTION("GOOGLETRANSLATE(A6372, ""zh"", ""en"")"),"1. Party building leads development. Guided by Xi Jinping Thought on Socialism with Chinese Characteristics for a New Era, comprehensively strengthen the Party's leadership, comprehensively advance Party building, strengthen the Party's core leading role,"&amp;" base ourselves on the new development stage, implement the new development concept, improve the effectiveness of job performance, focus on the bank's development strategy, adhere to the working concept of focusing on development to strengthen Party build"&amp;"ing, grasp Party building well and promote development, deeply integrate Party building work with corporate governance, give full play to the leadership core and political core role of the Party organization, and use high-quality Party building to lead an"&amp;"d ensure the high-quality development of the bank.")</f>
        <v>1. Party building leads development. Guided by Xi Jinping Thought on Socialism with Chinese Characteristics for a New Era, comprehensively strengthen the Party's leadership, comprehensively advance Party building, strengthen the Party's core leading role, base ourselves on the new development stage, implement the new development concept, improve the effectiveness of job performance, focus on the bank's development strategy, adhere to the working concept of focusing on development to strengthen Party building, grasp Party building well and promote development, deeply integrate Party building work with corporate governance, give full play to the leadership core and political core role of the Party organization, and use high-quality Party building to lead and ensure the high-quality development of the bank.</v>
      </c>
      <c r="B6372" s="1" t="str">
        <f ca="1">IFERROR(__xludf.DUMMYFUNCTION("GOOGLETRANSLATE(A6372, ""zh"", ""en"")"),"Organizational structure and operations")</f>
        <v>Organizational structure and operations</v>
      </c>
      <c r="C6372" s="1" t="str">
        <f ca="1">IFERROR(__xludf.DUMMYFUNCTION("GOOGLETRANSLATE(E6372, ""zh"", ""en"")"),"Qualitative text")</f>
        <v>Qualitative text</v>
      </c>
    </row>
    <row r="6373" spans="1:3" ht="13" x14ac:dyDescent="0.15">
      <c r="A6373" s="1" t="str">
        <f ca="1">IFERROR(__xludf.DUMMYFUNCTION("GOOGLETRANSLATE(A6373, ""zh"", ""en"")"),"II. Improve Corporate Governance The Bank has established sound, effective, and transparent corporate governance practices, strengthened internal and external oversight and checks and balances, safeguarded the legitimate rights of shareholders, ensured th"&amp;"ey are treated fairly, respected the fundamental rights and interests of stakeholders, and effectively enhanced the Bank's overall value.")</f>
        <v>II. Improve Corporate Governance The Bank has established sound, effective, and transparent corporate governance practices, strengthened internal and external oversight and checks and balances, safeguarded the legitimate rights of shareholders, ensured they are treated fairly, respected the fundamental rights and interests of stakeholders, and effectively enhanced the Bank's overall value.</v>
      </c>
      <c r="B6373" s="1" t="str">
        <f ca="1">IFERROR(__xludf.DUMMYFUNCTION("GOOGLETRANSLATE(A6373, ""zh"", ""en"")"),"Shareholder and creditor rights")</f>
        <v>Shareholder and creditor rights</v>
      </c>
      <c r="C6373" s="1" t="str">
        <f ca="1">IFERROR(__xludf.DUMMYFUNCTION("GOOGLETRANSLATE(E6373, ""zh"", ""en"")"),"Qualitative text")</f>
        <v>Qualitative text</v>
      </c>
    </row>
    <row r="6374" spans="1:3" ht="13" x14ac:dyDescent="0.15">
      <c r="A6374" s="1" t="str">
        <f ca="1">IFERROR(__xludf.DUMMYFUNCTION("GOOGLETRANSLATE(A6374, ""zh"", ""en"")"),"On June 28, 2022, the General Meeting of Shareholders of the Bank of China approved the proposal to amend the Articles of Association of Ping An Bank Co., Ltd. to strengthen the top-level design of corporate governance.")</f>
        <v>On June 28, 2022, the General Meeting of Shareholders of the Bank of China approved the proposal to amend the Articles of Association of Ping An Bank Co., Ltd. to strengthen the top-level design of corporate governance.</v>
      </c>
      <c r="B6374" s="1" t="str">
        <f ca="1">IFERROR(__xludf.DUMMYFUNCTION("GOOGLETRANSLATE(A6374, ""zh"", ""en"")"),"Organizational structure and operations")</f>
        <v>Organizational structure and operations</v>
      </c>
      <c r="C6374" s="1" t="str">
        <f ca="1">IFERROR(__xludf.DUMMYFUNCTION("GOOGLETRANSLATE(E6374, ""zh"", ""en"")"),"Qualitative text")</f>
        <v>Qualitative text</v>
      </c>
    </row>
    <row r="6375" spans="1:3" ht="13" x14ac:dyDescent="0.15">
      <c r="A6375" s="1" t="str">
        <f ca="1">IFERROR(__xludf.DUMMYFUNCTION("GOOGLETRANSLATE(A6375, ""zh"", ""en"")"),"1. Governance Structure The Bank's General Meeting of Shareholders, Board of Directors, Board of Supervisors and senior management shall exercise their rights and fulfill their obligations in accordance with the principle of effective checks and balances,"&amp;" with each performing their respective duties and responsibilities, and safeguard the legitimate rights and interests of the Bank and its stakeholders.")</f>
        <v>1. Governance Structure The Bank's General Meeting of Shareholders, Board of Directors, Board of Supervisors and senior management shall exercise their rights and fulfill their obligations in accordance with the principle of effective checks and balances, with each performing their respective duties and responsibilities, and safeguard the legitimate rights and interests of the Bank and its stakeholders.</v>
      </c>
      <c r="B6375" s="1" t="str">
        <f ca="1">IFERROR(__xludf.DUMMYFUNCTION("GOOGLETRANSLATE(A6375, ""zh"", ""en"")"),"Organizational structure and operations")</f>
        <v>Organizational structure and operations</v>
      </c>
      <c r="C6375" s="1" t="str">
        <f ca="1">IFERROR(__xludf.DUMMYFUNCTION("GOOGLETRANSLATE(E6375, ""zh"", ""en"")"),"Qualitative text")</f>
        <v>Qualitative text</v>
      </c>
    </row>
    <row r="6376" spans="1:3" ht="13" x14ac:dyDescent="0.15">
      <c r="A6376" s="1" t="str">
        <f ca="1">IFERROR(__xludf.DUMMYFUNCTION("GOOGLETRANSLATE(A6376, ""zh"", ""en"")"),"All governance entities of the Bank promote the implementation of ESG-related work from the perspective of sustainable development, enabling the Bank to achieve high-quality sustainable development.")</f>
        <v>All governance entities of the Bank promote the implementation of ESG-related work from the perspective of sustainable development, enabling the Bank to achieve high-quality sustainable development.</v>
      </c>
      <c r="B6376" s="1" t="str">
        <f ca="1">IFERROR(__xludf.DUMMYFUNCTION("GOOGLETRANSLATE(A6376, ""zh"", ""en"")"),"irrelevant text")</f>
        <v>irrelevant text</v>
      </c>
      <c r="C6376" s="1" t="str">
        <f ca="1">IFERROR(__xludf.DUMMYFUNCTION("GOOGLETRANSLATE(E6376, ""zh"", ""en"")"),"irrelevant text")</f>
        <v>irrelevant text</v>
      </c>
    </row>
    <row r="6377" spans="1:3" ht="13" x14ac:dyDescent="0.15">
      <c r="A6377" s="1" t="str">
        <f ca="1">IFERROR(__xludf.DUMMYFUNCTION("GOOGLETRANSLATE(A6377, ""zh"", ""en"")"),"The general meeting of shareholders shall effectively perform its functions in strict accordance with the relevant provisions of the Company Law and Articles of Association. The board of directors shall be accountable to the general meeting of shareholder"&amp;"s and bear the ultimate responsibility for the operation and management of the bank. The board of supervisors shall effectively perform its supervisory powers and obligations in a responsible manner to all shareholders. The management shall abide by the p"&amp;"rinciple of good faith, perform its duties prudently and diligently, and carry out operations and management in accordance with the decisions of the board of directors.")</f>
        <v>The general meeting of shareholders shall effectively perform its functions in strict accordance with the relevant provisions of the Company Law and Articles of Association. The board of directors shall be accountable to the general meeting of shareholders and bear the ultimate responsibility for the operation and management of the bank. The board of supervisors shall effectively perform its supervisory powers and obligations in a responsible manner to all shareholders. The management shall abide by the principle of good faith, perform its duties prudently and diligently, and carry out operations and management in accordance with the decisions of the board of directors.</v>
      </c>
      <c r="B6377" s="1" t="str">
        <f ca="1">IFERROR(__xludf.DUMMYFUNCTION("GOOGLETRANSLATE(A6377, ""zh"", ""en"")"),"Organizational structure and operations")</f>
        <v>Organizational structure and operations</v>
      </c>
      <c r="C6377" s="1" t="str">
        <f ca="1">IFERROR(__xludf.DUMMYFUNCTION("GOOGLETRANSLATE(E6377, ""zh"", ""en"")"),"Qualitative text")</f>
        <v>Qualitative text</v>
      </c>
    </row>
    <row r="6378" spans="1:3" ht="13" x14ac:dyDescent="0.15">
      <c r="A6378" s="1" t="str">
        <f ca="1">IFERROR(__xludf.DUMMYFUNCTION("GOOGLETRANSLATE(A6378, ""zh"", ""en"")"),"14Corporate Governance Structure Chart 2. Performance of Duties In 2022, the Bank's Board of Directors held 11 meetings, reviewed and approved 49 proposals, and heard or reviewed 51 reports. The Board of Directors established 6 special committees, which h"&amp;"eld 29 meetings, reviewed and approved 54 proposals, and heard or reviewed 43 reports.")</f>
        <v>14Corporate Governance Structure Chart 2. Performance of Duties In 2022, the Bank's Board of Directors held 11 meetings, reviewed and approved 49 proposals, and heard or reviewed 51 reports. The Board of Directors established 6 special committees, which held 29 meetings, reviewed and approved 54 proposals, and heard or reviewed 43 reports.</v>
      </c>
      <c r="B6378" s="1" t="str">
        <f ca="1">IFERROR(__xludf.DUMMYFUNCTION("GOOGLETRANSLATE(A6378, ""zh"", ""en"")"),"Organizational structure and operations")</f>
        <v>Organizational structure and operations</v>
      </c>
      <c r="C6378" s="1" t="str">
        <f ca="1">IFERROR(__xludf.DUMMYFUNCTION("GOOGLETRANSLATE(E6378, ""zh"", ""en"")"),"Quantitative Text")</f>
        <v>Quantitative Text</v>
      </c>
    </row>
    <row r="6379" spans="1:3" ht="13" x14ac:dyDescent="0.15">
      <c r="A6379" s="1" t="str">
        <f ca="1">IFERROR(__xludf.DUMMYFUNCTION("GOOGLETRANSLATE(A6379, ""zh"", ""en"")"),"The Board of Supervisors held 7 meetings of the Board of Supervisors and 7 meetings of special committees and attended some meetings of the Board of Directors and special committees.")</f>
        <v>The Board of Supervisors held 7 meetings of the Board of Supervisors and 7 meetings of special committees and attended some meetings of the Board of Directors and special committees.</v>
      </c>
      <c r="B6379" s="1" t="str">
        <f ca="1">IFERROR(__xludf.DUMMYFUNCTION("GOOGLETRANSLATE(A6379, ""zh"", ""en"")"),"Organizational structure and operations")</f>
        <v>Organizational structure and operations</v>
      </c>
      <c r="C6379" s="1" t="str">
        <f ca="1">IFERROR(__xludf.DUMMYFUNCTION("GOOGLETRANSLATE(E6379, ""zh"", ""en"")"),"Quantitative Text")</f>
        <v>Quantitative Text</v>
      </c>
    </row>
    <row r="6380" spans="1:3" ht="13" x14ac:dyDescent="0.15">
      <c r="A6380" s="1" t="str">
        <f ca="1">IFERROR(__xludf.DUMMYFUNCTION("GOOGLETRANSLATE(A6380, ""zh"", ""en"")"),"This year, the Board of Directors and its specialized committees leveraged their expertise to review and discuss a series of important topics in environmental, social, and corporate governance, and conducted forward-looking research and scientific decisio"&amp;"n-making in strategic guidance, risk management, inclusive finance, green finance, consumer rights protection, and privacy and data security.")</f>
        <v>This year, the Board of Directors and its specialized committees leveraged their expertise to review and discuss a series of important topics in environmental, social, and corporate governance, and conducted forward-looking research and scientific decision-making in strategic guidance, risk management, inclusive finance, green finance, consumer rights protection, and privacy and data security.</v>
      </c>
      <c r="B6380" s="1" t="str">
        <f ca="1">IFERROR(__xludf.DUMMYFUNCTION("GOOGLETRANSLATE(A6380, ""zh"", ""en"")"),"Organizational structure and operations")</f>
        <v>Organizational structure and operations</v>
      </c>
      <c r="C6380" s="1" t="str">
        <f ca="1">IFERROR(__xludf.DUMMYFUNCTION("GOOGLETRANSLATE(E6380, ""zh"", ""en"")"),"Qualitative text")</f>
        <v>Qualitative text</v>
      </c>
    </row>
    <row r="6381" spans="1:3" ht="13" x14ac:dyDescent="0.15">
      <c r="A6381" s="1" t="str">
        <f ca="1">IFERROR(__xludf.DUMMYFUNCTION("GOOGLETRANSLATE(A6381, ""zh"", ""en"")"),"Some of the deliberations are as follows: 15. The Board of Directors, after deliberation and approval by the Board of Directors and the General Meeting of Shareholders, issued RMB 20 billion of special financial bonds for small and micro enterprise loans "&amp;"and RMB 20 billion of green financial bonds in the national interbank bond market in 2022 to promote the further development of inclusive finance and green finance.")</f>
        <v>Some of the deliberations are as follows: 15. The Board of Directors, after deliberation and approval by the Board of Directors and the General Meeting of Shareholders, issued RMB 20 billion of special financial bonds for small and micro enterprise loans and RMB 20 billion of green financial bonds in the national interbank bond market in 2022 to promote the further development of inclusive finance and green finance.</v>
      </c>
      <c r="B6381" s="1" t="str">
        <f ca="1">IFERROR(__xludf.DUMMYFUNCTION("GOOGLETRANSLATE(A6381, ""zh"", ""en"")"),"Green Finance")</f>
        <v>Green Finance</v>
      </c>
      <c r="C6381" s="1" t="str">
        <f ca="1">IFERROR(__xludf.DUMMYFUNCTION("GOOGLETRANSLATE(E6381, ""zh"", ""en"")"),"Quantitative Text")</f>
        <v>Quantitative Text</v>
      </c>
    </row>
    <row r="6382" spans="1:3" ht="13" x14ac:dyDescent="0.15">
      <c r="A6382" s="1" t="str">
        <f ca="1">IFERROR(__xludf.DUMMYFUNCTION("GOOGLETRANSLATE(A6382, ""zh"", ""en"")"),"The Strategic Development and Consumer Protection Committee reviewed and approved the 2021 Consumer Protection Supervision Evaluation Report and the Three-Year Plan for Data Governance (2022-2024), among other key consumer protection tasks. It also review"&amp;"ed the 2022 Consumer Protection Work Plan Implementation Plan and heard reports on banking industry consumer complaints from the Consumer Protection Bureau of the China Banking and Insurance Regulatory Commission for the fourth quarter of 2021 and the fir"&amp;"st and second quarters of 2022, promoting the strengthening of consumer protection capabilities.")</f>
        <v>The Strategic Development and Consumer Protection Committee reviewed and approved the 2021 Consumer Protection Supervision Evaluation Report and the Three-Year Plan for Data Governance (2022-2024), among other key consumer protection tasks. It also reviewed the 2022 Consumer Protection Work Plan Implementation Plan and heard reports on banking industry consumer complaints from the Consumer Protection Bureau of the China Banking and Insurance Regulatory Commission for the fourth quarter of 2021 and the first and second quarters of 2022, promoting the strengthening of consumer protection capabilities.</v>
      </c>
      <c r="B6382" s="1" t="str">
        <f ca="1">IFERROR(__xludf.DUMMYFUNCTION("GOOGLETRANSLATE(A6382, ""zh"", ""en"")"),"Customers and Consumers")</f>
        <v>Customers and Consumers</v>
      </c>
      <c r="C6382" s="1" t="str">
        <f ca="1">IFERROR(__xludf.DUMMYFUNCTION("GOOGLETRANSLATE(E6382, ""zh"", ""en"")"),"Qualitative text")</f>
        <v>Qualitative text</v>
      </c>
    </row>
    <row r="6383" spans="1:3" ht="13" x14ac:dyDescent="0.15">
      <c r="A6383" s="1" t="str">
        <f ca="1">IFERROR(__xludf.DUMMYFUNCTION("GOOGLETRANSLATE(A6383, ""zh"", ""en"")"),"The Audit Committee reviewed and approved the proposal to revise Ping An Bank's data governance guidelines and listened to the 2021 data governance self-assessment report to further strengthen data and information security management.")</f>
        <v>The Audit Committee reviewed and approved the proposal to revise Ping An Bank's data governance guidelines and listened to the 2021 data governance self-assessment report to further strengthen data and information security management.</v>
      </c>
      <c r="B6383" s="1" t="str">
        <f ca="1">IFERROR(__xludf.DUMMYFUNCTION("GOOGLETRANSLATE(A6383, ""zh"", ""en"")"),"Data security")</f>
        <v>Data security</v>
      </c>
      <c r="C6383" s="1" t="str">
        <f ca="1">IFERROR(__xludf.DUMMYFUNCTION("GOOGLETRANSLATE(E6383, ""zh"", ""en"")"),"Qualitative text")</f>
        <v>Qualitative text</v>
      </c>
    </row>
    <row r="6384" spans="1:3" ht="13" x14ac:dyDescent="0.15">
      <c r="A6384" s="1" t="str">
        <f ca="1">IFERROR(__xludf.DUMMYFUNCTION("GOOGLETRANSLATE(A6384, ""zh"", ""en"")"),"The Risk Management Committee reviewed and approved proposals such as the comprehensive risk management report, risk appetite statement, recovery and resolution plan, bank book interest rate risk management, and internal capital adequacy assessment. It al"&amp;"so formulated or revised rules and regulations on business continuity management, recovery and resolution plan management, collateral management, and reputation risk. It also heard or reviewed reports on liquidity risk, liability quality management, and o"&amp;"ther areas, promoting improvements in asset quality control capabilities.")</f>
        <v>The Risk Management Committee reviewed and approved proposals such as the comprehensive risk management report, risk appetite statement, recovery and resolution plan, bank book interest rate risk management, and internal capital adequacy assessment. It also formulated or revised rules and regulations on business continuity management, recovery and resolution plan management, collateral management, and reputation risk. It also heard or reviewed reports on liquidity risk, liability quality management, and other areas, promoting improvements in asset quality control capabilities.</v>
      </c>
      <c r="B6384" s="1" t="str">
        <f ca="1">IFERROR(__xludf.DUMMYFUNCTION("GOOGLETRANSLATE(A6384, ""zh"", ""en"")"),"Audit work")</f>
        <v>Audit work</v>
      </c>
      <c r="C6384" s="1" t="str">
        <f ca="1">IFERROR(__xludf.DUMMYFUNCTION("GOOGLETRANSLATE(E6384, ""zh"", ""en"")"),"Qualitative text")</f>
        <v>Qualitative text</v>
      </c>
    </row>
    <row r="6385" spans="1:3" ht="13" x14ac:dyDescent="0.15">
      <c r="A6385" s="1" t="str">
        <f ca="1">IFERROR(__xludf.DUMMYFUNCTION("GOOGLETRANSLATE(A6385, ""zh"", ""en"")"),"163. Board Diversity The Bank continues to enhance the independence, professionalism, and diversity of its Board of Directors. We consider the diversity of Board members from multiple perspectives, including gender, age, educational background, ethnicity,"&amp;" work experience, professional title, and part-time status.")</f>
        <v>163. Board Diversity The Bank continues to enhance the independence, professionalism, and diversity of its Board of Directors. We consider the diversity of Board members from multiple perspectives, including gender, age, educational background, ethnicity, work experience, professional title, and part-time status.</v>
      </c>
      <c r="B6385" s="1" t="str">
        <f ca="1">IFERROR(__xludf.DUMMYFUNCTION("GOOGLETRANSLATE(A6385, ""zh"", ""en"")"),"Organizational structure and operations")</f>
        <v>Organizational structure and operations</v>
      </c>
      <c r="C6385" s="1" t="str">
        <f ca="1">IFERROR(__xludf.DUMMYFUNCTION("GOOGLETRANSLATE(E6385, ""zh"", ""en"")"),"Qualitative text")</f>
        <v>Qualitative text</v>
      </c>
    </row>
    <row r="6386" spans="1:3" ht="13" x14ac:dyDescent="0.15">
      <c r="A6386" s="1" t="str">
        <f ca="1">IFERROR(__xludf.DUMMYFUNCTION("GOOGLETRANSLATE(A6386, ""zh"", ""en"")"),"As of the end of 2022, the Bank's Board of Directors consists of 13 directors, including 4 executive directors, 4 non-executive directors, 5 independent directors, and 2 female directors from the fields of accounting, economics, finance, and law.")</f>
        <v>As of the end of 2022, the Bank's Board of Directors consists of 13 directors, including 4 executive directors, 4 non-executive directors, 5 independent directors, and 2 female directors from the fields of accounting, economics, finance, and law.</v>
      </c>
      <c r="B6386" s="1" t="str">
        <f ca="1">IFERROR(__xludf.DUMMYFUNCTION("GOOGLETRANSLATE(A6386, ""zh"", ""en"")"),"Organizational structure and operations")</f>
        <v>Organizational structure and operations</v>
      </c>
      <c r="C6386" s="1" t="str">
        <f ca="1">IFERROR(__xludf.DUMMYFUNCTION("GOOGLETRANSLATE(E6386, ""zh"", ""en"")"),"Quantitative Text")</f>
        <v>Quantitative Text</v>
      </c>
    </row>
    <row r="6387" spans="1:3" ht="13" x14ac:dyDescent="0.15">
      <c r="A6387" s="1" t="str">
        <f ca="1">IFERROR(__xludf.DUMMYFUNCTION("GOOGLETRANSLATE(A6387, ""zh"", ""en"")"),"At the same time, the Bank's independent directors serve as chairpersons of the Audit, Related Party Transactions, Control, Nomination, and Remuneration Appraisal Committees, representing more than half of the committee members. All independent directors "&amp;"actively, effectively, objectively, and independently perform their duties in accordance with laws, regulations, and the Bank's Articles of Association, expressing professional and impartial independent opinions, being accountable to all shareholders and "&amp;"safeguarding the legitimate rights and interests of minority shareholders.")</f>
        <v>At the same time, the Bank's independent directors serve as chairpersons of the Audit, Related Party Transactions, Control, Nomination, and Remuneration Appraisal Committees, representing more than half of the committee members. All independent directors actively, effectively, objectively, and independently perform their duties in accordance with laws, regulations, and the Bank's Articles of Association, expressing professional and impartial independent opinions, being accountable to all shareholders and safeguarding the legitimate rights and interests of minority shareholders.</v>
      </c>
      <c r="B6387" s="1" t="str">
        <f ca="1">IFERROR(__xludf.DUMMYFUNCTION("GOOGLETRANSLATE(A6387, ""zh"", ""en"")"),"Shareholder and creditor rights")</f>
        <v>Shareholder and creditor rights</v>
      </c>
      <c r="C6387" s="1" t="str">
        <f ca="1">IFERROR(__xludf.DUMMYFUNCTION("GOOGLETRANSLATE(E6387, ""zh"", ""en"")"),"Qualitative text")</f>
        <v>Qualitative text</v>
      </c>
    </row>
    <row r="6388" spans="1:3" ht="13" x14ac:dyDescent="0.15">
      <c r="A6388" s="1" t="str">
        <f ca="1">IFERROR(__xludf.DUMMYFUNCTION("GOOGLETRANSLATE(A6388, ""zh"", ""en"")"),"4. Training of the Board of Directors and Supervisory Committee In 2022, the Bank's Board of Directors and Supervisory Committee conducted a total of five training sessions, including special training on the rights and obligations of shareholders and equi"&amp;"ty management of commercial banks, training on the anti-corruption regulations of Ping An Bank, special training on green finance guidelines for the banking and insurance industries, and special training on anti-money laundering and counter-terrorist fina"&amp;"ncing for prospective independent directors.")</f>
        <v>4. Training of the Board of Directors and Supervisory Committee In 2022, the Bank's Board of Directors and Supervisory Committee conducted a total of five training sessions, including special training on the rights and obligations of shareholders and equity management of commercial banks, training on the anti-corruption regulations of Ping An Bank, special training on green finance guidelines for the banking and insurance industries, and special training on anti-money laundering and counter-terrorist financing for prospective independent directors.</v>
      </c>
      <c r="B6388" s="1" t="str">
        <f ca="1">IFERROR(__xludf.DUMMYFUNCTION("GOOGLETRANSLATE(A6388, ""zh"", ""en"")"),"Organizational structure and operations")</f>
        <v>Organizational structure and operations</v>
      </c>
      <c r="C6388" s="1" t="str">
        <f ca="1">IFERROR(__xludf.DUMMYFUNCTION("GOOGLETRANSLATE(E6388, ""zh"", ""en"")"),"Quantitative Text")</f>
        <v>Quantitative Text</v>
      </c>
    </row>
    <row r="6389" spans="1:3" ht="13" x14ac:dyDescent="0.15">
      <c r="A6389" s="1" t="str">
        <f ca="1">IFERROR(__xludf.DUMMYFUNCTION("GOOGLETRANSLATE(A6389, ""zh"", ""en"")"),"In addition, all directors and supervisors listened to Ping An Bank's report on its repeated efforts to promote integrity, listened to reports from external experts on standardizing directors' performance of duties and strengthening performance guarantees"&amp;", and studied the China Banking and Insurance Regulatory Commission's Measures for the Administration of Consumer Rights Protection in Banking and Insurance Institutions, the China Securities Regulatory Commission's Rules on Independent Directors of Liste"&amp;"d Companies, and the 2022 Revision of the Rules on the Administration of Shareholdings and Changes in Shares of Directors, Supervisors, and Senior Management of Listed Companies.")</f>
        <v>In addition, all directors and supervisors listened to Ping An Bank's report on its repeated efforts to promote integrity, listened to reports from external experts on standardizing directors' performance of duties and strengthening performance guarantees, and studied the China Banking and Insurance Regulatory Commission's Measures for the Administration of Consumer Rights Protection in Banking and Insurance Institutions, the China Securities Regulatory Commission's Rules on Independent Directors of Listed Companies, and the 2022 Revision of the Rules on the Administration of Shareholdings and Changes in Shares of Directors, Supervisors, and Senior Management of Listed Companies.</v>
      </c>
      <c r="B6389" s="1" t="str">
        <f ca="1">IFERROR(__xludf.DUMMYFUNCTION("GOOGLETRANSLATE(A6389, ""zh"", ""en"")"),"Organizational structure and operations")</f>
        <v>Organizational structure and operations</v>
      </c>
      <c r="C6389" s="1" t="str">
        <f ca="1">IFERROR(__xludf.DUMMYFUNCTION("GOOGLETRANSLATE(E6389, ""zh"", ""en"")"),"Qualitative text")</f>
        <v>Qualitative text</v>
      </c>
    </row>
    <row r="6390" spans="1:3" ht="13" x14ac:dyDescent="0.15">
      <c r="A6390" s="1" t="str">
        <f ca="1">IFERROR(__xludf.DUMMYFUNCTION("GOOGLETRANSLATE(A6390, ""zh"", ""en"")"),"5. Remuneration Management of Directors, Supervisors and Senior Management The Remuneration and Appraisal Committee of the Bank's Board of Directors is responsible for reviewing the Bank's remuneration management system and policies, formulating remunerat"&amp;"ion plans for directors and senior management, making recommendations on remuneration plans to the Board of Directors, and overseeing their implementation.")</f>
        <v>5. Remuneration Management of Directors, Supervisors and Senior Management The Remuneration and Appraisal Committee of the Bank's Board of Directors is responsible for reviewing the Bank's remuneration management system and policies, formulating remuneration plans for directors and senior management, making recommendations on remuneration plans to the Board of Directors, and overseeing their implementation.</v>
      </c>
      <c r="B6390" s="1" t="str">
        <f ca="1">IFERROR(__xludf.DUMMYFUNCTION("GOOGLETRANSLATE(A6390, ""zh"", ""en"")"),"Organizational structure and operations")</f>
        <v>Organizational structure and operations</v>
      </c>
      <c r="C6390" s="1" t="str">
        <f ca="1">IFERROR(__xludf.DUMMYFUNCTION("GOOGLETRANSLATE(E6390, ""zh"", ""en"")"),"Qualitative text")</f>
        <v>Qualitative text</v>
      </c>
    </row>
    <row r="6391" spans="1:3" ht="13" x14ac:dyDescent="0.15">
      <c r="A6391" s="1" t="str">
        <f ca="1">IFERROR(__xludf.DUMMYFUNCTION("GOOGLETRANSLATE(A6391, ""zh"", ""en"")"),"The Bank has adopted a performance-based remuneration deferral measure for part of the performance-based remuneration of senior management personnel. The deferred payment period is three years, matching the risk exposure period, and the proportion of paym"&amp;"ent due is determined based on the nature and impact of the risk. In addition, a performance-based remuneration recovery and rebate mechanism has been adopted to standardize the remuneration recovery and rebate rules, recovery and rebate assessment framew"&amp;"ork and process, etc., to ensure that remuneration incentives are aligned with risk-adjusted performance.")</f>
        <v>The Bank has adopted a performance-based remuneration deferral measure for part of the performance-based remuneration of senior management personnel. The deferred payment period is three years, matching the risk exposure period, and the proportion of payment due is determined based on the nature and impact of the risk. In addition, a performance-based remuneration recovery and rebate mechanism has been adopted to standardize the remuneration recovery and rebate rules, recovery and rebate assessment framework and process, etc., to ensure that remuneration incentives are aligned with risk-adjusted performance.</v>
      </c>
      <c r="B6391" s="1" t="str">
        <f ca="1">IFERROR(__xludf.DUMMYFUNCTION("GOOGLETRANSLATE(A6391, ""zh"", ""en"")"),"staff")</f>
        <v>staff</v>
      </c>
      <c r="C6391" s="1" t="str">
        <f ca="1">IFERROR(__xludf.DUMMYFUNCTION("GOOGLETRANSLATE(E6391, ""zh"", ""en"")"),"Qualitative text")</f>
        <v>Qualitative text</v>
      </c>
    </row>
    <row r="6392" spans="1:3" ht="13" x14ac:dyDescent="0.15">
      <c r="A6392" s="1" t="str">
        <f ca="1">IFERROR(__xludf.DUMMYFUNCTION("GOOGLETRANSLATE(A6392, ""zh"", ""en"")"),"1. Risk Governance Structure The Bank has established a comprehensive risk management structure with a dual-line reporting system and a matrix-style risk management system.")</f>
        <v>1. Risk Governance Structure The Bank has established a comprehensive risk management structure with a dual-line reporting system and a matrix-style risk management system.</v>
      </c>
      <c r="B6392" s="1" t="str">
        <f ca="1">IFERROR(__xludf.DUMMYFUNCTION("GOOGLETRANSLATE(A6392, ""zh"", ""en"")"),"Organizational structure and operations")</f>
        <v>Organizational structure and operations</v>
      </c>
      <c r="C6392" s="1" t="str">
        <f ca="1">IFERROR(__xludf.DUMMYFUNCTION("GOOGLETRANSLATE(E6392, ""zh"", ""en"")"),"Qualitative text")</f>
        <v>Qualitative text</v>
      </c>
    </row>
    <row r="6393" spans="1:3" ht="13" x14ac:dyDescent="0.15">
      <c r="A6393" s="1" t="str">
        <f ca="1">IFERROR(__xludf.DUMMYFUNCTION("GOOGLETRANSLATE(A6393, ""zh"", ""en"")"),"The Bank's Board of Directors is the highest decision-making body for comprehensive risk management and bears the ultimate responsibility for comprehensive risk management.")</f>
        <v>The Bank's Board of Directors is the highest decision-making body for comprehensive risk management and bears the ultimate responsibility for comprehensive risk management.</v>
      </c>
      <c r="B6393" s="1" t="str">
        <f ca="1">IFERROR(__xludf.DUMMYFUNCTION("GOOGLETRANSLATE(A6393, ""zh"", ""en"")"),"Organizational structure and operations")</f>
        <v>Organizational structure and operations</v>
      </c>
      <c r="C6393" s="1" t="str">
        <f ca="1">IFERROR(__xludf.DUMMYFUNCTION("GOOGLETRANSLATE(E6393, ""zh"", ""en"")"),"Qualitative text")</f>
        <v>Qualitative text</v>
      </c>
    </row>
    <row r="6394" spans="1:3" ht="13" x14ac:dyDescent="0.15">
      <c r="A6394" s="1" t="str">
        <f ca="1">IFERROR(__xludf.DUMMYFUNCTION("GOOGLETRANSLATE(A6394, ""zh"", ""en"")"),"The Risk Management Committee of the Board of Directors is primarily responsible for reviewing or approving matters related to comprehensive risk management, regularly assessing the bank's risk policies, risk management, and risk tolerance, and overseeing"&amp;" senior management's control over various risks, including credit risk, operational risk, compliance risk, and ESG risk.")</f>
        <v>The Risk Management Committee of the Board of Directors is primarily responsible for reviewing or approving matters related to comprehensive risk management, regularly assessing the bank's risk policies, risk management, and risk tolerance, and overseeing senior management's control over various risks, including credit risk, operational risk, compliance risk, and ESG risk.</v>
      </c>
      <c r="B6394" s="1" t="str">
        <f ca="1">IFERROR(__xludf.DUMMYFUNCTION("GOOGLETRANSLATE(A6394, ""zh"", ""en"")"),"Organizational structure and operations")</f>
        <v>Organizational structure and operations</v>
      </c>
      <c r="C6394" s="1" t="str">
        <f ca="1">IFERROR(__xludf.DUMMYFUNCTION("GOOGLETRANSLATE(E6394, ""zh"", ""en"")"),"Qualitative text")</f>
        <v>Qualitative text</v>
      </c>
    </row>
    <row r="6395" spans="1:3" ht="13" x14ac:dyDescent="0.15">
      <c r="A6395" s="1" t="str">
        <f ca="1">IFERROR(__xludf.DUMMYFUNCTION("GOOGLETRANSLATE(A6395, ""zh"", ""en"")"),"182. Risk Management Mechanism The Bank continues to improve its risk management mechanism and establish a risk management system that covers basic systems, general management methods and operational procedures, covering all business processes of the Bank"&amp;" to ensure that risk management work has a basis.")</f>
        <v>182. Risk Management Mechanism The Bank continues to improve its risk management mechanism and establish a risk management system that covers basic systems, general management methods and operational procedures, covering all business processes of the Bank to ensure that risk management work has a basis.</v>
      </c>
      <c r="B6395" s="1" t="str">
        <f ca="1">IFERROR(__xludf.DUMMYFUNCTION("GOOGLETRANSLATE(A6395, ""zh"", ""en"")"),"Organizational structure and operations")</f>
        <v>Organizational structure and operations</v>
      </c>
      <c r="C6395" s="1" t="str">
        <f ca="1">IFERROR(__xludf.DUMMYFUNCTION("GOOGLETRANSLATE(E6395, ""zh"", ""en"")"),"Qualitative text")</f>
        <v>Qualitative text</v>
      </c>
    </row>
    <row r="6396" spans="1:3" ht="13" x14ac:dyDescent="0.15">
      <c r="A6396" s="1" t="str">
        <f ca="1">IFERROR(__xludf.DUMMYFUNCTION("GOOGLETRANSLATE(A6396, ""zh"", ""en"")"),"In addition, to strengthen the risk management mechanism, the Bank has established an intelligent risk control platform and fully utilized cutting-edge technologies such as big data, artificial intelligence, and blockchain to empower risk management and m"&amp;"aintain forward-looking early warning.")</f>
        <v>In addition, to strengthen the risk management mechanism, the Bank has established an intelligent risk control platform and fully utilized cutting-edge technologies such as big data, artificial intelligence, and blockchain to empower risk management and maintain forward-looking early warning.</v>
      </c>
      <c r="B6396" s="1" t="str">
        <f ca="1">IFERROR(__xludf.DUMMYFUNCTION("GOOGLETRANSLATE(A6396, ""zh"", ""en"")"),"Technological innovation")</f>
        <v>Technological innovation</v>
      </c>
      <c r="C6396" s="1" t="str">
        <f ca="1">IFERROR(__xludf.DUMMYFUNCTION("GOOGLETRANSLATE(E6396, ""zh"", ""en"")"),"Qualitative text")</f>
        <v>Qualitative text</v>
      </c>
    </row>
    <row r="6397" spans="1:3" ht="13" x14ac:dyDescent="0.15">
      <c r="A6397" s="1" t="str">
        <f ca="1">IFERROR(__xludf.DUMMYFUNCTION("GOOGLETRANSLATE(A6397, ""zh"", ""en"")"),"3. Risk Control Capability Development The Bank attaches great importance to the cultivation and development of risk management personnel and teams. We provide specialized risk management training on new regulations, macroeconomic policies, economic trend"&amp;"s, and retail risks to employees at all levels across different lines. We have established a comprehensive, well-organized, and multi-dimensional risk management training system. We provide formal training on ESG risks and procedures for risk managers and"&amp;" bankers, and continuously enhance the relevance and professionalism of this training.")</f>
        <v>3. Risk Control Capability Development The Bank attaches great importance to the cultivation and development of risk management personnel and teams. We provide specialized risk management training on new regulations, macroeconomic policies, economic trends, and retail risks to employees at all levels across different lines. We have established a comprehensive, well-organized, and multi-dimensional risk management training system. We provide formal training on ESG risks and procedures for risk managers and bankers, and continuously enhance the relevance and professionalism of this training.</v>
      </c>
      <c r="B6397" s="1" t="str">
        <f ca="1">IFERROR(__xludf.DUMMYFUNCTION("GOOGLETRANSLATE(A6397, ""zh"", ""en"")"),"Organizational structure and operations")</f>
        <v>Organizational structure and operations</v>
      </c>
      <c r="C6397" s="1" t="str">
        <f ca="1">IFERROR(__xludf.DUMMYFUNCTION("GOOGLETRANSLATE(E6397, ""zh"", ""en"")"),"Qualitative text")</f>
        <v>Qualitative text</v>
      </c>
    </row>
    <row r="6398" spans="1:3" ht="13" x14ac:dyDescent="0.15">
      <c r="A6398" s="1" t="str">
        <f ca="1">IFERROR(__xludf.DUMMYFUNCTION("GOOGLETRANSLATE(A6398, ""zh"", ""en"")"),"In 2022, the Risk Management Department of our head office organized risk policy training across the bank. The training content covered ESG-related policies in green finance, agriculture, mining, etc. The training participants included relationship manage"&amp;"rs, risk managers, administrative and financial personnel.")</f>
        <v>In 2022, the Risk Management Department of our head office organized risk policy training across the bank. The training content covered ESG-related policies in green finance, agriculture, mining, etc. The training participants included relationship managers, risk managers, administrative and financial personnel.</v>
      </c>
      <c r="B6398" s="1" t="str">
        <f ca="1">IFERROR(__xludf.DUMMYFUNCTION("GOOGLETRANSLATE(A6398, ""zh"", ""en"")"),"Green Finance")</f>
        <v>Green Finance</v>
      </c>
      <c r="C6398" s="1" t="str">
        <f ca="1">IFERROR(__xludf.DUMMYFUNCTION("GOOGLETRANSLATE(E6398, ""zh"", ""en"")"),"Qualitative text")</f>
        <v>Qualitative text</v>
      </c>
    </row>
    <row r="6399" spans="1:3" ht="13" x14ac:dyDescent="0.15">
      <c r="A6399" s="1" t="str">
        <f ca="1">IFERROR(__xludf.DUMMYFUNCTION("GOOGLETRANSLATE(A6399, ""zh"", ""en"")"),"At the same time, the Bank organizes a special examination on green finance knowledge for senior risk management personnel to strengthen their knowledge of green finance and enhance their ability to identify and respond to green finance risks.")</f>
        <v>At the same time, the Bank organizes a special examination on green finance knowledge for senior risk management personnel to strengthen their knowledge of green finance and enhance their ability to identify and respond to green finance risks.</v>
      </c>
      <c r="B6399" s="1" t="str">
        <f ca="1">IFERROR(__xludf.DUMMYFUNCTION("GOOGLETRANSLATE(A6399, ""zh"", ""en"")"),"Green Finance")</f>
        <v>Green Finance</v>
      </c>
      <c r="C6399" s="1" t="str">
        <f ca="1">IFERROR(__xludf.DUMMYFUNCTION("GOOGLETRANSLATE(E6399, ""zh"", ""en"")"),"Qualitative text")</f>
        <v>Qualitative text</v>
      </c>
    </row>
    <row r="6400" spans="1:3" ht="13" x14ac:dyDescent="0.15">
      <c r="A6400" s="1" t="str">
        <f ca="1">IFERROR(__xludf.DUMMYFUNCTION("GOOGLETRANSLATE(A6400, ""zh"", ""en"")"),"1. Employee Behavior Management The Bank is committed to operating its business responsibly and in accordance with business ethics and integrity, ensuring that all employees maintain a high level of personal integrity and business ethics in the course of "&amp;"business operations to protect the interests of customers.")</f>
        <v>1. Employee Behavior Management The Bank is committed to operating its business responsibly and in accordance with business ethics and integrity, ensuring that all employees maintain a high level of personal integrity and business ethics in the course of business operations to protect the interests of customers.</v>
      </c>
      <c r="B6400" s="1" t="str">
        <f ca="1">IFERROR(__xludf.DUMMYFUNCTION("GOOGLETRANSLATE(A6400, ""zh"", ""en"")"),"staff")</f>
        <v>staff</v>
      </c>
      <c r="C6400" s="1" t="str">
        <f ca="1">IFERROR(__xludf.DUMMYFUNCTION("GOOGLETRANSLATE(E6400, ""zh"", ""en"")"),"Qualitative text")</f>
        <v>Qualitative text</v>
      </c>
    </row>
    <row r="6401" spans="1:3" ht="13" x14ac:dyDescent="0.15">
      <c r="A6401" s="1" t="str">
        <f ca="1">IFERROR(__xludf.DUMMYFUNCTION("GOOGLETRANSLATE(A6401, ""zh"", ""en"")"),"The Bank has established a Code of Business Conduct and Ethics for Directors and Supervisors. Every director and supervisor must represent and safeguard the interests of the Bank and all shareholders, demonstrate high honesty and integrity, uphold their c"&amp;"ommitments, and maintain independence of opinion and judgment, and devote sufficient time, energy, and attention to ensure the due diligence of their duties.")</f>
        <v>The Bank has established a Code of Business Conduct and Ethics for Directors and Supervisors. Every director and supervisor must represent and safeguard the interests of the Bank and all shareholders, demonstrate high honesty and integrity, uphold their commitments, and maintain independence of opinion and judgment, and devote sufficient time, energy, and attention to ensure the due diligence of their duties.</v>
      </c>
      <c r="B6401" s="1" t="str">
        <f ca="1">IFERROR(__xludf.DUMMYFUNCTION("GOOGLETRANSLATE(A6401, ""zh"", ""en"")"),"Organizational structure and operations")</f>
        <v>Organizational structure and operations</v>
      </c>
      <c r="C6401" s="1" t="str">
        <f ca="1">IFERROR(__xludf.DUMMYFUNCTION("GOOGLETRANSLATE(E6401, ""zh"", ""en"")"),"Qualitative text")</f>
        <v>Qualitative text</v>
      </c>
    </row>
    <row r="6402" spans="1:3" ht="13" x14ac:dyDescent="0.15">
      <c r="A6402" s="1" t="str">
        <f ca="1">IFERROR(__xludf.DUMMYFUNCTION("GOOGLETRANSLATE(A6402, ""zh"", ""en"")"),"The Board of Directors bears ultimate responsibility for the management of employee behavior. The Bank has formulated 19 employee codes of conduct, which clearly stipulate 20 behavioral prohibitions that all employees must strictly abide by.")</f>
        <v>The Board of Directors bears ultimate responsibility for the management of employee behavior. The Bank has formulated 19 employee codes of conduct, which clearly stipulate 20 behavioral prohibitions that all employees must strictly abide by.</v>
      </c>
      <c r="B6402" s="1" t="str">
        <f ca="1">IFERROR(__xludf.DUMMYFUNCTION("GOOGLETRANSLATE(A6402, ""zh"", ""en"")"),"staff")</f>
        <v>staff</v>
      </c>
      <c r="C6402" s="1" t="str">
        <f ca="1">IFERROR(__xludf.DUMMYFUNCTION("GOOGLETRANSLATE(E6402, ""zh"", ""en"")"),"Qualitative text")</f>
        <v>Qualitative text</v>
      </c>
    </row>
    <row r="6403" spans="1:3" ht="13" x14ac:dyDescent="0.15">
      <c r="A6403" s="1" t="str">
        <f ca="1">IFERROR(__xludf.DUMMYFUNCTION("GOOGLETRANSLATE(A6403, ""zh"", ""en"")"),"The employee behavior value commitment letter and employee compliance commitment letter signed by 100% this year")</f>
        <v>The employee behavior value commitment letter and employee compliance commitment letter signed by 100% this year</v>
      </c>
      <c r="B6403" s="1" t="str">
        <f ca="1">IFERROR(__xludf.DUMMYFUNCTION("GOOGLETRANSLATE(A6403, ""zh"", ""en"")"),"staff")</f>
        <v>staff</v>
      </c>
      <c r="C6403" s="1" t="str">
        <f ca="1">IFERROR(__xludf.DUMMYFUNCTION("GOOGLETRANSLATE(E6403, ""zh"", ""en"")"),"Quantitative Text")</f>
        <v>Quantitative Text</v>
      </c>
    </row>
    <row r="6404" spans="1:3" ht="13" x14ac:dyDescent="0.15">
      <c r="A6404" s="1" t="str">
        <f ca="1">IFERROR(__xludf.DUMMYFUNCTION("GOOGLETRANSLATE(A6404, ""zh"", ""en"")"),"Compliance training: The Bank launched the Ping An Compliance e-Station, a compliance education platform, to push learning tasks to all employees, including compliance management, business ethics, anti-corruption, anti-money laundering, intellectual prope"&amp;"rty protection, privacy and data security, and business continuity plans. New employees were also given e-training to learn the ten major compliance tasks.")</f>
        <v>Compliance training: The Bank launched the Ping An Compliance e-Station, a compliance education platform, to push learning tasks to all employees, including compliance management, business ethics, anti-corruption, anti-money laundering, intellectual property protection, privacy and data security, and business continuity plans. New employees were also given e-training to learn the ten major compliance tasks.</v>
      </c>
      <c r="B6404" s="1" t="str">
        <f ca="1">IFERROR(__xludf.DUMMYFUNCTION("GOOGLETRANSLATE(A6404, ""zh"", ""en"")"),"staff")</f>
        <v>staff</v>
      </c>
      <c r="C6404" s="1" t="str">
        <f ca="1">IFERROR(__xludf.DUMMYFUNCTION("GOOGLETRANSLATE(E6404, ""zh"", ""en"")"),"Qualitative text")</f>
        <v>Qualitative text</v>
      </c>
    </row>
    <row r="6405" spans="1:3" ht="13" x14ac:dyDescent="0.15">
      <c r="A6405" s="1" t="str">
        <f ca="1">IFERROR(__xludf.DUMMYFUNCTION("GOOGLETRANSLATE(A6405, ""zh"", ""en"")"),"Sales behavior compliance: The Bank has established strict product access and risk assessment processes and adopted various measures to ensure compliance in product sales and effectively protect the interests of investors.")</f>
        <v>Sales behavior compliance: The Bank has established strict product access and risk assessment processes and adopted various measures to ensure compliance in product sales and effectively protect the interests of investors.</v>
      </c>
      <c r="B6405" s="1" t="str">
        <f ca="1">IFERROR(__xludf.DUMMYFUNCTION("GOOGLETRANSLATE(A6405, ""zh"", ""en"")"),"Product quality")</f>
        <v>Product quality</v>
      </c>
      <c r="C6405" s="1" t="str">
        <f ca="1">IFERROR(__xludf.DUMMYFUNCTION("GOOGLETRANSLATE(E6405, ""zh"", ""en"")"),"Qualitative text")</f>
        <v>Qualitative text</v>
      </c>
    </row>
    <row r="6406" spans="1:3" ht="13" x14ac:dyDescent="0.15">
      <c r="A6406" s="1" t="str">
        <f ca="1">IFERROR(__xludf.DUMMYFUNCTION("GOOGLETRANSLATE(A6406, ""zh"", ""en"")"),"Suitability management: Formulate management regulations for retail business suitability management, such as the management regulations for retail agent sales of asset management products and the management regulations for individual investors, to prevent"&amp;" violations of sales suitability requirements.")</f>
        <v>Suitability management: Formulate management regulations for retail business suitability management, such as the management regulations for retail agent sales of asset management products and the management regulations for individual investors, to prevent violations of sales suitability requirements.</v>
      </c>
      <c r="B6406" s="1" t="str">
        <f ca="1">IFERROR(__xludf.DUMMYFUNCTION("GOOGLETRANSLATE(A6406, ""zh"", ""en"")"),"Customers and Consumers")</f>
        <v>Customers and Consumers</v>
      </c>
      <c r="C6406" s="1" t="str">
        <f ca="1">IFERROR(__xludf.DUMMYFUNCTION("GOOGLETRANSLATE(E6406, ""zh"", ""en"")"),"Qualitative text")</f>
        <v>Qualitative text</v>
      </c>
    </row>
    <row r="6407" spans="1:3" ht="13" x14ac:dyDescent="0.15">
      <c r="A6407" s="1" t="str">
        <f ca="1">IFERROR(__xludf.DUMMYFUNCTION("GOOGLETRANSLATE(A6407, ""zh"", ""en"")"),"Fair advertising and marketing: Formulate advertising management measures and brand promotion material review regulations, and clearly stipulate that the content of marketing advertising must comply with relevant regulations and requirements on the protec"&amp;"tion of financial consumer rights and interests.")</f>
        <v>Fair advertising and marketing: Formulate advertising management measures and brand promotion material review regulations, and clearly stipulate that the content of marketing advertising must comply with relevant regulations and requirements on the protection of financial consumer rights and interests.</v>
      </c>
      <c r="B6407" s="1" t="str">
        <f ca="1">IFERROR(__xludf.DUMMYFUNCTION("GOOGLETRANSLATE(A6407, ""zh"", ""en"")"),"Customers and Consumers")</f>
        <v>Customers and Consumers</v>
      </c>
      <c r="C6407" s="1" t="str">
        <f ca="1">IFERROR(__xludf.DUMMYFUNCTION("GOOGLETRANSLATE(E6407, ""zh"", ""en"")"),"Qualitative text")</f>
        <v>Qualitative text</v>
      </c>
    </row>
    <row r="6408" spans="1:3" ht="13" x14ac:dyDescent="0.15">
      <c r="A6408" s="1" t="str">
        <f ca="1">IFERROR(__xludf.DUMMYFUNCTION("GOOGLETRANSLATE(A6408, ""zh"", ""en"")"),"The Bank's Legal and Compliance Department, as an independent review department from the Product and Service Business Department, ensures that product and service advertising materials do not contain unreasonable or misleading content.")</f>
        <v>The Bank's Legal and Compliance Department, as an independent review department from the Product and Service Business Department, ensures that product and service advertising materials do not contain unreasonable or misleading content.</v>
      </c>
      <c r="B6408" s="1" t="str">
        <f ca="1">IFERROR(__xludf.DUMMYFUNCTION("GOOGLETRANSLATE(A6408, ""zh"", ""en"")"),"Product quality")</f>
        <v>Product quality</v>
      </c>
      <c r="C6408" s="1" t="str">
        <f ca="1">IFERROR(__xludf.DUMMYFUNCTION("GOOGLETRANSLATE(E6408, ""zh"", ""en"")"),"Qualitative text")</f>
        <v>Qualitative text</v>
      </c>
    </row>
    <row r="6409" spans="1:3" ht="13" x14ac:dyDescent="0.15">
      <c r="A6409" s="1" t="str">
        <f ca="1">IFERROR(__xludf.DUMMYFUNCTION("GOOGLETRANSLATE(A6409, ""zh"", ""en"")"),"The Consumer Rights Protection Center is responsible for supervising and guiding the implementation of consumer protection review work in advertising, publicity and marketing.")</f>
        <v>The Consumer Rights Protection Center is responsible for supervising and guiding the implementation of consumer protection review work in advertising, publicity and marketing.</v>
      </c>
      <c r="B6409" s="1" t="str">
        <f ca="1">IFERROR(__xludf.DUMMYFUNCTION("GOOGLETRANSLATE(A6409, ""zh"", ""en"")"),"Customers and Consumers")</f>
        <v>Customers and Consumers</v>
      </c>
      <c r="C6409" s="1" t="str">
        <f ca="1">IFERROR(__xludf.DUMMYFUNCTION("GOOGLETRANSLATE(E6409, ""zh"", ""en"")"),"Qualitative text")</f>
        <v>Qualitative text</v>
      </c>
    </row>
    <row r="6410" spans="1:3" ht="13" x14ac:dyDescent="0.15">
      <c r="A6410" s="1" t="str">
        <f ca="1">IFERROR(__xludf.DUMMYFUNCTION("GOOGLETRANSLATE(A6410, ""zh"", ""en"")"),"Information disclosure management: Formulate a series of retail business information disclosure management measures to promptly disclose relevant information, ensure that the information is true, accurate, complete, concise, clear, and easy to understand,"&amp;" without false records, misleading statements, or major omissions, and effectively protect customers' right to know.")</f>
        <v>Information disclosure management: Formulate a series of retail business information disclosure management measures to promptly disclose relevant information, ensure that the information is true, accurate, complete, concise, clear, and easy to understand, without false records, misleading statements, or major omissions, and effectively protect customers' right to know.</v>
      </c>
      <c r="B6410" s="1" t="str">
        <f ca="1">IFERROR(__xludf.DUMMYFUNCTION("GOOGLETRANSLATE(A6410, ""zh"", ""en"")"),"Customers and Consumers")</f>
        <v>Customers and Consumers</v>
      </c>
      <c r="C6410" s="1" t="str">
        <f ca="1">IFERROR(__xludf.DUMMYFUNCTION("GOOGLETRANSLATE(E6410, ""zh"", ""en"")"),"Qualitative text")</f>
        <v>Qualitative text</v>
      </c>
    </row>
    <row r="6411" spans="1:3" ht="13" x14ac:dyDescent="0.15">
      <c r="A6411" s="1" t="str">
        <f ca="1">IFERROR(__xludf.DUMMYFUNCTION("GOOGLETRANSLATE(A6411, ""zh"", ""en"")"),"20 Employee Behavior Supervision The Bank has incorporated employee behavior management into the focus of special audits and continuous audits of various business lines through a monitoring mechanism for abnormal employee behavior that combines regular in"&amp;"spections with special inspections.")</f>
        <v>20 Employee Behavior Supervision The Bank has incorporated employee behavior management into the focus of special audits and continuous audits of various business lines through a monitoring mechanism for abnormal employee behavior that combines regular inspections with special inspections.</v>
      </c>
      <c r="B6411" s="1" t="str">
        <f ca="1">IFERROR(__xludf.DUMMYFUNCTION("GOOGLETRANSLATE(A6411, ""zh"", ""en"")"),"staff")</f>
        <v>staff</v>
      </c>
      <c r="C6411" s="1" t="str">
        <f ca="1">IFERROR(__xludf.DUMMYFUNCTION("GOOGLETRANSLATE(E6411, ""zh"", ""en"")"),"Qualitative text")</f>
        <v>Qualitative text</v>
      </c>
    </row>
    <row r="6412" spans="1:3" ht="13" x14ac:dyDescent="0.15">
      <c r="A6412" s="1" t="str">
        <f ca="1">IFERROR(__xludf.DUMMYFUNCTION("GOOGLETRANSLATE(A6412, ""zh"", ""en"")"),"The Bank regularly monitors employees' abnormal behavior through its information system and sends early warning data to various institutions from time to time, requiring them to conduct verification, rectification and accountability.")</f>
        <v>The Bank regularly monitors employees' abnormal behavior through its information system and sends early warning data to various institutions from time to time, requiring them to conduct verification, rectification and accountability.</v>
      </c>
      <c r="B6412" s="1" t="str">
        <f ca="1">IFERROR(__xludf.DUMMYFUNCTION("GOOGLETRANSLATE(A6412, ""zh"", ""en"")"),"staff")</f>
        <v>staff</v>
      </c>
      <c r="C6412" s="1" t="str">
        <f ca="1">IFERROR(__xludf.DUMMYFUNCTION("GOOGLETRANSLATE(E6412, ""zh"", ""en"")"),"Qualitative text")</f>
        <v>Qualitative text</v>
      </c>
    </row>
    <row r="6413" spans="1:3" ht="13" x14ac:dyDescent="0.15">
      <c r="A6413" s="1" t="str">
        <f ca="1">IFERROR(__xludf.DUMMYFUNCTION("GOOGLETRANSLATE(A6413, ""zh"", ""en"")"),"At the same time, each branch of the Bank carried out self-inspection and self-correction of employees' risk behaviors, covering abnormal account transactions, conflicts of interest, illegal business operations, and part-time jobs.")</f>
        <v>At the same time, each branch of the Bank carried out self-inspection and self-correction of employees' risk behaviors, covering abnormal account transactions, conflicts of interest, illegal business operations, and part-time jobs.</v>
      </c>
      <c r="B6413" s="1" t="str">
        <f ca="1">IFERROR(__xludf.DUMMYFUNCTION("GOOGLETRANSLATE(A6413, ""zh"", ""en"")"),"staff")</f>
        <v>staff</v>
      </c>
      <c r="C6413" s="1" t="str">
        <f ca="1">IFERROR(__xludf.DUMMYFUNCTION("GOOGLETRANSLATE(E6413, ""zh"", ""en"")"),"Qualitative text")</f>
        <v>Qualitative text</v>
      </c>
    </row>
    <row r="6414" spans="1:3" ht="13" x14ac:dyDescent="0.15">
      <c r="A6414" s="1" t="str">
        <f ca="1">IFERROR(__xludf.DUMMYFUNCTION("GOOGLETRANSLATE(A6414, ""zh"", ""en"")"),"The Bank comprehensively considers external regulatory requirements, management's focus on risk orientation, and other factors, taking into account limited audit resources and the availability of audit tools and methods to determine the annual audit plan."&amp;" This periodicity reviews the effectiveness of internal controls and risk management design and operation across all operational aspects of the Bank.")</f>
        <v>The Bank comprehensively considers external regulatory requirements, management's focus on risk orientation, and other factors, taking into account limited audit resources and the availability of audit tools and methods to determine the annual audit plan. This periodicity reviews the effectiveness of internal controls and risk management design and operation across all operational aspects of the Bank.</v>
      </c>
      <c r="B6414" s="1" t="str">
        <f ca="1">IFERROR(__xludf.DUMMYFUNCTION("GOOGLETRANSLATE(A6414, ""zh"", ""en"")"),"Audit work")</f>
        <v>Audit work</v>
      </c>
      <c r="C6414" s="1" t="str">
        <f ca="1">IFERROR(__xludf.DUMMYFUNCTION("GOOGLETRANSLATE(E6414, ""zh"", ""en"")"),"Qualitative text")</f>
        <v>Qualitative text</v>
      </c>
    </row>
    <row r="6415" spans="1:3" ht="13" x14ac:dyDescent="0.15">
      <c r="A6415" s="1" t="str">
        <f ca="1">IFERROR(__xludf.DUMMYFUNCTION("GOOGLETRANSLATE(A6415, ""zh"", ""en"")"),"2. Anti-corruption: The Bank continues to promote the innovation of anti-corruption supervision mechanisms, integrate system construction with special audits, innovate publicity and education, clean talk and work style rectification, and other educational"&amp;" and supervisory measures to build a strong ideological defense line across the Bank, and build a long-term mechanism for integrity and anti-corruption.")</f>
        <v>2. Anti-corruption: The Bank continues to promote the innovation of anti-corruption supervision mechanisms, integrate system construction with special audits, innovate publicity and education, clean talk and work style rectification, and other educational and supervisory measures to build a strong ideological defense line across the Bank, and build a long-term mechanism for integrity and anti-corruption.</v>
      </c>
      <c r="B6415" s="1" t="str">
        <f ca="1">IFERROR(__xludf.DUMMYFUNCTION("GOOGLETRANSLATE(A6415, ""zh"", ""en"")"),"Anti-corruption and anti-money laundering")</f>
        <v>Anti-corruption and anti-money laundering</v>
      </c>
      <c r="C6415" s="1" t="str">
        <f ca="1">IFERROR(__xludf.DUMMYFUNCTION("GOOGLETRANSLATE(E6415, ""zh"", ""en"")"),"Qualitative text")</f>
        <v>Qualitative text</v>
      </c>
    </row>
    <row r="6416" spans="1:3" ht="13" x14ac:dyDescent="0.15">
      <c r="A6416" s="1" t="str">
        <f ca="1">IFERROR(__xludf.DUMMYFUNCTION("GOOGLETRANSLATE(A6416, ""zh"", ""en"")"),"The Bank has established anti-corruption regulations to strictly prohibit any violation of the Bank's management system, such as dereliction of duty, favoritism, fraud, abuse of power for personal gain, or abuse of power. These regulations apply to all Ba"&amp;"nk employees and outsourced personnel.")</f>
        <v>The Bank has established anti-corruption regulations to strictly prohibit any violation of the Bank's management system, such as dereliction of duty, favoritism, fraud, abuse of power for personal gain, or abuse of power. These regulations apply to all Bank employees and outsourced personnel.</v>
      </c>
      <c r="B6416" s="1" t="str">
        <f ca="1">IFERROR(__xludf.DUMMYFUNCTION("GOOGLETRANSLATE(A6416, ""zh"", ""en"")"),"Anti-corruption and anti-money laundering")</f>
        <v>Anti-corruption and anti-money laundering</v>
      </c>
      <c r="C6416" s="1" t="str">
        <f ca="1">IFERROR(__xludf.DUMMYFUNCTION("GOOGLETRANSLATE(E6416, ""zh"", ""en"")"),"Qualitative text")</f>
        <v>Qualitative text</v>
      </c>
    </row>
    <row r="6417" spans="1:3" ht="13" x14ac:dyDescent="0.15">
      <c r="A6417" s="1" t="str">
        <f ca="1">IFERROR(__xludf.DUMMYFUNCTION("GOOGLETRANSLATE(A6417, ""zh"", ""en"")"),"The Bank has established a points management system for employee violations, accountability and punishment measures for employees who violate regulations and discipline, and clarified the standards for identifying and recording violations, disciplinary vi"&amp;"olations, and corruption. Severe action will be taken against units and individuals involved in corruption cases. The Bank has implemented an anti-corruption veto system and, depending on the severity of the case, will place them on a blacklist of practit"&amp;"ioners and report them to regulatory authorities.")</f>
        <v>The Bank has established a points management system for employee violations, accountability and punishment measures for employees who violate regulations and discipline, and clarified the standards for identifying and recording violations, disciplinary violations, and corruption. Severe action will be taken against units and individuals involved in corruption cases. The Bank has implemented an anti-corruption veto system and, depending on the severity of the case, will place them on a blacklist of practitioners and report them to regulatory authorities.</v>
      </c>
      <c r="B6417" s="1" t="str">
        <f ca="1">IFERROR(__xludf.DUMMYFUNCTION("GOOGLETRANSLATE(A6417, ""zh"", ""en"")"),"Anti-corruption and anti-money laundering")</f>
        <v>Anti-corruption and anti-money laundering</v>
      </c>
      <c r="C6417" s="1" t="str">
        <f ca="1">IFERROR(__xludf.DUMMYFUNCTION("GOOGLETRANSLATE(E6417, ""zh"", ""en"")"),"Qualitative text")</f>
        <v>Qualitative text</v>
      </c>
    </row>
    <row r="6418" spans="1:3" ht="13" x14ac:dyDescent="0.15">
      <c r="A6418" s="1" t="str">
        <f ca="1">IFERROR(__xludf.DUMMYFUNCTION("GOOGLETRANSLATE(A6418, ""zh"", ""en"")"),"The Bank regularly conducts internal control audits and independent ratings each year to independently test and evaluate the effectiveness of the Bank's anti-corruption system and anti-corruption work mechanism.")</f>
        <v>The Bank regularly conducts internal control audits and independent ratings each year to independently test and evaluate the effectiveness of the Bank's anti-corruption system and anti-corruption work mechanism.</v>
      </c>
      <c r="B6418" s="1" t="str">
        <f ca="1">IFERROR(__xludf.DUMMYFUNCTION("GOOGLETRANSLATE(A6418, ""zh"", ""en"")"),"Anti-corruption and anti-money laundering")</f>
        <v>Anti-corruption and anti-money laundering</v>
      </c>
      <c r="C6418" s="1" t="str">
        <f ca="1">IFERROR(__xludf.DUMMYFUNCTION("GOOGLETRANSLATE(E6418, ""zh"", ""en"")"),"Qualitative text")</f>
        <v>Qualitative text</v>
      </c>
    </row>
    <row r="6419" spans="1:3" ht="13" x14ac:dyDescent="0.15">
      <c r="A6419" s="1" t="str">
        <f ca="1">IFERROR(__xludf.DUMMYFUNCTION("GOOGLETRANSLATE(A6419, ""zh"", ""en"")"),"21 Integrity Warning Education The Bank launched an anti-corruption and work style reform and stubborn disease breaking ice campaign covering all employees and outsourced personnel of the Bank")</f>
        <v>21 Integrity Warning Education The Bank launched an anti-corruption and work style reform and stubborn disease breaking ice campaign covering all employees and outsourced personnel of the Bank</v>
      </c>
      <c r="B6419" s="1" t="str">
        <f ca="1">IFERROR(__xludf.DUMMYFUNCTION("GOOGLETRANSLATE(A6419, ""zh"", ""en"")"),"Anti-corruption and anti-money laundering")</f>
        <v>Anti-corruption and anti-money laundering</v>
      </c>
      <c r="C6419" s="1" t="str">
        <f ca="1">IFERROR(__xludf.DUMMYFUNCTION("GOOGLETRANSLATE(E6419, ""zh"", ""en"")"),"Qualitative text")</f>
        <v>Qualitative text</v>
      </c>
    </row>
    <row r="6420" spans="1:3" ht="13" x14ac:dyDescent="0.15">
      <c r="A6420" s="1" t="str">
        <f ca="1">IFERROR(__xludf.DUMMYFUNCTION("GOOGLETRANSLATE(A6420, ""zh"", ""en"")"),"In 2022, the Bank conducted 20 anti-corruption training sessions and 6,068 anti-corruption education campaigns. Various warning education and disciplinary supervision measures were implemented for all employees and outsourced personnel to strengthen super"&amp;"vision and management of corruption cases.")</f>
        <v>In 2022, the Bank conducted 20 anti-corruption training sessions and 6,068 anti-corruption education campaigns. Various warning education and disciplinary supervision measures were implemented for all employees and outsourced personnel to strengthen supervision and management of corruption cases.</v>
      </c>
      <c r="B6420" s="1" t="str">
        <f ca="1">IFERROR(__xludf.DUMMYFUNCTION("GOOGLETRANSLATE(A6420, ""zh"", ""en"")"),"Anti-corruption and anti-money laundering")</f>
        <v>Anti-corruption and anti-money laundering</v>
      </c>
      <c r="C6420" s="1" t="str">
        <f ca="1">IFERROR(__xludf.DUMMYFUNCTION("GOOGLETRANSLATE(E6420, ""zh"", ""en"")"),"Quantitative Text")</f>
        <v>Quantitative Text</v>
      </c>
    </row>
    <row r="6421" spans="1:3" ht="13" x14ac:dyDescent="0.15">
      <c r="A6421" s="1" t="str">
        <f ca="1">IFERROR(__xludf.DUMMYFUNCTION("GOOGLETRANSLATE(A6421, ""zh"", ""en"")"),"The Bank submitted its anti-corruption work report to the Board of Directors in October 2022.")</f>
        <v>The Bank submitted its anti-corruption work report to the Board of Directors in October 2022.</v>
      </c>
      <c r="B6421" s="1" t="str">
        <f ca="1">IFERROR(__xludf.DUMMYFUNCTION("GOOGLETRANSLATE(A6421, ""zh"", ""en"")"),"Anti-corruption and anti-money laundering")</f>
        <v>Anti-corruption and anti-money laundering</v>
      </c>
      <c r="C6421" s="1" t="str">
        <f ca="1">IFERROR(__xludf.DUMMYFUNCTION("GOOGLETRANSLATE(E6421, ""zh"", ""en"")"),"Qualitative text")</f>
        <v>Qualitative text</v>
      </c>
    </row>
    <row r="6422" spans="1:3" ht="13" x14ac:dyDescent="0.15">
      <c r="A6422" s="1" t="str">
        <f ca="1">IFERROR(__xludf.DUMMYFUNCTION("GOOGLETRANSLATE(A6422, ""zh"", ""en"")"),"A series of courses promoting clean financial culture and promoting the anti-corruption regulations and the registration and management measures for gifts and cash gifts.")</f>
        <v>A series of courses promoting clean financial culture and promoting the anti-corruption regulations and the registration and management measures for gifts and cash gifts.</v>
      </c>
      <c r="B6422" s="1" t="str">
        <f ca="1">IFERROR(__xludf.DUMMYFUNCTION("GOOGLETRANSLATE(A6422, ""zh"", ""en"")"),"Anti-corruption and anti-money laundering")</f>
        <v>Anti-corruption and anti-money laundering</v>
      </c>
      <c r="C6422" s="1" t="str">
        <f ca="1">IFERROR(__xludf.DUMMYFUNCTION("GOOGLETRANSLATE(E6422, ""zh"", ""en"")"),"Qualitative text")</f>
        <v>Qualitative text</v>
      </c>
    </row>
    <row r="6423" spans="1:3" ht="13" x14ac:dyDescent="0.15">
      <c r="A6423" s="1" t="str">
        <f ca="1">IFERROR(__xludf.DUMMYFUNCTION("GOOGLETRANSLATE(A6423, ""zh"", ""en"")"),"Integrity talks are held with all new employees and newly promoted cadres and employees to raise integrity and compliance requirements")</f>
        <v>Integrity talks are held with all new employees and newly promoted cadres and employees to raise integrity and compliance requirements</v>
      </c>
      <c r="B6423" s="1" t="str">
        <f ca="1">IFERROR(__xludf.DUMMYFUNCTION("GOOGLETRANSLATE(A6423, ""zh"", ""en"")"),"Anti-corruption and anti-money laundering")</f>
        <v>Anti-corruption and anti-money laundering</v>
      </c>
      <c r="C6423" s="1" t="str">
        <f ca="1">IFERROR(__xludf.DUMMYFUNCTION("GOOGLETRANSLATE(E6423, ""zh"", ""en"")"),"Qualitative text")</f>
        <v>Qualitative text</v>
      </c>
    </row>
    <row r="6424" spans="1:3" ht="13" x14ac:dyDescent="0.15">
      <c r="A6424" s="1" t="str">
        <f ca="1">IFERROR(__xludf.DUMMYFUNCTION("GOOGLETRANSLATE(A6424, ""zh"", ""en"")"),"Suppliers who violate the Bank's requirements will be included in the Bank's supplier blacklist")</f>
        <v>Suppliers who violate the Bank's requirements will be included in the Bank's supplier blacklist</v>
      </c>
      <c r="B6424" s="1" t="str">
        <f ca="1">IFERROR(__xludf.DUMMYFUNCTION("GOOGLETRANSLATE(A6424, ""zh"", ""en"")"),"supply chain management")</f>
        <v>supply chain management</v>
      </c>
      <c r="C6424" s="1" t="str">
        <f ca="1">IFERROR(__xludf.DUMMYFUNCTION("GOOGLETRANSLATE(E6424, ""zh"", ""en"")"),"Qualitative text")</f>
        <v>Qualitative text</v>
      </c>
    </row>
    <row r="6425" spans="1:3" ht="13" x14ac:dyDescent="0.15">
      <c r="A6425" s="1" t="str">
        <f ca="1">IFERROR(__xludf.DUMMYFUNCTION("GOOGLETRANSLATE(A6425, ""zh"", ""en"")"),"3. Anti-money laundering: The Bank adheres to the principle of prevention first and risk-based approach, improves its anti-money laundering compliance governance structure, strengthens anti-money laundering transaction monitoring, and enhances awareness o"&amp;"f anti-money laundering prevention.")</f>
        <v>3. Anti-money laundering: The Bank adheres to the principle of prevention first and risk-based approach, improves its anti-money laundering compliance governance structure, strengthens anti-money laundering transaction monitoring, and enhances awareness of anti-money laundering prevention.</v>
      </c>
      <c r="B6425" s="1" t="str">
        <f ca="1">IFERROR(__xludf.DUMMYFUNCTION("GOOGLETRANSLATE(A6425, ""zh"", ""en"")"),"Anti-corruption and anti-money laundering")</f>
        <v>Anti-corruption and anti-money laundering</v>
      </c>
      <c r="C6425" s="1" t="str">
        <f ca="1">IFERROR(__xludf.DUMMYFUNCTION("GOOGLETRANSLATE(E6425, ""zh"", ""en"")"),"Qualitative text")</f>
        <v>Qualitative text</v>
      </c>
    </row>
    <row r="6426" spans="1:3" ht="13" x14ac:dyDescent="0.15">
      <c r="A6426" s="1" t="str">
        <f ca="1">IFERROR(__xludf.DUMMYFUNCTION("GOOGLETRANSLATE(A6426, ""zh"", ""en"")"),"22 The Bank’s Board of Directors and its Audit Committee provide guidance to the management in carrying out anti-money laundering management and annual special audits on anti-money laundering and counter-terrorist financing.")</f>
        <v>22 The Bank’s Board of Directors and its Audit Committee provide guidance to the management in carrying out anti-money laundering management and annual special audits on anti-money laundering and counter-terrorist financing.</v>
      </c>
      <c r="B6426" s="1" t="str">
        <f ca="1">IFERROR(__xludf.DUMMYFUNCTION("GOOGLETRANSLATE(A6426, ""zh"", ""en"")"),"Anti-corruption and anti-money laundering")</f>
        <v>Anti-corruption and anti-money laundering</v>
      </c>
      <c r="C6426" s="1" t="str">
        <f ca="1">IFERROR(__xludf.DUMMYFUNCTION("GOOGLETRANSLATE(E6426, ""zh"", ""en"")"),"Qualitative text")</f>
        <v>Qualitative text</v>
      </c>
    </row>
    <row r="6427" spans="1:3" ht="13" x14ac:dyDescent="0.15">
      <c r="A6427" s="1" t="str">
        <f ca="1">IFERROR(__xludf.DUMMYFUNCTION("GOOGLETRANSLATE(A6427, ""zh"", ""en"")"),"The Bank has formulated guidelines for customer anti-money laundering due diligence and measures for customer money laundering risk assessment and classification management, clarifying that each institution should conduct customer due diligence during cus"&amp;"tomer access and business continuity, and setting due diligence plans of varying intensity for different businesses and customer groups with different risk levels.")</f>
        <v>The Bank has formulated guidelines for customer anti-money laundering due diligence and measures for customer money laundering risk assessment and classification management, clarifying that each institution should conduct customer due diligence during customer access and business continuity, and setting due diligence plans of varying intensity for different businesses and customer groups with different risk levels.</v>
      </c>
      <c r="B6427" s="1" t="str">
        <f ca="1">IFERROR(__xludf.DUMMYFUNCTION("GOOGLETRANSLATE(A6427, ""zh"", ""en"")"),"Anti-corruption and anti-money laundering")</f>
        <v>Anti-corruption and anti-money laundering</v>
      </c>
      <c r="C6427" s="1" t="str">
        <f ca="1">IFERROR(__xludf.DUMMYFUNCTION("GOOGLETRANSLATE(E6427, ""zh"", ""en"")"),"Qualitative text")</f>
        <v>Qualitative text</v>
      </c>
    </row>
    <row r="6428" spans="1:3" ht="13" x14ac:dyDescent="0.15">
      <c r="A6428" s="1" t="str">
        <f ca="1">IFERROR(__xludf.DUMMYFUNCTION("GOOGLETRANSLATE(A6428, ""zh"", ""en"")"),"The Bank has established systematic platforms such as the Ping An Shield Anti-Money Laundering Management System and the Intelligent Anti-Money Laundering Management Platform, and comprehensively utilizes multiple methods such as big data monitoring, arti"&amp;"ficial intelligence, and public opinion monitoring to achieve full life cycle management of anti-money laundering.")</f>
        <v>The Bank has established systematic platforms such as the Ping An Shield Anti-Money Laundering Management System and the Intelligent Anti-Money Laundering Management Platform, and comprehensively utilizes multiple methods such as big data monitoring, artificial intelligence, and public opinion monitoring to achieve full life cycle management of anti-money laundering.</v>
      </c>
      <c r="B6428" s="1" t="str">
        <f ca="1">IFERROR(__xludf.DUMMYFUNCTION("GOOGLETRANSLATE(A6428, ""zh"", ""en"")"),"Anti-corruption and anti-money laundering")</f>
        <v>Anti-corruption and anti-money laundering</v>
      </c>
      <c r="C6428" s="1" t="str">
        <f ca="1">IFERROR(__xludf.DUMMYFUNCTION("GOOGLETRANSLATE(E6428, ""zh"", ""en"")"),"Qualitative text")</f>
        <v>Qualitative text</v>
      </c>
    </row>
    <row r="6429" spans="1:3" ht="13" x14ac:dyDescent="0.15">
      <c r="A6429" s="1" t="str">
        <f ca="1">IFERROR(__xludf.DUMMYFUNCTION("GOOGLETRANSLATE(A6429, ""zh"", ""en"")"),"The Bank conducted anti-money laundering training for all employees and outsourced personnel to promote anti-money laundering knowledge, completing 60 online promotions and 46 offline training sessions throughout the year.")</f>
        <v>The Bank conducted anti-money laundering training for all employees and outsourced personnel to promote anti-money laundering knowledge, completing 60 online promotions and 46 offline training sessions throughout the year.</v>
      </c>
      <c r="B6429" s="1" t="str">
        <f ca="1">IFERROR(__xludf.DUMMYFUNCTION("GOOGLETRANSLATE(A6429, ""zh"", ""en"")"),"Anti-corruption and anti-money laundering")</f>
        <v>Anti-corruption and anti-money laundering</v>
      </c>
      <c r="C6429" s="1" t="str">
        <f ca="1">IFERROR(__xludf.DUMMYFUNCTION("GOOGLETRANSLATE(E6429, ""zh"", ""en"")"),"Quantitative Text")</f>
        <v>Quantitative Text</v>
      </c>
    </row>
    <row r="6430" spans="1:3" ht="13" x14ac:dyDescent="0.15">
      <c r="A6430" s="1" t="str">
        <f ca="1">IFERROR(__xludf.DUMMYFUNCTION("GOOGLETRANSLATE(A6430, ""zh"", ""en"")"),"At the same time, the Bank actively carried out the Anti-Money Laundering Publicity and Training Month activity to stay away from money laundering crimes and safeguard a happy life, popularizing anti-money laundering knowledge among employees and the publ"&amp;"ic. The Bank conducted more than 50 training sessions and gave more than 10 lectures to over 400,000 people.")</f>
        <v>At the same time, the Bank actively carried out the Anti-Money Laundering Publicity and Training Month activity to stay away from money laundering crimes and safeguard a happy life, popularizing anti-money laundering knowledge among employees and the public. The Bank conducted more than 50 training sessions and gave more than 10 lectures to over 400,000 people.</v>
      </c>
      <c r="B6430" s="1" t="str">
        <f ca="1">IFERROR(__xludf.DUMMYFUNCTION("GOOGLETRANSLATE(A6430, ""zh"", ""en"")"),"Anti-corruption and anti-money laundering")</f>
        <v>Anti-corruption and anti-money laundering</v>
      </c>
      <c r="C6430" s="1" t="str">
        <f ca="1">IFERROR(__xludf.DUMMYFUNCTION("GOOGLETRANSLATE(E6430, ""zh"", ""en"")"),"Quantitative Text")</f>
        <v>Quantitative Text</v>
      </c>
    </row>
    <row r="6431" spans="1:3" ht="13" x14ac:dyDescent="0.15">
      <c r="A6431" s="1" t="str">
        <f ca="1">IFERROR(__xludf.DUMMYFUNCTION("GOOGLETRANSLATE(A6431, ""zh"", ""en"")"),"4. Petitions and Reports This year, the Bank revised its petition management regulations, streamlined petition and reporting channels, publicized petition handling procedures, and strengthened its whistleblower protection mechanism.")</f>
        <v>4. Petitions and Reports This year, the Bank revised its petition management regulations, streamlined petition and reporting channels, publicized petition handling procedures, and strengthened its whistleblower protection mechanism.</v>
      </c>
      <c r="B6431" s="1" t="str">
        <f ca="1">IFERROR(__xludf.DUMMYFUNCTION("GOOGLETRANSLATE(A6431, ""zh"", ""en"")"),"Reporting System")</f>
        <v>Reporting System</v>
      </c>
      <c r="C6431" s="1" t="str">
        <f ca="1">IFERROR(__xludf.DUMMYFUNCTION("GOOGLETRANSLATE(E6431, ""zh"", ""en"")"),"Qualitative text")</f>
        <v>Qualitative text</v>
      </c>
    </row>
    <row r="6432" spans="1:3" ht="13" x14ac:dyDescent="0.15">
      <c r="A6432" s="1" t="str">
        <f ca="1">IFERROR(__xludf.DUMMYFUNCTION("GOOGLETRANSLATE(A6432, ""zh"", ""en"")"),"Open reporting channels The Bank has set up a 24-hour complaint hotline")</f>
        <v>Open reporting channels The Bank has set up a 24-hour complaint hotline</v>
      </c>
      <c r="B6432" s="1" t="str">
        <f ca="1">IFERROR(__xludf.DUMMYFUNCTION("GOOGLETRANSLATE(A6432, ""zh"", ""en"")"),"Reporting System")</f>
        <v>Reporting System</v>
      </c>
      <c r="C6432" s="1" t="str">
        <f ca="1">IFERROR(__xludf.DUMMYFUNCTION("GOOGLETRANSLATE(E6432, ""zh"", ""en"")"),"Qualitative text")</f>
        <v>Qualitative text</v>
      </c>
    </row>
    <row r="6433" spans="1:3" ht="13" x14ac:dyDescent="0.15">
      <c r="A6433" s="1" t="str">
        <f ca="1">IFERROR(__xludf.DUMMYFUNCTION("GOOGLETRANSLATE(A6433, ""zh"", ""en"")"),"Regularly publicize the email, phone, and address information for letters and visits and reporting on the official website's intranet")</f>
        <v>Regularly publicize the email, phone, and address information for letters and visits and reporting on the official website's intranet</v>
      </c>
      <c r="B6433" s="1" t="str">
        <f ca="1">IFERROR(__xludf.DUMMYFUNCTION("GOOGLETRANSLATE(A6433, ""zh"", ""en"")"),"Reporting System")</f>
        <v>Reporting System</v>
      </c>
      <c r="C6433" s="1" t="str">
        <f ca="1">IFERROR(__xludf.DUMMYFUNCTION("GOOGLETRANSLATE(E6433, ""zh"", ""en"")"),"Qualitative text")</f>
        <v>Qualitative text</v>
      </c>
    </row>
    <row r="6434" spans="1:3" ht="13" x14ac:dyDescent="0.15">
      <c r="A6434" s="1" t="str">
        <f ca="1">IFERROR(__xludf.DUMMYFUNCTION("GOOGLETRANSLATE(A6434, ""zh"", ""en"")"),"62 reporting mailboxes, 69 reporting telephone numbers and 405 reporting mailboxes have been set up throughout the bank to receive letters and visits.")</f>
        <v>62 reporting mailboxes, 69 reporting telephone numbers and 405 reporting mailboxes have been set up throughout the bank to receive letters and visits.</v>
      </c>
      <c r="B6434" s="1" t="str">
        <f ca="1">IFERROR(__xludf.DUMMYFUNCTION("GOOGLETRANSLATE(A6434, ""zh"", ""en"")"),"Reporting System")</f>
        <v>Reporting System</v>
      </c>
      <c r="C6434" s="1" t="str">
        <f ca="1">IFERROR(__xludf.DUMMYFUNCTION("GOOGLETRANSLATE(E6434, ""zh"", ""en"")"),"Quantitative Text")</f>
        <v>Quantitative Text</v>
      </c>
    </row>
    <row r="6435" spans="1:3" ht="13" x14ac:dyDescent="0.15">
      <c r="A6435" s="1" t="str">
        <f ca="1">IFERROR(__xludf.DUMMYFUNCTION("GOOGLETRANSLATE(A6435, ""zh"", ""en"")"),"The Bank accepts complaints and reports from stakeholders including but not limited to company employees, financial consumers, customers, suppliers, government and regulatory agencies in the form of real names and anonymous forms.")</f>
        <v>The Bank accepts complaints and reports from stakeholders including but not limited to company employees, financial consumers, customers, suppliers, government and regulatory agencies in the form of real names and anonymous forms.</v>
      </c>
      <c r="B6435" s="1" t="str">
        <f ca="1">IFERROR(__xludf.DUMMYFUNCTION("GOOGLETRANSLATE(A6435, ""zh"", ""en"")"),"Reporting System")</f>
        <v>Reporting System</v>
      </c>
      <c r="C6435" s="1" t="str">
        <f ca="1">IFERROR(__xludf.DUMMYFUNCTION("GOOGLETRANSLATE(E6435, ""zh"", ""en"")"),"Qualitative text")</f>
        <v>Qualitative text</v>
      </c>
    </row>
    <row r="6436" spans="1:3" ht="13" x14ac:dyDescent="0.15">
      <c r="A6436" s="1" t="str">
        <f ca="1">IFERROR(__xludf.DUMMYFUNCTION("GOOGLETRANSLATE(A6436, ""zh"", ""en"")"),"The head office is responsible for leading the investigation, handling and implementation of various petitions from the head office, and tracking and supervising the entire process. The head office's audit and supervision department is responsible for inv"&amp;"estigating and handling petitions related to internal violations of regulations and disciplines. Relevant management departments are responsible for handling petitions related to business management. Each branch handles its own petitions under the unified"&amp;" management of the head office.")</f>
        <v>The head office is responsible for leading the investigation, handling and implementation of various petitions from the head office, and tracking and supervising the entire process. The head office's audit and supervision department is responsible for investigating and handling petitions related to internal violations of regulations and disciplines. Relevant management departments are responsible for handling petitions related to business management. Each branch handles its own petitions under the unified management of the head office.</v>
      </c>
      <c r="B6436" s="1" t="str">
        <f ca="1">IFERROR(__xludf.DUMMYFUNCTION("GOOGLETRANSLATE(A6436, ""zh"", ""en"")"),"Reporting System")</f>
        <v>Reporting System</v>
      </c>
      <c r="C6436" s="1" t="str">
        <f ca="1">IFERROR(__xludf.DUMMYFUNCTION("GOOGLETRANSLATE(E6436, ""zh"", ""en"")"),"Qualitative text")</f>
        <v>Qualitative text</v>
      </c>
    </row>
    <row r="6437" spans="1:3" ht="13" x14ac:dyDescent="0.15">
      <c r="A6437" s="1" t="str">
        <f ca="1">IFERROR(__xludf.DUMMYFUNCTION("GOOGLETRANSLATE(A6437, ""zh"", ""en"")"),"As of the end of 2022, the Bank had received 169 reports of internal violations and discipline violations, resulting in penalties for 54 individuals.")</f>
        <v>As of the end of 2022, the Bank had received 169 reports of internal violations and discipline violations, resulting in penalties for 54 individuals.</v>
      </c>
      <c r="B6437" s="1" t="str">
        <f ca="1">IFERROR(__xludf.DUMMYFUNCTION("GOOGLETRANSLATE(A6437, ""zh"", ""en"")"),"Reporting System")</f>
        <v>Reporting System</v>
      </c>
      <c r="C6437" s="1" t="str">
        <f ca="1">IFERROR(__xludf.DUMMYFUNCTION("GOOGLETRANSLATE(E6437, ""zh"", ""en"")"),"Quantitative Text")</f>
        <v>Quantitative Text</v>
      </c>
    </row>
    <row r="6438" spans="1:3" ht="13" x14ac:dyDescent="0.15">
      <c r="A6438" s="1" t="str">
        <f ca="1">IFERROR(__xludf.DUMMYFUNCTION("GOOGLETRANSLATE(A6438, ""zh"", ""en"")"),"23 Whistleblower Protection The Bank has established an independent whistleblower protection mechanism and strictly implements whistleblower protection, including strictly prohibiting the suppression, discrimination, or harassment of whistleblowers and th"&amp;"eir relatives; strictly prohibiting the disclosure of relevant information about reports and accusations; severely investigating and punishing any violation of the rights of whistleblowers; and ensuring that the persons being reported and accused exercise"&amp;" their democratic rights.")</f>
        <v>23 Whistleblower Protection The Bank has established an independent whistleblower protection mechanism and strictly implements whistleblower protection, including strictly prohibiting the suppression, discrimination, or harassment of whistleblowers and their relatives; strictly prohibiting the disclosure of relevant information about reports and accusations; severely investigating and punishing any violation of the rights of whistleblowers; and ensuring that the persons being reported and accused exercise their democratic rights.</v>
      </c>
      <c r="B6438" s="1" t="str">
        <f ca="1">IFERROR(__xludf.DUMMYFUNCTION("GOOGLETRANSLATE(A6438, ""zh"", ""en"")"),"Reporting System")</f>
        <v>Reporting System</v>
      </c>
      <c r="C6438" s="1" t="str">
        <f ca="1">IFERROR(__xludf.DUMMYFUNCTION("GOOGLETRANSLATE(E6438, ""zh"", ""en"")"),"Qualitative text")</f>
        <v>Qualitative text</v>
      </c>
    </row>
    <row r="6439" spans="1:3" ht="13" x14ac:dyDescent="0.15">
      <c r="A6439" s="1" t="str">
        <f ca="1">IFERROR(__xludf.DUMMYFUNCTION("GOOGLETRANSLATE(A6439, ""zh"", ""en"")"),"Those who leaked petition reports, causing obstruction to the investigation and handling of the case, or who retaliated against the whistleblower, will be dealt with according to the circumstances.")</f>
        <v>Those who leaked petition reports, causing obstruction to the investigation and handling of the case, or who retaliated against the whistleblower, will be dealt with according to the circumstances.</v>
      </c>
      <c r="B6439" s="1" t="str">
        <f ca="1">IFERROR(__xludf.DUMMYFUNCTION("GOOGLETRANSLATE(A6439, ""zh"", ""en"")"),"Reporting System")</f>
        <v>Reporting System</v>
      </c>
      <c r="C6439" s="1" t="str">
        <f ca="1">IFERROR(__xludf.DUMMYFUNCTION("GOOGLETRANSLATE(E6439, ""zh"", ""en"")"),"Qualitative text")</f>
        <v>Qualitative text</v>
      </c>
    </row>
    <row r="6440" spans="1:3" ht="13" x14ac:dyDescent="0.15">
      <c r="A6440" s="1" t="str">
        <f ca="1">IFERROR(__xludf.DUMMYFUNCTION("GOOGLETRANSLATE(A6440, ""zh"", ""en"")"),"The Bank has established an independent channel for reporting complaints. Full-time staff at the Bank's Complaints Reception Office receive complaints and reports collected through independent reporting channels such as email, telephone, and mailboxes. Th"&amp;"is ensures the confidentiality of the reporting information and strengthens the protection of the whistleblower.")</f>
        <v>The Bank has established an independent channel for reporting complaints. Full-time staff at the Bank's Complaints Reception Office receive complaints and reports collected through independent reporting channels such as email, telephone, and mailboxes. This ensures the confidentiality of the reporting information and strengthens the protection of the whistleblower.</v>
      </c>
      <c r="B6440" s="1" t="str">
        <f ca="1">IFERROR(__xludf.DUMMYFUNCTION("GOOGLETRANSLATE(A6440, ""zh"", ""en"")"),"Reporting System")</f>
        <v>Reporting System</v>
      </c>
      <c r="C6440" s="1" t="str">
        <f ca="1">IFERROR(__xludf.DUMMYFUNCTION("GOOGLETRANSLATE(E6440, ""zh"", ""en"")"),"Qualitative text")</f>
        <v>Qualitative text</v>
      </c>
    </row>
    <row r="6441" spans="1:3" ht="13" x14ac:dyDescent="0.15">
      <c r="A6441" s="1" t="str">
        <f ca="1">IFERROR(__xludf.DUMMYFUNCTION("GOOGLETRANSLATE(A6441, ""zh"", ""en"")"),"The Bank organized special training courses on petition management. The training content covered key issues in petition reception, the procedures for accepting petition reports, and the protection of whistleblowers. The training targets all business lines"&amp;" and full-time petition staff of the Bank, totaling more than 10,000 people.")</f>
        <v>The Bank organized special training courses on petition management. The training content covered key issues in petition reception, the procedures for accepting petition reports, and the protection of whistleblowers. The training targets all business lines and full-time petition staff of the Bank, totaling more than 10,000 people.</v>
      </c>
      <c r="B6441" s="1" t="str">
        <f ca="1">IFERROR(__xludf.DUMMYFUNCTION("GOOGLETRANSLATE(A6441, ""zh"", ""en"")"),"Reporting System")</f>
        <v>Reporting System</v>
      </c>
      <c r="C6441" s="1" t="str">
        <f ca="1">IFERROR(__xludf.DUMMYFUNCTION("GOOGLETRANSLATE(E6441, ""zh"", ""en"")"),"Quantitative Text")</f>
        <v>Quantitative Text</v>
      </c>
    </row>
    <row r="6442" spans="1:3" ht="13" x14ac:dyDescent="0.15">
      <c r="A6442" s="1" t="str">
        <f ca="1">IFERROR(__xludf.DUMMYFUNCTION("GOOGLETRANSLATE(A6442, ""zh"", ""en"")"),"24 Four Serving the Real Economy: The Bank adheres to the fundamental principle of providing financial services to the real economy, insists on technology-driven retail breakthroughs, and focuses on the strategic policy of focusing on corporate banking, s"&amp;"triving to build a digital banking ecosystem and banking platform. The Bank's three business cards")</f>
        <v>24 Four Serving the Real Economy: The Bank adheres to the fundamental principle of providing financial services to the real economy, insists on technology-driven retail breakthroughs, and focuses on the strategic policy of focusing on corporate banking, striving to build a digital banking ecosystem and banking platform. The Bank's three business cards</v>
      </c>
      <c r="B6442" s="1" t="str">
        <f ca="1">IFERROR(__xludf.DUMMYFUNCTION("GOOGLETRANSLATE(A6442, ""zh"", ""en"")"),"Technological innovation")</f>
        <v>Technological innovation</v>
      </c>
      <c r="C6442" s="1" t="str">
        <f ca="1">IFERROR(__xludf.DUMMYFUNCTION("GOOGLETRANSLATE(E6442, ""zh"", ""en"")"),"Qualitative text")</f>
        <v>Qualitative text</v>
      </c>
    </row>
    <row r="6443" spans="1:3" ht="13" x14ac:dyDescent="0.15">
      <c r="A6443" s="1" t="str">
        <f ca="1">IFERROR(__xludf.DUMMYFUNCTION("GOOGLETRANSLATE(A6443, ""zh"", ""en"")"),"We will continuously upgrade our strategies and deepen our comprehensive digital operations to provide customers with worry-free, time-saving and cost-effective financial services, effectively meeting the funding needs of high-quality economic and social "&amp;"development.")</f>
        <v>We will continuously upgrade our strategies and deepen our comprehensive digital operations to provide customers with worry-free, time-saving and cost-effective financial services, effectively meeting the funding needs of high-quality economic and social development.</v>
      </c>
      <c r="B6443" s="1" t="str">
        <f ca="1">IFERROR(__xludf.DUMMYFUNCTION("GOOGLETRANSLATE(A6443, ""zh"", ""en"")"),"Customers and Consumers")</f>
        <v>Customers and Consumers</v>
      </c>
      <c r="C6443" s="1" t="str">
        <f ca="1">IFERROR(__xludf.DUMMYFUNCTION("GOOGLETRANSLATE(E6443, ""zh"", ""en"")"),"Qualitative text")</f>
        <v>Qualitative text</v>
      </c>
    </row>
    <row r="6444" spans="1:3" ht="13" x14ac:dyDescent="0.15">
      <c r="A6444" s="1" t="str">
        <f ca="1">IFERROR(__xludf.DUMMYFUNCTION("GOOGLETRANSLATE(A6444, ""zh"", ""en"")"),"A 400 million yuan syndicated loan was granted for a 43 billion yuan airport expansion project in Hunan Province. A 500 million yuan loan was provided for a road loan repayment and replacement financing for a government road in Guangdong Province. A syndi"&amp;"cated loan exceeding 200 million yuan was issued for a railway merger and acquisition project in Jiangsu Province. A 500 million yuan policy-based development finance instrument supporting financing was provided for a highway project in Cangzhou, Hebei Pr"&amp;"ovince. Nanjing Branch invested 400 million yuan to support the construction of the local Metro Line 3. Upon completion, the project is expected to reduce carbon dioxide emissions by approximately 110,000 tons annually.")</f>
        <v>A 400 million yuan syndicated loan was granted for a 43 billion yuan airport expansion project in Hunan Province. A 500 million yuan loan was provided for a road loan repayment and replacement financing for a government road in Guangdong Province. A syndicated loan exceeding 200 million yuan was issued for a railway merger and acquisition project in Jiangsu Province. A 500 million yuan policy-based development finance instrument supporting financing was provided for a highway project in Cangzhou, Hebei Province. Nanjing Branch invested 400 million yuan to support the construction of the local Metro Line 3. Upon completion, the project is expected to reduce carbon dioxide emissions by approximately 110,000 tons annually.</v>
      </c>
      <c r="B6444" s="1" t="str">
        <f ca="1">IFERROR(__xludf.DUMMYFUNCTION("GOOGLETRANSLATE(A6444, ""zh"", ""en"")"),"carbon emissions")</f>
        <v>carbon emissions</v>
      </c>
      <c r="C6444" s="1" t="str">
        <f ca="1">IFERROR(__xludf.DUMMYFUNCTION("GOOGLETRANSLATE(E6444, ""zh"", ""en"")"),"Quantitative Text")</f>
        <v>Quantitative Text</v>
      </c>
    </row>
    <row r="6445" spans="1:3" ht="13" x14ac:dyDescent="0.15">
      <c r="A6445" s="1" t="str">
        <f ca="1">IFERROR(__xludf.DUMMYFUNCTION("GOOGLETRANSLATE(A6445, ""zh"", ""en"")"),"25.3. Promoting Industrial Transformation and Upgrading. The Bank precisely empowers strategic emerging industries such as intelligent manufacturing and biomedicine, as well as specialized and innovative small and medium-sized enterprises. Through compreh"&amp;"ensive and all-round investment and financing services, we have implemented multiple measures to continuously inject financial vitality into the real economy, striving to be a catalyst for enterprise growth. Case Study: Syndicated loans promote ecological"&amp;" improvements in the Beijing-Tianjin-Hebei region. The mountainous area in northern Tianjin, located in the northern sand control belt, is a key area for sand control in my country.")</f>
        <v>25.3. Promoting Industrial Transformation and Upgrading. The Bank precisely empowers strategic emerging industries such as intelligent manufacturing and biomedicine, as well as specialized and innovative small and medium-sized enterprises. Through comprehensive and all-round investment and financing services, we have implemented multiple measures to continuously inject financial vitality into the real economy, striving to be a catalyst for enterprise growth. Case Study: Syndicated loans promote ecological improvements in the Beijing-Tianjin-Hebei region. The mountainous area in northern Tianjin, located in the northern sand control belt, is a key area for sand control in my country.</v>
      </c>
      <c r="B6445" s="1" t="str">
        <f ca="1">IFERROR(__xludf.DUMMYFUNCTION("GOOGLETRANSLATE(A6445, ""zh"", ""en"")"),"Technological innovation")</f>
        <v>Technological innovation</v>
      </c>
      <c r="C6445" s="1" t="str">
        <f ca="1">IFERROR(__xludf.DUMMYFUNCTION("GOOGLETRANSLATE(E6445, ""zh"", ""en"")"),"Qualitative text")</f>
        <v>Qualitative text</v>
      </c>
    </row>
    <row r="6446" spans="1:3" ht="13" x14ac:dyDescent="0.15">
      <c r="A6446" s="1" t="str">
        <f ca="1">IFERROR(__xludf.DUMMYFUNCTION("GOOGLETRANSLATE(A6446, ""zh"", ""en"")"),"The total amount of syndicated loans is RMB 24 billion, and our Tianjin branch has already provided RMB 998 million.")</f>
        <v>The total amount of syndicated loans is RMB 24 billion, and our Tianjin branch has already provided RMB 998 million.</v>
      </c>
      <c r="B6446" s="1" t="str">
        <f ca="1">IFERROR(__xludf.DUMMYFUNCTION("GOOGLETRANSLATE(A6446, ""zh"", ""en"")"),"Green Finance")</f>
        <v>Green Finance</v>
      </c>
      <c r="C6446" s="1" t="str">
        <f ca="1">IFERROR(__xludf.DUMMYFUNCTION("GOOGLETRANSLATE(E6446, ""zh"", ""en"")"),"Quantitative Text")</f>
        <v>Quantitative Text</v>
      </c>
    </row>
    <row r="6447" spans="1:3" ht="13" x14ac:dyDescent="0.15">
      <c r="A6447" s="1" t="str">
        <f ca="1">IFERROR(__xludf.DUMMYFUNCTION("GOOGLETRANSLATE(A6447, ""zh"", ""en"")"),"After the implementation of this project, it is expected to restore 339 mu of bare land, 2,200 mu of ecological conservation and restoration area, 690 mu of mountain forest cultivation area, 690 mu of introduction and domestication area, 828 mu of ecologi"&amp;"cal experience area, and 93,500 mu of other benefited ecological protection vegetation. It will effectively strengthen the comprehensive land improvement, vegetation restoration and protection, curb the expansion trend of desertified land, form an ecologi"&amp;"cal protection system with Tianjin characteristics, and assist in completing the goals of the Beijing-Tianjin sand source control project.")</f>
        <v>After the implementation of this project, it is expected to restore 339 mu of bare land, 2,200 mu of ecological conservation and restoration area, 690 mu of mountain forest cultivation area, 690 mu of introduction and domestication area, 828 mu of ecological experience area, and 93,500 mu of other benefited ecological protection vegetation. It will effectively strengthen the comprehensive land improvement, vegetation restoration and protection, curb the expansion trend of desertified land, form an ecological protection system with Tianjin characteristics, and assist in completing the goals of the Beijing-Tianjin sand source control project.</v>
      </c>
      <c r="B6447" s="1" t="str">
        <f ca="1">IFERROR(__xludf.DUMMYFUNCTION("GOOGLETRANSLATE(A6447, ""zh"", ""en"")"),"Land use")</f>
        <v>Land use</v>
      </c>
      <c r="C6447" s="1" t="str">
        <f ca="1">IFERROR(__xludf.DUMMYFUNCTION("GOOGLETRANSLATE(E6447, ""zh"", ""en"")"),"Quantitative Text")</f>
        <v>Quantitative Text</v>
      </c>
    </row>
    <row r="6448" spans="1:3" ht="13" x14ac:dyDescent="0.15">
      <c r="A6448" s="1" t="str">
        <f ca="1">IFERROR(__xludf.DUMMYFUNCTION("GOOGLETRANSLATE(A6448, ""zh"", ""en"")"),"Case Study: Supporting the Yangtze River Delta region in building an automotive industry chain cluster. The Shanghai Branch continues to strengthen its services to automotive industry chain companies in the Yangtze River Delta region, collaborating with a"&amp;"utomakers to provide supply chain financing services to over 200 auto dealers in the region.")</f>
        <v>Case Study: Supporting the Yangtze River Delta region in building an automotive industry chain cluster. The Shanghai Branch continues to strengthen its services to automotive industry chain companies in the Yangtze River Delta region, collaborating with automakers to provide supply chain financing services to over 200 auto dealers in the region.</v>
      </c>
      <c r="B6448" s="1" t="str">
        <f ca="1">IFERROR(__xludf.DUMMYFUNCTION("GOOGLETRANSLATE(A6448, ""zh"", ""en"")"),"supply chain management")</f>
        <v>supply chain management</v>
      </c>
      <c r="C6448" s="1" t="str">
        <f ca="1">IFERROR(__xludf.DUMMYFUNCTION("GOOGLETRANSLATE(E6448, ""zh"", ""en"")"),"Quantitative Text")</f>
        <v>Quantitative Text</v>
      </c>
    </row>
    <row r="6449" spans="1:3" ht="13" x14ac:dyDescent="0.15">
      <c r="A6449" s="1" t="str">
        <f ca="1">IFERROR(__xludf.DUMMYFUNCTION("GOOGLETRANSLATE(A6449, ""zh"", ""en"")"),"Shanghai Branch has opened a green credit approval channel and provided special support, special pricing for credit lines and other preferential support.")</f>
        <v>Shanghai Branch has opened a green credit approval channel and provided special support, special pricing for credit lines and other preferential support.</v>
      </c>
      <c r="B6449" s="1" t="str">
        <f ca="1">IFERROR(__xludf.DUMMYFUNCTION("GOOGLETRANSLATE(A6449, ""zh"", ""en"")"),"Green Finance")</f>
        <v>Green Finance</v>
      </c>
      <c r="C6449" s="1" t="str">
        <f ca="1">IFERROR(__xludf.DUMMYFUNCTION("GOOGLETRANSLATE(E6449, ""zh"", ""en"")"),"Qualitative text")</f>
        <v>Qualitative text</v>
      </c>
    </row>
    <row r="6450" spans="1:3" ht="13" x14ac:dyDescent="0.15">
      <c r="A6450" s="1" t="str">
        <f ca="1">IFERROR(__xludf.DUMMYFUNCTION("GOOGLETRANSLATE(A6450, ""zh"", ""en"")"),"This case study is helping to improve the business environment in the Guangdong-Hong Kong-Macao Greater Bay Area. Ping An Bank, the Guangzhou Intermediate People's Court, and the Guangzhou Bankruptcy Administrators Association have collaborated to develop"&amp;" China's first smart bankruptcy adjudication system and launch the Smart Bankruptcy Core service, providing intelligent and information-based services for bankruptcy proceedings.")</f>
        <v>This case study is helping to improve the business environment in the Guangdong-Hong Kong-Macao Greater Bay Area. Ping An Bank, the Guangzhou Intermediate People's Court, and the Guangzhou Bankruptcy Administrators Association have collaborated to develop China's first smart bankruptcy adjudication system and launch the Smart Bankruptcy Core service, providing intelligent and information-based services for bankruptcy proceedings.</v>
      </c>
      <c r="B6450" s="1" t="str">
        <f ca="1">IFERROR(__xludf.DUMMYFUNCTION("GOOGLETRANSLATE(A6450, ""zh"", ""en"")"),"Technological innovation")</f>
        <v>Technological innovation</v>
      </c>
      <c r="C6450" s="1" t="str">
        <f ca="1">IFERROR(__xludf.DUMMYFUNCTION("GOOGLETRANSLATE(E6450, ""zh"", ""en"")"),"Qualitative text")</f>
        <v>Qualitative text</v>
      </c>
    </row>
    <row r="6451" spans="1:3" ht="13" x14ac:dyDescent="0.15">
      <c r="A6451" s="1" t="str">
        <f ca="1">IFERROR(__xludf.DUMMYFUNCTION("GOOGLETRANSLATE(A6451, ""zh"", ""en"")"),"In October 2022, our bank's Smart Bankruptcy Core Service won the second prize of Guangdong Province Financial Technology Progress Award")</f>
        <v>In October 2022, our bank's Smart Bankruptcy Core Service won the second prize of Guangdong Province Financial Technology Progress Award</v>
      </c>
      <c r="B6451" s="1" t="str">
        <f ca="1">IFERROR(__xludf.DUMMYFUNCTION("GOOGLETRANSLATE(A6451, ""zh"", ""en"")"),"Technological innovation")</f>
        <v>Technological innovation</v>
      </c>
      <c r="C6451" s="1" t="str">
        <f ca="1">IFERROR(__xludf.DUMMYFUNCTION("GOOGLETRANSLATE(E6451, ""zh"", ""en"")"),"Quantitative Text")</f>
        <v>Quantitative Text</v>
      </c>
    </row>
    <row r="6452" spans="1:3" ht="13" x14ac:dyDescent="0.15">
      <c r="A6452" s="1" t="str">
        <f ca="1">IFERROR(__xludf.DUMMYFUNCTION("GOOGLETRANSLATE(A6452, ""zh"", ""en"")"),"The two parties have carried out in-depth cooperation in areas such as system construction, execution-to-bankruptcy business technology and information construction, bankruptcy trial and comprehensive financial services. They provide services such as onli"&amp;"ne creditor meetings and online matching of non-performing assets to comprehensively help improve the quality and efficiency of bankruptcy trials, and jointly promote the optimization of the business environment and high-quality economic development in th"&amp;"e Guangdong-Hong Kong-Macao Greater Bay Area.")</f>
        <v>The two parties have carried out in-depth cooperation in areas such as system construction, execution-to-bankruptcy business technology and information construction, bankruptcy trial and comprehensive financial services. They provide services such as online creditor meetings and online matching of non-performing assets to comprehensively help improve the quality and efficiency of bankruptcy trials, and jointly promote the optimization of the business environment and high-quality economic development in the Guangdong-Hong Kong-Macao Greater Bay Area.</v>
      </c>
      <c r="B6452" s="1" t="str">
        <f ca="1">IFERROR(__xludf.DUMMYFUNCTION("GOOGLETRANSLATE(A6452, ""zh"", ""en"")"),"Technological innovation")</f>
        <v>Technological innovation</v>
      </c>
      <c r="C6452" s="1" t="str">
        <f ca="1">IFERROR(__xludf.DUMMYFUNCTION("GOOGLETRANSLATE(E6452, ""zh"", ""en"")"),"Qualitative text")</f>
        <v>Qualitative text</v>
      </c>
    </row>
    <row r="6453" spans="1:3" ht="13" x14ac:dyDescent="0.15">
      <c r="A6453" s="1" t="str">
        <f ca="1">IFERROR(__xludf.DUMMYFUNCTION("GOOGLETRANSLATE(A6453, ""zh"", ""en"")"),"As of the end of 2022, the number of our cooperative specialized, specialized, and innovative customers increased by 56% compared to the beginning of the year, of which the number of small giant customers increased by 167% compared to the beginning of the"&amp;" year, and the credit balance increased by RMB 12 billion compared to the beginning of the year.")</f>
        <v>As of the end of 2022, the number of our cooperative specialized, specialized, and innovative customers increased by 56% compared to the beginning of the year, of which the number of small giant customers increased by 167% compared to the beginning of the year, and the credit balance increased by RMB 12 billion compared to the beginning of the year.</v>
      </c>
      <c r="B6453" s="1" t="str">
        <f ca="1">IFERROR(__xludf.DUMMYFUNCTION("GOOGLETRANSLATE(A6453, ""zh"", ""en"")"),"Customers and Consumers")</f>
        <v>Customers and Consumers</v>
      </c>
      <c r="C6453" s="1" t="str">
        <f ca="1">IFERROR(__xludf.DUMMYFUNCTION("GOOGLETRANSLATE(E6453, ""zh"", ""en"")"),"Quantitative Text")</f>
        <v>Quantitative Text</v>
      </c>
    </row>
    <row r="6454" spans="1:3" ht="13" x14ac:dyDescent="0.15">
      <c r="A6454" s="1" t="str">
        <f ca="1">IFERROR(__xludf.DUMMYFUNCTION("GOOGLETRANSLATE(A6454, ""zh"", ""en"")"),"The case supports specialized, sophisticated, and innovative enterprises in expanding production capacity and accelerating the localization of high-end new materials. High-end epoxy resin is an indispensable key material in the field of high-end lightweig"&amp;"ht manufacturing. A new material technology company in Shandong is the global leader in the production of alicyclic epoxy resin monomers and has been rated as a specialized, sophisticated, and innovative small giant enterprise by the Ministry of Industry "&amp;"and Information Technology.")</f>
        <v>The case supports specialized, sophisticated, and innovative enterprises in expanding production capacity and accelerating the localization of high-end new materials. High-end epoxy resin is an indispensable key material in the field of high-end lightweight manufacturing. A new material technology company in Shandong is the global leader in the production of alicyclic epoxy resin monomers and has been rated as a specialized, sophisticated, and innovative small giant enterprise by the Ministry of Industry and Information Technology.</v>
      </c>
      <c r="B6454" s="1" t="str">
        <f ca="1">IFERROR(__xludf.DUMMYFUNCTION("GOOGLETRANSLATE(A6454, ""zh"", ""en"")"),"Technological innovation")</f>
        <v>Technological innovation</v>
      </c>
      <c r="C6454" s="1" t="str">
        <f ca="1">IFERROR(__xludf.DUMMYFUNCTION("GOOGLETRANSLATE(E6454, ""zh"", ""en"")"),"Qualitative text")</f>
        <v>Qualitative text</v>
      </c>
    </row>
    <row r="6455" spans="1:3" ht="13" x14ac:dyDescent="0.15">
      <c r="A6455" s="1" t="str">
        <f ca="1">IFERROR(__xludf.DUMMYFUNCTION("GOOGLETRANSLATE(A6455, ""zh"", ""en"")"),"In order to break the domestic high-end epoxy resin market pattern of dependence on imports, the company plans to build a new integrated project with an annual output of 9,500 tons of special epoxy resin")</f>
        <v>In order to break the domestic high-end epoxy resin market pattern of dependence on imports, the company plans to build a new integrated project with an annual output of 9,500 tons of special epoxy resin</v>
      </c>
      <c r="B6455" s="1" t="str">
        <f ca="1">IFERROR(__xludf.DUMMYFUNCTION("GOOGLETRANSLATE(A6455, ""zh"", ""en"")"),"raw materials")</f>
        <v>raw materials</v>
      </c>
      <c r="C6455" s="1" t="str">
        <f ca="1">IFERROR(__xludf.DUMMYFUNCTION("GOOGLETRANSLATE(E6455, ""zh"", ""en"")"),"Quantitative Text")</f>
        <v>Quantitative Text</v>
      </c>
    </row>
    <row r="6456" spans="1:3" ht="13" x14ac:dyDescent="0.15">
      <c r="A6456" s="1" t="str">
        <f ca="1">IFERROR(__xludf.DUMMYFUNCTION("GOOGLETRANSLATE(A6456, ""zh"", ""en"")"),"The Shanghai Pilot Free Trade Zone Branch provides customized fixed asset loan services to enterprises based on their business development needs, assisting them in expanding their production capacity and providing strong support for domestic substitution "&amp;"of high-end new materials and global layout.")</f>
        <v>The Shanghai Pilot Free Trade Zone Branch provides customized fixed asset loan services to enterprises based on their business development needs, assisting them in expanding their production capacity and providing strong support for domestic substitution of high-end new materials and global layout.</v>
      </c>
      <c r="B6456" s="1" t="str">
        <f ca="1">IFERROR(__xludf.DUMMYFUNCTION("GOOGLETRANSLATE(A6456, ""zh"", ""en"")"),"Technological innovation")</f>
        <v>Technological innovation</v>
      </c>
      <c r="C6456" s="1" t="str">
        <f ca="1">IFERROR(__xludf.DUMMYFUNCTION("GOOGLETRANSLATE(E6456, ""zh"", ""en"")"),"Qualitative text")</f>
        <v>Qualitative text</v>
      </c>
    </row>
    <row r="6457" spans="1:3" ht="13" x14ac:dyDescent="0.15">
      <c r="A6457" s="1" t="str">
        <f ca="1">IFERROR(__xludf.DUMMYFUNCTION("GOOGLETRANSLATE(A6457, ""zh"", ""en"")"),"Case Study: Providing comprehensive financial services throughout the entire growth life cycle of an enterprise. A technology company listed on the A-share market is one of the first batch of specialized, specialized, and innovative small giant enterprise"&amp;"s recognized by the Ministry of Industry and Information Technology.")</f>
        <v>Case Study: Providing comprehensive financial services throughout the entire growth life cycle of an enterprise. A technology company listed on the A-share market is one of the first batch of specialized, specialized, and innovative small giant enterprises recognized by the Ministry of Industry and Information Technology.</v>
      </c>
      <c r="B6457" s="1" t="str">
        <f ca="1">IFERROR(__xludf.DUMMYFUNCTION("GOOGLETRANSLATE(A6457, ""zh"", ""en"")"),"Technological innovation")</f>
        <v>Technological innovation</v>
      </c>
      <c r="C6457" s="1" t="str">
        <f ca="1">IFERROR(__xludf.DUMMYFUNCTION("GOOGLETRANSLATE(E6457, ""zh"", ""en"")"),"Qualitative text")</f>
        <v>Qualitative text</v>
      </c>
    </row>
    <row r="6458" spans="1:3" ht="13" x14ac:dyDescent="0.15">
      <c r="A6458" s="1" t="str">
        <f ca="1">IFERROR(__xludf.DUMMYFUNCTION("GOOGLETRANSLATE(A6458, ""zh"", ""en"")"),"The company has now become a leading domestic production base for seismic isolation products, with strong R&amp;D capabilities and a technical team. It has unique technologies and patents and a high brand recognition.")</f>
        <v>The company has now become a leading domestic production base for seismic isolation products, with strong R&amp;D capabilities and a technical team. It has unique technologies and patents and a high brand recognition.</v>
      </c>
      <c r="B6458" s="1" t="str">
        <f ca="1">IFERROR(__xludf.DUMMYFUNCTION("GOOGLETRANSLATE(A6458, ""zh"", ""en"")"),"Intellectual Property Protection")</f>
        <v>Intellectual Property Protection</v>
      </c>
      <c r="C6458" s="1" t="str">
        <f ca="1">IFERROR(__xludf.DUMMYFUNCTION("GOOGLETRANSLATE(E6458, ""zh"", ""en"")"),"Qualitative text")</f>
        <v>Qualitative text</v>
      </c>
    </row>
    <row r="6459" spans="1:3" ht="13" x14ac:dyDescent="0.15">
      <c r="A6459" s="1" t="str">
        <f ca="1">IFERROR(__xludf.DUMMYFUNCTION("GOOGLETRANSLATE(A6459, ""zh"", ""en"")"),"2. Deepening our commitment to smart manufacturing: The Bank has thoroughly implemented the National 14th Five-Year Plan for Smart Manufacturing Development. We have established the Electronic Information and Smart Manufacturing Finance Division at the he"&amp;"ad office level to conduct specialized industry research on high-end equipment, communications equipment, semiconductor materials, and other manufacturing sectors, comprehensively improving the quality and efficiency of financial services.")</f>
        <v>2. Deepening our commitment to smart manufacturing: The Bank has thoroughly implemented the National 14th Five-Year Plan for Smart Manufacturing Development. We have established the Electronic Information and Smart Manufacturing Finance Division at the head office level to conduct specialized industry research on high-end equipment, communications equipment, semiconductor materials, and other manufacturing sectors, comprehensively improving the quality and efficiency of financial services.</v>
      </c>
      <c r="B6459" s="1" t="str">
        <f ca="1">IFERROR(__xludf.DUMMYFUNCTION("GOOGLETRANSLATE(A6459, ""zh"", ""en"")"),"Technological innovation")</f>
        <v>Technological innovation</v>
      </c>
      <c r="C6459" s="1" t="str">
        <f ca="1">IFERROR(__xludf.DUMMYFUNCTION("GOOGLETRANSLATE(E6459, ""zh"", ""en"")"),"Qualitative text")</f>
        <v>Qualitative text</v>
      </c>
    </row>
    <row r="6460" spans="1:3" ht="13" x14ac:dyDescent="0.15">
      <c r="A6460" s="1" t="str">
        <f ca="1">IFERROR(__xludf.DUMMYFUNCTION("GOOGLETRANSLATE(A6460, ""zh"", ""en"")"),"Case 27: Financial technology innovation helps upgrade the quality of energy-saving and environmental protection equipment manufacturing industry. A boiler manufacturing company in Foshan is a high-tech enterprise engaged in the manufacture of boilers and"&amp;" auxiliary equipment.")</f>
        <v>Case 27: Financial technology innovation helps upgrade the quality of energy-saving and environmental protection equipment manufacturing industry. A boiler manufacturing company in Foshan is a high-tech enterprise engaged in the manufacture of boilers and auxiliary equipment.</v>
      </c>
      <c r="B6460" s="1" t="str">
        <f ca="1">IFERROR(__xludf.DUMMYFUNCTION("GOOGLETRANSLATE(A6460, ""zh"", ""en"")"),"Technological innovation")</f>
        <v>Technological innovation</v>
      </c>
      <c r="C6460" s="1" t="str">
        <f ca="1">IFERROR(__xludf.DUMMYFUNCTION("GOOGLETRANSLATE(E6460, ""zh"", ""en"")"),"Qualitative text")</f>
        <v>Qualitative text</v>
      </c>
    </row>
    <row r="6461" spans="1:3" ht="13" x14ac:dyDescent="0.15">
      <c r="A6461" s="1" t="str">
        <f ca="1">IFERROR(__xludf.DUMMYFUNCTION("GOOGLETRANSLATE(A6461, ""zh"", ""en"")"),"The boiler products provided by the company can reuse boiler exhaust gas, which helps improve energy efficiency and reduce waste gas emissions.")</f>
        <v>The boiler products provided by the company can reuse boiler exhaust gas, which helps improve energy efficiency and reduce waste gas emissions.</v>
      </c>
      <c r="B6461" s="1" t="str">
        <f ca="1">IFERROR(__xludf.DUMMYFUNCTION("GOOGLETRANSLATE(A6461, ""zh"", ""en"")"),"Waste Management")</f>
        <v>Waste Management</v>
      </c>
      <c r="C6461" s="1" t="str">
        <f ca="1">IFERROR(__xludf.DUMMYFUNCTION("GOOGLETRANSLATE(E6461, ""zh"", ""en"")"),"Qualitative text")</f>
        <v>Qualitative text</v>
      </c>
    </row>
    <row r="6462" spans="1:3" ht="13" x14ac:dyDescent="0.15">
      <c r="A6462" s="1" t="str">
        <f ca="1">IFERROR(__xludf.DUMMYFUNCTION("GOOGLETRANSLATE(A6462, ""zh"", ""en"")"),"This case study helps companies alleviate difficulties and solves problems for manufacturing enterprises. A Chongqing optoelectronics company is a national high-tech enterprise engaged in the production and manufacturing of smart street lights, smart traf"&amp;"fic safety facilities, 5G communication poles, etc., with independent intellectual property rights and more than 100 patents.")</f>
        <v>This case study helps companies alleviate difficulties and solves problems for manufacturing enterprises. A Chongqing optoelectronics company is a national high-tech enterprise engaged in the production and manufacturing of smart street lights, smart traffic safety facilities, 5G communication poles, etc., with independent intellectual property rights and more than 100 patents.</v>
      </c>
      <c r="B6462" s="1" t="str">
        <f ca="1">IFERROR(__xludf.DUMMYFUNCTION("GOOGLETRANSLATE(A6462, ""zh"", ""en"")"),"Technological innovation")</f>
        <v>Technological innovation</v>
      </c>
      <c r="C6462" s="1" t="str">
        <f ca="1">IFERROR(__xludf.DUMMYFUNCTION("GOOGLETRANSLATE(E6462, ""zh"", ""en"")"),"Quantitative Text")</f>
        <v>Quantitative Text</v>
      </c>
    </row>
    <row r="6463" spans="1:3" ht="13" x14ac:dyDescent="0.15">
      <c r="A6463" s="1" t="str">
        <f ca="1">IFERROR(__xludf.DUMMYFUNCTION("GOOGLETRANSLATE(A6463, ""zh"", ""en"")"),"The company's new workshop production line will be completed and put into production in 2022, but it faces a shortage of funds when purchasing raw materials due to lack of fixed asset mortgage and sufficient credit guarantee.")</f>
        <v>The company's new workshop production line will be completed and put into production in 2022, but it faces a shortage of funds when purchasing raw materials due to lack of fixed asset mortgage and sufficient credit guarantee.</v>
      </c>
      <c r="B6463" s="1" t="str">
        <f ca="1">IFERROR(__xludf.DUMMYFUNCTION("GOOGLETRANSLATE(A6463, ""zh"", ""en"")"),"raw materials")</f>
        <v>raw materials</v>
      </c>
      <c r="C6463" s="1" t="str">
        <f ca="1">IFERROR(__xludf.DUMMYFUNCTION("GOOGLETRANSLATE(E6463, ""zh"", ""en"")"),"Qualitative text")</f>
        <v>Qualitative text</v>
      </c>
    </row>
    <row r="6464" spans="1:3" ht="13" x14ac:dyDescent="0.15">
      <c r="A6464" s="1" t="str">
        <f ca="1">IFERROR(__xludf.DUMMYFUNCTION("GOOGLETRANSLATE(A6464, ""zh"", ""en"")"),"Chongqing Branch provided the company with a micro-e loan product with a quick process and long credit period, exempted the company from the third-party guarantee required, and quickly implemented the company's financing application through the green chan"&amp;"nel credit approval process, solving the company's problems.")</f>
        <v>Chongqing Branch provided the company with a micro-e loan product with a quick process and long credit period, exempted the company from the third-party guarantee required, and quickly implemented the company's financing application through the green channel credit approval process, solving the company's problems.</v>
      </c>
      <c r="B6464" s="1" t="str">
        <f ca="1">IFERROR(__xludf.DUMMYFUNCTION("GOOGLETRANSLATE(A6464, ""zh"", ""en"")"),"Green Finance")</f>
        <v>Green Finance</v>
      </c>
      <c r="C6464" s="1" t="str">
        <f ca="1">IFERROR(__xludf.DUMMYFUNCTION("GOOGLETRANSLATE(E6464, ""zh"", ""en"")"),"Qualitative text")</f>
        <v>Qualitative text</v>
      </c>
    </row>
    <row r="6465" spans="1:3" ht="13" x14ac:dyDescent="0.15">
      <c r="A6465" s="1" t="str">
        <f ca="1">IFERROR(__xludf.DUMMYFUNCTION("GOOGLETRANSLATE(A6465, ""zh"", ""en"")"),"Fourth, support the improvement of people's livelihood. The Bank helps address shortcomings in areas of people's livelihood such as elderly care, medical care, and housing security through innovative financial products and services, and invests financial "&amp;"resources in key areas that meet people's expectations.")</f>
        <v>Fourth, support the improvement of people's livelihood. The Bank helps address shortcomings in areas of people's livelihood such as elderly care, medical care, and housing security through innovative financial products and services, and invests financial resources in key areas that meet people's expectations.</v>
      </c>
      <c r="B6465" s="1" t="str">
        <f ca="1">IFERROR(__xludf.DUMMYFUNCTION("GOOGLETRANSLATE(A6465, ""zh"", ""en"")"),"Public welfare and volunteer service")</f>
        <v>Public welfare and volunteer service</v>
      </c>
      <c r="C6465" s="1" t="str">
        <f ca="1">IFERROR(__xludf.DUMMYFUNCTION("GOOGLETRANSLATE(E6465, ""zh"", ""en"")"),"Qualitative text")</f>
        <v>Qualitative text</v>
      </c>
    </row>
    <row r="6466" spans="1:3" ht="13" x14ac:dyDescent="0.15">
      <c r="A6466" s="1" t="str">
        <f ca="1">IFERROR(__xludf.DUMMYFUNCTION("GOOGLETRANSLATE(A6466, ""zh"", ""en"")"),"Case study supporting international mergers and acquisitions of medical device manufacturers. A leading company in minimally invasive interventional heart valve treatment in Hangzhou, a second-batch national ""small giant"" enterprise, is dedicated to the"&amp;" development and commercialization of innovative medical devices in the field of structural heart disease, with a presence in nearly 30 countries and regions.")</f>
        <v>Case study supporting international mergers and acquisitions of medical device manufacturers. A leading company in minimally invasive interventional heart valve treatment in Hangzhou, a second-batch national "small giant" enterprise, is dedicated to the development and commercialization of innovative medical devices in the field of structural heart disease, with a presence in nearly 30 countries and regions.</v>
      </c>
      <c r="B6466" s="1" t="str">
        <f ca="1">IFERROR(__xludf.DUMMYFUNCTION("GOOGLETRANSLATE(A6466, ""zh"", ""en"")"),"Technological innovation")</f>
        <v>Technological innovation</v>
      </c>
      <c r="C6466" s="1" t="str">
        <f ca="1">IFERROR(__xludf.DUMMYFUNCTION("GOOGLETRANSLATE(E6466, ""zh"", ""en"")"),"Qualitative text")</f>
        <v>Qualitative text</v>
      </c>
    </row>
    <row r="6467" spans="1:3" ht="13" x14ac:dyDescent="0.15">
      <c r="A6467" s="1" t="str">
        <f ca="1">IFERROR(__xludf.DUMMYFUNCTION("GOOGLETRANSLATE(A6467, ""zh"", ""en"")"),"Our bank provided M&amp;A financing services to the company, helping it complete its acquisition of a foreign company that provides innovative transcatheter mitral and tricuspid valve treatments, further broadening its product offerings in the field of valvul"&amp;"ar disease treatment and accelerating its internationalization efforts.")</f>
        <v>Our bank provided M&amp;A financing services to the company, helping it complete its acquisition of a foreign company that provides innovative transcatheter mitral and tricuspid valve treatments, further broadening its product offerings in the field of valvular disease treatment and accelerating its internationalization efforts.</v>
      </c>
      <c r="B6467" s="1" t="str">
        <f ca="1">IFERROR(__xludf.DUMMYFUNCTION("GOOGLETRANSLATE(A6467, ""zh"", ""en"")"),"Technological innovation")</f>
        <v>Technological innovation</v>
      </c>
      <c r="C6467" s="1" t="str">
        <f ca="1">IFERROR(__xludf.DUMMYFUNCTION("GOOGLETRANSLATE(E6467, ""zh"", ""en"")"),"Qualitative text")</f>
        <v>Qualitative text</v>
      </c>
    </row>
    <row r="6468" spans="1:3" ht="13" x14ac:dyDescent="0.15">
      <c r="A6468" s="1" t="str">
        <f ca="1">IFERROR(__xludf.DUMMYFUNCTION("GOOGLETRANSLATE(A6468, ""zh"", ""en"")"),"28 Cases of Financial Service Innovation Helping to Overcome the Epidemic A medical technology group in Jiangsu Province was responsible for the construction of the ICU ward and operating room of Wuhan Leishenshan Hospital, as well as 12 health and epidem"&amp;"ic prevention centers in multiple provinces and cities.")</f>
        <v>28 Cases of Financial Service Innovation Helping to Overcome the Epidemic A medical technology group in Jiangsu Province was responsible for the construction of the ICU ward and operating room of Wuhan Leishenshan Hospital, as well as 12 health and epidemic prevention centers in multiple provinces and cities.</v>
      </c>
      <c r="B6468" s="1" t="str">
        <f ca="1">IFERROR(__xludf.DUMMYFUNCTION("GOOGLETRANSLATE(A6468, ""zh"", ""en"")"),"Fighting the epidemic")</f>
        <v>Fighting the epidemic</v>
      </c>
      <c r="C6468" s="1" t="str">
        <f ca="1">IFERROR(__xludf.DUMMYFUNCTION("GOOGLETRANSLATE(E6468, ""zh"", ""en"")"),"Quantitative Text")</f>
        <v>Quantitative Text</v>
      </c>
    </row>
    <row r="6469" spans="1:3" ht="13" x14ac:dyDescent="0.15">
      <c r="A6469" s="1" t="str">
        <f ca="1">IFERROR(__xludf.DUMMYFUNCTION("GOOGLETRANSLATE(A6469, ""zh"", ""en"")"),"In March 2022, the Changzhou epidemic broke out. The group undertook the construction of a number of projects including the nucleic acid testing center and the cabin hospital.")</f>
        <v>In March 2022, the Changzhou epidemic broke out. The group undertook the construction of a number of projects including the nucleic acid testing center and the cabin hospital.</v>
      </c>
      <c r="B6469" s="1" t="str">
        <f ca="1">IFERROR(__xludf.DUMMYFUNCTION("GOOGLETRANSLATE(A6469, ""zh"", ""en"")"),"Fighting the epidemic")</f>
        <v>Fighting the epidemic</v>
      </c>
      <c r="C6469" s="1" t="str">
        <f ca="1">IFERROR(__xludf.DUMMYFUNCTION("GOOGLETRANSLATE(E6469, ""zh"", ""en"")"),"Qualitative text")</f>
        <v>Qualitative text</v>
      </c>
    </row>
    <row r="6470" spans="1:3" ht="13" x14ac:dyDescent="0.15">
      <c r="A6470" s="1" t="str">
        <f ca="1">IFERROR(__xludf.DUMMYFUNCTION("GOOGLETRANSLATE(A6470, ""zh"", ""en"")"),"Our bank tailored and designed two solutions for the company: a comprehensive credit line and a single anti-epidemic loan. We also provided the company with a working capital loan to help it build Changzhou's first testing center.")</f>
        <v>Our bank tailored and designed two solutions for the company: a comprehensive credit line and a single anti-epidemic loan. We also provided the company with a working capital loan to help it build Changzhou's first testing center.</v>
      </c>
      <c r="B6470" s="1" t="str">
        <f ca="1">IFERROR(__xludf.DUMMYFUNCTION("GOOGLETRANSLATE(A6470, ""zh"", ""en"")"),"Fighting the epidemic")</f>
        <v>Fighting the epidemic</v>
      </c>
      <c r="C6470" s="1" t="str">
        <f ca="1">IFERROR(__xludf.DUMMYFUNCTION("GOOGLETRANSLATE(E6470, ""zh"", ""en"")"),"Qualitative text")</f>
        <v>Qualitative text</v>
      </c>
    </row>
    <row r="6471" spans="1:3" ht="13" x14ac:dyDescent="0.15">
      <c r="A6471" s="1" t="str">
        <f ca="1">IFERROR(__xludf.DUMMYFUNCTION("GOOGLETRANSLATE(A6471, ""zh"", ""en"")"),"Fifth, innovative supply chain financial services. Industrial chains in sectors such as large-scale manufacturing, infrastructure construction, etc. are generally characterized by complex trade chains, large capital occupation, and long business implement"&amp;"ation cycles, which can easily lead to serious accounts receivable and triangular debt problems.")</f>
        <v>Fifth, innovative supply chain financial services. Industrial chains in sectors such as large-scale manufacturing, infrastructure construction, etc. are generally characterized by complex trade chains, large capital occupation, and long business implementation cycles, which can easily lead to serious accounts receivable and triangular debt problems.</v>
      </c>
      <c r="B6471" s="1" t="str">
        <f ca="1">IFERROR(__xludf.DUMMYFUNCTION("GOOGLETRANSLATE(A6471, ""zh"", ""en"")"),"supply chain management")</f>
        <v>supply chain management</v>
      </c>
      <c r="C6471" s="1" t="str">
        <f ca="1">IFERROR(__xludf.DUMMYFUNCTION("GOOGLETRANSLATE(E6471, ""zh"", ""en"")"),"Qualitative text")</f>
        <v>Qualitative text</v>
      </c>
    </row>
    <row r="6472" spans="1:3" ht="13" x14ac:dyDescent="0.15">
      <c r="A6472" s="1" t="str">
        <f ca="1">IFERROR(__xludf.DUMMYFUNCTION("GOOGLETRANSLATE(A6472, ""zh"", ""en"")"),"Supply chain finance provides comprehensive financial services such as online settlement and financing services to core enterprises and their upstream and downstream small and medium-sized enterprises based on the real trade settlement scenarios of core e"&amp;"nterprises.")</f>
        <v>Supply chain finance provides comprehensive financial services such as online settlement and financing services to core enterprises and their upstream and downstream small and medium-sized enterprises based on the real trade settlement scenarios of core enterprises.</v>
      </c>
      <c r="B6472" s="1" t="str">
        <f ca="1">IFERROR(__xludf.DUMMYFUNCTION("GOOGLETRANSLATE(A6472, ""zh"", ""en"")"),"supply chain management")</f>
        <v>supply chain management</v>
      </c>
      <c r="C6472" s="1" t="str">
        <f ca="1">IFERROR(__xludf.DUMMYFUNCTION("GOOGLETRANSLATE(E6472, ""zh"", ""en"")"),"Qualitative text")</f>
        <v>Qualitative text</v>
      </c>
    </row>
    <row r="6473" spans="1:3" ht="13" x14ac:dyDescent="0.15">
      <c r="A6473" s="1" t="str">
        <f ca="1">IFERROR(__xludf.DUMMYFUNCTION("GOOGLETRANSLATE(A6473, ""zh"", ""en"")"),"Based on the Ping An Good Chain supply chain financial service platform and relying on the Nebula Open Alliance service mechanism, the Bank has cumulatively served more than 29,712 core enterprises and their upstream small and medium-sized micro-enterpris"&amp;"es. In 2022, the platform's transaction volume reached RMB195.964 billion, a year-on-year increase of 30.8%. The total financing amount facilitated through the Ping An Good Chain platform reached RMB73.508 billion, a year-on-year increase of 41.4%. This e"&amp;"ffectively helped the industry chain accelerate capital circulation and reduce overall liabilities and financial costs.")</f>
        <v>Based on the Ping An Good Chain supply chain financial service platform and relying on the Nebula Open Alliance service mechanism, the Bank has cumulatively served more than 29,712 core enterprises and their upstream small and medium-sized micro-enterprises. In 2022, the platform's transaction volume reached RMB195.964 billion, a year-on-year increase of 30.8%. The total financing amount facilitated through the Ping An Good Chain platform reached RMB73.508 billion, a year-on-year increase of 41.4%. This effectively helped the industry chain accelerate capital circulation and reduce overall liabilities and financial costs.</v>
      </c>
      <c r="B6473" s="1" t="str">
        <f ca="1">IFERROR(__xludf.DUMMYFUNCTION("GOOGLETRANSLATE(A6473, ""zh"", ""en"")"),"supply chain management")</f>
        <v>supply chain management</v>
      </c>
      <c r="C6473" s="1" t="str">
        <f ca="1">IFERROR(__xludf.DUMMYFUNCTION("GOOGLETRANSLATE(E6473, ""zh"", ""en"")"),"Quantitative Text")</f>
        <v>Quantitative Text</v>
      </c>
    </row>
    <row r="6474" spans="1:3" ht="13" x14ac:dyDescent="0.15">
      <c r="A6474" s="1" t="str">
        <f ca="1">IFERROR(__xludf.DUMMYFUNCTION("GOOGLETRANSLATE(A6474, ""zh"", ""en"")"),"In 2022, the Bank ranked among the top five in terms of supply chain bill endorsement and other transactions among peers.")</f>
        <v>In 2022, the Bank ranked among the top five in terms of supply chain bill endorsement and other transactions among peers.</v>
      </c>
      <c r="B6474" s="1" t="str">
        <f ca="1">IFERROR(__xludf.DUMMYFUNCTION("GOOGLETRANSLATE(A6474, ""zh"", ""en"")"),"supply chain management")</f>
        <v>supply chain management</v>
      </c>
      <c r="C6474" s="1" t="str">
        <f ca="1">IFERROR(__xludf.DUMMYFUNCTION("GOOGLETRANSLATE(E6474, ""zh"", ""en"")"),"Quantitative Text")</f>
        <v>Quantitative Text</v>
      </c>
    </row>
    <row r="6475" spans="1:3" ht="13" x14ac:dyDescent="0.15">
      <c r="A6475" s="1" t="str">
        <f ca="1">IFERROR(__xludf.DUMMYFUNCTION("GOOGLETRANSLATE(A6475, ""zh"", ""en"")"),"Case 29: Upstream supply chain financing services for a new energy battery company. A leading new energy battery company is in a period of rapid development. Its upstream equipment and material suppliers are facing capital turnover pressure due to the rap"&amp;"id expansion of production capacity demand.")</f>
        <v>Case 29: Upstream supply chain financing services for a new energy battery company. A leading new energy battery company is in a period of rapid development. Its upstream equipment and material suppliers are facing capital turnover pressure due to the rapid expansion of production capacity demand.</v>
      </c>
      <c r="B6475" s="1" t="str">
        <f ca="1">IFERROR(__xludf.DUMMYFUNCTION("GOOGLETRANSLATE(A6475, ""zh"", ""en"")"),"supply chain management")</f>
        <v>supply chain management</v>
      </c>
      <c r="C6475" s="1" t="str">
        <f ca="1">IFERROR(__xludf.DUMMYFUNCTION("GOOGLETRANSLATE(E6475, ""zh"", ""en"")"),"Qualitative text")</f>
        <v>Qualitative text</v>
      </c>
    </row>
    <row r="6476" spans="1:3" ht="13" x14ac:dyDescent="0.15">
      <c r="A6476" s="1" t="str">
        <f ca="1">IFERROR(__xludf.DUMMYFUNCTION("GOOGLETRANSLATE(A6476, ""zh"", ""en"")"),"This leading enterprise has established a supply chain financial service platform to provide suppliers with factoring financing and commercial bill insurance services, but it is difficult to meet the financing needs of its upstream production suppliers fr"&amp;"om the early stage of procurement and production to the formation of accounts receivable.")</f>
        <v>This leading enterprise has established a supply chain financial service platform to provide suppliers with factoring financing and commercial bill insurance services, but it is difficult to meet the financing needs of its upstream production suppliers from the early stage of procurement and production to the formation of accounts receivable.</v>
      </c>
      <c r="B6476" s="1" t="str">
        <f ca="1">IFERROR(__xludf.DUMMYFUNCTION("GOOGLETRANSLATE(A6476, ""zh"", ""en"")"),"supply chain management")</f>
        <v>supply chain management</v>
      </c>
      <c r="C6476" s="1" t="str">
        <f ca="1">IFERROR(__xludf.DUMMYFUNCTION("GOOGLETRANSLATE(E6476, ""zh"", ""en"")"),"Qualitative text")</f>
        <v>Qualitative text</v>
      </c>
    </row>
    <row r="6477" spans="1:3" ht="13" x14ac:dyDescent="0.15">
      <c r="A6477" s="1" t="str">
        <f ca="1">IFERROR(__xludf.DUMMYFUNCTION("GOOGLETRANSLATE(A6477, ""zh"", ""en"")"),"The Bank uses technology to verify the true transaction background and pre-approval risk intervention, moving the supplier's financing node from the accounts receivable stage to the order stage, effectively meeting the supplier's pre-production capital ne"&amp;"eds for obtaining orders and alleviating the supplier's anxiety about accepting orders.")</f>
        <v>The Bank uses technology to verify the true transaction background and pre-approval risk intervention, moving the supplier's financing node from the accounts receivable stage to the order stage, effectively meeting the supplier's pre-production capital needs for obtaining orders and alleviating the supplier's anxiety about accepting orders.</v>
      </c>
      <c r="B6477" s="1" t="str">
        <f ca="1">IFERROR(__xludf.DUMMYFUNCTION("GOOGLETRANSLATE(A6477, ""zh"", ""en"")"),"supply chain management")</f>
        <v>supply chain management</v>
      </c>
      <c r="C6477" s="1" t="str">
        <f ca="1">IFERROR(__xludf.DUMMYFUNCTION("GOOGLETRANSLATE(E6477, ""zh"", ""en"")"),"Qualitative text")</f>
        <v>Qualitative text</v>
      </c>
    </row>
    <row r="6478" spans="1:3" ht="13" x14ac:dyDescent="0.15">
      <c r="A6478" s="1" t="str">
        <f ca="1">IFERROR(__xludf.DUMMYFUNCTION("GOOGLETRANSLATE(A6478, ""zh"", ""en"")"),"The Keguro-Kebasa Hydropower Station in Angola is its core hydropower project and is known as the Three Gorges Project of Africa.")</f>
        <v>The Keguro-Kebasa Hydropower Station in Angola is its core hydropower project and is known as the Three Gorges Project of Africa.</v>
      </c>
      <c r="B6478" s="1" t="str">
        <f ca="1">IFERROR(__xludf.DUMMYFUNCTION("GOOGLETRANSLATE(A6478, ""zh"", ""en"")"),"Water resources")</f>
        <v>Water resources</v>
      </c>
      <c r="C6478" s="1" t="str">
        <f ca="1">IFERROR(__xludf.DUMMYFUNCTION("GOOGLETRANSLATE(E6478, ""zh"", ""en"")"),"Qualitative text")</f>
        <v>Qualitative text</v>
      </c>
    </row>
    <row r="6479" spans="1:3" ht="13" x14ac:dyDescent="0.15">
      <c r="A6479" s="1" t="str">
        <f ca="1">IFERROR(__xludf.DUMMYFUNCTION("GOOGLETRANSLATE(A6479, ""zh"", ""en"")"),"The project is undertaken by China Gezhouba Group with a planned installed capacity of 2,172MW. It is currently the largest hydropower station project undertaken by a Chinese company in Angola and will effectively alleviate Angola's power supply pressure "&amp;"upon completion.")</f>
        <v>The project is undertaken by China Gezhouba Group with a planned installed capacity of 2,172MW. It is currently the largest hydropower station project undertaken by a Chinese company in Angola and will effectively alleviate Angola's power supply pressure upon completion.</v>
      </c>
      <c r="B6479" s="1" t="str">
        <f ca="1">IFERROR(__xludf.DUMMYFUNCTION("GOOGLETRANSLATE(A6479, ""zh"", ""en"")"),"Energy and resource consumption")</f>
        <v>Energy and resource consumption</v>
      </c>
      <c r="C6479" s="1" t="str">
        <f ca="1">IFERROR(__xludf.DUMMYFUNCTION("GOOGLETRANSLATE(E6479, ""zh"", ""en"")"),"Qualitative text")</f>
        <v>Qualitative text</v>
      </c>
    </row>
    <row r="6480" spans="1:3" ht="13" x14ac:dyDescent="0.15">
      <c r="A6480" s="1" t="str">
        <f ca="1">IFERROR(__xludf.DUMMYFUNCTION("GOOGLETRANSLATE(A6480, ""zh"", ""en"")"),"The Shanghai Pilot Free Trade Zone Branch provided financial support to the China Central and Eastern Europe Fund through foreign currency loans, with a total investment of over RMB 400 million. The project involved a photovoltaic power station project in"&amp;" Poland, meeting the electricity needs of over 9,000 households and reducing carbon dioxide emissions by nearly 50,000 tons annually. The project supported Poland in achieving its renewable energy development goals and participated in Jinjiang Group's acq"&amp;"uisition of the Radisson Blu Hotel. The project served more Chinese tourists on outbound travel and promoted the development of trade in services under the 161 cooperation framework.")</f>
        <v>The Shanghai Pilot Free Trade Zone Branch provided financial support to the China Central and Eastern Europe Fund through foreign currency loans, with a total investment of over RMB 400 million. The project involved a photovoltaic power station project in Poland, meeting the electricity needs of over 9,000 households and reducing carbon dioxide emissions by nearly 50,000 tons annually. The project supported Poland in achieving its renewable energy development goals and participated in Jinjiang Group's acquisition of the Radisson Blu Hotel. The project served more Chinese tourists on outbound travel and promoted the development of trade in services under the 161 cooperation framework.</v>
      </c>
      <c r="B6480" s="1" t="str">
        <f ca="1">IFERROR(__xludf.DUMMYFUNCTION("GOOGLETRANSLATE(A6480, ""zh"", ""en"")"),"Responsible Investment")</f>
        <v>Responsible Investment</v>
      </c>
      <c r="C6480" s="1" t="str">
        <f ca="1">IFERROR(__xludf.DUMMYFUNCTION("GOOGLETRANSLATE(E6480, ""zh"", ""en"")"),"Quantitative Text")</f>
        <v>Quantitative Text</v>
      </c>
    </row>
    <row r="6481" spans="1:3" ht="13" x14ac:dyDescent="0.15">
      <c r="A6481" s="1" t="str">
        <f ca="1">IFERROR(__xludf.DUMMYFUNCTION("GOOGLETRANSLATE(A6481, ""zh"", ""en"")"),"The Bank regards inclusive finance as an important development opportunity, provides targeted support to small and micro enterprises, comprehensively supports rural revitalization, and actively promotes financial supply-side reform to contribute to improv"&amp;"ing people's well-being and achieving common prosperity.")</f>
        <v>The Bank regards inclusive finance as an important development opportunity, provides targeted support to small and micro enterprises, comprehensively supports rural revitalization, and actively promotes financial supply-side reform to contribute to improving people's well-being and achieving common prosperity.</v>
      </c>
      <c r="B6481" s="1" t="str">
        <f ca="1">IFERROR(__xludf.DUMMYFUNCTION("GOOGLETRANSLATE(A6481, ""zh"", ""en"")"),"Rural assistance")</f>
        <v>Rural assistance</v>
      </c>
      <c r="C6481" s="1" t="str">
        <f ca="1">IFERROR(__xludf.DUMMYFUNCTION("GOOGLETRANSLATE(E6481, ""zh"", ""en"")"),"Qualitative text")</f>
        <v>Qualitative text</v>
      </c>
    </row>
    <row r="6482" spans="1:3" ht="13" x14ac:dyDescent="0.15">
      <c r="A6482" s="1" t="str">
        <f ca="1">IFERROR(__xludf.DUMMYFUNCTION("GOOGLETRANSLATE(A6482, ""zh"", ""en"")"),"While continuously optimizing the layout of outlets to ensure that financial services at physical outlets cover more people, we will use financial technology as a powerful driving force to firmly grasp the development opportunities brought by the online m"&amp;"igration of customer behavior and my country's huge Internet user base. We will achieve barrier-free access to financial services through online channels, allowing customers to obtain low-cost and affordable financial services anytime and anywhere as need"&amp;"ed, regardless of time and space.")</f>
        <v>While continuously optimizing the layout of outlets to ensure that financial services at physical outlets cover more people, we will use financial technology as a powerful driving force to firmly grasp the development opportunities brought by the online migration of customer behavior and my country's huge Internet user base. We will achieve barrier-free access to financial services through online channels, allowing customers to obtain low-cost and affordable financial services anytime and anywhere as needed, regardless of time and space.</v>
      </c>
      <c r="B6482" s="1" t="str">
        <f ca="1">IFERROR(__xludf.DUMMYFUNCTION("GOOGLETRANSLATE(A6482, ""zh"", ""en"")"),"Customers and Consumers")</f>
        <v>Customers and Consumers</v>
      </c>
      <c r="C6482" s="1" t="str">
        <f ca="1">IFERROR(__xludf.DUMMYFUNCTION("GOOGLETRANSLATE(E6482, ""zh"", ""en"")"),"Qualitative text")</f>
        <v>Qualitative text</v>
      </c>
    </row>
    <row r="6483" spans="1:3" ht="13" x14ac:dyDescent="0.15">
      <c r="A6483" s="1" t="str">
        <f ca="1">IFERROR(__xludf.DUMMYFUNCTION("GOOGLETRANSLATE(A6483, ""zh"", ""en"")"),"To improve accessibility of financial services, the Bank and its partners jointly launched the Ping An 1 and Ping An 2 IoT satellites, as well as the Ping An 3 remote sensing satellite. This helps banks efficiently and intuitively grasp real operational d"&amp;"ata from upstream and downstream supply chains, expanding their supply chain financial services capabilities.")</f>
        <v>To improve accessibility of financial services, the Bank and its partners jointly launched the Ping An 1 and Ping An 2 IoT satellites, as well as the Ping An 3 remote sensing satellite. This helps banks efficiently and intuitively grasp real operational data from upstream and downstream supply chains, expanding their supply chain financial services capabilities.</v>
      </c>
      <c r="B6483" s="1" t="str">
        <f ca="1">IFERROR(__xludf.DUMMYFUNCTION("GOOGLETRANSLATE(A6483, ""zh"", ""en"")"),"supply chain management")</f>
        <v>supply chain management</v>
      </c>
      <c r="C6483" s="1" t="str">
        <f ca="1">IFERROR(__xludf.DUMMYFUNCTION("GOOGLETRANSLATE(E6483, ""zh"", ""en"")"),"Qualitative text")</f>
        <v>Qualitative text</v>
      </c>
    </row>
    <row r="6484" spans="1:3" ht="13" x14ac:dyDescent="0.15">
      <c r="A6484" s="1" t="str">
        <f ca="1">IFERROR(__xludf.DUMMYFUNCTION("GOOGLETRANSLATE(A6484, ""zh"", ""en"")"),"33 Ping An Satellite 3 was successfully launched. As of the end of 2022, Ping An's Nebula IoT Program has implemented multiple innovative projects in six major industry sectors: smart connected vehicles, smart manufacturing, smart energy, smart agricultur"&amp;"e, smart infrastructure, and smart logistics. It has served over 21,000 customers, connected over 20 million IoT terminal devices, and supported over RMB 650 billion in financing for the real economy.")</f>
        <v>33 Ping An Satellite 3 was successfully launched. As of the end of 2022, Ping An's Nebula IoT Program has implemented multiple innovative projects in six major industry sectors: smart connected vehicles, smart manufacturing, smart energy, smart agriculture, smart infrastructure, and smart logistics. It has served over 21,000 customers, connected over 20 million IoT terminal devices, and supported over RMB 650 billion in financing for the real economy.</v>
      </c>
      <c r="B6484" s="1" t="str">
        <f ca="1">IFERROR(__xludf.DUMMYFUNCTION("GOOGLETRANSLATE(A6484, ""zh"", ""en"")"),"Technological innovation")</f>
        <v>Technological innovation</v>
      </c>
      <c r="C6484" s="1" t="str">
        <f ca="1">IFERROR(__xludf.DUMMYFUNCTION("GOOGLETRANSLATE(E6484, ""zh"", ""en"")"),"Quantitative Text")</f>
        <v>Quantitative Text</v>
      </c>
    </row>
    <row r="6485" spans="1:3" ht="13" x14ac:dyDescent="0.15">
      <c r="A6485" s="1" t="str">
        <f ca="1">IFERROR(__xludf.DUMMYFUNCTION("GOOGLETRANSLATE(A6485, ""zh"", ""en"")"),"Through the Nebula IoT Platform, the Bank is applying satellite technology to remote areas, especially agricultural enterprises, through the Nebula IoT Plan. This allows us to directly grasp the actual production capacity of end-users in the supply chain,"&amp;" thereby building a new supply chain financing model for smart agriculture and helping agricultural enterprises overcome the difficulties of financing difficulties and high financing costs.")</f>
        <v>Through the Nebula IoT Platform, the Bank is applying satellite technology to remote areas, especially agricultural enterprises, through the Nebula IoT Plan. This allows us to directly grasp the actual production capacity of end-users in the supply chain, thereby building a new supply chain financing model for smart agriculture and helping agricultural enterprises overcome the difficulties of financing difficulties and high financing costs.</v>
      </c>
      <c r="B6485" s="1" t="str">
        <f ca="1">IFERROR(__xludf.DUMMYFUNCTION("GOOGLETRANSLATE(A6485, ""zh"", ""en"")"),"Rural assistance")</f>
        <v>Rural assistance</v>
      </c>
      <c r="C6485" s="1" t="str">
        <f ca="1">IFERROR(__xludf.DUMMYFUNCTION("GOOGLETRANSLATE(E6485, ""zh"", ""en"")"),"Qualitative text")</f>
        <v>Qualitative text</v>
      </c>
    </row>
    <row r="6486" spans="1:3" ht="13" x14ac:dyDescent="0.15">
      <c r="A6486" s="1" t="str">
        <f ca="1">IFERROR(__xludf.DUMMYFUNCTION("GOOGLETRANSLATE(A6486, ""zh"", ""en"")"),"Case Study: The Nebula IoT Program injects financial vitality into agricultural entities in remote areas. Leveraging Nebula IoT technology, the Bank has pioneered live dairy cow mortgage loans in Altay, Xinjiang. Through ear tags, AI cameras, drones, and "&amp;"other tools, the Bank dynamically monitors the temperature, weight, and other indicators of the collateralized cows. These indicators are then uploaded to a smart risk control platform to ensure collateral valuation. Based on this, the Bank provides credi"&amp;"t support to farms and ranches in remote areas and assists with post-loan management using IoT.")</f>
        <v>Case Study: The Nebula IoT Program injects financial vitality into agricultural entities in remote areas. Leveraging Nebula IoT technology, the Bank has pioneered live dairy cow mortgage loans in Altay, Xinjiang. Through ear tags, AI cameras, drones, and other tools, the Bank dynamically monitors the temperature, weight, and other indicators of the collateralized cows. These indicators are then uploaded to a smart risk control platform to ensure collateral valuation. Based on this, the Bank provides credit support to farms and ranches in remote areas and assists with post-loan management using IoT.</v>
      </c>
      <c r="B6486" s="1" t="str">
        <f ca="1">IFERROR(__xludf.DUMMYFUNCTION("GOOGLETRANSLATE(A6486, ""zh"", ""en"")"),"Rural assistance")</f>
        <v>Rural assistance</v>
      </c>
      <c r="C6486" s="1" t="str">
        <f ca="1">IFERROR(__xludf.DUMMYFUNCTION("GOOGLETRANSLATE(E6486, ""zh"", ""en"")"),"Qualitative text")</f>
        <v>Qualitative text</v>
      </c>
    </row>
    <row r="6487" spans="1:3" ht="13" x14ac:dyDescent="0.15">
      <c r="A6487" s="1" t="str">
        <f ca="1">IFERROR(__xludf.DUMMYFUNCTION("GOOGLETRANSLATE(A6487, ""zh"", ""en"")"),"4. Digital technology serves rural areas and provides financially underserved groups. The Bank has developed a variety of digital products for rural areas, extending services to remote areas.")</f>
        <v>4. Digital technology serves rural areas and provides financially underserved groups. The Bank has developed a variety of digital products for rural areas, extending services to remote areas.</v>
      </c>
      <c r="B6487" s="1" t="str">
        <f ca="1">IFERROR(__xludf.DUMMYFUNCTION("GOOGLETRANSLATE(A6487, ""zh"", ""en"")"),"Rural assistance")</f>
        <v>Rural assistance</v>
      </c>
      <c r="C6487" s="1" t="str">
        <f ca="1">IFERROR(__xludf.DUMMYFUNCTION("GOOGLETRANSLATE(E6487, ""zh"", ""en"")"),"Qualitative text")</f>
        <v>Qualitative text</v>
      </c>
    </row>
    <row r="6488" spans="1:3" ht="13" x14ac:dyDescent="0.15">
      <c r="A6488" s="1" t="str">
        <f ca="1">IFERROR(__xludf.DUMMYFUNCTION("GOOGLETRANSLATE(A6488, ""zh"", ""en"")"),"The Bank has developed a mini-program for the Digital Village Financial Services Platform and set up a convenient service module to provide customers in remote areas with a range of financial services such as electricity bill payment, mobile phone recharg"&amp;"e, broadband payment, education payment, agricultural loans, investment and wealth management.")</f>
        <v>The Bank has developed a mini-program for the Digital Village Financial Services Platform and set up a convenient service module to provide customers in remote areas with a range of financial services such as electricity bill payment, mobile phone recharge, broadband payment, education payment, agricultural loans, investment and wealth management.</v>
      </c>
      <c r="B6488" s="1" t="str">
        <f ca="1">IFERROR(__xludf.DUMMYFUNCTION("GOOGLETRANSLATE(A6488, ""zh"", ""en"")"),"Rural assistance")</f>
        <v>Rural assistance</v>
      </c>
      <c r="C6488" s="1" t="str">
        <f ca="1">IFERROR(__xludf.DUMMYFUNCTION("GOOGLETRANSLATE(E6488, ""zh"", ""en"")"),"Qualitative text")</f>
        <v>Qualitative text</v>
      </c>
    </row>
    <row r="6489" spans="1:3" ht="13" x14ac:dyDescent="0.15">
      <c r="A6489" s="1" t="str">
        <f ca="1">IFERROR(__xludf.DUMMYFUNCTION("GOOGLETRANSLATE(A6489, ""zh"", ""en"")"),"The Bank also develops digital village applications for specific counties to provide tailored services tailored to the specific circumstances of the counties.")</f>
        <v>The Bank also develops digital village applications for specific counties to provide tailored services tailored to the specific circumstances of the counties.</v>
      </c>
      <c r="B6489" s="1" t="str">
        <f ca="1">IFERROR(__xludf.DUMMYFUNCTION("GOOGLETRANSLATE(A6489, ""zh"", ""en"")"),"Rural assistance")</f>
        <v>Rural assistance</v>
      </c>
      <c r="C6489" s="1" t="str">
        <f ca="1">IFERROR(__xludf.DUMMYFUNCTION("GOOGLETRANSLATE(E6489, ""zh"", ""en"")"),"Qualitative text")</f>
        <v>Qualitative text</v>
      </c>
    </row>
    <row r="6490" spans="1:3" ht="13" x14ac:dyDescent="0.15">
      <c r="A6490" s="1" t="str">
        <f ca="1">IFERROR(__xludf.DUMMYFUNCTION("GOOGLETRANSLATE(A6490, ""zh"", ""en"")"),"In 2022, the Bank reached a cooperation agreement with a county in Heilongjiang Province to promote and implement the Ping An Digital Rural Cooperation Plan, providing comprehensive services for the government's financial smart agriculture consumption sup"&amp;"port products, rural cultural tourism, investment attraction, and other aspects.")</f>
        <v>In 2022, the Bank reached a cooperation agreement with a county in Heilongjiang Province to promote and implement the Ping An Digital Rural Cooperation Plan, providing comprehensive services for the government's financial smart agriculture consumption support products, rural cultural tourism, investment attraction, and other aspects.</v>
      </c>
      <c r="B6490" s="1" t="str">
        <f ca="1">IFERROR(__xludf.DUMMYFUNCTION("GOOGLETRANSLATE(A6490, ""zh"", ""en"")"),"Rural assistance")</f>
        <v>Rural assistance</v>
      </c>
      <c r="C6490" s="1" t="str">
        <f ca="1">IFERROR(__xludf.DUMMYFUNCTION("GOOGLETRANSLATE(E6490, ""zh"", ""en"")"),"Qualitative text")</f>
        <v>Qualitative text</v>
      </c>
    </row>
    <row r="6491" spans="1:3" ht="13" x14ac:dyDescent="0.15">
      <c r="A6491" s="1" t="str">
        <f ca="1">IFERROR(__xludf.DUMMYFUNCTION("GOOGLETRANSLATE(A6491, ""zh"", ""en"")"),"In addition, the Bank promoted the rural collective three-asset resource asset fund management platform to help rural collectives achieve the three-asset full life cycle management, providing strong support for the realization of smart village-level pract"&amp;"ical management and convenient and efficient public services.")</f>
        <v>In addition, the Bank promoted the rural collective three-asset resource asset fund management platform to help rural collectives achieve the three-asset full life cycle management, providing strong support for the realization of smart village-level practical management and convenient and efficient public services.</v>
      </c>
      <c r="B6491" s="1" t="str">
        <f ca="1">IFERROR(__xludf.DUMMYFUNCTION("GOOGLETRANSLATE(A6491, ""zh"", ""en"")"),"Rural assistance")</f>
        <v>Rural assistance</v>
      </c>
      <c r="C6491" s="1" t="str">
        <f ca="1">IFERROR(__xludf.DUMMYFUNCTION("GOOGLETRANSLATE(E6491, ""zh"", ""en"")"),"Qualitative text")</f>
        <v>Qualitative text</v>
      </c>
    </row>
    <row r="6492" spans="1:3" ht="13" x14ac:dyDescent="0.15">
      <c r="A6492" s="1" t="str">
        <f ca="1">IFERROR(__xludf.DUMMYFUNCTION("GOOGLETRANSLATE(A6492, ""zh"", ""en"")"),"In 2022, the Bank established its first rural collective land management platform cooperation point in Jindaoxia Town, Chongqing. This led to the opening of Chongqing Rural Land Transaction Fund Special Accounts for 3,511 administrative villages under the"&amp;" town, providing convenient payment and settlement services for village collective economic organizations.")</f>
        <v>In 2022, the Bank established its first rural collective land management platform cooperation point in Jindaoxia Town, Chongqing. This led to the opening of Chongqing Rural Land Transaction Fund Special Accounts for 3,511 administrative villages under the town, providing convenient payment and settlement services for village collective economic organizations.</v>
      </c>
      <c r="B6492" s="1" t="str">
        <f ca="1">IFERROR(__xludf.DUMMYFUNCTION("GOOGLETRANSLATE(A6492, ""zh"", ""en"")"),"Rural assistance")</f>
        <v>Rural assistance</v>
      </c>
      <c r="C6492" s="1" t="str">
        <f ca="1">IFERROR(__xludf.DUMMYFUNCTION("GOOGLETRANSLATE(E6492, ""zh"", ""en"")"),"Quantitative Text")</f>
        <v>Quantitative Text</v>
      </c>
    </row>
    <row r="6493" spans="1:3" ht="13" x14ac:dyDescent="0.15">
      <c r="A6493" s="1" t="str">
        <f ca="1">IFERROR(__xludf.DUMMYFUNCTION("GOOGLETRANSLATE(A6493, ""zh"", ""en"")"),"5. Benefiting New Citizens As my country's industrialization, urbanization, and agricultural modernization progress, hundreds of millions of rural people have moved to cities and towns through employment and education, integrating into local communities a"&amp;"nd becoming new citizens.")</f>
        <v>5. Benefiting New Citizens As my country's industrialization, urbanization, and agricultural modernization progress, hundreds of millions of rural people have moved to cities and towns through employment and education, integrating into local communities and becoming new citizens.</v>
      </c>
      <c r="B6493" s="1" t="str">
        <f ca="1">IFERROR(__xludf.DUMMYFUNCTION("GOOGLETRANSLATE(A6493, ""zh"", ""en"")"),"Promoting employment")</f>
        <v>Promoting employment</v>
      </c>
      <c r="C6493" s="1" t="str">
        <f ca="1">IFERROR(__xludf.DUMMYFUNCTION("GOOGLETRANSLATE(E6493, ""zh"", ""en"")"),"Qualitative text")</f>
        <v>Qualitative text</v>
      </c>
    </row>
    <row r="6494" spans="1:3" ht="13" x14ac:dyDescent="0.15">
      <c r="A6494" s="1" t="str">
        <f ca="1">IFERROR(__xludf.DUMMYFUNCTION("GOOGLETRANSLATE(A6494, ""zh"", ""en"")"),"Case Study: Micro-e Loan Supports Agriculture and Benefits Enterprises Without Waiting. A leading domestic agricultural and animal husbandry group owns the entire industry chain of feed, breeding, slaughtering, and processing. It has a large customer base"&amp;" upstream and downstream. However, it has long been unable to break through the credit bottleneck for farmers and feed distributors at the end of the upstream and downstream supply chains surrounding the core enterprise.")</f>
        <v>Case Study: Micro-e Loan Supports Agriculture and Benefits Enterprises Without Waiting. A leading domestic agricultural and animal husbandry group owns the entire industry chain of feed, breeding, slaughtering, and processing. It has a large customer base upstream and downstream. However, it has long been unable to break through the credit bottleneck for farmers and feed distributors at the end of the upstream and downstream supply chains surrounding the core enterprise.</v>
      </c>
      <c r="B6494" s="1" t="str">
        <f ca="1">IFERROR(__xludf.DUMMYFUNCTION("GOOGLETRANSLATE(A6494, ""zh"", ""en"")"),"Rural assistance")</f>
        <v>Rural assistance</v>
      </c>
      <c r="C6494" s="1" t="str">
        <f ca="1">IFERROR(__xludf.DUMMYFUNCTION("GOOGLETRANSLATE(E6494, ""zh"", ""en"")"),"Qualitative text")</f>
        <v>Qualitative text</v>
      </c>
    </row>
    <row r="6495" spans="1:3" ht="13" x14ac:dyDescent="0.15">
      <c r="A6495" s="1" t="str">
        <f ca="1">IFERROR(__xludf.DUMMYFUNCTION("GOOGLETRANSLATE(A6495, ""zh"", ""en"")"),"In response to the needs of integrating the industrial chain and optimizing the business ecosystem, Qingdao Branch optimized the micro-e loan business model around the business scenarios of dealers and farmers, realizing a full online operation from appli"&amp;"cation submission to loan approval, which greatly met the needs of customers.")</f>
        <v>In response to the needs of integrating the industrial chain and optimizing the business ecosystem, Qingdao Branch optimized the micro-e loan business model around the business scenarios of dealers and farmers, realizing a full online operation from application submission to loan approval, which greatly met the needs of customers.</v>
      </c>
      <c r="B6495" s="1" t="str">
        <f ca="1">IFERROR(__xludf.DUMMYFUNCTION("GOOGLETRANSLATE(A6495, ""zh"", ""en"")"),"Customers and Consumers")</f>
        <v>Customers and Consumers</v>
      </c>
      <c r="C6495" s="1" t="str">
        <f ca="1">IFERROR(__xludf.DUMMYFUNCTION("GOOGLETRANSLATE(E6495, ""zh"", ""en"")"),"Qualitative text")</f>
        <v>Qualitative text</v>
      </c>
    </row>
    <row r="6496" spans="1:3" ht="13" x14ac:dyDescent="0.15">
      <c r="A6496" s="1" t="str">
        <f ca="1">IFERROR(__xludf.DUMMYFUNCTION("GOOGLETRANSLATE(A6496, ""zh"", ""en"")"),"As of the end of 2022, the project has benefited more than 100 small and micro agricultural and rural customers, with a credit amount of 110 million yuan and a cumulative withdrawal of 115 million yuan.")</f>
        <v>As of the end of 2022, the project has benefited more than 100 small and micro agricultural and rural customers, with a credit amount of 110 million yuan and a cumulative withdrawal of 115 million yuan.</v>
      </c>
      <c r="B6496" s="1" t="str">
        <f ca="1">IFERROR(__xludf.DUMMYFUNCTION("GOOGLETRANSLATE(A6496, ""zh"", ""en"")"),"Rural assistance")</f>
        <v>Rural assistance</v>
      </c>
      <c r="C6496" s="1" t="str">
        <f ca="1">IFERROR(__xludf.DUMMYFUNCTION("GOOGLETRANSLATE(E6496, ""zh"", ""en"")"),"Quantitative Text")</f>
        <v>Quantitative Text</v>
      </c>
    </row>
    <row r="6497" spans="1:3" ht="13" x14ac:dyDescent="0.15">
      <c r="A6497" s="1" t="str">
        <f ca="1">IFERROR(__xludf.DUMMYFUNCTION("GOOGLETRANSLATE(A6497, ""zh"", ""en"")"),"37 Rural Revitalization Benefits Agriculture, Rural Areas and Farmers. The Bank implements the national strategic deployment to comprehensively promote rural revitalization and accelerate the modernization of agriculture and rural areas. It leverages high"&amp;"-quality financial services to leverage multiple forces and lay the foundation for modern agriculture and rural areas.")</f>
        <v>37 Rural Revitalization Benefits Agriculture, Rural Areas and Farmers. The Bank implements the national strategic deployment to comprehensively promote rural revitalization and accelerate the modernization of agriculture and rural areas. It leverages high-quality financial services to leverage multiple forces and lay the foundation for modern agriculture and rural areas.</v>
      </c>
      <c r="B6497" s="1" t="str">
        <f ca="1">IFERROR(__xludf.DUMMYFUNCTION("GOOGLETRANSLATE(A6497, ""zh"", ""en"")"),"Rural assistance")</f>
        <v>Rural assistance</v>
      </c>
      <c r="C6497" s="1" t="str">
        <f ca="1">IFERROR(__xludf.DUMMYFUNCTION("GOOGLETRANSLATE(E6497, ""zh"", ""en"")"),"Qualitative text")</f>
        <v>Qualitative text</v>
      </c>
    </row>
    <row r="6498" spans="1:3" ht="13" x14ac:dyDescent="0.15">
      <c r="A6498" s="1" t="str">
        <f ca="1">IFERROR(__xludf.DUMMYFUNCTION("GOOGLETRANSLATE(A6498, ""zh"", ""en"")"),"1. Strengthening the organizational leadership of rural revitalization. The Bank has formulated a three-year development plan for rural revitalization finance (2023-2025). We are striving to expand and extend the 421 service model for rural revitalization"&amp;". Through the four enabling capabilities of financing, intellectual capital, branding, and technology, we are promoting the integration of comprehensive finance with agriculture, rural areas, and farmers. We are also creating a government-guided, co-const"&amp;"ructed platform for industrial revitalization that integrates farmers, agricultural enterprises, banks, insurance companies, and agricultural research institutes.")</f>
        <v>1. Strengthening the organizational leadership of rural revitalization. The Bank has formulated a three-year development plan for rural revitalization finance (2023-2025). We are striving to expand and extend the 421 service model for rural revitalization. Through the four enabling capabilities of financing, intellectual capital, branding, and technology, we are promoting the integration of comprehensive finance with agriculture, rural areas, and farmers. We are also creating a government-guided, co-constructed platform for industrial revitalization that integrates farmers, agricultural enterprises, banks, insurance companies, and agricultural research institutes.</v>
      </c>
      <c r="B6498" s="1" t="str">
        <f ca="1">IFERROR(__xludf.DUMMYFUNCTION("GOOGLETRANSLATE(A6498, ""zh"", ""en"")"),"Rural assistance")</f>
        <v>Rural assistance</v>
      </c>
      <c r="C6498" s="1" t="str">
        <f ca="1">IFERROR(__xludf.DUMMYFUNCTION("GOOGLETRANSLATE(E6498, ""zh"", ""en"")"),"Qualitative text")</f>
        <v>Qualitative text</v>
      </c>
    </row>
    <row r="6499" spans="1:3" ht="13" x14ac:dyDescent="0.15">
      <c r="A6499" s="1" t="str">
        <f ca="1">IFERROR(__xludf.DUMMYFUNCTION("GOOGLETRANSLATE(A6499, ""zh"", ""en"")"),"In 2022, the Bank invested RMB33.078 billion in industrial poverty alleviation and rural revitalization support, with a total investment of RMB69.254 billion, helping over 1.03 million people.")</f>
        <v>In 2022, the Bank invested RMB33.078 billion in industrial poverty alleviation and rural revitalization support, with a total investment of RMB69.254 billion, helping over 1.03 million people.</v>
      </c>
      <c r="B6499" s="1" t="str">
        <f ca="1">IFERROR(__xludf.DUMMYFUNCTION("GOOGLETRANSLATE(A6499, ""zh"", ""en"")"),"Rural assistance")</f>
        <v>Rural assistance</v>
      </c>
      <c r="C6499" s="1" t="str">
        <f ca="1">IFERROR(__xludf.DUMMYFUNCTION("GOOGLETRANSLATE(E6499, ""zh"", ""en"")"),"Quantitative Text")</f>
        <v>Quantitative Text</v>
      </c>
    </row>
    <row r="6500" spans="1:3" ht="13" x14ac:dyDescent="0.15">
      <c r="A6500" s="1" t="str">
        <f ca="1">IFERROR(__xludf.DUMMYFUNCTION("GOOGLETRANSLATE(A6500, ""zh"", ""en"")"),"The bank's agricultural loan balance was RMB 106.008 billion, up 7.1% from the end of the previous year.")</f>
        <v>The bank's agricultural loan balance was RMB 106.008 billion, up 7.1% from the end of the previous year.</v>
      </c>
      <c r="B6500" s="1" t="str">
        <f ca="1">IFERROR(__xludf.DUMMYFUNCTION("GOOGLETRANSLATE(A6500, ""zh"", ""en"")"),"Rural assistance")</f>
        <v>Rural assistance</v>
      </c>
      <c r="C6500" s="1" t="str">
        <f ca="1">IFERROR(__xludf.DUMMYFUNCTION("GOOGLETRANSLATE(E6500, ""zh"", ""en"")"),"Quantitative Text")</f>
        <v>Quantitative Text</v>
      </c>
    </row>
    <row r="6501" spans="1:3" ht="13" x14ac:dyDescent="0.15">
      <c r="A6501" s="1" t="str">
        <f ca="1">IFERROR(__xludf.DUMMYFUNCTION("GOOGLETRANSLATE(A6501, ""zh"", ""en"")"),"2. Benefiting agricultural products and stimulating rural vitality. The Bank has established an integrated agricultural loan system serving large, medium and small enterprises and farmers.")</f>
        <v>2. Benefiting agricultural products and stimulating rural vitality. The Bank has established an integrated agricultural loan system serving large, medium and small enterprises and farmers.</v>
      </c>
      <c r="B6501" s="1" t="str">
        <f ca="1">IFERROR(__xludf.DUMMYFUNCTION("GOOGLETRANSLATE(A6501, ""zh"", ""en"")"),"Rural assistance")</f>
        <v>Rural assistance</v>
      </c>
      <c r="C6501" s="1" t="str">
        <f ca="1">IFERROR(__xludf.DUMMYFUNCTION("GOOGLETRANSLATE(E6501, ""zh"", ""en"")"),"Qualitative text")</f>
        <v>Qualitative text</v>
      </c>
    </row>
    <row r="6502" spans="1:3" ht="13" x14ac:dyDescent="0.15">
      <c r="A6502" s="1" t="str">
        <f ca="1">IFERROR(__xludf.DUMMYFUNCTION("GOOGLETRANSLATE(A6502, ""zh"", ""en"")"),"Targeting large and medium-sized enterprises, the Bank continued to focus on key areas of national economy and people's livelihood, actively responding to the national food security strategy and disbursing RMB1 billion in rural revitalization loans to Bei"&amp;"dahuang Group, specifically for the procurement of agricultural products from affiliated farms and grain distributors, and improving the circulation of grain in rural areas.")</f>
        <v>Targeting large and medium-sized enterprises, the Bank continued to focus on key areas of national economy and people's livelihood, actively responding to the national food security strategy and disbursing RMB1 billion in rural revitalization loans to Beidahuang Group, specifically for the procurement of agricultural products from affiliated farms and grain distributors, and improving the circulation of grain in rural areas.</v>
      </c>
      <c r="B6502" s="1" t="str">
        <f ca="1">IFERROR(__xludf.DUMMYFUNCTION("GOOGLETRANSLATE(A6502, ""zh"", ""en"")"),"Rural assistance")</f>
        <v>Rural assistance</v>
      </c>
      <c r="C6502" s="1" t="str">
        <f ca="1">IFERROR(__xludf.DUMMYFUNCTION("GOOGLETRANSLATE(E6502, ""zh"", ""en"")"),"Quantitative Text")</f>
        <v>Quantitative Text</v>
      </c>
    </row>
    <row r="6503" spans="1:3" ht="13" x14ac:dyDescent="0.15">
      <c r="A6503" s="1" t="str">
        <f ca="1">IFERROR(__xludf.DUMMYFUNCTION("GOOGLETRANSLATE(A6503, ""zh"", ""en"")"),"To fully stimulate the vitality of small and micro enterprises and farmers, the Bank launched the Ping An Huinong Dai Micro-e Loan product to address the pain points of small and micro agricultural enterprises, such as high loan thresholds and difficulty "&amp;"in obtaining loans. Its differentiated credit policy lowers the loan access and approval thresholds. It provides special preferential interest rates for upstream and downstream of core agricultural enterprises such as marine aquaculture and grass carp far"&amp;"ming, as well as customized scenarios for local specialty industries, providing timely relief for small and micro enterprises and farmers.")</f>
        <v>To fully stimulate the vitality of small and micro enterprises and farmers, the Bank launched the Ping An Huinong Dai Micro-e Loan product to address the pain points of small and micro agricultural enterprises, such as high loan thresholds and difficulty in obtaining loans. Its differentiated credit policy lowers the loan access and approval thresholds. It provides special preferential interest rates for upstream and downstream of core agricultural enterprises such as marine aquaculture and grass carp farming, as well as customized scenarios for local specialty industries, providing timely relief for small and micro enterprises and farmers.</v>
      </c>
      <c r="B6503" s="1" t="str">
        <f ca="1">IFERROR(__xludf.DUMMYFUNCTION("GOOGLETRANSLATE(A6503, ""zh"", ""en"")"),"Rural assistance")</f>
        <v>Rural assistance</v>
      </c>
      <c r="C6503" s="1" t="str">
        <f ca="1">IFERROR(__xludf.DUMMYFUNCTION("GOOGLETRANSLATE(E6503, ""zh"", ""en"")"),"Qualitative text")</f>
        <v>Qualitative text</v>
      </c>
    </row>
    <row r="6504" spans="1:3" ht="13" x14ac:dyDescent="0.15">
      <c r="A6504" s="1" t="str">
        <f ca="1">IFERROR(__xludf.DUMMYFUNCTION("GOOGLETRANSLATE(A6504, ""zh"", ""en"")"),"38 Ping An Huinong Loan Case Studies Special credit schemes help revitalize China's crispy-fleshed grass carp hometown. Xiaolan Town, Zhongshan City, is China's largest town specializing in crispy-fleshed grass carp farming.")</f>
        <v>38 Ping An Huinong Loan Case Studies Special credit schemes help revitalize China's crispy-fleshed grass carp hometown. Xiaolan Town, Zhongshan City, is China's largest town specializing in crispy-fleshed grass carp farming.</v>
      </c>
      <c r="B6504" s="1" t="str">
        <f ca="1">IFERROR(__xludf.DUMMYFUNCTION("GOOGLETRANSLATE(A6504, ""zh"", ""en"")"),"Rural assistance")</f>
        <v>Rural assistance</v>
      </c>
      <c r="C6504" s="1" t="str">
        <f ca="1">IFERROR(__xludf.DUMMYFUNCTION("GOOGLETRANSLATE(E6504, ""zh"", ""en"")"),"Qualitative text")</f>
        <v>Qualitative text</v>
      </c>
    </row>
    <row r="6505" spans="1:3" ht="13" x14ac:dyDescent="0.15">
      <c r="A6505" s="1" t="str">
        <f ca="1">IFERROR(__xludf.DUMMYFUNCTION("GOOGLETRANSLATE(A6505, ""zh"", ""en"")"),"Crunchy grass carp farmers are mainly local farmers. They face difficulties in managing operational data, providing cash flow, lacking proof of commercial housing assets, and low acceptance of online financing channels. Many farmers are forced to sell imm"&amp;"ature crunchy grass carp at low prices to generate cash.")</f>
        <v>Crunchy grass carp farmers are mainly local farmers. They face difficulties in managing operational data, providing cash flow, lacking proof of commercial housing assets, and low acceptance of online financing channels. Many farmers are forced to sell immature crunchy grass carp at low prices to generate cash.</v>
      </c>
      <c r="B6505" s="1" t="str">
        <f ca="1">IFERROR(__xludf.DUMMYFUNCTION("GOOGLETRANSLATE(A6505, ""zh"", ""en"")"),"Rural assistance")</f>
        <v>Rural assistance</v>
      </c>
      <c r="C6505" s="1" t="str">
        <f ca="1">IFERROR(__xludf.DUMMYFUNCTION("GOOGLETRANSLATE(E6505, ""zh"", ""en"")"),"Qualitative text")</f>
        <v>Qualitative text</v>
      </c>
    </row>
    <row r="6506" spans="1:3" ht="13" x14ac:dyDescent="0.15">
      <c r="A6506" s="1" t="str">
        <f ca="1">IFERROR(__xludf.DUMMYFUNCTION("GOOGLETRANSLATE(A6506, ""zh"", ""en"")"),"39 Ping An Huinong Loan marine aquaculture farmers visited the Bank to comprehensively promote rural revitalization. The debit card is issued. The card comes with a number of agricultural benefits and privileges, such as exclusive rural personal accident "&amp;"insurance and 24/7 online consultation services, which reduce farmers' medical costs.")</f>
        <v>39 Ping An Huinong Loan marine aquaculture farmers visited the Bank to comprehensively promote rural revitalization. The debit card is issued. The card comes with a number of agricultural benefits and privileges, such as exclusive rural personal accident insurance and 24/7 online consultation services, which reduce farmers' medical costs.</v>
      </c>
      <c r="B6506" s="1" t="str">
        <f ca="1">IFERROR(__xludf.DUMMYFUNCTION("GOOGLETRANSLATE(A6506, ""zh"", ""en"")"),"Rural assistance")</f>
        <v>Rural assistance</v>
      </c>
      <c r="C6506" s="1" t="str">
        <f ca="1">IFERROR(__xludf.DUMMYFUNCTION("GOOGLETRANSLATE(E6506, ""zh"", ""en"")"),"Qualitative text")</f>
        <v>Qualitative text</v>
      </c>
    </row>
    <row r="6507" spans="1:3" ht="13" x14ac:dyDescent="0.15">
      <c r="A6507" s="1" t="str">
        <f ca="1">IFERROR(__xludf.DUMMYFUNCTION("GOOGLETRANSLATE(A6507, ""zh"", ""en"")"),"In 2022, the Bank issued 90,439 Rural Revitalization Debit Cards, bringing the total number of cards issued to 113,930.")</f>
        <v>In 2022, the Bank issued 90,439 Rural Revitalization Debit Cards, bringing the total number of cards issued to 113,930.</v>
      </c>
      <c r="B6507" s="1" t="str">
        <f ca="1">IFERROR(__xludf.DUMMYFUNCTION("GOOGLETRANSLATE(A6507, ""zh"", ""en"")"),"Rural assistance")</f>
        <v>Rural assistance</v>
      </c>
      <c r="C6507" s="1" t="str">
        <f ca="1">IFERROR(__xludf.DUMMYFUNCTION("GOOGLETRANSLATE(E6507, ""zh"", ""en"")"),"Quantitative Text")</f>
        <v>Quantitative Text</v>
      </c>
    </row>
    <row r="6508" spans="1:3" ht="13" x14ac:dyDescent="0.15">
      <c r="A6508" s="1" t="str">
        <f ca="1">IFERROR(__xludf.DUMMYFUNCTION("GOOGLETRANSLATE(A6508, ""zh"", ""en"")"),"The number of Rural Revitalization Cards issued exceeded 100,000 in its first year. 3. Multi-party collaboration to revitalize villages and benefit farmers. The Bank has joined forces with various parties to build a service synergy to add impetus to rural"&amp;" industrial development.")</f>
        <v>The number of Rural Revitalization Cards issued exceeded 100,000 in its first year. 3. Multi-party collaboration to revitalize villages and benefit farmers. The Bank has joined forces with various parties to build a service synergy to add impetus to rural industrial development.</v>
      </c>
      <c r="B6508" s="1" t="str">
        <f ca="1">IFERROR(__xludf.DUMMYFUNCTION("GOOGLETRANSLATE(A6508, ""zh"", ""en"")"),"Rural assistance")</f>
        <v>Rural assistance</v>
      </c>
      <c r="C6508" s="1" t="str">
        <f ca="1">IFERROR(__xludf.DUMMYFUNCTION("GOOGLETRANSLATE(E6508, ""zh"", ""en"")"),"Quantitative Text")</f>
        <v>Quantitative Text</v>
      </c>
    </row>
    <row r="6509" spans="1:3" ht="13" x14ac:dyDescent="0.15">
      <c r="A6509" s="1" t="str">
        <f ca="1">IFERROR(__xludf.DUMMYFUNCTION("GOOGLETRANSLATE(A6509, ""zh"", ""en"")"),"The Bank actively explored opportunities for government cooperation and continued to deepen its strategic cooperation with Baise, Guangxi, the hometown of mangoes in China, to build a national mango germplasm resource base and empower the entire mango ind"&amp;"ustry chain in Baise.")</f>
        <v>The Bank actively explored opportunities for government cooperation and continued to deepen its strategic cooperation with Baise, Guangxi, the hometown of mangoes in China, to build a national mango germplasm resource base and empower the entire mango industry chain in Baise.</v>
      </c>
      <c r="B6509" s="1" t="str">
        <f ca="1">IFERROR(__xludf.DUMMYFUNCTION("GOOGLETRANSLATE(A6509, ""zh"", ""en"")"),"Rural assistance")</f>
        <v>Rural assistance</v>
      </c>
      <c r="C6509" s="1" t="str">
        <f ca="1">IFERROR(__xludf.DUMMYFUNCTION("GOOGLETRANSLATE(E6509, ""zh"", ""en"")"),"Qualitative text")</f>
        <v>Qualitative text</v>
      </c>
    </row>
    <row r="6510" spans="1:3" ht="13" x14ac:dyDescent="0.15">
      <c r="A6510" s="1" t="str">
        <f ca="1">IFERROR(__xludf.DUMMYFUNCTION("GOOGLETRANSLATE(A6510, ""zh"", ""en"")"),"At the same time, the Bank is fully committed to serving government financial business. With mature rural financial products and professional service capabilities, it has obtained the first rural revitalization government guidance fund custody qualificati"&amp;"on with a total scale of 10 billion yuan.")</f>
        <v>At the same time, the Bank is fully committed to serving government financial business. With mature rural financial products and professional service capabilities, it has obtained the first rural revitalization government guidance fund custody qualification with a total scale of 10 billion yuan.</v>
      </c>
      <c r="B6510" s="1" t="str">
        <f ca="1">IFERROR(__xludf.DUMMYFUNCTION("GOOGLETRANSLATE(A6510, ""zh"", ""en"")"),"Rural assistance")</f>
        <v>Rural assistance</v>
      </c>
      <c r="C6510" s="1" t="str">
        <f ca="1">IFERROR(__xludf.DUMMYFUNCTION("GOOGLETRANSLATE(E6510, ""zh"", ""en"")"),"Quantitative Text")</f>
        <v>Quantitative Text</v>
      </c>
    </row>
    <row r="6511" spans="1:3" ht="13" x14ac:dyDescent="0.15">
      <c r="A6511" s="1" t="str">
        <f ca="1">IFERROR(__xludf.DUMMYFUNCTION("GOOGLETRANSLATE(A6511, ""zh"", ""en"")"),"In December 2022, the Bank was selected as a sample stock of the Shenzhen Stock Exchange's CITIC Social Assistance 100 Index based on its achievements in financial support for poverty alleviation and rural revitalization over the years.")</f>
        <v>In December 2022, the Bank was selected as a sample stock of the Shenzhen Stock Exchange's CITIC Social Assistance 100 Index based on its achievements in financial support for poverty alleviation and rural revitalization over the years.</v>
      </c>
      <c r="B6511" s="1" t="str">
        <f ca="1">IFERROR(__xludf.DUMMYFUNCTION("GOOGLETRANSLATE(A6511, ""zh"", ""en"")"),"Rural assistance")</f>
        <v>Rural assistance</v>
      </c>
      <c r="C6511" s="1" t="str">
        <f ca="1">IFERROR(__xludf.DUMMYFUNCTION("GOOGLETRANSLATE(E6511, ""zh"", ""en"")"),"Quantitative Text")</f>
        <v>Quantitative Text</v>
      </c>
    </row>
    <row r="6512" spans="1:3" ht="13" x14ac:dyDescent="0.15">
      <c r="A6512" s="1" t="str">
        <f ca="1">IFERROR(__xludf.DUMMYFUNCTION("GOOGLETRANSLATE(A6512, ""zh"", ""en"")"),"Ping An Bank Chairman Xie Yonglin conducted research on industrial assistance provided by the base in Baise, Guangxi. 40.6 Improving Customer Experience: The Bank continuously enhances customer service quality, improves financial consumer protection mecha"&amp;"nisms, and strengthens digital security operations to provide customers with better products and more convenient services, ensuring a more heartwarming service experience.")</f>
        <v>Ping An Bank Chairman Xie Yonglin conducted research on industrial assistance provided by the base in Baise, Guangxi. 40.6 Improving Customer Experience: The Bank continuously enhances customer service quality, improves financial consumer protection mechanisms, and strengthens digital security operations to provide customers with better products and more convenient services, ensuring a more heartwarming service experience.</v>
      </c>
      <c r="B6512" s="1" t="str">
        <f ca="1">IFERROR(__xludf.DUMMYFUNCTION("GOOGLETRANSLATE(A6512, ""zh"", ""en"")"),"Customers and Consumers")</f>
        <v>Customers and Consumers</v>
      </c>
      <c r="C6512" s="1" t="str">
        <f ca="1">IFERROR(__xludf.DUMMYFUNCTION("GOOGLETRANSLATE(E6512, ""zh"", ""en"")"),"Qualitative text")</f>
        <v>Qualitative text</v>
      </c>
    </row>
    <row r="6513" spans="1:3" ht="13" x14ac:dyDescent="0.15">
      <c r="A6513" s="1" t="str">
        <f ca="1">IFERROR(__xludf.DUMMYFUNCTION("GOOGLETRANSLATE(A6513, ""zh"", ""en"")"),"I. Improving Customer Service Capabilities The Bank adheres to the service philosophy of customer-centricity and experience-first, upgrades its customer service system and strengthens customer service capabilities.")</f>
        <v>I. Improving Customer Service Capabilities The Bank adheres to the service philosophy of customer-centricity and experience-first, upgrades its customer service system and strengthens customer service capabilities.</v>
      </c>
      <c r="B6513" s="1" t="str">
        <f ca="1">IFERROR(__xludf.DUMMYFUNCTION("GOOGLETRANSLATE(A6513, ""zh"", ""en"")"),"Customers and Consumers")</f>
        <v>Customers and Consumers</v>
      </c>
      <c r="C6513" s="1" t="str">
        <f ca="1">IFERROR(__xludf.DUMMYFUNCTION("GOOGLETRANSLATE(E6513, ""zh"", ""en"")"),"Qualitative text")</f>
        <v>Qualitative text</v>
      </c>
    </row>
    <row r="6514" spans="1:3" ht="13" x14ac:dyDescent="0.15">
      <c r="A6514" s="1" t="str">
        <f ca="1">IFERROR(__xludf.DUMMYFUNCTION("GOOGLETRANSLATE(A6514, ""zh"", ""en"")"),"In 2022, the Bank's customer service NPS was 86.5 and its branch NPS was 94.2, an increase of 0.8 and 2.0 respectively compared with 2021.")</f>
        <v>In 2022, the Bank's customer service NPS was 86.5 and its branch NPS was 94.2, an increase of 0.8 and 2.0 respectively compared with 2021.</v>
      </c>
      <c r="B6514" s="1" t="str">
        <f ca="1">IFERROR(__xludf.DUMMYFUNCTION("GOOGLETRANSLATE(A6514, ""zh"", ""en"")"),"Customers and Consumers")</f>
        <v>Customers and Consumers</v>
      </c>
      <c r="C6514" s="1" t="str">
        <f ca="1">IFERROR(__xludf.DUMMYFUNCTION("GOOGLETRANSLATE(E6514, ""zh"", ""en"")"),"Quantitative Text")</f>
        <v>Quantitative Text</v>
      </c>
    </row>
    <row r="6515" spans="1:3" ht="13" x14ac:dyDescent="0.15">
      <c r="A6515" s="1" t="str">
        <f ca="1">IFERROR(__xludf.DUMMYFUNCTION("GOOGLETRANSLATE(A6515, ""zh"", ""en"")"),"1. Upgrading branch services: Based on the construction of standardized branches, the Bank takes a differentiated approach to branch construction from the perspective of convenience and benefit to the people, combining its own development positioning and "&amp;"the characteristics of surrounding customers, and actively explores a distinctive and diversified branch operation model.")</f>
        <v>1. Upgrading branch services: Based on the construction of standardized branches, the Bank takes a differentiated approach to branch construction from the perspective of convenience and benefit to the people, combining its own development positioning and the characteristics of surrounding customers, and actively explores a distinctive and diversified branch operation model.</v>
      </c>
      <c r="B6515" s="1" t="str">
        <f ca="1">IFERROR(__xludf.DUMMYFUNCTION("GOOGLETRANSLATE(A6515, ""zh"", ""en"")"),"Customers and Consumers")</f>
        <v>Customers and Consumers</v>
      </c>
      <c r="C6515" s="1" t="str">
        <f ca="1">IFERROR(__xludf.DUMMYFUNCTION("GOOGLETRANSLATE(E6515, ""zh"", ""en"")"),"Qualitative text")</f>
        <v>Qualitative text</v>
      </c>
    </row>
    <row r="6516" spans="1:3" ht="13" x14ac:dyDescent="0.15">
      <c r="A6516" s="1" t="str">
        <f ca="1">IFERROR(__xludf.DUMMYFUNCTION("GOOGLETRANSLATE(A6516, ""zh"", ""en"")"),"Dongguan Houjie Branch added a consumer rights protection area, a drinking area, a reading area, a children's activity area and other convenient facilities in the lobby to create a safe, convenient and humane service atmosphere.")</f>
        <v>Dongguan Houjie Branch added a consumer rights protection area, a drinking area, a reading area, a children's activity area and other convenient facilities in the lobby to create a safe, convenient and humane service atmosphere.</v>
      </c>
      <c r="B6516" s="1" t="str">
        <f ca="1">IFERROR(__xludf.DUMMYFUNCTION("GOOGLETRANSLATE(A6516, ""zh"", ""en"")"),"Customers and Consumers")</f>
        <v>Customers and Consumers</v>
      </c>
      <c r="C6516" s="1" t="str">
        <f ca="1">IFERROR(__xludf.DUMMYFUNCTION("GOOGLETRANSLATE(E6516, ""zh"", ""en"")"),"Qualitative text")</f>
        <v>Qualitative text</v>
      </c>
    </row>
    <row r="6517" spans="1:3" ht="13" x14ac:dyDescent="0.15">
      <c r="A6517" s="1" t="str">
        <f ca="1">IFERROR(__xludf.DUMMYFUNCTION("GOOGLETRANSLATE(A6517, ""zh"", ""en"")"),"Quanzhou Fengze Branch has set up a consultation and guidance area, cash counter area, smart service area, public education area, self-service water bar and other functional areas to provide financial services that better understand customers.")</f>
        <v>Quanzhou Fengze Branch has set up a consultation and guidance area, cash counter area, smart service area, public education area, self-service water bar and other functional areas to provide financial services that better understand customers.</v>
      </c>
      <c r="B6517" s="1" t="str">
        <f ca="1">IFERROR(__xludf.DUMMYFUNCTION("GOOGLETRANSLATE(A6517, ""zh"", ""en"")"),"Customers and Consumers")</f>
        <v>Customers and Consumers</v>
      </c>
      <c r="C6517" s="1" t="str">
        <f ca="1">IFERROR(__xludf.DUMMYFUNCTION("GOOGLETRANSLATE(E6517, ""zh"", ""en"")"),"Qualitative text")</f>
        <v>Qualitative text</v>
      </c>
    </row>
    <row r="6518" spans="1:3" ht="13" x14ac:dyDescent="0.15">
      <c r="A6518" s="1" t="str">
        <f ca="1">IFERROR(__xludf.DUMMYFUNCTION("GOOGLETRANSLATE(A6518, ""zh"", ""en"")"),"The Kunming branch launched the Orange Baby Financial Club, which uses community outlets as a platform to integrate financial services with financial literacy education and connect community outlets with parent-child life, providing more professional fina"&amp;"ncial literacy knowledge and richer parent-child financial life services to the majority of parent-child families.")</f>
        <v>The Kunming branch launched the Orange Baby Financial Club, which uses community outlets as a platform to integrate financial services with financial literacy education and connect community outlets with parent-child life, providing more professional financial literacy knowledge and richer parent-child financial life services to the majority of parent-child families.</v>
      </c>
      <c r="B6518" s="1" t="str">
        <f ca="1">IFERROR(__xludf.DUMMYFUNCTION("GOOGLETRANSLATE(A6518, ""zh"", ""en"")"),"Public welfare and volunteer service")</f>
        <v>Public welfare and volunteer service</v>
      </c>
      <c r="C6518" s="1" t="str">
        <f ca="1">IFERROR(__xludf.DUMMYFUNCTION("GOOGLETRANSLATE(E6518, ""zh"", ""en"")"),"Qualitative text")</f>
        <v>Qualitative text</v>
      </c>
    </row>
    <row r="6519" spans="1:3" ht="13" x14ac:dyDescent="0.15">
      <c r="A6519" s="1" t="str">
        <f ca="1">IFERROR(__xludf.DUMMYFUNCTION("GOOGLETRANSLATE(A6519, ""zh"", ""en"")"),"29 branches in Chengdu have been upgraded to intelligent ones. Customers can use the Ping An Bank Cloud Store app and other platforms to view branch queues in real time and make appointments for business processing, achieving one-stop business processing "&amp;"services without waiting.")</f>
        <v>29 branches in Chengdu have been upgraded to intelligent ones. Customers can use the Ping An Bank Cloud Store app and other platforms to view branch queues in real time and make appointments for business processing, achieving one-stop business processing services without waiting.</v>
      </c>
      <c r="B6519" s="1" t="str">
        <f ca="1">IFERROR(__xludf.DUMMYFUNCTION("GOOGLETRANSLATE(A6519, ""zh"", ""en"")"),"Customers and Consumers")</f>
        <v>Customers and Consumers</v>
      </c>
      <c r="C6519" s="1" t="str">
        <f ca="1">IFERROR(__xludf.DUMMYFUNCTION("GOOGLETRANSLATE(E6519, ""zh"", ""en"")"),"Qualitative text")</f>
        <v>Qualitative text</v>
      </c>
    </row>
    <row r="6520" spans="1:3" ht="13" x14ac:dyDescent="0.15">
      <c r="A6520" s="1" t="str">
        <f ca="1">IFERROR(__xludf.DUMMYFUNCTION("GOOGLETRANSLATE(A6520, ""zh"", ""en"")"),"41 Dongguan Houjie Sub-branch Branch Quanzhou Fengze Sub-branch Branch 2. Improving Digital Service Capabilities The Bank is committed to promoting the development of traditional business operations towards lightweight, online, centralized, and intelligen"&amp;"t operations, creating a more comfortable financial service experience.")</f>
        <v>41 Dongguan Houjie Sub-branch Branch Quanzhou Fengze Sub-branch Branch 2. Improving Digital Service Capabilities The Bank is committed to promoting the development of traditional business operations towards lightweight, online, centralized, and intelligent operations, creating a more comfortable financial service experience.</v>
      </c>
      <c r="B6520" s="1" t="str">
        <f ca="1">IFERROR(__xludf.DUMMYFUNCTION("GOOGLETRANSLATE(A6520, ""zh"", ""en"")"),"Customers and Consumers")</f>
        <v>Customers and Consumers</v>
      </c>
      <c r="C6520" s="1" t="str">
        <f ca="1">IFERROR(__xludf.DUMMYFUNCTION("GOOGLETRANSLATE(E6520, ""zh"", ""en"")"),"Qualitative text")</f>
        <v>Qualitative text</v>
      </c>
    </row>
    <row r="6521" spans="1:3" ht="13" x14ac:dyDescent="0.15">
      <c r="A6521" s="1" t="str">
        <f ca="1">IFERROR(__xludf.DUMMYFUNCTION("GOOGLETRANSLATE(A6521, ""zh"", ""en"")"),"The upgraded and released Ping An Pocket Bank App 6.0 optimizes the air counter function and introduces multiple technologies such as OCR recognition, online verification, audio and video, and facial recognition. Customers can choose to apply for services"&amp;" online through self-service, including online self-service video review, online pre-processing, and offline agile review.")</f>
        <v>The upgraded and released Ping An Pocket Bank App 6.0 optimizes the air counter function and introduces multiple technologies such as OCR recognition, online verification, audio and video, and facial recognition. Customers can choose to apply for services online through self-service, including online self-service video review, online pre-processing, and offline agile review.</v>
      </c>
      <c r="B6521" s="1" t="str">
        <f ca="1">IFERROR(__xludf.DUMMYFUNCTION("GOOGLETRANSLATE(A6521, ""zh"", ""en"")"),"Customers and Consumers")</f>
        <v>Customers and Consumers</v>
      </c>
      <c r="C6521" s="1" t="str">
        <f ca="1">IFERROR(__xludf.DUMMYFUNCTION("GOOGLETRANSLATE(E6521, ""zh"", ""en"")"),"Qualitative text")</f>
        <v>Qualitative text</v>
      </c>
    </row>
    <row r="6522" spans="1:3" ht="13" x14ac:dyDescent="0.15">
      <c r="A6522" s="1" t="str">
        <f ca="1">IFERROR(__xludf.DUMMYFUNCTION("GOOGLETRANSLATE(A6522, ""zh"", ""en"")"),"Ping An Pocket Bank App 6.0 Launch Conference 42: Building a dedicated cross-border service zone for foreigners and residents of Hong Kong, Macau, and Taiwan. The Pocket Bank App features an embedded language setting and translation platform, with unified"&amp;" support for the English version. It provides online business channels for non-mainland residents.")</f>
        <v>Ping An Pocket Bank App 6.0 Launch Conference 42: Building a dedicated cross-border service zone for foreigners and residents of Hong Kong, Macau, and Taiwan. The Pocket Bank App features an embedded language setting and translation platform, with unified support for the English version. It provides online business channels for non-mainland residents.</v>
      </c>
      <c r="B6522" s="1" t="str">
        <f ca="1">IFERROR(__xludf.DUMMYFUNCTION("GOOGLETRANSLATE(A6522, ""zh"", ""en"")"),"Customers and Consumers")</f>
        <v>Customers and Consumers</v>
      </c>
      <c r="C6522" s="1" t="str">
        <f ca="1">IFERROR(__xludf.DUMMYFUNCTION("GOOGLETRANSLATE(E6522, ""zh"", ""en"")"),"Qualitative text")</f>
        <v>Qualitative text</v>
      </c>
    </row>
    <row r="6523" spans="1:3" ht="13" x14ac:dyDescent="0.15">
      <c r="A6523" s="1" t="str">
        <f ca="1">IFERROR(__xludf.DUMMYFUNCTION("GOOGLETRANSLATE(A6523, ""zh"", ""en"")"),"Create a new online safe deposit box service to provide customers with reservation and rental of safe deposit boxes, self-service payment, automatic renewal, authorization, setting of large box reservation rights agreement, and other online business proce"&amp;"ssing services")</f>
        <v>Create a new online safe deposit box service to provide customers with reservation and rental of safe deposit boxes, self-service payment, automatic renewal, authorization, setting of large box reservation rights agreement, and other online business processing services</v>
      </c>
      <c r="B6523" s="1" t="str">
        <f ca="1">IFERROR(__xludf.DUMMYFUNCTION("GOOGLETRANSLATE(A6523, ""zh"", ""en"")"),"Customers and Consumers")</f>
        <v>Customers and Consumers</v>
      </c>
      <c r="C6523" s="1" t="str">
        <f ca="1">IFERROR(__xludf.DUMMYFUNCTION("GOOGLETRANSLATE(E6523, ""zh"", ""en"")"),"Qualitative text")</f>
        <v>Qualitative text</v>
      </c>
    </row>
    <row r="6524" spans="1:3" ht="13" x14ac:dyDescent="0.15">
      <c r="A6524" s="1" t="str">
        <f ca="1">IFERROR(__xludf.DUMMYFUNCTION("GOOGLETRANSLATE(A6524, ""zh"", ""en"")"),"Case Study: Digitalization of Confirmation Business. In traditional bank confirmation business, accounting firms prepare confirmation letters, companies authorize confirmation letters to be mailed, and banks accept and reply to confirmation letters. All t"&amp;"hese steps are handled manually. The long process has many breakpoints, which can easily lead to the risk of financial audit fraud and confirmation loss.")</f>
        <v>Case Study: Digitalization of Confirmation Business. In traditional bank confirmation business, accounting firms prepare confirmation letters, companies authorize confirmation letters to be mailed, and banks accept and reply to confirmation letters. All these steps are handled manually. The long process has many breakpoints, which can easily lead to the risk of financial audit fraud and confirmation loss.</v>
      </c>
      <c r="B6524" s="1" t="str">
        <f ca="1">IFERROR(__xludf.DUMMYFUNCTION("GOOGLETRANSLATE(A6524, ""zh"", ""en"")"),"Data security")</f>
        <v>Data security</v>
      </c>
      <c r="C6524" s="1" t="str">
        <f ca="1">IFERROR(__xludf.DUMMYFUNCTION("GOOGLETRANSLATE(E6524, ""zh"", ""en"")"),"Qualitative text")</f>
        <v>Qualitative text</v>
      </c>
    </row>
    <row r="6525" spans="1:3" ht="13" x14ac:dyDescent="0.15">
      <c r="A6525" s="1" t="str">
        <f ca="1">IFERROR(__xludf.DUMMYFUNCTION("GOOGLETRANSLATE(A6525, ""zh"", ""en"")"),"3. Caring for Special Groups and Aging-Friendly Renovation The Bank continues to promote innovation and reform in financial services for the aging population, building a caring service ecosystem to meet the financial and lifestyle needs of the elderly and"&amp;" special customer groups and providing differentiated services with warmth.")</f>
        <v>3. Caring for Special Groups and Aging-Friendly Renovation The Bank continues to promote innovation and reform in financial services for the aging population, building a caring service ecosystem to meet the financial and lifestyle needs of the elderly and special customer groups and providing differentiated services with warmth.</v>
      </c>
      <c r="B6525" s="1" t="str">
        <f ca="1">IFERROR(__xludf.DUMMYFUNCTION("GOOGLETRANSLATE(A6525, ""zh"", ""en"")"),"Customers and Consumers")</f>
        <v>Customers and Consumers</v>
      </c>
      <c r="C6525" s="1" t="str">
        <f ca="1">IFERROR(__xludf.DUMMYFUNCTION("GOOGLETRANSLATE(E6525, ""zh"", ""en"")"),"Qualitative text")</f>
        <v>Qualitative text</v>
      </c>
    </row>
    <row r="6526" spans="1:3" ht="13" x14ac:dyDescent="0.15">
      <c r="A6526" s="1" t="str">
        <f ca="1">IFERROR(__xludf.DUMMYFUNCTION("GOOGLETRANSLATE(A6526, ""zh"", ""en"")"),"The large-font version of the Pocket Bank app has been launched to promote its aging-friendly features, including an elderly-friendly mode, visual upgrades to the page, multiple dialect options, streamlined app operations, and the avoidance of misleading "&amp;"information.")</f>
        <v>The large-font version of the Pocket Bank app has been launched to promote its aging-friendly features, including an elderly-friendly mode, visual upgrades to the page, multiple dialect options, streamlined app operations, and the avoidance of misleading information.</v>
      </c>
      <c r="B6526" s="1" t="str">
        <f ca="1">IFERROR(__xludf.DUMMYFUNCTION("GOOGLETRANSLATE(A6526, ""zh"", ""en"")"),"Customers and Consumers")</f>
        <v>Customers and Consumers</v>
      </c>
      <c r="C6526" s="1" t="str">
        <f ca="1">IFERROR(__xludf.DUMMYFUNCTION("GOOGLETRANSLATE(E6526, ""zh"", ""en"")"),"Qualitative text")</f>
        <v>Qualitative text</v>
      </c>
    </row>
    <row r="6527" spans="1:3" ht="13" x14ac:dyDescent="0.15">
      <c r="A6527" s="1" t="str">
        <f ca="1">IFERROR(__xludf.DUMMYFUNCTION("GOOGLETRANSLATE(A6527, ""zh"", ""en"")"),"Humanized service experience: Green channels are introduced at outlets, and elderly-friendly facilities and tools such as caring chairs, reading glasses, magnifying glasses, calculators with large buttons, etc. are provided. Business processing is time-sa"&amp;"ving and worry-free. Door-to-door service is provided to provide practical convenience for the elderly with limited mobility. A 95511 elderly-friendly hotline service is set up. Elderly people aged 60 and above can directly access manual service without v"&amp;"oice interaction.")</f>
        <v>Humanized service experience: Green channels are introduced at outlets, and elderly-friendly facilities and tools such as caring chairs, reading glasses, magnifying glasses, calculators with large buttons, etc. are provided. Business processing is time-saving and worry-free. Door-to-door service is provided to provide practical convenience for the elderly with limited mobility. A 95511 elderly-friendly hotline service is set up. Elderly people aged 60 and above can directly access manual service without voice interaction.</v>
      </c>
      <c r="B6527" s="1" t="str">
        <f ca="1">IFERROR(__xludf.DUMMYFUNCTION("GOOGLETRANSLATE(A6527, ""zh"", ""en"")"),"Customers and Consumers")</f>
        <v>Customers and Consumers</v>
      </c>
      <c r="C6527" s="1" t="str">
        <f ca="1">IFERROR(__xludf.DUMMYFUNCTION("GOOGLETRANSLATE(E6527, ""zh"", ""en"")"),"Qualitative text")</f>
        <v>Qualitative text</v>
      </c>
    </row>
    <row r="6528" spans="1:3" ht="13" x14ac:dyDescent="0.15">
      <c r="A6528" s="1" t="str">
        <f ca="1">IFERROR(__xludf.DUMMYFUNCTION("GOOGLETRANSLATE(A6528, ""zh"", ""en"")"),"43 Yinian Service Ecosystem Yinian Card Seniors aged 60 or above living in Shenzhen can apply for the Smart Elderly Care Yinian Card, which integrates identity recognition, preferential treatment for the elderly, city card, policy subsidies, bank savings "&amp;"card and other functions.")</f>
        <v>43 Yinian Service Ecosystem Yinian Card Seniors aged 60 or above living in Shenzhen can apply for the Smart Elderly Care Yinian Card, which integrates identity recognition, preferential treatment for the elderly, city card, policy subsidies, bank savings card and other functions.</v>
      </c>
      <c r="B6528" s="1" t="str">
        <f ca="1">IFERROR(__xludf.DUMMYFUNCTION("GOOGLETRANSLATE(A6528, ""zh"", ""en"")"),"Public welfare and volunteer service")</f>
        <v>Public welfare and volunteer service</v>
      </c>
      <c r="C6528" s="1" t="str">
        <f ca="1">IFERROR(__xludf.DUMMYFUNCTION("GOOGLETRANSLATE(E6528, ""zh"", ""en"")"),"Qualitative text")</f>
        <v>Qualitative text</v>
      </c>
    </row>
    <row r="6529" spans="1:3" ht="13" x14ac:dyDescent="0.15">
      <c r="A6529" s="1" t="str">
        <f ca="1">IFERROR(__xludf.DUMMYFUNCTION("GOOGLETRANSLATE(A6529, ""zh"", ""en"")"),"Case Study: Yinian's heartwarming service touches customers' hearts. Mr. Zeng, a Dongguan resident, called the Houjie Branch to inquire about his mother, Grandma Pan, applying for a Yinian Card to receive subsidies. The branch directed him to apply online"&amp;", but his attempt was unsuccessful.")</f>
        <v>Case Study: Yinian's heartwarming service touches customers' hearts. Mr. Zeng, a Dongguan resident, called the Houjie Branch to inquire about his mother, Grandma Pan, applying for a Yinian Card to receive subsidies. The branch directed him to apply online, but his attempt was unsuccessful.</v>
      </c>
      <c r="B6529" s="1" t="str">
        <f ca="1">IFERROR(__xludf.DUMMYFUNCTION("GOOGLETRANSLATE(A6529, ""zh"", ""en"")"),"Customers and Consumers")</f>
        <v>Customers and Consumers</v>
      </c>
      <c r="C6529" s="1" t="str">
        <f ca="1">IFERROR(__xludf.DUMMYFUNCTION("GOOGLETRANSLATE(E6529, ""zh"", ""en"")"),"Qualitative text")</f>
        <v>Qualitative text</v>
      </c>
    </row>
    <row r="6530" spans="1:3" ht="13" x14ac:dyDescent="0.15">
      <c r="A6530" s="1" t="str">
        <f ca="1">IFERROR(__xludf.DUMMYFUNCTION("GOOGLETRANSLATE(A6530, ""zh"", ""en"")"),"The next day, the branch verified that Grandma Pan already held a Class A card of the bank and needed to update her ID card information.")</f>
        <v>The next day, the branch verified that Grandma Pan already held a Class A card of the bank and needed to update her ID card information.</v>
      </c>
      <c r="B6530" s="1" t="str">
        <f ca="1">IFERROR(__xludf.DUMMYFUNCTION("GOOGLETRANSLATE(A6530, ""zh"", ""en"")"),"Customers and Consumers")</f>
        <v>Customers and Consumers</v>
      </c>
      <c r="C6530" s="1" t="str">
        <f ca="1">IFERROR(__xludf.DUMMYFUNCTION("GOOGLETRANSLATE(E6530, ""zh"", ""en"")"),"Qualitative text")</f>
        <v>Qualitative text</v>
      </c>
    </row>
    <row r="6531" spans="1:3" ht="13" x14ac:dyDescent="0.15">
      <c r="A6531" s="1" t="str">
        <f ca="1">IFERROR(__xludf.DUMMYFUNCTION("GOOGLETRANSLATE(A6531, ""zh"", ""en"")"),"Considering that Grandma Pan is 82 years old and unable to go to the branch in person to apply for the card, the Houjie branch actively coordinated personnel to assist in the application and activation of the Yinian Card.")</f>
        <v>Considering that Grandma Pan is 82 years old and unable to go to the branch in person to apply for the card, the Houjie branch actively coordinated personnel to assist in the application and activation of the Yinian Card.</v>
      </c>
      <c r="B6531" s="1" t="str">
        <f ca="1">IFERROR(__xludf.DUMMYFUNCTION("GOOGLETRANSLATE(A6531, ""zh"", ""en"")"),"Customers and Consumers")</f>
        <v>Customers and Consumers</v>
      </c>
      <c r="C6531" s="1" t="str">
        <f ca="1">IFERROR(__xludf.DUMMYFUNCTION("GOOGLETRANSLATE(E6531, ""zh"", ""en"")"),"Qualitative text")</f>
        <v>Qualitative text</v>
      </c>
    </row>
    <row r="6532" spans="1:3" ht="13" x14ac:dyDescent="0.15">
      <c r="A6532" s="1" t="str">
        <f ca="1">IFERROR(__xludf.DUMMYFUNCTION("GOOGLETRANSLATE(A6532, ""zh"", ""en"")"),"After three proactive door-to-door services, Grandma Pan successfully activated her Yinian card and received subsidies.")</f>
        <v>After three proactive door-to-door services, Grandma Pan successfully activated her Yinian card and received subsidies.</v>
      </c>
      <c r="B6532" s="1" t="str">
        <f ca="1">IFERROR(__xludf.DUMMYFUNCTION("GOOGLETRANSLATE(A6532, ""zh"", ""en"")"),"Customers and Consumers")</f>
        <v>Customers and Consumers</v>
      </c>
      <c r="C6532" s="1" t="str">
        <f ca="1">IFERROR(__xludf.DUMMYFUNCTION("GOOGLETRANSLATE(E6532, ""zh"", ""en"")"),"Qualitative text")</f>
        <v>Qualitative text</v>
      </c>
    </row>
    <row r="6533" spans="1:3" ht="13" x14ac:dyDescent="0.15">
      <c r="A6533" s="1" t="str">
        <f ca="1">IFERROR(__xludf.DUMMYFUNCTION("GOOGLETRANSLATE(A6533, ""zh"", ""en"")"),"At the same time, the Bank launched a remote counter sign language service to reduce the inconveniences encountered by deaf and mute customers in handling business through careful guidance, warm assistance and full service.")</f>
        <v>At the same time, the Bank launched a remote counter sign language service to reduce the inconveniences encountered by deaf and mute customers in handling business through careful guidance, warm assistance and full service.</v>
      </c>
      <c r="B6533" s="1" t="str">
        <f ca="1">IFERROR(__xludf.DUMMYFUNCTION("GOOGLETRANSLATE(A6533, ""zh"", ""en"")"),"Customers and Consumers")</f>
        <v>Customers and Consumers</v>
      </c>
      <c r="C6533" s="1" t="str">
        <f ca="1">IFERROR(__xludf.DUMMYFUNCTION("GOOGLETRANSLATE(E6533, ""zh"", ""en"")"),"Qualitative text")</f>
        <v>Qualitative text</v>
      </c>
    </row>
    <row r="6534" spans="1:3" ht="13" x14ac:dyDescent="0.15">
      <c r="A6534" s="1" t="str">
        <f ca="1">IFERROR(__xludf.DUMMYFUNCTION("GOOGLETRANSLATE(A6534, ""zh"", ""en"")"),"In addition, to fully meet the special needs of people with disabilities, the Bank launched a remote sign language service. Simultaneously, the Pocket Bank App expanded the compatibility of the blind screen reader with low-end devices, such as hearing aid"&amp;"s, and provided voice services. Intelligent voice technologies such as voice recognition allow us to tailor suitable financial products for people with disabilities, helping them better integrate into the digital society.")</f>
        <v>In addition, to fully meet the special needs of people with disabilities, the Bank launched a remote sign language service. Simultaneously, the Pocket Bank App expanded the compatibility of the blind screen reader with low-end devices, such as hearing aids, and provided voice services. Intelligent voice technologies such as voice recognition allow us to tailor suitable financial products for people with disabilities, helping them better integrate into the digital society.</v>
      </c>
      <c r="B6534" s="1" t="str">
        <f ca="1">IFERROR(__xludf.DUMMYFUNCTION("GOOGLETRANSLATE(A6534, ""zh"", ""en"")"),"Customers and Consumers")</f>
        <v>Customers and Consumers</v>
      </c>
      <c r="C6534" s="1" t="str">
        <f ca="1">IFERROR(__xludf.DUMMYFUNCTION("GOOGLETRANSLATE(E6534, ""zh"", ""en"")"),"Qualitative text")</f>
        <v>Qualitative text</v>
      </c>
    </row>
    <row r="6535" spans="1:3" ht="13" x14ac:dyDescent="0.15">
      <c r="A6535" s="1" t="str">
        <f ca="1">IFERROR(__xludf.DUMMYFUNCTION("GOOGLETRANSLATE(A6535, ""zh"", ""en"")"),"Case Study: Remote Sign Language Service: Silent and Close Distance. Shanghai Branch uses the remote sign language service platform at the remote counter to enable people with disabilities to enjoy high-quality account services simultaneously.")</f>
        <v>Case Study: Remote Sign Language Service: Silent and Close Distance. Shanghai Branch uses the remote sign language service platform at the remote counter to enable people with disabilities to enjoy high-quality account services simultaneously.</v>
      </c>
      <c r="B6535" s="1" t="str">
        <f ca="1">IFERROR(__xludf.DUMMYFUNCTION("GOOGLETRANSLATE(A6535, ""zh"", ""en"")"),"Customers and Consumers")</f>
        <v>Customers and Consumers</v>
      </c>
      <c r="C6535" s="1" t="str">
        <f ca="1">IFERROR(__xludf.DUMMYFUNCTION("GOOGLETRANSLATE(E6535, ""zh"", ""en"")"),"Qualitative text")</f>
        <v>Qualitative text</v>
      </c>
    </row>
    <row r="6536" spans="1:3" ht="13" x14ac:dyDescent="0.15">
      <c r="A6536" s="1" t="str">
        <f ca="1">IFERROR(__xludf.DUMMYFUNCTION("GOOGLETRANSLATE(A6536, ""zh"", ""en"")"),"All business transactions support the selection of special sign language channels, which are reviewed by on-site staff at the branch and communicated with remote staff in sign language to help deaf and mute people complete business transactions without ba"&amp;"rriers.")</f>
        <v>All business transactions support the selection of special sign language channels, which are reviewed by on-site staff at the branch and communicated with remote staff in sign language to help deaf and mute people complete business transactions without barriers.</v>
      </c>
      <c r="B6536" s="1" t="str">
        <f ca="1">IFERROR(__xludf.DUMMYFUNCTION("GOOGLETRANSLATE(A6536, ""zh"", ""en"")"),"Customers and Consumers")</f>
        <v>Customers and Consumers</v>
      </c>
      <c r="C6536" s="1" t="str">
        <f ca="1">IFERROR(__xludf.DUMMYFUNCTION("GOOGLETRANSLATE(E6536, ""zh"", ""en"")"),"Qualitative text")</f>
        <v>Qualitative text</v>
      </c>
    </row>
    <row r="6537" spans="1:3" ht="13" x14ac:dyDescent="0.15">
      <c r="A6537" s="1" t="str">
        <f ca="1">IFERROR(__xludf.DUMMYFUNCTION("GOOGLETRANSLATE(A6537, ""zh"", ""en"")"),"Remote counters can simultaneously support door-to-door service, truly achieving barrier-free service that breaks language barriers and transcends physical distance.")</f>
        <v>Remote counters can simultaneously support door-to-door service, truly achieving barrier-free service that breaks language barriers and transcends physical distance.</v>
      </c>
      <c r="B6537" s="1" t="str">
        <f ca="1">IFERROR(__xludf.DUMMYFUNCTION("GOOGLETRANSLATE(A6537, ""zh"", ""en"")"),"Customers and Consumers")</f>
        <v>Customers and Consumers</v>
      </c>
      <c r="C6537" s="1" t="str">
        <f ca="1">IFERROR(__xludf.DUMMYFUNCTION("GOOGLETRANSLATE(E6537, ""zh"", ""en"")"),"Qualitative text")</f>
        <v>Qualitative text</v>
      </c>
    </row>
    <row r="6538" spans="1:3" ht="13" x14ac:dyDescent="0.15">
      <c r="A6538" s="1" t="str">
        <f ca="1">IFERROR(__xludf.DUMMYFUNCTION("GOOGLETRANSLATE(A6538, ""zh"", ""en"")"),"44.2 Protecting Customer Rights and Interests The Bank strictly abides by the Consumer Rights Protection Law, the People's Bank of China's Implementation Measures for Financial Consumer Protection, and implements the regulatory requirements of the China B"&amp;"anking and Insurance Regulatory Commission on the protection of financial consumer rights and interests. It strictly implements consumer rights protection work and safeguards the legitimate rights and interests of consumers in accordance with the law.")</f>
        <v>44.2 Protecting Customer Rights and Interests The Bank strictly abides by the Consumer Rights Protection Law, the People's Bank of China's Implementation Measures for Financial Consumer Protection, and implements the regulatory requirements of the China Banking and Insurance Regulatory Commission on the protection of financial consumer rights and interests. It strictly implements consumer rights protection work and safeguards the legitimate rights and interests of consumers in accordance with the law.</v>
      </c>
      <c r="B6538" s="1" t="str">
        <f ca="1">IFERROR(__xludf.DUMMYFUNCTION("GOOGLETRANSLATE(A6538, ""zh"", ""en"")"),"Customers and Consumers")</f>
        <v>Customers and Consumers</v>
      </c>
      <c r="C6538" s="1" t="str">
        <f ca="1">IFERROR(__xludf.DUMMYFUNCTION("GOOGLETRANSLATE(E6538, ""zh"", ""en"")"),"Qualitative text")</f>
        <v>Qualitative text</v>
      </c>
    </row>
    <row r="6539" spans="1:3" ht="13" x14ac:dyDescent="0.15">
      <c r="A6539" s="1" t="str">
        <f ca="1">IFERROR(__xludf.DUMMYFUNCTION("GOOGLETRANSLATE(A6539, ""zh"", ""en"")"),"1. Improve the management system. The Board of Directors of the Bank bears the ultimate responsibility for consumer rights protection and is the highest decision-making body for consumer protection work of the Bank.")</f>
        <v>1. Improve the management system. The Board of Directors of the Bank bears the ultimate responsibility for consumer rights protection and is the highest decision-making body for consumer protection work of the Bank.</v>
      </c>
      <c r="B6539" s="1" t="str">
        <f ca="1">IFERROR(__xludf.DUMMYFUNCTION("GOOGLETRANSLATE(A6539, ""zh"", ""en"")"),"Customers and Consumers")</f>
        <v>Customers and Consumers</v>
      </c>
      <c r="C6539" s="1" t="str">
        <f ca="1">IFERROR(__xludf.DUMMYFUNCTION("GOOGLETRANSLATE(E6539, ""zh"", ""en"")"),"Qualitative text")</f>
        <v>Qualitative text</v>
      </c>
    </row>
    <row r="6540" spans="1:3" ht="13" x14ac:dyDescent="0.15">
      <c r="A6540" s="1" t="str">
        <f ca="1">IFERROR(__xludf.DUMMYFUNCTION("GOOGLETRANSLATE(A6540, ""zh"", ""en"")"),"The Strategic Development and Consumer Rights Protection Committee is established under the Board of Directors to carry out consumer protection related work under the authorization of the Board of Directors and is responsible for effectively supervising a"&amp;"nd evaluating consumer protection work.")</f>
        <v>The Strategic Development and Consumer Rights Protection Committee is established under the Board of Directors to carry out consumer protection related work under the authorization of the Board of Directors and is responsible for effectively supervising and evaluating consumer protection work.</v>
      </c>
      <c r="B6540" s="1" t="str">
        <f ca="1">IFERROR(__xludf.DUMMYFUNCTION("GOOGLETRANSLATE(A6540, ""zh"", ""en"")"),"Customers and Consumers")</f>
        <v>Customers and Consumers</v>
      </c>
      <c r="C6540" s="1" t="str">
        <f ca="1">IFERROR(__xludf.DUMMYFUNCTION("GOOGLETRANSLATE(E6540, ""zh"", ""en"")"),"Qualitative text")</f>
        <v>Qualitative text</v>
      </c>
    </row>
    <row r="6541" spans="1:3" ht="13" x14ac:dyDescent="0.15">
      <c r="A6541" s="1" t="str">
        <f ca="1">IFERROR(__xludf.DUMMYFUNCTION("GOOGLETRANSLATE(A6541, ""zh"", ""en"")"),"The Bank's senior management is responsible for ensuring the achievement of consumer protection strategic objectives and the effective implementation of policies and the implementation of relevant resolutions of the Board of Directors on consumer rights p"&amp;"rotection.")</f>
        <v>The Bank's senior management is responsible for ensuring the achievement of consumer protection strategic objectives and the effective implementation of policies and the implementation of relevant resolutions of the Board of Directors on consumer rights protection.</v>
      </c>
      <c r="B6541" s="1" t="str">
        <f ca="1">IFERROR(__xludf.DUMMYFUNCTION("GOOGLETRANSLATE(A6541, ""zh"", ""en"")"),"Customers and Consumers")</f>
        <v>Customers and Consumers</v>
      </c>
      <c r="C6541" s="1" t="str">
        <f ca="1">IFERROR(__xludf.DUMMYFUNCTION("GOOGLETRANSLATE(E6541, ""zh"", ""en"")"),"Qualitative text")</f>
        <v>Qualitative text</v>
      </c>
    </row>
    <row r="6542" spans="1:3" ht="13" x14ac:dyDescent="0.15">
      <c r="A6542" s="1" t="str">
        <f ca="1">IFERROR(__xludf.DUMMYFUNCTION("GOOGLETRANSLATE(A6542, ""zh"", ""en"")"),"In 2022, the Board of Directors and the Strategic Development and Consumer Rights Protection Committee reviewed and approved the 2021 Consumer Protection Supervision Evaluation Report and the next key tasks. They also heard or reviewed the 2022 Consumer P"&amp;"rotection Work Plan Implementation Plan and Work Progress Report. The China Banking and Insurance Regulatory Commission issued a notice on consumer complaints in the banking industry.")</f>
        <v>In 2022, the Board of Directors and the Strategic Development and Consumer Rights Protection Committee reviewed and approved the 2021 Consumer Protection Supervision Evaluation Report and the next key tasks. They also heard or reviewed the 2022 Consumer Protection Work Plan Implementation Plan and Work Progress Report. The China Banking and Insurance Regulatory Commission issued a notice on consumer complaints in the banking industry.</v>
      </c>
      <c r="B6542" s="1" t="str">
        <f ca="1">IFERROR(__xludf.DUMMYFUNCTION("GOOGLETRANSLATE(A6542, ""zh"", ""en"")"),"Customers and Consumers")</f>
        <v>Customers and Consumers</v>
      </c>
      <c r="C6542" s="1" t="str">
        <f ca="1">IFERROR(__xludf.DUMMYFUNCTION("GOOGLETRANSLATE(E6542, ""zh"", ""en"")"),"Qualitative text")</f>
        <v>Qualitative text</v>
      </c>
    </row>
    <row r="6543" spans="1:3" ht="13" x14ac:dyDescent="0.15">
      <c r="A6543" s="1" t="str">
        <f ca="1">IFERROR(__xludf.DUMMYFUNCTION("GOOGLETRANSLATE(A6543, ""zh"", ""en"")"),"In order to gain a deeper understanding of the Bank's consumer protection work, some of the Bank's directors visited the Chengdu Branch this year to conduct a consumer protection work survey and supervise management and operating units to strictly impleme"&amp;"nt laws and regulations and regulatory requirements, and further deepen the implementation of consumer protection work.")</f>
        <v>In order to gain a deeper understanding of the Bank's consumer protection work, some of the Bank's directors visited the Chengdu Branch this year to conduct a consumer protection work survey and supervise management and operating units to strictly implement laws and regulations and regulatory requirements, and further deepen the implementation of consumer protection work.</v>
      </c>
      <c r="B6543" s="1" t="str">
        <f ca="1">IFERROR(__xludf.DUMMYFUNCTION("GOOGLETRANSLATE(A6543, ""zh"", ""en"")"),"Customers and Consumers")</f>
        <v>Customers and Consumers</v>
      </c>
      <c r="C6543" s="1" t="str">
        <f ca="1">IFERROR(__xludf.DUMMYFUNCTION("GOOGLETRANSLATE(E6543, ""zh"", ""en"")"),"Qualitative text")</f>
        <v>Qualitative text</v>
      </c>
    </row>
    <row r="6544" spans="1:3" ht="13" x14ac:dyDescent="0.15">
      <c r="A6544" s="1" t="str">
        <f ca="1">IFERROR(__xludf.DUMMYFUNCTION("GOOGLETRANSLATE(A6544, ""zh"", ""en"")"),"The Bank has established a Consumer Rights Protection Working Committee at the Head Office, which is composed of relevant senior management members and heads of relevant departments (hereinafter referred to as the Consumer Protection Working Committee), t"&amp;"o strengthen the overall planning and unified planning of consumer protection work.")</f>
        <v>The Bank has established a Consumer Rights Protection Working Committee at the Head Office, which is composed of relevant senior management members and heads of relevant departments (hereinafter referred to as the Consumer Protection Working Committee), to strengthen the overall planning and unified planning of consumer protection work.</v>
      </c>
      <c r="B6544" s="1" t="str">
        <f ca="1">IFERROR(__xludf.DUMMYFUNCTION("GOOGLETRANSLATE(A6544, ""zh"", ""en"")"),"Customers and Consumers")</f>
        <v>Customers and Consumers</v>
      </c>
      <c r="C6544" s="1" t="str">
        <f ca="1">IFERROR(__xludf.DUMMYFUNCTION("GOOGLETRANSLATE(E6544, ""zh"", ""en"")"),"Qualitative text")</f>
        <v>Qualitative text</v>
      </c>
    </row>
    <row r="6545" spans="1:3" ht="13" x14ac:dyDescent="0.15">
      <c r="A6545" s="1" t="str">
        <f ca="1">IFERROR(__xludf.DUMMYFUNCTION("GOOGLETRANSLATE(A6545, ""zh"", ""en"")"),"The Consumer Rights Protection Center of the Bank (hereinafter referred to as the Consumer Protection Center), all departments and branch consumer protection teams are responsible for implementing the requirements of consumer protection work and ensuring "&amp;"that all units strictly implement consumer protection policies and regulations and implement all work requirements.")</f>
        <v>The Consumer Rights Protection Center of the Bank (hereinafter referred to as the Consumer Protection Center), all departments and branch consumer protection teams are responsible for implementing the requirements of consumer protection work and ensuring that all units strictly implement consumer protection policies and regulations and implement all work requirements.</v>
      </c>
      <c r="B6545" s="1" t="str">
        <f ca="1">IFERROR(__xludf.DUMMYFUNCTION("GOOGLETRANSLATE(A6545, ""zh"", ""en"")"),"Customers and Consumers")</f>
        <v>Customers and Consumers</v>
      </c>
      <c r="C6545" s="1" t="str">
        <f ca="1">IFERROR(__xludf.DUMMYFUNCTION("GOOGLETRANSLATE(E6545, ""zh"", ""en"")"),"Qualitative text")</f>
        <v>Qualitative text</v>
      </c>
    </row>
    <row r="6546" spans="1:3" ht="13" x14ac:dyDescent="0.15">
      <c r="A6546" s="1" t="str">
        <f ca="1">IFERROR(__xludf.DUMMYFUNCTION("GOOGLETRANSLATE(A6546, ""zh"", ""en"")"),"2. Improve the construction of consumer protection mechanism. The Bank actively strengthened the construction of consumer protection work mechanism, improved the internal control system of consumer protection, established an intelligent control system for"&amp;" the entire consumer protection process, focused on giving full play to its full-process control role in all business links, continuously optimized the consumer protection assessment and evaluation system, strengthened the organizational guidance and supe"&amp;"rvision of branches, and continuously improved the level of consumer protection work.")</f>
        <v>2. Improve the construction of consumer protection mechanism. The Bank actively strengthened the construction of consumer protection work mechanism, improved the internal control system of consumer protection, established an intelligent control system for the entire consumer protection process, focused on giving full play to its full-process control role in all business links, continuously optimized the consumer protection assessment and evaluation system, strengthened the organizational guidance and supervision of branches, and continuously improved the level of consumer protection work.</v>
      </c>
      <c r="B6546" s="1" t="str">
        <f ca="1">IFERROR(__xludf.DUMMYFUNCTION("GOOGLETRANSLATE(A6546, ""zh"", ""en"")"),"Customers and Consumers")</f>
        <v>Customers and Consumers</v>
      </c>
      <c r="C6546" s="1" t="str">
        <f ca="1">IFERROR(__xludf.DUMMYFUNCTION("GOOGLETRANSLATE(E6546, ""zh"", ""en"")"),"Qualitative text")</f>
        <v>Qualitative text</v>
      </c>
    </row>
    <row r="6547" spans="1:3" ht="13" x14ac:dyDescent="0.15">
      <c r="A6547" s="1" t="str">
        <f ca="1">IFERROR(__xludf.DUMMYFUNCTION("GOOGLETRANSLATE(A6547, ""zh"", ""en"")"),"45 Consumer Protection System Construction The Bank has established a series of system regulations to promote the standardized management of consumer protection work.")</f>
        <v>45 Consumer Protection System Construction The Bank has established a series of system regulations to promote the standardized management of consumer protection work.</v>
      </c>
      <c r="B6547" s="1" t="str">
        <f ca="1">IFERROR(__xludf.DUMMYFUNCTION("GOOGLETRANSLATE(A6547, ""zh"", ""en"")"),"Customers and Consumers")</f>
        <v>Customers and Consumers</v>
      </c>
      <c r="C6547" s="1" t="str">
        <f ca="1">IFERROR(__xludf.DUMMYFUNCTION("GOOGLETRANSLATE(E6547, ""zh"", ""en"")"),"Qualitative text")</f>
        <v>Qualitative text</v>
      </c>
    </row>
    <row r="6548" spans="1:3" ht="13" x14ac:dyDescent="0.15">
      <c r="A6548" s="1" t="str">
        <f ca="1">IFERROR(__xludf.DUMMYFUNCTION("GOOGLETRANSLATE(A6548, ""zh"", ""en"")"),"Product and Service Review The Bank has formulated management measures for consumer rights protection review, clarifying the working mechanism and work flow for consumer rights protection review of products and services, and established a full-process con"&amp;"sumer protection management system to standardize business practices through data analysis and verification and proactively safeguard the legitimate rights and interests of financial consumers.")</f>
        <v>Product and Service Review The Bank has formulated management measures for consumer rights protection review, clarifying the working mechanism and work flow for consumer rights protection review of products and services, and established a full-process consumer protection management system to standardize business practices through data analysis and verification and proactively safeguard the legitimate rights and interests of financial consumers.</v>
      </c>
      <c r="B6548" s="1" t="str">
        <f ca="1">IFERROR(__xludf.DUMMYFUNCTION("GOOGLETRANSLATE(A6548, ""zh"", ""en"")"),"Customers and Consumers")</f>
        <v>Customers and Consumers</v>
      </c>
      <c r="C6548" s="1" t="str">
        <f ca="1">IFERROR(__xludf.DUMMYFUNCTION("GOOGLETRANSLATE(E6548, ""zh"", ""en"")"),"Qualitative text")</f>
        <v>Qualitative text</v>
      </c>
    </row>
    <row r="6549" spans="1:3" ht="13" x14ac:dyDescent="0.15">
      <c r="A6549" s="1" t="str">
        <f ca="1">IFERROR(__xludf.DUMMYFUNCTION("GOOGLETRANSLATE(A6549, ""zh"", ""en"")"),"In-process control strengthens the monitoring and quality inspection capabilities of consumer protection issues during business operations through digital platforms and tools, identifies clues involving infringement of consumer rights, promptly discovers "&amp;"potential risks, tracks quality inspection issues, and urges business rectification and optimization.")</f>
        <v>In-process control strengthens the monitoring and quality inspection capabilities of consumer protection issues during business operations through digital platforms and tools, identifies clues involving infringement of consumer rights, promptly discovers potential risks, tracks quality inspection issues, and urges business rectification and optimization.</v>
      </c>
      <c r="B6549" s="1" t="str">
        <f ca="1">IFERROR(__xludf.DUMMYFUNCTION("GOOGLETRANSLATE(A6549, ""zh"", ""en"")"),"Customers and Consumers")</f>
        <v>Customers and Consumers</v>
      </c>
      <c r="C6549" s="1" t="str">
        <f ca="1">IFERROR(__xludf.DUMMYFUNCTION("GOOGLETRANSLATE(E6549, ""zh"", ""en"")"),"Qualitative text")</f>
        <v>Qualitative text</v>
      </c>
    </row>
    <row r="6550" spans="1:3" ht="13" x14ac:dyDescent="0.15">
      <c r="A6550" s="1" t="str">
        <f ca="1">IFERROR(__xludf.DUMMYFUNCTION("GOOGLETRANSLATE(A6550, ""zh"", ""en"")"),"Post-event supervision: Establish a three-dimensional and penetrating complaint supervision system to promptly intervene in abnormalities or risks found in customer complaints to avoid negative events.")</f>
        <v>Post-event supervision: Establish a three-dimensional and penetrating complaint supervision system to promptly intervene in abnormalities or risks found in customer complaints to avoid negative events.</v>
      </c>
      <c r="B6550" s="1" t="str">
        <f ca="1">IFERROR(__xludf.DUMMYFUNCTION("GOOGLETRANSLATE(A6550, ""zh"", ""en"")"),"Customers and Consumers")</f>
        <v>Customers and Consumers</v>
      </c>
      <c r="C6550" s="1" t="str">
        <f ca="1">IFERROR(__xludf.DUMMYFUNCTION("GOOGLETRANSLATE(E6550, ""zh"", ""en"")"),"Qualitative text")</f>
        <v>Qualitative text</v>
      </c>
    </row>
    <row r="6551" spans="1:3" ht="13" x14ac:dyDescent="0.15">
      <c r="A6551" s="1" t="str">
        <f ca="1">IFERROR(__xludf.DUMMYFUNCTION("GOOGLETRANSLATE(A6551, ""zh"", ""en"")"),"In addition, the Bank conducts regular annual audits on the implementation of consumer rights protection system construction processes, publicity and education, and dispute resolution.")</f>
        <v>In addition, the Bank conducts regular annual audits on the implementation of consumer rights protection system construction processes, publicity and education, and dispute resolution.</v>
      </c>
      <c r="B6551" s="1" t="str">
        <f ca="1">IFERROR(__xludf.DUMMYFUNCTION("GOOGLETRANSLATE(A6551, ""zh"", ""en"")"),"Customers and Consumers")</f>
        <v>Customers and Consumers</v>
      </c>
      <c r="C6551" s="1" t="str">
        <f ca="1">IFERROR(__xludf.DUMMYFUNCTION("GOOGLETRANSLATE(E6551, ""zh"", ""en"")"),"Qualitative text")</f>
        <v>Qualitative text</v>
      </c>
    </row>
    <row r="6552" spans="1:3" ht="13" x14ac:dyDescent="0.15">
      <c r="A6552" s="1" t="str">
        <f ca="1">IFERROR(__xludf.DUMMYFUNCTION("GOOGLETRANSLATE(A6552, ""zh"", ""en"")"),"The Bank's consumer protection review follows the principle of tiered review. The Consumer Protection Center of the Head Office is responsible for leading various consumer rights protection work under the authorization and guidance of the Consumer Protect"&amp;"ion Working Committee of the Head Office.")</f>
        <v>The Bank's consumer protection review follows the principle of tiered review. The Consumer Protection Center of the Head Office is responsible for leading various consumer rights protection work under the authorization and guidance of the Consumer Protection Working Committee of the Head Office.</v>
      </c>
      <c r="B6552" s="1" t="str">
        <f ca="1">IFERROR(__xludf.DUMMYFUNCTION("GOOGLETRANSLATE(A6552, ""zh"", ""en"")"),"Customers and Consumers")</f>
        <v>Customers and Consumers</v>
      </c>
      <c r="C6552" s="1" t="str">
        <f ca="1">IFERROR(__xludf.DUMMYFUNCTION("GOOGLETRANSLATE(E6552, ""zh"", ""en"")"),"Qualitative text")</f>
        <v>Qualitative text</v>
      </c>
    </row>
    <row r="6553" spans="1:3" ht="13" x14ac:dyDescent="0.15">
      <c r="A6553" s="1" t="str">
        <f ca="1">IFERROR(__xludf.DUMMYFUNCTION("GOOGLETRANSLATE(A6553, ""zh"", ""en"")"),"The consumer protection teams of each business department of the head office are responsible for the various consumer protection review work of the head office. New products and services or existing products and services that have undergone substantial ch"&amp;"anges must be submitted to the head office consumer protection center for review. The consumer protection centers of other branches are responsible for carrying out various consumer protection review work within their branches.")</f>
        <v>The consumer protection teams of each business department of the head office are responsible for the various consumer protection review work of the head office. New products and services or existing products and services that have undergone substantial changes must be submitted to the head office consumer protection center for review. The consumer protection centers of other branches are responsible for carrying out various consumer protection review work within their branches.</v>
      </c>
      <c r="B6553" s="1" t="str">
        <f ca="1">IFERROR(__xludf.DUMMYFUNCTION("GOOGLETRANSLATE(A6553, ""zh"", ""en"")"),"Customers and Consumers")</f>
        <v>Customers and Consumers</v>
      </c>
      <c r="C6553" s="1" t="str">
        <f ca="1">IFERROR(__xludf.DUMMYFUNCTION("GOOGLETRANSLATE(E6553, ""zh"", ""en"")"),"Qualitative text")</f>
        <v>Qualitative text</v>
      </c>
    </row>
    <row r="6554" spans="1:3" ht="13" x14ac:dyDescent="0.15">
      <c r="A6554" s="1" t="str">
        <f ca="1">IFERROR(__xludf.DUMMYFUNCTION("GOOGLETRANSLATE(A6554, ""zh"", ""en"")"),"As of the end of 2022, the head office had issued a total of 33,809 consumer protection review opinions, all of which were adopted.")</f>
        <v>As of the end of 2022, the head office had issued a total of 33,809 consumer protection review opinions, all of which were adopted.</v>
      </c>
      <c r="B6554" s="1" t="str">
        <f ca="1">IFERROR(__xludf.DUMMYFUNCTION("GOOGLETRANSLATE(A6554, ""zh"", ""en"")"),"Customers and Consumers")</f>
        <v>Customers and Consumers</v>
      </c>
      <c r="C6554" s="1" t="str">
        <f ca="1">IFERROR(__xludf.DUMMYFUNCTION("GOOGLETRANSLATE(E6554, ""zh"", ""en"")"),"Quantitative Text")</f>
        <v>Quantitative Text</v>
      </c>
    </row>
    <row r="6555" spans="1:3" ht="13" x14ac:dyDescent="0.15">
      <c r="A6555" s="1" t="str">
        <f ca="1">IFERROR(__xludf.DUMMYFUNCTION("GOOGLETRANSLATE(A6555, ""zh"", ""en"")"),"In 2022, the Bank will formulate management measures for consumer rights protection training, compile an annual consumer protection training plan, and vigorously promote the construction of a consumer protection training system.")</f>
        <v>In 2022, the Bank will formulate management measures for consumer rights protection training, compile an annual consumer protection training plan, and vigorously promote the construction of a consumer protection training system.</v>
      </c>
      <c r="B6555" s="1" t="str">
        <f ca="1">IFERROR(__xludf.DUMMYFUNCTION("GOOGLETRANSLATE(A6555, ""zh"", ""en"")"),"Customers and Consumers")</f>
        <v>Customers and Consumers</v>
      </c>
      <c r="C6555" s="1" t="str">
        <f ca="1">IFERROR(__xludf.DUMMYFUNCTION("GOOGLETRANSLATE(E6555, ""zh"", ""en"")"),"Qualitative text")</f>
        <v>Qualitative text</v>
      </c>
    </row>
    <row r="6556" spans="1:3" ht="13" x14ac:dyDescent="0.15">
      <c r="A6556" s="1" t="str">
        <f ca="1">IFERROR(__xludf.DUMMYFUNCTION("GOOGLETRANSLATE(A6556, ""zh"", ""en"")"),"By the end of 2022, the Consumer Protection Center of the Head Office had conducted 20 consumer protection training sessions for all customer-facing employees on topics such as the establishment of consumer protection management systems, supervision and c"&amp;"omplaint guidance and management. The total training duration was 92.5 hours, with 48,120 participants trained. The training coverage and employee participation rate for customer-related employees were both 100%.")</f>
        <v>By the end of 2022, the Consumer Protection Center of the Head Office had conducted 20 consumer protection training sessions for all customer-facing employees on topics such as the establishment of consumer protection management systems, supervision and complaint guidance and management. The total training duration was 92.5 hours, with 48,120 participants trained. The training coverage and employee participation rate for customer-related employees were both 100%.</v>
      </c>
      <c r="B6556" s="1" t="str">
        <f ca="1">IFERROR(__xludf.DUMMYFUNCTION("GOOGLETRANSLATE(A6556, ""zh"", ""en"")"),"Customers and Consumers")</f>
        <v>Customers and Consumers</v>
      </c>
      <c r="C6556" s="1" t="str">
        <f ca="1">IFERROR(__xludf.DUMMYFUNCTION("GOOGLETRANSLATE(E6556, ""zh"", ""en"")"),"Quantitative Text")</f>
        <v>Quantitative Text</v>
      </c>
    </row>
    <row r="6557" spans="1:3" ht="13" x14ac:dyDescent="0.15">
      <c r="A6557" s="1" t="str">
        <f ca="1">IFERROR(__xludf.DUMMYFUNCTION("GOOGLETRANSLATE(A6557, ""zh"", ""en"")"),"3. Implement key consumer protection measures. The Bank further deepens the protection of financial consumer rights and interests, promotes consumer rights protection work in areas such as debt collection and loan modification, continuously improves the q"&amp;"uality and effectiveness of consumer protection work, and effectively safeguards the legitimate rights and interests of more financial consumers.")</f>
        <v>3. Implement key consumer protection measures. The Bank further deepens the protection of financial consumer rights and interests, promotes consumer rights protection work in areas such as debt collection and loan modification, continuously improves the quality and effectiveness of consumer protection work, and effectively safeguards the legitimate rights and interests of more financial consumers.</v>
      </c>
      <c r="B6557" s="1" t="str">
        <f ca="1">IFERROR(__xludf.DUMMYFUNCTION("GOOGLETRANSLATE(A6557, ""zh"", ""en"")"),"Customers and Consumers")</f>
        <v>Customers and Consumers</v>
      </c>
      <c r="C6557" s="1" t="str">
        <f ca="1">IFERROR(__xludf.DUMMYFUNCTION("GOOGLETRANSLATE(E6557, ""zh"", ""en"")"),"Qualitative text")</f>
        <v>Qualitative text</v>
      </c>
    </row>
    <row r="6558" spans="1:3" ht="13" x14ac:dyDescent="0.15">
      <c r="A6558" s="1" t="str">
        <f ca="1">IFERROR(__xludf.DUMMYFUNCTION("GOOGLETRANSLATE(A6558, ""zh"", ""en"")"),"Case Study: Outsourced Debt Collection Consumer Protection Training. In July 2022, the Bank's collection staff participated in the outsourced debt collection consumer protection training organized by Ping An Group. The training introduced the basic framew"&amp;"ork of outsourced debt collection consumer protection management and promoted the key contents of the debt collection system. The training also provided comprehensive guidance on daily sampling, recording, off-site monitoring, on-site photography and othe"&amp;"r quality inspection and management tasks.")</f>
        <v>Case Study: Outsourced Debt Collection Consumer Protection Training. In July 2022, the Bank's collection staff participated in the outsourced debt collection consumer protection training organized by Ping An Group. The training introduced the basic framework of outsourced debt collection consumer protection management and promoted the key contents of the debt collection system. The training also provided comprehensive guidance on daily sampling, recording, off-site monitoring, on-site photography and other quality inspection and management tasks.</v>
      </c>
      <c r="B6558" s="1" t="str">
        <f ca="1">IFERROR(__xludf.DUMMYFUNCTION("GOOGLETRANSLATE(A6558, ""zh"", ""en"")"),"Customers and Consumers")</f>
        <v>Customers and Consumers</v>
      </c>
      <c r="C6558" s="1" t="str">
        <f ca="1">IFERROR(__xludf.DUMMYFUNCTION("GOOGLETRANSLATE(E6558, ""zh"", ""en"")"),"Qualitative text")</f>
        <v>Qualitative text</v>
      </c>
    </row>
    <row r="6559" spans="1:3" ht="13" x14ac:dyDescent="0.15">
      <c r="A6559" s="1" t="str">
        <f ca="1">IFERROR(__xludf.DUMMYFUNCTION("GOOGLETRANSLATE(A6559, ""zh"", ""en"")"),"Provide loan modification solutions. The Bank provides customers with a variety of loan modification options and upgrade solutions. Customers can choose repayment plans of different terms and methods through various channels such as Pocket Bank personal o"&amp;"nline banking and business outlets.")</f>
        <v>Provide loan modification solutions. The Bank provides customers with a variety of loan modification options and upgrade solutions. Customers can choose repayment plans of different terms and methods through various channels such as Pocket Bank personal online banking and business outlets.</v>
      </c>
      <c r="B6559" s="1" t="str">
        <f ca="1">IFERROR(__xludf.DUMMYFUNCTION("GOOGLETRANSLATE(A6559, ""zh"", ""en"")"),"Customers and Consumers")</f>
        <v>Customers and Consumers</v>
      </c>
      <c r="C6559" s="1" t="str">
        <f ca="1">IFERROR(__xludf.DUMMYFUNCTION("GOOGLETRANSLATE(E6559, ""zh"", ""en"")"),"Qualitative text")</f>
        <v>Qualitative text</v>
      </c>
    </row>
    <row r="6560" spans="1:3" ht="13" x14ac:dyDescent="0.15">
      <c r="A6560" s="1" t="str">
        <f ca="1">IFERROR(__xludf.DUMMYFUNCTION("GOOGLETRANSLATE(A6560, ""zh"", ""en"")"),"In addition, the Bank has developed three repayment deferral plans for customers who are unable to repay their loans due to the epidemic through four channels: the extension administrator, the 95511 channel, the head office, and branches. It has also prov"&amp;"ided epidemic relief financial services to fully respond to customers' loan deferral needs.")</f>
        <v>In addition, the Bank has developed three repayment deferral plans for customers who are unable to repay their loans due to the epidemic through four channels: the extension administrator, the 95511 channel, the head office, and branches. It has also provided epidemic relief financial services to fully respond to customers' loan deferral needs.</v>
      </c>
      <c r="B6560" s="1" t="str">
        <f ca="1">IFERROR(__xludf.DUMMYFUNCTION("GOOGLETRANSLATE(A6560, ""zh"", ""en"")"),"Fighting the epidemic")</f>
        <v>Fighting the epidemic</v>
      </c>
      <c r="C6560" s="1" t="str">
        <f ca="1">IFERROR(__xludf.DUMMYFUNCTION("GOOGLETRANSLATE(E6560, ""zh"", ""en"")"),"Qualitative text")</f>
        <v>Qualitative text</v>
      </c>
    </row>
    <row r="6561" spans="1:3" ht="13" x14ac:dyDescent="0.15">
      <c r="A6561" s="1" t="str">
        <f ca="1">IFERROR(__xludf.DUMMYFUNCTION("GOOGLETRANSLATE(A6561, ""zh"", ""en"")"),"At the same time, the Bank provides existing customers of some businesses such as home mortgage loans with changeable repayment methods and proactively pushes application portals for changing repayment methods on the Pocket Bank App.")</f>
        <v>At the same time, the Bank provides existing customers of some businesses such as home mortgage loans with changeable repayment methods and proactively pushes application portals for changing repayment methods on the Pocket Bank App.</v>
      </c>
      <c r="B6561" s="1" t="str">
        <f ca="1">IFERROR(__xludf.DUMMYFUNCTION("GOOGLETRANSLATE(A6561, ""zh"", ""en"")"),"Customers and Consumers")</f>
        <v>Customers and Consumers</v>
      </c>
      <c r="C6561" s="1" t="str">
        <f ca="1">IFERROR(__xludf.DUMMYFUNCTION("GOOGLETRANSLATE(E6561, ""zh"", ""en"")"),"Qualitative text")</f>
        <v>Qualitative text</v>
      </c>
    </row>
    <row r="6562" spans="1:3" ht="13" x14ac:dyDescent="0.15">
      <c r="A6562" s="1" t="str">
        <f ca="1">IFERROR(__xludf.DUMMYFUNCTION("GOOGLETRANSLATE(A6562, ""zh"", ""en"")"),"484. Conducting Financial Education: The Bank has formulated management measures for consumer rights protection education and publicity, standardizing consumer financial knowledge popularization and education efforts. We conduct multi-channel and multi-fo"&amp;"rmat financial knowledge popularization and consumer education online and offline for the elderly, youth, new urban residents, rural residents, and other groups.")</f>
        <v>484. Conducting Financial Education: The Bank has formulated management measures for consumer rights protection education and publicity, standardizing consumer financial knowledge popularization and education efforts. We conduct multi-channel and multi-format financial knowledge popularization and consumer education online and offline for the elderly, youth, new urban residents, rural residents, and other groups.</v>
      </c>
      <c r="B6562" s="1" t="str">
        <f ca="1">IFERROR(__xludf.DUMMYFUNCTION("GOOGLETRANSLATE(A6562, ""zh"", ""en"")"),"Customers and Consumers")</f>
        <v>Customers and Consumers</v>
      </c>
      <c r="C6562" s="1" t="str">
        <f ca="1">IFERROR(__xludf.DUMMYFUNCTION("GOOGLETRANSLATE(E6562, ""zh"", ""en"")"),"Qualitative text")</f>
        <v>Qualitative text</v>
      </c>
    </row>
    <row r="6563" spans="1:3" ht="13" x14ac:dyDescent="0.15">
      <c r="A6563" s="1" t="str">
        <f ca="1">IFERROR(__xludf.DUMMYFUNCTION("GOOGLETRANSLATE(A6563, ""zh"", ""en"")"),"In 2022, the Bank invested over RMB 18 million in consumer education services, conducted 21,715 consumer education sessions, and reached over 440 million people.")</f>
        <v>In 2022, the Bank invested over RMB 18 million in consumer education services, conducted 21,715 consumer education sessions, and reached over 440 million people.</v>
      </c>
      <c r="B6563" s="1" t="str">
        <f ca="1">IFERROR(__xludf.DUMMYFUNCTION("GOOGLETRANSLATE(A6563, ""zh"", ""en"")"),"Customers and Consumers")</f>
        <v>Customers and Consumers</v>
      </c>
      <c r="C6563" s="1" t="str">
        <f ca="1">IFERROR(__xludf.DUMMYFUNCTION("GOOGLETRANSLATE(E6563, ""zh"", ""en"")"),"Quantitative Text")</f>
        <v>Quantitative Text</v>
      </c>
    </row>
    <row r="6564" spans="1:3" ht="13" x14ac:dyDescent="0.15">
      <c r="A6564" s="1" t="str">
        <f ca="1">IFERROR(__xludf.DUMMYFUNCTION("GOOGLETRANSLATE(A6564, ""zh"", ""en"")"),"Regular publicity and education work was carried out 9 times. The content of regular financial knowledge popularization and financial consumer education activities covered payment security, legal and compliant card use, anti-fraud, identification of illeg"&amp;"al online loans, etc.")</f>
        <v>Regular publicity and education work was carried out 9 times. The content of regular financial knowledge popularization and financial consumer education activities covered payment security, legal and compliant card use, anti-fraud, identification of illegal online loans, etc.</v>
      </c>
      <c r="B6564" s="1" t="str">
        <f ca="1">IFERROR(__xludf.DUMMYFUNCTION("GOOGLETRANSLATE(A6564, ""zh"", ""en"")"),"Customers and Consumers")</f>
        <v>Customers and Consumers</v>
      </c>
      <c r="C6564" s="1" t="str">
        <f ca="1">IFERROR(__xludf.DUMMYFUNCTION("GOOGLETRANSLATE(E6564, ""zh"", ""en"")"),"Quantitative Text")</f>
        <v>Quantitative Text</v>
      </c>
    </row>
    <row r="6565" spans="1:3" ht="13" x14ac:dyDescent="0.15">
      <c r="A6565" s="1" t="str">
        <f ca="1">IFERROR(__xludf.DUMMYFUNCTION("GOOGLETRANSLATE(A6565, ""zh"", ""en"")"),"At the same time, the Bank used promotional materials such as posters and leaflets, in conjunction with various channels such as WeChat official accounts and headlines, to link up with external cooperative resources such as communities and streets to crea"&amp;"te a three-dimensional promotion atmosphere.")</f>
        <v>At the same time, the Bank used promotional materials such as posters and leaflets, in conjunction with various channels such as WeChat official accounts and headlines, to link up with external cooperative resources such as communities and streets to create a three-dimensional promotion atmosphere.</v>
      </c>
      <c r="B6565" s="1" t="str">
        <f ca="1">IFERROR(__xludf.DUMMYFUNCTION("GOOGLETRANSLATE(A6565, ""zh"", ""en"")"),"Addressing climate change")</f>
        <v>Addressing climate change</v>
      </c>
      <c r="C6565" s="1" t="str">
        <f ca="1">IFERROR(__xludf.DUMMYFUNCTION("GOOGLETRANSLATE(E6565, ""zh"", ""en"")"),"Qualitative text")</f>
        <v>Qualitative text</v>
      </c>
    </row>
    <row r="6566" spans="1:3" ht="13" x14ac:dyDescent="0.15">
      <c r="A6566" s="1" t="str">
        <f ca="1">IFERROR(__xludf.DUMMYFUNCTION("GOOGLETRANSLATE(A6566, ""zh"", ""en"")"),"By the end of 2022, the Bank had issued 1.47 million pieces of promotional materials and sent 12.47 million text messages.")</f>
        <v>By the end of 2022, the Bank had issued 1.47 million pieces of promotional materials and sent 12.47 million text messages.</v>
      </c>
      <c r="B6566" s="1" t="str">
        <f ca="1">IFERROR(__xludf.DUMMYFUNCTION("GOOGLETRANSLATE(A6566, ""zh"", ""en"")"),"Customers and Consumers")</f>
        <v>Customers and Consumers</v>
      </c>
      <c r="C6566" s="1" t="str">
        <f ca="1">IFERROR(__xludf.DUMMYFUNCTION("GOOGLETRANSLATE(E6566, ""zh"", ""en"")"),"Quantitative Text")</f>
        <v>Quantitative Text</v>
      </c>
    </row>
    <row r="6567" spans="1:3" ht="13" x14ac:dyDescent="0.15">
      <c r="A6567" s="1" t="str">
        <f ca="1">IFERROR(__xludf.DUMMYFUNCTION("GOOGLETRANSLATE(A6567, ""zh"", ""en"")"),"Differentiated education and publicity work targets different demographic groups, including the elderly, young people, and rural residents, and implements differentiated financial literacy education.")</f>
        <v>Differentiated education and publicity work targets different demographic groups, including the elderly, young people, and rural residents, and implements differentiated financial literacy education.</v>
      </c>
      <c r="B6567" s="1" t="str">
        <f ca="1">IFERROR(__xludf.DUMMYFUNCTION("GOOGLETRANSLATE(A6567, ""zh"", ""en"")"),"Public welfare and volunteer service")</f>
        <v>Public welfare and volunteer service</v>
      </c>
      <c r="C6567" s="1" t="str">
        <f ca="1">IFERROR(__xludf.DUMMYFUNCTION("GOOGLETRANSLATE(E6567, ""zh"", ""en"")"),"Qualitative text")</f>
        <v>Qualitative text</v>
      </c>
    </row>
    <row r="6568" spans="1:3" ht="13" x14ac:dyDescent="0.15">
      <c r="A6568" s="1" t="str">
        <f ca="1">IFERROR(__xludf.DUMMYFUNCTION("GOOGLETRANSLATE(A6568, ""zh"", ""en"")"),"Targeting the elderly, the Bank launched an audio education section titled ""The Voice of Consumer Protection"" on the Pocket Bank app. Leveraging Yinian College, the Bank launched a financial anti-fraud course for seniors, disseminating financial knowled"&amp;"ge to them in an accessible manner. Targeting younger audiences, the Bank launched multiple online topics on financial knowledge using official WeChat and Weibo platforms. Using the Pocket Bank app as a platform, the Bank launched the ""Fantasy Journey wi"&amp;"th Pocket Wang"" financial knowledge game. Targeting rural residents, the Bank held public welfare lectures on financial knowledge and posted financial knowledge on walls. It also launched a series of financial education courses for rural leaders.")</f>
        <v>Targeting the elderly, the Bank launched an audio education section titled "The Voice of Consumer Protection" on the Pocket Bank app. Leveraging Yinian College, the Bank launched a financial anti-fraud course for seniors, disseminating financial knowledge to them in an accessible manner. Targeting younger audiences, the Bank launched multiple online topics on financial knowledge using official WeChat and Weibo platforms. Using the Pocket Bank app as a platform, the Bank launched the "Fantasy Journey with Pocket Wang" financial knowledge game. Targeting rural residents, the Bank held public welfare lectures on financial knowledge and posted financial knowledge on walls. It also launched a series of financial education courses for rural leaders.</v>
      </c>
      <c r="B6568" s="1" t="str">
        <f ca="1">IFERROR(__xludf.DUMMYFUNCTION("GOOGLETRANSLATE(A6568, ""zh"", ""en"")"),"Public welfare and volunteer service")</f>
        <v>Public welfare and volunteer service</v>
      </c>
      <c r="C6568" s="1" t="str">
        <f ca="1">IFERROR(__xludf.DUMMYFUNCTION("GOOGLETRANSLATE(E6568, ""zh"", ""en"")"),"Qualitative text")</f>
        <v>Qualitative text</v>
      </c>
    </row>
    <row r="6569" spans="1:3" ht="13" x14ac:dyDescent="0.15">
      <c r="A6569" s="1" t="str">
        <f ca="1">IFERROR(__xludf.DUMMYFUNCTION("GOOGLETRANSLATE(A6569, ""zh"", ""en"")"),"In addition, the Bank has also planned and carried out financial knowledge drifting, book donations, anti-fraud and safety relief shops, financial knowledge pop-up shops, and has cooperated with China Economic Net Shenzhen Internet Police and Shenzhen Met"&amp;"ropolitan Channel for three consecutive years to launch a series of financial knowledge popularization programs such as Financial Consumer Protection Experts Talking about Internet Security, etc., to popularize financial knowledge in a way that is popular"&amp;" among the public.")</f>
        <v>In addition, the Bank has also planned and carried out financial knowledge drifting, book donations, anti-fraud and safety relief shops, financial knowledge pop-up shops, and has cooperated with China Economic Net Shenzhen Internet Police and Shenzhen Metropolitan Channel for three consecutive years to launch a series of financial knowledge popularization programs such as Financial Consumer Protection Experts Talking about Internet Security, etc., to popularize financial knowledge in a way that is popular among the public.</v>
      </c>
      <c r="B6569" s="1" t="str">
        <f ca="1">IFERROR(__xludf.DUMMYFUNCTION("GOOGLETRANSLATE(A6569, ""zh"", ""en"")"),"Public welfare and volunteer service")</f>
        <v>Public welfare and volunteer service</v>
      </c>
      <c r="C6569" s="1" t="str">
        <f ca="1">IFERROR(__xludf.DUMMYFUNCTION("GOOGLETRANSLATE(E6569, ""zh"", ""en"")"),"Qualitative text")</f>
        <v>Qualitative text</v>
      </c>
    </row>
    <row r="6570" spans="1:3" ht="13" x14ac:dyDescent="0.15">
      <c r="A6570" s="1" t="str">
        <f ca="1">IFERROR(__xludf.DUMMYFUNCTION("GOOGLETRANSLATE(A6570, ""zh"", ""en"")"),"While building the physical pop-up store, we also launched an online H5 pop-up store to promote knowledge popularization and reach the general public with digital technology.")</f>
        <v>While building the physical pop-up store, we also launched an online H5 pop-up store to promote knowledge popularization and reach the general public with digital technology.</v>
      </c>
      <c r="B6570" s="1" t="str">
        <f ca="1">IFERROR(__xludf.DUMMYFUNCTION("GOOGLETRANSLATE(A6570, ""zh"", ""en"")"),"Technological innovation")</f>
        <v>Technological innovation</v>
      </c>
      <c r="C6570" s="1" t="str">
        <f ca="1">IFERROR(__xludf.DUMMYFUNCTION("GOOGLETRANSLATE(E6570, ""zh"", ""en"")"),"Qualitative text")</f>
        <v>Qualitative text</v>
      </c>
    </row>
    <row r="6571" spans="1:3" ht="13" x14ac:dyDescent="0.15">
      <c r="A6571" s="1" t="str">
        <f ca="1">IFERROR(__xludf.DUMMYFUNCTION("GOOGLETRANSLATE(A6571, ""zh"", ""en"")"),"Case Study: Building a Dream Village on Financial Studies. On September 21, 2022, Xiamen Branch and Xiamen Jimei University, Tong'an Junying Village, Xiamen, jointly launched a financial knowledge study activity to welcome the 20th National Congress of th"&amp;"e Communist Party of China.")</f>
        <v>Case Study: Building a Dream Village on Financial Studies. On September 21, 2022, Xiamen Branch and Xiamen Jimei University, Tong'an Junying Village, Xiamen, jointly launched a financial knowledge study activity to welcome the 20th National Congress of the Communist Party of China.</v>
      </c>
      <c r="B6571" s="1" t="str">
        <f ca="1">IFERROR(__xludf.DUMMYFUNCTION("GOOGLETRANSLATE(A6571, ""zh"", ""en"")"),"Public welfare and volunteer service")</f>
        <v>Public welfare and volunteer service</v>
      </c>
      <c r="C6571" s="1" t="str">
        <f ca="1">IFERROR(__xludf.DUMMYFUNCTION("GOOGLETRANSLATE(E6571, ""zh"", ""en"")"),"Qualitative text")</f>
        <v>Qualitative text</v>
      </c>
    </row>
    <row r="6572" spans="1:3" ht="13" x14ac:dyDescent="0.15">
      <c r="A6572" s="1" t="str">
        <f ca="1">IFERROR(__xludf.DUMMYFUNCTION("GOOGLETRANSLATE(A6572, ""zh"", ""en"")"),"At the Junying Village New Era Civilization Practice Station, volunteers held a wonderful financial knowledge seminar covering topics such as RMB knowledge, protecting credit, and staying away from campus loans.")</f>
        <v>At the Junying Village New Era Civilization Practice Station, volunteers held a wonderful financial knowledge seminar covering topics such as RMB knowledge, protecting credit, and staying away from campus loans.</v>
      </c>
      <c r="B6572" s="1" t="str">
        <f ca="1">IFERROR(__xludf.DUMMYFUNCTION("GOOGLETRANSLATE(A6572, ""zh"", ""en"")"),"Public welfare and volunteer service")</f>
        <v>Public welfare and volunteer service</v>
      </c>
      <c r="C6572" s="1" t="str">
        <f ca="1">IFERROR(__xludf.DUMMYFUNCTION("GOOGLETRANSLATE(E6572, ""zh"", ""en"")"),"Qualitative text")</f>
        <v>Qualitative text</v>
      </c>
    </row>
    <row r="6573" spans="1:3" ht="13" x14ac:dyDescent="0.15">
      <c r="A6573" s="1" t="str">
        <f ca="1">IFERROR(__xludf.DUMMYFUNCTION("GOOGLETRANSLATE(A6573, ""zh"", ""en"")"),"After the study, the volunteers brought financial knowledge leaflets to the villages and towns to pass on the financial knowledge they learned to the villagers, thus realizing a virtuous cycle of financial knowledge dissemination and mentoring.")</f>
        <v>After the study, the volunteers brought financial knowledge leaflets to the villages and towns to pass on the financial knowledge they learned to the villagers, thus realizing a virtuous cycle of financial knowledge dissemination and mentoring.</v>
      </c>
      <c r="B6573" s="1" t="str">
        <f ca="1">IFERROR(__xludf.DUMMYFUNCTION("GOOGLETRANSLATE(A6573, ""zh"", ""en"")"),"Public welfare and volunteer service")</f>
        <v>Public welfare and volunteer service</v>
      </c>
      <c r="C6573" s="1" t="str">
        <f ca="1">IFERROR(__xludf.DUMMYFUNCTION("GOOGLETRANSLATE(E6573, ""zh"", ""en"")"),"Qualitative text")</f>
        <v>Qualitative text</v>
      </c>
    </row>
    <row r="6574" spans="1:3" ht="13" x14ac:dyDescent="0.15">
      <c r="A6574" s="1" t="str">
        <f ca="1">IFERROR(__xludf.DUMMYFUNCTION("GOOGLETRANSLATE(A6574, ""zh"", ""en"")"),"The Bank has established a Telecom Network Fraud Prevention Committee, chaired by the President of the Bank's Head Office, as the supervisory and management body for the Bank's work on preventing telecom network fraud.")</f>
        <v>The Bank has established a Telecom Network Fraud Prevention Committee, chaired by the President of the Bank's Head Office, as the supervisory and management body for the Bank's work on preventing telecom network fraud.</v>
      </c>
      <c r="B6574" s="1" t="str">
        <f ca="1">IFERROR(__xludf.DUMMYFUNCTION("GOOGLETRANSLATE(A6574, ""zh"", ""en"")"),"Data security")</f>
        <v>Data security</v>
      </c>
      <c r="C6574" s="1" t="str">
        <f ca="1">IFERROR(__xludf.DUMMYFUNCTION("GOOGLETRANSLATE(E6574, ""zh"", ""en"")"),"Qualitative text")</f>
        <v>Qualitative text</v>
      </c>
    </row>
    <row r="6575" spans="1:3" ht="13" x14ac:dyDescent="0.15">
      <c r="A6575" s="1" t="str">
        <f ca="1">IFERROR(__xludf.DUMMYFUNCTION("GOOGLETRANSLATE(A6575, ""zh"", ""en"")"),"In 2022, the Bank formulated the Ping An Bank Anti-Telecom Network Fraud Management Measures to clarify the bank's work organization and division of responsibilities, comprehensively strengthen the organizational guarantee of capital chain management.")</f>
        <v>In 2022, the Bank formulated the Ping An Bank Anti-Telecom Network Fraud Management Measures to clarify the bank's work organization and division of responsibilities, comprehensively strengthen the organizational guarantee of capital chain management.</v>
      </c>
      <c r="B6575" s="1" t="str">
        <f ca="1">IFERROR(__xludf.DUMMYFUNCTION("GOOGLETRANSLATE(A6575, ""zh"", ""en"")"),"Data security")</f>
        <v>Data security</v>
      </c>
      <c r="C6575" s="1" t="str">
        <f ca="1">IFERROR(__xludf.DUMMYFUNCTION("GOOGLETRANSLATE(E6575, ""zh"", ""en"")"),"Qualitative text")</f>
        <v>Qualitative text</v>
      </c>
    </row>
    <row r="6576" spans="1:3" ht="13" x14ac:dyDescent="0.15">
      <c r="A6576" s="1" t="str">
        <f ca="1">IFERROR(__xludf.DUMMYFUNCTION("GOOGLETRANSLATE(A6576, ""zh"", ""en"")"),"Conducted fund security education and anti-fraud publicity in Wuhan Branch 53. 6. Strengthened customer complaint management. The Bank continuously improved the complaint handling process and enhanced the level of complaint management.")</f>
        <v>Conducted fund security education and anti-fraud publicity in Wuhan Branch 53. 6. Strengthened customer complaint management. The Bank continuously improved the complaint handling process and enhanced the level of complaint management.</v>
      </c>
      <c r="B6576" s="1" t="str">
        <f ca="1">IFERROR(__xludf.DUMMYFUNCTION("GOOGLETRANSLATE(A6576, ""zh"", ""en"")"),"Customers and Consumers")</f>
        <v>Customers and Consumers</v>
      </c>
      <c r="C6576" s="1" t="str">
        <f ca="1">IFERROR(__xludf.DUMMYFUNCTION("GOOGLETRANSLATE(E6576, ""zh"", ""en"")"),"Qualitative text")</f>
        <v>Qualitative text</v>
      </c>
    </row>
    <row r="6577" spans="1:3" ht="13" x14ac:dyDescent="0.15">
      <c r="A6577" s="1" t="str">
        <f ca="1">IFERROR(__xludf.DUMMYFUNCTION("GOOGLETRANSLATE(A6577, ""zh"", ""en"")"),"In 2022, the Strategic Development and Consumer Rights Protection Committee of the Board of Directors heard a report on the banking industry consumer complaints in the fourth quarter of 2021 and the first and second quarters of 2022.")</f>
        <v>In 2022, the Strategic Development and Consumer Rights Protection Committee of the Board of Directors heard a report on the banking industry consumer complaints in the fourth quarter of 2021 and the first and second quarters of 2022.</v>
      </c>
      <c r="B6577" s="1" t="str">
        <f ca="1">IFERROR(__xludf.DUMMYFUNCTION("GOOGLETRANSLATE(A6577, ""zh"", ""en"")"),"Customers and Consumers")</f>
        <v>Customers and Consumers</v>
      </c>
      <c r="C6577" s="1" t="str">
        <f ca="1">IFERROR(__xludf.DUMMYFUNCTION("GOOGLETRANSLATE(E6577, ""zh"", ""en"")"),"Qualitative text")</f>
        <v>Qualitative text</v>
      </c>
    </row>
    <row r="6578" spans="1:3" ht="13" x14ac:dyDescent="0.15">
      <c r="A6578" s="1" t="str">
        <f ca="1">IFERROR(__xludf.DUMMYFUNCTION("GOOGLETRANSLATE(A6578, ""zh"", ""en"")"),"In 2022, the Bank received and collected 225,629 customer complaints, of which 11,610 were transferred from regulators in the first three quarters, with an incidence rate of 0.18.")</f>
        <v>In 2022, the Bank received and collected 225,629 customer complaints, of which 11,610 were transferred from regulators in the first three quarters, with an incidence rate of 0.18.</v>
      </c>
      <c r="B6578" s="1" t="str">
        <f ca="1">IFERROR(__xludf.DUMMYFUNCTION("GOOGLETRANSLATE(A6578, ""zh"", ""en"")"),"Customers and Consumers")</f>
        <v>Customers and Consumers</v>
      </c>
      <c r="C6578" s="1" t="str">
        <f ca="1">IFERROR(__xludf.DUMMYFUNCTION("GOOGLETRANSLATE(E6578, ""zh"", ""en"")"),"Quantitative Text")</f>
        <v>Quantitative Text</v>
      </c>
    </row>
    <row r="6579" spans="1:3" ht="13" x14ac:dyDescent="0.15">
      <c r="A6579" s="1" t="str">
        <f ca="1">IFERROR(__xludf.DUMMYFUNCTION("GOOGLETRANSLATE(A6579, ""zh"", ""en"")"),"The main situation is as follows: Consumer complaints about business handling channels: front-end business channels account for 10.7% of complaints, middle and back-end business channels account for 89.3% of complaints, among which electronic channels acc"&amp;"ount for 46.9% of complaints in front-end business channels, business site complaints account for 33.2% of complaints, other complaints account for 13.3% of complaints from third-party channels account for 4.8% of complaints from self-service machines acc"&amp;"ount for 1.8%, etc.")</f>
        <v>The main situation is as follows: Consumer complaints about business handling channels: front-end business channels account for 10.7% of complaints, middle and back-end business channels account for 89.3% of complaints, among which electronic channels account for 46.9% of complaints in front-end business channels, business site complaints account for 33.2% of complaints, other complaints account for 13.3% of complaints from third-party channels account for 4.8% of complaints from self-service machines account for 1.8%, etc.</v>
      </c>
      <c r="B6579" s="1" t="str">
        <f ca="1">IFERROR(__xludf.DUMMYFUNCTION("GOOGLETRANSLATE(A6579, ""zh"", ""en"")"),"Customers and Consumers")</f>
        <v>Customers and Consumers</v>
      </c>
      <c r="C6579" s="1" t="str">
        <f ca="1">IFERROR(__xludf.DUMMYFUNCTION("GOOGLETRANSLATE(E6579, ""zh"", ""en"")"),"Quantitative Text")</f>
        <v>Quantitative Text</v>
      </c>
    </row>
    <row r="6580" spans="1:3" ht="13" x14ac:dyDescent="0.15">
      <c r="A6580" s="1" t="str">
        <f ca="1">IFERROR(__xludf.DUMMYFUNCTION("GOOGLETRANSLATE(A6580, ""zh"", ""en"")"),"Consumer complaint business categories: Credit card business complaints accounted for 51.6%, loan business complaints accounted for 15.2%, debit card business complaints accounted for 13.7%, debt collection business complaints accounted for 7.1%, bank age"&amp;"ncy business complaints accounted for 2.6%, etc.")</f>
        <v>Consumer complaint business categories: Credit card business complaints accounted for 51.6%, loan business complaints accounted for 15.2%, debit card business complaints accounted for 13.7%, debt collection business complaints accounted for 7.1%, bank agency business complaints accounted for 2.6%, etc.</v>
      </c>
      <c r="B6580" s="1" t="str">
        <f ca="1">IFERROR(__xludf.DUMMYFUNCTION("GOOGLETRANSLATE(A6580, ""zh"", ""en"")"),"Customers and Consumers")</f>
        <v>Customers and Consumers</v>
      </c>
      <c r="C6580" s="1" t="str">
        <f ca="1">IFERROR(__xludf.DUMMYFUNCTION("GOOGLETRANSLATE(E6580, ""zh"", ""en"")"),"Quantitative Text")</f>
        <v>Quantitative Text</v>
      </c>
    </row>
    <row r="6581" spans="1:3" ht="13" x14ac:dyDescent="0.15">
      <c r="A6581" s="1" t="str">
        <f ca="1">IFERROR(__xludf.DUMMYFUNCTION("GOOGLETRANSLATE(A6581, ""zh"", ""en"")"),"Reasons for consumer complaints Complaints due to financial institutions' management systems, business rules and procedures accounted for 44.9%; complaints due to pricing and charges accounted for 19.8%; complaints due to service attitude and service qual"&amp;"ity accounted for 7.2%; complaints due to debt collection methods and means accounted for 6.5%; complaints due to consumer contract terms accounted for 4.7%; and other regional distributions were 54. In Guangdong, 2996 major complaints were related to loa"&amp;"n business and bank card business; in Shenzhen, 2975 major complaints were related to bank card business and loan business; in Beijing, 1399 major complaints were related to loan business and personal financial information business.")</f>
        <v>Reasons for consumer complaints Complaints due to financial institutions' management systems, business rules and procedures accounted for 44.9%; complaints due to pricing and charges accounted for 19.8%; complaints due to service attitude and service quality accounted for 7.2%; complaints due to debt collection methods and means accounted for 6.5%; complaints due to consumer contract terms accounted for 4.7%; and other regional distributions were 54. In Guangdong, 2996 major complaints were related to loan business and bank card business; in Shenzhen, 2975 major complaints were related to bank card business and loan business; in Beijing, 1399 major complaints were related to loan business and personal financial information business.</v>
      </c>
      <c r="B6581" s="1" t="str">
        <f ca="1">IFERROR(__xludf.DUMMYFUNCTION("GOOGLETRANSLATE(A6581, ""zh"", ""en"")"),"Customers and Consumers")</f>
        <v>Customers and Consumers</v>
      </c>
      <c r="C6581" s="1" t="str">
        <f ca="1">IFERROR(__xludf.DUMMYFUNCTION("GOOGLETRANSLATE(E6581, ""zh"", ""en"")"),"Quantitative Text")</f>
        <v>Quantitative Text</v>
      </c>
    </row>
    <row r="6582" spans="1:3" ht="13" x14ac:dyDescent="0.15">
      <c r="A6582" s="1" t="str">
        <f ca="1">IFERROR(__xludf.DUMMYFUNCTION("GOOGLETRANSLATE(A6582, ""zh"", ""en"")"),"The distribution of complaints by region is as follows 1. Number of complaints by region Number of complaints by region Number of complaints by region Beijing 1399 Fujian 809 Yunnan 339 Tianjin 486 Jiangxi 219 Tibet 0 Hebei 782 Shandong 986 Shaanxi 507 Sh"&amp;"anxi 302 Henan 920 Gansu 59 Inner Mongolia 154 Hubei 1032 Qinghai 0 Liaoning 468 Hunan 533 Ningxia 60 Jilin 102 Guangdong 2996 Xinjiang 97 Heilongjiang 186 Guangxi 242 Dalian 289 Shanghai 1135 Hainan 265 Ningbo 172 Jiangsu 1064 Chongqing 664 Xiamen 265 Zh"&amp;"ejiang 918 Sichuan 676 Qingdao 532 Anhui 318 Guizhou 263 Shenzhen 2975 In response to customer complaints, the Bank continued to increase resource investment, increase the number of consumer protection personnel, strengthen the capacity building of consum"&amp;"er protection personnel, strengthen the construction of diversified dispute resolution mechanisms, actively promote the source tracing and management of financial disputes, ensure the effective implementation of consumer protection work, and continuously "&amp;"improve customer satisfaction.")</f>
        <v>The distribution of complaints by region is as follows 1. Number of complaints by region Number of complaints by region Number of complaints by region Beijing 1399 Fujian 809 Yunnan 339 Tianjin 486 Jiangxi 219 Tibet 0 Hebei 782 Shandong 986 Shaanxi 507 Shanxi 302 Henan 920 Gansu 59 Inner Mongolia 154 Hubei 1032 Qinghai 0 Liaoning 468 Hunan 533 Ningxia 60 Jilin 102 Guangdong 2996 Xinjiang 97 Heilongjiang 186 Guangxi 242 Dalian 289 Shanghai 1135 Hainan 265 Ningbo 172 Jiangsu 1064 Chongqing 664 Xiamen 265 Zhejiang 918 Sichuan 676 Qingdao 532 Anhui 318 Guizhou 263 Shenzhen 2975 In response to customer complaints, the Bank continued to increase resource investment, increase the number of consumer protection personnel, strengthen the capacity building of consumer protection personnel, strengthen the construction of diversified dispute resolution mechanisms, actively promote the source tracing and management of financial disputes, ensure the effective implementation of consumer protection work, and continuously improve customer satisfaction.</v>
      </c>
      <c r="B6582" s="1" t="str">
        <f ca="1">IFERROR(__xludf.DUMMYFUNCTION("GOOGLETRANSLATE(A6582, ""zh"", ""en"")"),"Customers and Consumers")</f>
        <v>Customers and Consumers</v>
      </c>
      <c r="C6582" s="1" t="str">
        <f ca="1">IFERROR(__xludf.DUMMYFUNCTION("GOOGLETRANSLATE(E6582, ""zh"", ""en"")"),"Qualitative text")</f>
        <v>Qualitative text</v>
      </c>
    </row>
    <row r="6583" spans="1:3" ht="13" x14ac:dyDescent="0.15">
      <c r="A6583" s="1" t="str">
        <f ca="1">IFERROR(__xludf.DUMMYFUNCTION("GOOGLETRANSLATE(A6583, ""zh"", ""en"")"),"The Bank continuously improves its complaint handling information system to ensure that all customer complaint handling information in the complaint system is updated in real time and that all processes are recorded, ensuring that customer complaints are "&amp;"handled swiftly and efficiently.")</f>
        <v>The Bank continuously improves its complaint handling information system to ensure that all customer complaint handling information in the complaint system is updated in real time and that all processes are recorded, ensuring that customer complaints are handled swiftly and efficiently.</v>
      </c>
      <c r="B6583" s="1" t="str">
        <f ca="1">IFERROR(__xludf.DUMMYFUNCTION("GOOGLETRANSLATE(A6583, ""zh"", ""en"")"),"Customers and Consumers")</f>
        <v>Customers and Consumers</v>
      </c>
      <c r="C6583" s="1" t="str">
        <f ca="1">IFERROR(__xludf.DUMMYFUNCTION("GOOGLETRANSLATE(E6583, ""zh"", ""en"")"),"Qualitative text")</f>
        <v>Qualitative text</v>
      </c>
    </row>
    <row r="6584" spans="1:3" ht="13" x14ac:dyDescent="0.15">
      <c r="A6584" s="1" t="str">
        <f ca="1">IFERROR(__xludf.DUMMYFUNCTION("GOOGLETRANSLATE(A6584, ""zh"", ""en"")"),"At the same time, the Bank has established close cooperative relationships with mediation institutions to provide consumers with multi-channel and multi-level resolution channels to quickly, conveniently and efficiently resolve financial disputes. It also"&amp;" focuses on digging deep into the root causes of complaints, tracing the source of rectification, and promptly improving existing problems in products or services to reduce the occurrence of problems at the source. It also strictly holds people accountabl"&amp;"e for violations.")</f>
        <v>At the same time, the Bank has established close cooperative relationships with mediation institutions to provide consumers with multi-channel and multi-level resolution channels to quickly, conveniently and efficiently resolve financial disputes. It also focuses on digging deep into the root causes of complaints, tracing the source of rectification, and promptly improving existing problems in products or services to reduce the occurrence of problems at the source. It also strictly holds people accountable for violations.</v>
      </c>
      <c r="B6584" s="1" t="str">
        <f ca="1">IFERROR(__xludf.DUMMYFUNCTION("GOOGLETRANSLATE(A6584, ""zh"", ""en"")"),"Customers and Consumers")</f>
        <v>Customers and Consumers</v>
      </c>
      <c r="C6584" s="1" t="str">
        <f ca="1">IFERROR(__xludf.DUMMYFUNCTION("GOOGLETRANSLATE(E6584, ""zh"", ""en"")"),"Qualitative text")</f>
        <v>Qualitative text</v>
      </c>
    </row>
    <row r="6585" spans="1:3" ht="13" x14ac:dyDescent="0.15">
      <c r="A6585" s="1" t="str">
        <f ca="1">IFERROR(__xludf.DUMMYFUNCTION("GOOGLETRANSLATE(A6585, ""zh"", ""en"")"),"1 Excluding credit card data at the head office level, data for Dalian, Ningbo, Xiamen, Qingdao and Shenzhen are separately listed. 55 Customer Complaint Channels The Bank has established consumer complaint reception areas at its business outlets, equippe"&amp;"d with audio and video equipment to record and preserve the entire consumer complaint handling process. Complaint channel information and complaint handling procedures are posted in prominent locations on the official website, mobile client, WeChat public"&amp;" account and business premises to effectively protect the legitimate rights and interests of consumers.")</f>
        <v>1 Excluding credit card data at the head office level, data for Dalian, Ningbo, Xiamen, Qingdao and Shenzhen are separately listed. 55 Customer Complaint Channels The Bank has established consumer complaint reception areas at its business outlets, equipped with audio and video equipment to record and preserve the entire consumer complaint handling process. Complaint channel information and complaint handling procedures are posted in prominent locations on the official website, mobile client, WeChat public account and business premises to effectively protect the legitimate rights and interests of consumers.</v>
      </c>
      <c r="B6585" s="1" t="str">
        <f ca="1">IFERROR(__xludf.DUMMYFUNCTION("GOOGLETRANSLATE(A6585, ""zh"", ""en"")"),"Customers and Consumers")</f>
        <v>Customers and Consumers</v>
      </c>
      <c r="C6585" s="1" t="str">
        <f ca="1">IFERROR(__xludf.DUMMYFUNCTION("GOOGLETRANSLATE(E6585, ""zh"", ""en"")"),"Qualitative text")</f>
        <v>Qualitative text</v>
      </c>
    </row>
    <row r="6586" spans="1:3" ht="13" x14ac:dyDescent="0.15">
      <c r="A6586" s="1" t="str">
        <f ca="1">IFERROR(__xludf.DUMMYFUNCTION("GOOGLETRANSLATE(A6586, ""zh"", ""en"")"),"Customer Complaint Handling Procedures The Bank has formulated customer complaint handling management measures and established standardized customer complaint handling procedures.")</f>
        <v>Customer Complaint Handling Procedures The Bank has formulated customer complaint handling management measures and established standardized customer complaint handling procedures.</v>
      </c>
      <c r="B6586" s="1" t="str">
        <f ca="1">IFERROR(__xludf.DUMMYFUNCTION("GOOGLETRANSLATE(A6586, ""zh"", ""en"")"),"Customers and Consumers")</f>
        <v>Customers and Consumers</v>
      </c>
      <c r="C6586" s="1" t="str">
        <f ca="1">IFERROR(__xludf.DUMMYFUNCTION("GOOGLETRANSLATE(E6586, ""zh"", ""en"")"),"Qualitative text")</f>
        <v>Qualitative text</v>
      </c>
    </row>
    <row r="6587" spans="1:3" ht="13" x14ac:dyDescent="0.15">
      <c r="A6587" s="1" t="str">
        <f ca="1">IFERROR(__xludf.DUMMYFUNCTION("GOOGLETRANSLATE(A6587, ""zh"", ""en"")"),"After receiving a customer complaint, the customer complaint department will first investigate and verify the complaint, formulate a complaint handling plan within the prescribed time limit, and inform the complainant of the complaint investigation result"&amp;"s and solutions through telephone, WeChat, email, etc.")</f>
        <v>After receiving a customer complaint, the customer complaint department will first investigate and verify the complaint, formulate a complaint handling plan within the prescribed time limit, and inform the complainant of the complaint investigation results and solutions through telephone, WeChat, email, etc.</v>
      </c>
      <c r="B6587" s="1" t="str">
        <f ca="1">IFERROR(__xludf.DUMMYFUNCTION("GOOGLETRANSLATE(A6587, ""zh"", ""en"")"),"Customers and Consumers")</f>
        <v>Customers and Consumers</v>
      </c>
      <c r="C6587" s="1" t="str">
        <f ca="1">IFERROR(__xludf.DUMMYFUNCTION("GOOGLETRANSLATE(E6587, ""zh"", ""en"")"),"Qualitative text")</f>
        <v>Qualitative text</v>
      </c>
    </row>
    <row r="6588" spans="1:3" ht="13" x14ac:dyDescent="0.15">
      <c r="A6588" s="1" t="str">
        <f ca="1">IFERROR(__xludf.DUMMYFUNCTION("GOOGLETRANSLATE(A6588, ""zh"", ""en"")"),"If the customer disagrees with the complaint handling result, he/she may apply to the superior unit of the Bank for verification and handling. If the customer is willing to accept the complaint solution issued by the Bank, all complaint process informatio"&amp;"n and written materials will be recorded and filed by the Bank.")</f>
        <v>If the customer disagrees with the complaint handling result, he/she may apply to the superior unit of the Bank for verification and handling. If the customer is willing to accept the complaint solution issued by the Bank, all complaint process information and written materials will be recorded and filed by the Bank.</v>
      </c>
      <c r="B6588" s="1" t="str">
        <f ca="1">IFERROR(__xludf.DUMMYFUNCTION("GOOGLETRANSLATE(A6588, ""zh"", ""en"")"),"Customers and Consumers")</f>
        <v>Customers and Consumers</v>
      </c>
      <c r="C6588" s="1" t="str">
        <f ca="1">IFERROR(__xludf.DUMMYFUNCTION("GOOGLETRANSLATE(E6588, ""zh"", ""en"")"),"Qualitative text")</f>
        <v>Qualitative text</v>
      </c>
    </row>
    <row r="6589" spans="1:3" ht="13" x14ac:dyDescent="0.15">
      <c r="A6589" s="1" t="str">
        <f ca="1">IFERROR(__xludf.DUMMYFUNCTION("GOOGLETRANSLATE(A6589, ""zh"", ""en"")"),"In terms of complaint review, the Bank has established an independent internal complaint review system and set up an independent complaint handling quality inspection post in the Consumer Protection Center of the Head Office. Complaint handling is verifie"&amp;"d through a combination of AI quality inspection, AI manual quality inspection and pure human quality inspection to ensure the timeliness, effectiveness and fairness of customer complaint handling.")</f>
        <v>In terms of complaint review, the Bank has established an independent internal complaint review system and set up an independent complaint handling quality inspection post in the Consumer Protection Center of the Head Office. Complaint handling is verified through a combination of AI quality inspection, AI manual quality inspection and pure human quality inspection to ensure the timeliness, effectiveness and fairness of customer complaint handling.</v>
      </c>
      <c r="B6589" s="1" t="str">
        <f ca="1">IFERROR(__xludf.DUMMYFUNCTION("GOOGLETRANSLATE(A6589, ""zh"", ""en"")"),"Customers and Consumers")</f>
        <v>Customers and Consumers</v>
      </c>
      <c r="C6589" s="1" t="str">
        <f ca="1">IFERROR(__xludf.DUMMYFUNCTION("GOOGLETRANSLATE(E6589, ""zh"", ""en"")"),"Qualitative text")</f>
        <v>Qualitative text</v>
      </c>
    </row>
    <row r="6590" spans="1:3" ht="13" x14ac:dyDescent="0.15">
      <c r="A6590" s="1" t="str">
        <f ca="1">IFERROR(__xludf.DUMMYFUNCTION("GOOGLETRANSLATE(A6590, ""zh"", ""en"")"),"56 Privacy and Data Security The Bank strictly abides by the Cybersecurity Law of the People's Republic of China, the Data Security Law of the People's Republic of China, and the Personal Information Protection Law of the People's Republic of China, and s"&amp;"trives to protect personal information security through full lifecycle data security management.")</f>
        <v>56 Privacy and Data Security The Bank strictly abides by the Cybersecurity Law of the People's Republic of China, the Data Security Law of the People's Republic of China, and the Personal Information Protection Law of the People's Republic of China, and strives to protect personal information security through full lifecycle data security management.</v>
      </c>
      <c r="B6590" s="1" t="str">
        <f ca="1">IFERROR(__xludf.DUMMYFUNCTION("GOOGLETRANSLATE(A6590, ""zh"", ""en"")"),"Data security")</f>
        <v>Data security</v>
      </c>
      <c r="C6590" s="1" t="str">
        <f ca="1">IFERROR(__xludf.DUMMYFUNCTION("GOOGLETRANSLATE(E6590, ""zh"", ""en"")"),"Qualitative text")</f>
        <v>Qualitative text</v>
      </c>
    </row>
    <row r="6591" spans="1:3" ht="13" x14ac:dyDescent="0.15">
      <c r="A6591" s="1" t="str">
        <f ca="1">IFERROR(__xludf.DUMMYFUNCTION("GOOGLETRANSLATE(A6591, ""zh"", ""en"")"),"1. Protecting information security The Bank continuously improves its information security management framework, continuously optimizes its information security management mechanism, improves product lifecycle data security management and information syst"&amp;"em emergency response mechanism, and enhances its information security management level.")</f>
        <v>1. Protecting information security The Bank continuously improves its information security management framework, continuously optimizes its information security management mechanism, improves product lifecycle data security management and information system emergency response mechanism, and enhances its information security management level.</v>
      </c>
      <c r="B6591" s="1" t="str">
        <f ca="1">IFERROR(__xludf.DUMMYFUNCTION("GOOGLETRANSLATE(A6591, ""zh"", ""en"")"),"Data security")</f>
        <v>Data security</v>
      </c>
      <c r="C6591" s="1" t="str">
        <f ca="1">IFERROR(__xludf.DUMMYFUNCTION("GOOGLETRANSLATE(E6591, ""zh"", ""en"")"),"Qualitative text")</f>
        <v>Qualitative text</v>
      </c>
    </row>
    <row r="6592" spans="1:3" ht="13" x14ac:dyDescent="0.15">
      <c r="A6592" s="1" t="str">
        <f ca="1">IFERROR(__xludf.DUMMYFUNCTION("GOOGLETRANSLATE(A6592, ""zh"", ""en"")"),"Information Security Management The Bank has established an Information Technology and Network and Information Security Management Committee to research and review bank-wide information technology matters, oversee information security management and data "&amp;"governance, and report major information technology matters such as network and information security management and data governance to the Board of Directors and senior management.")</f>
        <v>Information Security Management The Bank has established an Information Technology and Network and Information Security Management Committee to research and review bank-wide information technology matters, oversee information security management and data governance, and report major information technology matters such as network and information security management and data governance to the Board of Directors and senior management.</v>
      </c>
      <c r="B6592" s="1" t="str">
        <f ca="1">IFERROR(__xludf.DUMMYFUNCTION("GOOGLETRANSLATE(A6592, ""zh"", ""en"")"),"Data security")</f>
        <v>Data security</v>
      </c>
      <c r="C6592" s="1" t="str">
        <f ca="1">IFERROR(__xludf.DUMMYFUNCTION("GOOGLETRANSLATE(E6592, ""zh"", ""en"")"),"Qualitative text")</f>
        <v>Qualitative text</v>
      </c>
    </row>
    <row r="6593" spans="1:3" ht="13" x14ac:dyDescent="0.15">
      <c r="A6593" s="1" t="str">
        <f ca="1">IFERROR(__xludf.DUMMYFUNCTION("GOOGLETRANSLATE(A6593, ""zh"", ""en"")"),"This year, the committee reported to the relevant special committees of the Board of Directors on Ping An Bank's Three-Year Data Governance Plan (2022, 2024, and 2021), and its self-assessment report on data governance.")</f>
        <v>This year, the committee reported to the relevant special committees of the Board of Directors on Ping An Bank's Three-Year Data Governance Plan (2022, 2024, and 2021), and its self-assessment report on data governance.</v>
      </c>
      <c r="B6593" s="1" t="str">
        <f ca="1">IFERROR(__xludf.DUMMYFUNCTION("GOOGLETRANSLATE(A6593, ""zh"", ""en"")"),"Data security")</f>
        <v>Data security</v>
      </c>
      <c r="C6593" s="1" t="str">
        <f ca="1">IFERROR(__xludf.DUMMYFUNCTION("GOOGLETRANSLATE(E6593, ""zh"", ""en"")"),"Qualitative text")</f>
        <v>Qualitative text</v>
      </c>
    </row>
    <row r="6594" spans="1:3" ht="13" x14ac:dyDescent="0.15">
      <c r="A6594" s="1" t="str">
        <f ca="1">IFERROR(__xludf.DUMMYFUNCTION("GOOGLETRANSLATE(A6594, ""zh"", ""en"")"),"In 2022, the committee held five working meetings to review and hear 42 topics, including the changes to the ITSC's organizational structure, the IT risk assessment work report, the digital transformation work report, and the work reports of various worki"&amp;"ng groups.")</f>
        <v>In 2022, the committee held five working meetings to review and hear 42 topics, including the changes to the ITSC's organizational structure, the IT risk assessment work report, the digital transformation work report, and the work reports of various working groups.</v>
      </c>
      <c r="B6594" s="1" t="str">
        <f ca="1">IFERROR(__xludf.DUMMYFUNCTION("GOOGLETRANSLATE(A6594, ""zh"", ""en"")"),"Organizational structure and operations")</f>
        <v>Organizational structure and operations</v>
      </c>
      <c r="C6594" s="1" t="str">
        <f ca="1">IFERROR(__xludf.DUMMYFUNCTION("GOOGLETRANSLATE(E6594, ""zh"", ""en"")"),"Quantitative Text")</f>
        <v>Quantitative Text</v>
      </c>
    </row>
    <row r="6595" spans="1:3" ht="13" x14ac:dyDescent="0.15">
      <c r="A6595" s="1" t="str">
        <f ca="1">IFERROR(__xludf.DUMMYFUNCTION("GOOGLETRANSLATE(A6595, ""zh"", ""en"")"),"The Bank has formulated data security management measures, data lifecycle security management measures and other systems, and regularly revised and updated information security, data security and personal information protection related management requirem"&amp;"ents.")</f>
        <v>The Bank has formulated data security management measures, data lifecycle security management measures and other systems, and regularly revised and updated information security, data security and personal information protection related management requirements.</v>
      </c>
      <c r="B6595" s="1" t="str">
        <f ca="1">IFERROR(__xludf.DUMMYFUNCTION("GOOGLETRANSLATE(A6595, ""zh"", ""en"")"),"Data security")</f>
        <v>Data security</v>
      </c>
      <c r="C6595" s="1" t="str">
        <f ca="1">IFERROR(__xludf.DUMMYFUNCTION("GOOGLETRANSLATE(E6595, ""zh"", ""en"")"),"Qualitative text")</f>
        <v>Qualitative text</v>
      </c>
    </row>
    <row r="6596" spans="1:3" ht="13" x14ac:dyDescent="0.15">
      <c r="A6596" s="1" t="str">
        <f ca="1">IFERROR(__xludf.DUMMYFUNCTION("GOOGLETRANSLATE(A6596, ""zh"", ""en"")"),"The Bank's data security regulations cover all business lines, branches, and its wholly-owned subsidiary, Ping An Wealth Management Co., Ltd.")</f>
        <v>The Bank's data security regulations cover all business lines, branches, and its wholly-owned subsidiary, Ping An Wealth Management Co., Ltd.</v>
      </c>
      <c r="B6596" s="1" t="str">
        <f ca="1">IFERROR(__xludf.DUMMYFUNCTION("GOOGLETRANSLATE(A6596, ""zh"", ""en"")"),"Data security")</f>
        <v>Data security</v>
      </c>
      <c r="C6596" s="1" t="str">
        <f ca="1">IFERROR(__xludf.DUMMYFUNCTION("GOOGLETRANSLATE(E6596, ""zh"", ""en"")"),"Qualitative text")</f>
        <v>Qualitative text</v>
      </c>
    </row>
    <row r="6597" spans="1:3" ht="13" x14ac:dyDescent="0.15">
      <c r="A6597" s="1" t="str">
        <f ca="1">IFERROR(__xludf.DUMMYFUNCTION("GOOGLETRANSLATE(A6597, ""zh"", ""en"")"),"Data protection during product development: The Bank embeds personal information protection and privacy compliance requirements into key links of the software development lifecycle, and implements simultaneous planning, construction, and use of important "&amp;"data and personal information protection measures during the system construction phase.")</f>
        <v>Data protection during product development: The Bank embeds personal information protection and privacy compliance requirements into key links of the software development lifecycle, and implements simultaneous planning, construction, and use of important data and personal information protection measures during the system construction phase.</v>
      </c>
      <c r="B6597" s="1" t="str">
        <f ca="1">IFERROR(__xludf.DUMMYFUNCTION("GOOGLETRANSLATE(A6597, ""zh"", ""en"")"),"Data security")</f>
        <v>Data security</v>
      </c>
      <c r="C6597" s="1" t="str">
        <f ca="1">IFERROR(__xludf.DUMMYFUNCTION("GOOGLETRANSLATE(E6597, ""zh"", ""en"")"),"Qualitative text")</f>
        <v>Qualitative text</v>
      </c>
    </row>
    <row r="6598" spans="1:3" ht="13" x14ac:dyDescent="0.15">
      <c r="A6598" s="1" t="str">
        <f ca="1">IFERROR(__xludf.DUMMYFUNCTION("GOOGLETRANSLATE(A6598, ""zh"", ""en"")"),"The Bank integrates data protection measures into product and service development through the Starlink integrated development and operation platform. From demand analysis, architecture design, development, testing, release, and implementation, we implemen"&amp;"t product data security layer by layer and conduct data security compliance audits to ensure that software products meet compliance requirements.")</f>
        <v>The Bank integrates data protection measures into product and service development through the Starlink integrated development and operation platform. From demand analysis, architecture design, development, testing, release, and implementation, we implement product data security layer by layer and conduct data security compliance audits to ensure that software products meet compliance requirements.</v>
      </c>
      <c r="B6598" s="1" t="str">
        <f ca="1">IFERROR(__xludf.DUMMYFUNCTION("GOOGLETRANSLATE(A6598, ""zh"", ""en"")"),"Data security")</f>
        <v>Data security</v>
      </c>
      <c r="C6598" s="1" t="str">
        <f ca="1">IFERROR(__xludf.DUMMYFUNCTION("GOOGLETRANSLATE(E6598, ""zh"", ""en"")"),"Qualitative text")</f>
        <v>Qualitative text</v>
      </c>
    </row>
    <row r="6599" spans="1:3" ht="13" x14ac:dyDescent="0.15">
      <c r="A6599" s="1" t="str">
        <f ca="1">IFERROR(__xludf.DUMMYFUNCTION("GOOGLETRANSLATE(A6599, ""zh"", ""en"")"),"57 Data Leakage Prevention and Emergency Response The Bank has formulated a multi-layered and comprehensive network and information security management plan to standardize the response and handling procedures for information security incidents and prevent"&amp;" data leakage incidents.")</f>
        <v>57 Data Leakage Prevention and Emergency Response The Bank has formulated a multi-layered and comprehensive network and information security management plan to standardize the response and handling procedures for information security incidents and prevent data leakage incidents.</v>
      </c>
      <c r="B6599" s="1" t="str">
        <f ca="1">IFERROR(__xludf.DUMMYFUNCTION("GOOGLETRANSLATE(A6599, ""zh"", ""en"")"),"Data security")</f>
        <v>Data security</v>
      </c>
      <c r="C6599" s="1" t="str">
        <f ca="1">IFERROR(__xludf.DUMMYFUNCTION("GOOGLETRANSLATE(E6599, ""zh"", ""en"")"),"Qualitative text")</f>
        <v>Qualitative text</v>
      </c>
    </row>
    <row r="6600" spans="1:3" ht="13" x14ac:dyDescent="0.15">
      <c r="A6600" s="1" t="str">
        <f ca="1">IFERROR(__xludf.DUMMYFUNCTION("GOOGLETRANSLATE(A6600, ""zh"", ""en"")"),"As of the end of 2022, the Bank responded to and dealt with network and information security threats from the Internet in a timely manner, and no major network and data security incidents occurred throughout the year.")</f>
        <v>As of the end of 2022, the Bank responded to and dealt with network and information security threats from the Internet in a timely manner, and no major network and data security incidents occurred throughout the year.</v>
      </c>
      <c r="B6600" s="1" t="str">
        <f ca="1">IFERROR(__xludf.DUMMYFUNCTION("GOOGLETRANSLATE(A6600, ""zh"", ""en"")"),"Data security")</f>
        <v>Data security</v>
      </c>
      <c r="C6600" s="1" t="str">
        <f ca="1">IFERROR(__xludf.DUMMYFUNCTION("GOOGLETRANSLATE(E6600, ""zh"", ""en"")"),"Quantitative Text")</f>
        <v>Quantitative Text</v>
      </c>
    </row>
    <row r="6601" spans="1:3" ht="13" x14ac:dyDescent="0.15">
      <c r="A6601" s="1" t="str">
        <f ca="1">IFERROR(__xludf.DUMMYFUNCTION("GOOGLETRANSLATE(A6601, ""zh"", ""en"")"),"The Bank has formulated information security incident management regulations to standardize the information security incident response and handling process.")</f>
        <v>The Bank has formulated information security incident management regulations to standardize the information security incident response and handling process.</v>
      </c>
      <c r="B6601" s="1" t="str">
        <f ca="1">IFERROR(__xludf.DUMMYFUNCTION("GOOGLETRANSLATE(A6601, ""zh"", ""en"")"),"Data security")</f>
        <v>Data security</v>
      </c>
      <c r="C6601" s="1" t="str">
        <f ca="1">IFERROR(__xludf.DUMMYFUNCTION("GOOGLETRANSLATE(E6601, ""zh"", ""en"")"),"Qualitative text")</f>
        <v>Qualitative text</v>
      </c>
    </row>
    <row r="6602" spans="1:3" ht="13" x14ac:dyDescent="0.15">
      <c r="A6602" s="1" t="str">
        <f ca="1">IFERROR(__xludf.DUMMYFUNCTION("GOOGLETRANSLATE(A6602, ""zh"", ""en"")"),"Formulate emergency response plans for sensitive customer data leaks in response to suspected leaks of sensitive customer information through external channels, further enhance the level of emergency response and handling of sensitive data security, and s"&amp;"trengthen the coordination and joint handling capabilities of all parties.")</f>
        <v>Formulate emergency response plans for sensitive customer data leaks in response to suspected leaks of sensitive customer information through external channels, further enhance the level of emergency response and handling of sensitive data security, and strengthen the coordination and joint handling capabilities of all parties.</v>
      </c>
      <c r="B6602" s="1" t="str">
        <f ca="1">IFERROR(__xludf.DUMMYFUNCTION("GOOGLETRANSLATE(A6602, ""zh"", ""en"")"),"Data security")</f>
        <v>Data security</v>
      </c>
      <c r="C6602" s="1" t="str">
        <f ca="1">IFERROR(__xludf.DUMMYFUNCTION("GOOGLETRANSLATE(E6602, ""zh"", ""en"")"),"Qualitative text")</f>
        <v>Qualitative text</v>
      </c>
    </row>
    <row r="6603" spans="1:3" ht="13" x14ac:dyDescent="0.15">
      <c r="A6603" s="1" t="str">
        <f ca="1">IFERROR(__xludf.DUMMYFUNCTION("GOOGLETRANSLATE(A6603, ""zh"", ""en"")"),"In October 2022, the Bank conducted a data leakage emergency response drill for suspected customer sensitive information leakage and improved the emergency plan based on the drill results.")</f>
        <v>In October 2022, the Bank conducted a data leakage emergency response drill for suspected customer sensitive information leakage and improved the emergency plan based on the drill results.</v>
      </c>
      <c r="B6603" s="1" t="str">
        <f ca="1">IFERROR(__xludf.DUMMYFUNCTION("GOOGLETRANSLATE(A6603, ""zh"", ""en"")"),"Data security")</f>
        <v>Data security</v>
      </c>
      <c r="C6603" s="1" t="str">
        <f ca="1">IFERROR(__xludf.DUMMYFUNCTION("GOOGLETRANSLATE(E6603, ""zh"", ""en"")"),"Qualitative text")</f>
        <v>Qualitative text</v>
      </c>
    </row>
    <row r="6604" spans="1:3" ht="13" x14ac:dyDescent="0.15">
      <c r="A6604" s="1" t="str">
        <f ca="1">IFERROR(__xludf.DUMMYFUNCTION("GOOGLETRANSLATE(A6604, ""zh"", ""en"")"),"Information System and Data Security Audit The Bank regularly conducts information system and information security audits")</f>
        <v>Information System and Data Security Audit The Bank regularly conducts information system and information security audits</v>
      </c>
      <c r="B6604" s="1" t="str">
        <f ca="1">IFERROR(__xludf.DUMMYFUNCTION("GOOGLETRANSLATE(A6604, ""zh"", ""en"")"),"Data security")</f>
        <v>Data security</v>
      </c>
      <c r="C6604" s="1" t="str">
        <f ca="1">IFERROR(__xludf.DUMMYFUNCTION("GOOGLETRANSLATE(E6604, ""zh"", ""en"")"),"Qualitative text")</f>
        <v>Qualitative text</v>
      </c>
    </row>
    <row r="6605" spans="1:3" ht="13" x14ac:dyDescent="0.15">
      <c r="A6605" s="1" t="str">
        <f ca="1">IFERROR(__xludf.DUMMYFUNCTION("GOOGLETRANSLATE(A6605, ""zh"", ""en"")"),"In 2022, the Bank conducted a security audit of its overall information security risk management and business systems, mainly covering data security management, information security management architecture and system processes, technology outsourcing risk"&amp;" management, business security management, business continuity management, employee behavior management, etc.")</f>
        <v>In 2022, the Bank conducted a security audit of its overall information security risk management and business systems, mainly covering data security management, information security management architecture and system processes, technology outsourcing risk management, business security management, business continuity management, employee behavior management, etc.</v>
      </c>
      <c r="B6605" s="1" t="str">
        <f ca="1">IFERROR(__xludf.DUMMYFUNCTION("GOOGLETRANSLATE(A6605, ""zh"", ""en"")"),"Audit work")</f>
        <v>Audit work</v>
      </c>
      <c r="C6605" s="1" t="str">
        <f ca="1">IFERROR(__xludf.DUMMYFUNCTION("GOOGLETRANSLATE(E6605, ""zh"", ""en"")"),"Qualitative text")</f>
        <v>Qualitative text</v>
      </c>
    </row>
    <row r="6606" spans="1:3" ht="13" x14ac:dyDescent="0.15">
      <c r="A6606" s="1" t="str">
        <f ca="1">IFERROR(__xludf.DUMMYFUNCTION("GOOGLETRANSLATE(A6606, ""zh"", ""en"")"),"The review found 12 issues, proposed corrective measures for each issue, and assigned responsible persons to follow up.")</f>
        <v>The review found 12 issues, proposed corrective measures for each issue, and assigned responsible persons to follow up.</v>
      </c>
      <c r="B6606" s="1" t="str">
        <f ca="1">IFERROR(__xludf.DUMMYFUNCTION("GOOGLETRANSLATE(A6606, ""zh"", ""en"")"),"Audit work")</f>
        <v>Audit work</v>
      </c>
      <c r="C6606" s="1" t="str">
        <f ca="1">IFERROR(__xludf.DUMMYFUNCTION("GOOGLETRANSLATE(E6606, ""zh"", ""en"")"),"Quantitative Text")</f>
        <v>Quantitative Text</v>
      </c>
    </row>
    <row r="6607" spans="1:3" ht="13" x14ac:dyDescent="0.15">
      <c r="A6607" s="1" t="str">
        <f ca="1">IFERROR(__xludf.DUMMYFUNCTION("GOOGLETRANSLATE(A6607, ""zh"", ""en"")"),"To ensure the security of customers' personal information when using financial products, the Bank has hired an external agency to conduct a comprehensive privacy compliance review of the actual data usage of mobile applications every six months to ensure "&amp;"compliance with relevant laws and regulations.")</f>
        <v>To ensure the security of customers' personal information when using financial products, the Bank has hired an external agency to conduct a comprehensive privacy compliance review of the actual data usage of mobile applications every six months to ensure compliance with relevant laws and regulations.</v>
      </c>
      <c r="B6607" s="1" t="str">
        <f ca="1">IFERROR(__xludf.DUMMYFUNCTION("GOOGLETRANSLATE(A6607, ""zh"", ""en"")"),"Data security")</f>
        <v>Data security</v>
      </c>
      <c r="C6607" s="1" t="str">
        <f ca="1">IFERROR(__xludf.DUMMYFUNCTION("GOOGLETRANSLATE(E6607, ""zh"", ""en"")"),"Qualitative text")</f>
        <v>Qualitative text</v>
      </c>
    </row>
    <row r="6608" spans="1:3" ht="13" x14ac:dyDescent="0.15">
      <c r="A6608" s="1" t="str">
        <f ca="1">IFERROR(__xludf.DUMMYFUNCTION("GOOGLETRANSLATE(A6608, ""zh"", ""en"")"),"Third-party management: Our Ping An Pocket Bank APP Personal Information Protection Policy stipulates that customers' personal information will not be transferred to any company, organization or individual except with prior consent in accordance with laws"&amp;", regulations or mandatory administrative or judicial requirements involving asset transfer, merger, acquisition, reorganization or bankruptcy liquidation.")</f>
        <v>Third-party management: Our Ping An Pocket Bank APP Personal Information Protection Policy stipulates that customers' personal information will not be transferred to any company, organization or individual except with prior consent in accordance with laws, regulations or mandatory administrative or judicial requirements involving asset transfer, merger, acquisition, reorganization or bankruptcy liquidation.</v>
      </c>
      <c r="B6608" s="1" t="str">
        <f ca="1">IFERROR(__xludf.DUMMYFUNCTION("GOOGLETRANSLATE(A6608, ""zh"", ""en"")"),"Data security")</f>
        <v>Data security</v>
      </c>
      <c r="C6608" s="1" t="str">
        <f ca="1">IFERROR(__xludf.DUMMYFUNCTION("GOOGLETRANSLATE(E6608, ""zh"", ""en"")"),"Qualitative text")</f>
        <v>Qualitative text</v>
      </c>
    </row>
    <row r="6609" spans="1:3" ht="13" x14ac:dyDescent="0.15">
      <c r="A6609" s="1" t="str">
        <f ca="1">IFERROR(__xludf.DUMMYFUNCTION("GOOGLETRANSLATE(A6609, ""zh"", ""en"")"),"At the same time, the Bank has formulated external data exchange management regulations to clarify the requirements for third-party data cooperation and stipulate data security clauses in the cooperation agreement with third-party institutions.")</f>
        <v>At the same time, the Bank has formulated external data exchange management regulations to clarify the requirements for third-party data cooperation and stipulate data security clauses in the cooperation agreement with third-party institutions.</v>
      </c>
      <c r="B6609" s="1" t="str">
        <f ca="1">IFERROR(__xludf.DUMMYFUNCTION("GOOGLETRANSLATE(A6609, ""zh"", ""en"")"),"Data security")</f>
        <v>Data security</v>
      </c>
      <c r="C6609" s="1" t="str">
        <f ca="1">IFERROR(__xludf.DUMMYFUNCTION("GOOGLETRANSLATE(E6609, ""zh"", ""en"")"),"Qualitative text")</f>
        <v>Qualitative text</v>
      </c>
    </row>
    <row r="6610" spans="1:3" ht="13" x14ac:dyDescent="0.15">
      <c r="A6610" s="1" t="str">
        <f ca="1">IFERROR(__xludf.DUMMYFUNCTION("GOOGLETRANSLATE(A6610, ""zh"", ""en"")"),"The Bank clearly states that third-party access control adopts the principle of minimization of permissions, that is, only allowing permissions to be opened to those who are determined to have the need to query and process relevant data information during"&amp;" the service process.")</f>
        <v>The Bank clearly states that third-party access control adopts the principle of minimization of permissions, that is, only allowing permissions to be opened to those who are determined to have the need to query and process relevant data information during the service process.</v>
      </c>
      <c r="B6610" s="1" t="str">
        <f ca="1">IFERROR(__xludf.DUMMYFUNCTION("GOOGLETRANSLATE(A6610, ""zh"", ""en"")"),"Data security")</f>
        <v>Data security</v>
      </c>
      <c r="C6610" s="1" t="str">
        <f ca="1">IFERROR(__xludf.DUMMYFUNCTION("GOOGLETRANSLATE(E6610, ""zh"", ""en"")"),"Qualitative text")</f>
        <v>Qualitative text</v>
      </c>
    </row>
    <row r="6611" spans="1:3" ht="13" x14ac:dyDescent="0.15">
      <c r="A6611" s="1" t="str">
        <f ca="1">IFERROR(__xludf.DUMMYFUNCTION("GOOGLETRANSLATE(A6611, ""zh"", ""en"")"),"The Bank conducts due diligence and risk assessment on data processing outsourcing service providers, clarifies data security and compliance management requirements in cooperation agreements and during the cooperation process, and conducts continuous supe"&amp;"rvision and inspection.")</f>
        <v>The Bank conducts due diligence and risk assessment on data processing outsourcing service providers, clarifies data security and compliance management requirements in cooperation agreements and during the cooperation process, and conducts continuous supervision and inspection.</v>
      </c>
      <c r="B6611" s="1" t="str">
        <f ca="1">IFERROR(__xludf.DUMMYFUNCTION("GOOGLETRANSLATE(A6611, ""zh"", ""en"")"),"Data security")</f>
        <v>Data security</v>
      </c>
      <c r="C6611" s="1" t="str">
        <f ca="1">IFERROR(__xludf.DUMMYFUNCTION("GOOGLETRANSLATE(E6611, ""zh"", ""en"")"),"Qualitative text")</f>
        <v>Qualitative text</v>
      </c>
    </row>
    <row r="6612" spans="1:3" ht="13" x14ac:dyDescent="0.15">
      <c r="A6612" s="1" t="str">
        <f ca="1">IFERROR(__xludf.DUMMYFUNCTION("GOOGLETRANSLATE(A6612, ""zh"", ""en"")"),"In 2022, the Bank conducted on-site inspections of five suppliers in accordance with the requirements of external data exchange management and outsourcing management, formulated corrective measures for the problems found, and supervised their implementati"&amp;"on.")</f>
        <v>In 2022, the Bank conducted on-site inspections of five suppliers in accordance with the requirements of external data exchange management and outsourcing management, formulated corrective measures for the problems found, and supervised their implementation.</v>
      </c>
      <c r="B6612" s="1" t="str">
        <f ca="1">IFERROR(__xludf.DUMMYFUNCTION("GOOGLETRANSLATE(A6612, ""zh"", ""en"")"),"supply chain management")</f>
        <v>supply chain management</v>
      </c>
      <c r="C6612" s="1" t="str">
        <f ca="1">IFERROR(__xludf.DUMMYFUNCTION("GOOGLETRANSLATE(E6612, ""zh"", ""en"")"),"Qualitative text")</f>
        <v>Qualitative text</v>
      </c>
    </row>
    <row r="6613" spans="1:3" ht="13" x14ac:dyDescent="0.15">
      <c r="A6613" s="1" t="str">
        <f ca="1">IFERROR(__xludf.DUMMYFUNCTION("GOOGLETRANSLATE(A6613, ""zh"", ""en"")"),"58 Data Security Training The Bank provides information security training to all employees and outsourced personnel through live video broadcasts at the main and branch venues, including Zhiniao live broadcasts and Zhiniao courses, providing strong suppor"&amp;"t for employees to improve their knowledge of network security and data security.")</f>
        <v>58 Data Security Training The Bank provides information security training to all employees and outsourced personnel through live video broadcasts at the main and branch venues, including Zhiniao live broadcasts and Zhiniao courses, providing strong support for employees to improve their knowledge of network security and data security.</v>
      </c>
      <c r="B6613" s="1" t="str">
        <f ca="1">IFERROR(__xludf.DUMMYFUNCTION("GOOGLETRANSLATE(A6613, ""zh"", ""en"")"),"Data security")</f>
        <v>Data security</v>
      </c>
      <c r="C6613" s="1" t="str">
        <f ca="1">IFERROR(__xludf.DUMMYFUNCTION("GOOGLETRANSLATE(E6613, ""zh"", ""en"")"),"Qualitative text")</f>
        <v>Qualitative text</v>
      </c>
    </row>
    <row r="6614" spans="1:3" ht="13" x14ac:dyDescent="0.15">
      <c r="A6614" s="1" t="str">
        <f ca="1">IFERROR(__xludf.DUMMYFUNCTION("GOOGLETRANSLATE(A6614, ""zh"", ""en"")"),"In 2022, the Bank conducted 9 information security training sessions, covering topics such as data security, personal information protection, information security, legal education, information technology, and outsourcing management. All employees and outs"&amp;"ourced personnel of the Bank participated in the training.")</f>
        <v>In 2022, the Bank conducted 9 information security training sessions, covering topics such as data security, personal information protection, information security, legal education, information technology, and outsourcing management. All employees and outsourced personnel of the Bank participated in the training.</v>
      </c>
      <c r="B6614" s="1" t="str">
        <f ca="1">IFERROR(__xludf.DUMMYFUNCTION("GOOGLETRANSLATE(A6614, ""zh"", ""en"")"),"Data security")</f>
        <v>Data security</v>
      </c>
      <c r="C6614" s="1" t="str">
        <f ca="1">IFERROR(__xludf.DUMMYFUNCTION("GOOGLETRANSLATE(E6614, ""zh"", ""en"")"),"Quantitative Text")</f>
        <v>Quantitative Text</v>
      </c>
    </row>
    <row r="6615" spans="1:3" ht="13" x14ac:dyDescent="0.15">
      <c r="A6615" s="1" t="str">
        <f ca="1">IFERROR(__xludf.DUMMYFUNCTION("GOOGLETRANSLATE(A6615, ""zh"", ""en"")"),"Data Security Management System Certification In December 2022, the China Academy of Information and Communications Technology conducted a data security governance capability assessment on Ping An Bank. The assessment covered 331 assessment items in 15 ar"&amp;"eas, including the bank's data security planning, organizational personnel management, data lifecycle security, personal information protection, and security incident response.")</f>
        <v>Data Security Management System Certification In December 2022, the China Academy of Information and Communications Technology conducted a data security governance capability assessment on Ping An Bank. The assessment covered 331 assessment items in 15 areas, including the bank's data security planning, organizational personnel management, data lifecycle security, personal information protection, and security incident response.</v>
      </c>
      <c r="B6615" s="1" t="str">
        <f ca="1">IFERROR(__xludf.DUMMYFUNCTION("GOOGLETRANSLATE(A6615, ""zh"", ""en"")"),"Data security")</f>
        <v>Data security</v>
      </c>
      <c r="C6615" s="1" t="str">
        <f ca="1">IFERROR(__xludf.DUMMYFUNCTION("GOOGLETRANSLATE(E6615, ""zh"", ""en"")"),"Quantitative Text")</f>
        <v>Quantitative Text</v>
      </c>
    </row>
    <row r="6616" spans="1:3" ht="13" x14ac:dyDescent="0.15">
      <c r="A6616" s="1" t="str">
        <f ca="1">IFERROR(__xludf.DUMMYFUNCTION("GOOGLETRANSLATE(A6616, ""zh"", ""en"")"),"The Bank was rated as Level 3 in comprehensive governance for data security governance capabilities")</f>
        <v>The Bank was rated as Level 3 in comprehensive governance for data security governance capabilities</v>
      </c>
      <c r="B6616" s="1" t="str">
        <f ca="1">IFERROR(__xludf.DUMMYFUNCTION("GOOGLETRANSLATE(A6616, ""zh"", ""en"")"),"Data security")</f>
        <v>Data security</v>
      </c>
      <c r="C6616" s="1" t="str">
        <f ca="1">IFERROR(__xludf.DUMMYFUNCTION("GOOGLETRANSLATE(E6616, ""zh"", ""en"")"),"Quantitative Text")</f>
        <v>Quantitative Text</v>
      </c>
    </row>
    <row r="6617" spans="1:3" ht="13" x14ac:dyDescent="0.15">
      <c r="A6617" s="1" t="str">
        <f ca="1">IFERROR(__xludf.DUMMYFUNCTION("GOOGLETRANSLATE(A6617, ""zh"", ""en"")"),"This level is the highest level that has passed the current data security governance capability assessment.")</f>
        <v>This level is the highest level that has passed the current data security governance capability assessment.</v>
      </c>
      <c r="B6617" s="1" t="str">
        <f ca="1">IFERROR(__xludf.DUMMYFUNCTION("GOOGLETRANSLATE(A6617, ""zh"", ""en"")"),"Data security")</f>
        <v>Data security</v>
      </c>
      <c r="C6617" s="1" t="str">
        <f ca="1">IFERROR(__xludf.DUMMYFUNCTION("GOOGLETRANSLATE(E6617, ""zh"", ""en"")"),"Qualitative text")</f>
        <v>Qualitative text</v>
      </c>
    </row>
    <row r="6618" spans="1:3" ht="13" x14ac:dyDescent="0.15">
      <c r="A6618" s="1" t="str">
        <f ca="1">IFERROR(__xludf.DUMMYFUNCTION("GOOGLETRANSLATE(A6618, ""zh"", ""en"")"),"2. Protecting Customer Privacy The Bank attaches great importance to protecting customer privacy. By guaranteeing customers' data control rights, standardizing the process of collecting and using customer information, and protecting customers' sensitive i"&amp;"nformation, the Bank further improves its personal information protection mechanism.")</f>
        <v>2. Protecting Customer Privacy The Bank attaches great importance to protecting customer privacy. By guaranteeing customers' data control rights, standardizing the process of collecting and using customer information, and protecting customers' sensitive information, the Bank further improves its personal information protection mechanism.</v>
      </c>
      <c r="B6618" s="1" t="str">
        <f ca="1">IFERROR(__xludf.DUMMYFUNCTION("GOOGLETRANSLATE(A6618, ""zh"", ""en"")"),"Customers and Consumers")</f>
        <v>Customers and Consumers</v>
      </c>
      <c r="C6618" s="1" t="str">
        <f ca="1">IFERROR(__xludf.DUMMYFUNCTION("GOOGLETRANSLATE(E6618, ""zh"", ""en"")"),"Qualitative text")</f>
        <v>Qualitative text</v>
      </c>
    </row>
    <row r="6619" spans="1:3" ht="13" x14ac:dyDescent="0.15">
      <c r="A6619" s="1" t="str">
        <f ca="1">IFERROR(__xludf.DUMMYFUNCTION("GOOGLETRANSLATE(A6619, ""zh"", ""en"")"),"Customer Data Control Rights Our bank's personal information protection management regulations clearly stipulate that each business demander should actively delete personal information or anonymize it when the customer revokes authorization or cancels the"&amp;" account.")</f>
        <v>Customer Data Control Rights Our bank's personal information protection management regulations clearly stipulate that each business demander should actively delete personal information or anonymize it when the customer revokes authorization or cancels the account.</v>
      </c>
      <c r="B6619" s="1" t="str">
        <f ca="1">IFERROR(__xludf.DUMMYFUNCTION("GOOGLETRANSLATE(A6619, ""zh"", ""en"")"),"Data security")</f>
        <v>Data security</v>
      </c>
      <c r="C6619" s="1" t="str">
        <f ca="1">IFERROR(__xludf.DUMMYFUNCTION("GOOGLETRANSLATE(E6619, ""zh"", ""en"")"),"Qualitative text")</f>
        <v>Qualitative text</v>
      </c>
    </row>
    <row r="6620" spans="1:3" ht="13" x14ac:dyDescent="0.15">
      <c r="A6620" s="1" t="str">
        <f ca="1">IFERROR(__xludf.DUMMYFUNCTION("GOOGLETRANSLATE(A6620, ""zh"", ""en"")"),"The Bank clearly publicizes the above rights and request acceptance methods in a conspicuous location on its official website, client software, including mobile banking APP, business locations and other external service channels.")</f>
        <v>The Bank clearly publicizes the above rights and request acceptance methods in a conspicuous location on its official website, client software, including mobile banking APP, business locations and other external service channels.</v>
      </c>
      <c r="B6620" s="1" t="str">
        <f ca="1">IFERROR(__xludf.DUMMYFUNCTION("GOOGLETRANSLATE(A6620, ""zh"", ""en"")"),"Customers and Consumers")</f>
        <v>Customers and Consumers</v>
      </c>
      <c r="C6620" s="1" t="str">
        <f ca="1">IFERROR(__xludf.DUMMYFUNCTION("GOOGLETRANSLATE(E6620, ""zh"", ""en"")"),"Qualitative text")</f>
        <v>Qualitative text</v>
      </c>
    </row>
    <row r="6621" spans="1:3" ht="13" x14ac:dyDescent="0.15">
      <c r="A6621" s="1" t="str">
        <f ca="1">IFERROR(__xludf.DUMMYFUNCTION("GOOGLETRANSLATE(A6621, ""zh"", ""en"")"),"The Personal Information Protection Policy of the Ping An Pocket Bank APP of our Bank stipulates that the storage period of relevant personal information under the terms of this policy is five years after the termination of the corresponding business or t"&amp;"he storage period required by Ping An Bank in accordance with laws, regulations and regulatory requirements and in combination with the services provided to you, whichever is later.")</f>
        <v>The Personal Information Protection Policy of the Ping An Pocket Bank APP of our Bank stipulates that the storage period of relevant personal information under the terms of this policy is five years after the termination of the corresponding business or the storage period required by Ping An Bank in accordance with laws, regulations and regulatory requirements and in combination with the services provided to you, whichever is later.</v>
      </c>
      <c r="B6621" s="1" t="str">
        <f ca="1">IFERROR(__xludf.DUMMYFUNCTION("GOOGLETRANSLATE(A6621, ""zh"", ""en"")"),"Data security")</f>
        <v>Data security</v>
      </c>
      <c r="C6621" s="1" t="str">
        <f ca="1">IFERROR(__xludf.DUMMYFUNCTION("GOOGLETRANSLATE(E6621, ""zh"", ""en"")"),"Qualitative text")</f>
        <v>Qualitative text</v>
      </c>
    </row>
    <row r="6622" spans="1:3" ht="13" x14ac:dyDescent="0.15">
      <c r="A6622" s="1" t="str">
        <f ca="1">IFERROR(__xludf.DUMMYFUNCTION("GOOGLETRANSLATE(A6622, ""zh"", ""en"")"),"After the necessary period, we will delete or anonymize your personal information, unless otherwise provided by laws and regulations.")</f>
        <v>After the necessary period, we will delete or anonymize your personal information, unless otherwise provided by laws and regulations.</v>
      </c>
      <c r="B6622" s="1" t="str">
        <f ca="1">IFERROR(__xludf.DUMMYFUNCTION("GOOGLETRANSLATE(A6622, ""zh"", ""en"")"),"Data security")</f>
        <v>Data security</v>
      </c>
      <c r="C6622" s="1" t="str">
        <f ca="1">IFERROR(__xludf.DUMMYFUNCTION("GOOGLETRANSLATE(E6622, ""zh"", ""en"")"),"Qualitative text")</f>
        <v>Qualitative text</v>
      </c>
    </row>
    <row r="6623" spans="1:3" ht="13" x14ac:dyDescent="0.15">
      <c r="A6623" s="1" t="str">
        <f ca="1">IFERROR(__xludf.DUMMYFUNCTION("GOOGLETRANSLATE(A6623, ""zh"", ""en"")"),"59 Customer Information Collection and Use The Bank has formulated the Ping An Pocket Bank APP Personal Information Protection Policy to regulate the collection and use of information and clarify the information collection methods and business scenarios f"&amp;"or information collection and use.")</f>
        <v>59 Customer Information Collection and Use The Bank has formulated the Ping An Pocket Bank APP Personal Information Protection Policy to regulate the collection and use of information and clarify the information collection methods and business scenarios for information collection and use.</v>
      </c>
      <c r="B6623" s="1" t="str">
        <f ca="1">IFERROR(__xludf.DUMMYFUNCTION("GOOGLETRANSLATE(A6623, ""zh"", ""en"")"),"Customers and Consumers")</f>
        <v>Customers and Consumers</v>
      </c>
      <c r="C6623" s="1" t="str">
        <f ca="1">IFERROR(__xludf.DUMMYFUNCTION("GOOGLETRANSLATE(E6623, ""zh"", ""en"")"),"Qualitative text")</f>
        <v>Qualitative text</v>
      </c>
    </row>
    <row r="6624" spans="1:3" ht="13" x14ac:dyDescent="0.15">
      <c r="A6624" s="1" t="str">
        <f ca="1">IFERROR(__xludf.DUMMYFUNCTION("GOOGLETRANSLATE(A6624, ""zh"", ""en"")"),"In the process of providing products and services, the Bank will not collect or share any personal information with third parties except in cases where personal information is obtained in accordance with laws, regulations and regulatory requirements.")</f>
        <v>In the process of providing products and services, the Bank will not collect or share any personal information with third parties except in cases where personal information is obtained in accordance with laws, regulations and regulatory requirements.</v>
      </c>
      <c r="B6624" s="1" t="str">
        <f ca="1">IFERROR(__xludf.DUMMYFUNCTION("GOOGLETRANSLATE(A6624, ""zh"", ""en"")"),"Data security")</f>
        <v>Data security</v>
      </c>
      <c r="C6624" s="1" t="str">
        <f ca="1">IFERROR(__xludf.DUMMYFUNCTION("GOOGLETRANSLATE(E6624, ""zh"", ""en"")"),"Qualitative text")</f>
        <v>Qualitative text</v>
      </c>
    </row>
    <row r="6625" spans="1:3" ht="13" x14ac:dyDescent="0.15">
      <c r="A6625" s="1" t="str">
        <f ca="1">IFERROR(__xludf.DUMMYFUNCTION("GOOGLETRANSLATE(A6625, ""zh"", ""en"")"),"The Bank and its partners have signed cooperation agreements and data confidentiality clauses and will not proactively share customer personal information with third parties without prior explicit authorization from the customer or data owner.")</f>
        <v>The Bank and its partners have signed cooperation agreements and data confidentiality clauses and will not proactively share customer personal information with third parties without prior explicit authorization from the customer or data owner.</v>
      </c>
      <c r="B6625" s="1" t="str">
        <f ca="1">IFERROR(__xludf.DUMMYFUNCTION("GOOGLETRANSLATE(A6625, ""zh"", ""en"")"),"Data security")</f>
        <v>Data security</v>
      </c>
      <c r="C6625" s="1" t="str">
        <f ca="1">IFERROR(__xludf.DUMMYFUNCTION("GOOGLETRANSLATE(E6625, ""zh"", ""en"")"),"Qualitative text")</f>
        <v>Qualitative text</v>
      </c>
    </row>
    <row r="6626" spans="1:3" ht="13" x14ac:dyDescent="0.15">
      <c r="A6626" s="1" t="str">
        <f ca="1">IFERROR(__xludf.DUMMYFUNCTION("GOOGLETRANSLATE(A6626, ""zh"", ""en"")"),"When sharing data with a third party, the Bank assesses the legality, legitimacy, and necessity of the information collected by the third party and requires the third party to adopt strict data protection measures.")</f>
        <v>When sharing data with a third party, the Bank assesses the legality, legitimacy, and necessity of the information collected by the third party and requires the third party to adopt strict data protection measures.</v>
      </c>
      <c r="B6626" s="1" t="str">
        <f ca="1">IFERROR(__xludf.DUMMYFUNCTION("GOOGLETRANSLATE(A6626, ""zh"", ""en"")"),"Data security")</f>
        <v>Data security</v>
      </c>
      <c r="C6626" s="1" t="str">
        <f ca="1">IFERROR(__xludf.DUMMYFUNCTION("GOOGLETRANSLATE(E6626, ""zh"", ""en"")"),"Qualitative text")</f>
        <v>Qualitative text</v>
      </c>
    </row>
    <row r="6627" spans="1:3" ht="13" x14ac:dyDescent="0.15">
      <c r="A6627" s="1" t="str">
        <f ca="1">IFERROR(__xludf.DUMMYFUNCTION("GOOGLETRANSLATE(A6627, ""zh"", ""en"")"),"Protecting sensitive customer information: The Bank has established IT service request management methods, IT production system user management standards, and a baseline for sensitive information display, blocking, and download management, strengthening s"&amp;"ensitive information process management.")</f>
        <v>Protecting sensitive customer information: The Bank has established IT service request management methods, IT production system user management standards, and a baseline for sensitive information display, blocking, and download management, strengthening sensitive information process management.</v>
      </c>
      <c r="B6627" s="1" t="str">
        <f ca="1">IFERROR(__xludf.DUMMYFUNCTION("GOOGLETRANSLATE(A6627, ""zh"", ""en"")"),"Data security")</f>
        <v>Data security</v>
      </c>
      <c r="C6627" s="1" t="str">
        <f ca="1">IFERROR(__xludf.DUMMYFUNCTION("GOOGLETRANSLATE(E6627, ""zh"", ""en"")"),"Qualitative text")</f>
        <v>Qualitative text</v>
      </c>
    </row>
    <row r="6628" spans="1:3" ht="13" x14ac:dyDescent="0.15">
      <c r="A6628" s="1" t="str">
        <f ca="1">IFERROR(__xludf.DUMMYFUNCTION("GOOGLETRANSLATE(A6628, ""zh"", ""en"")"),"Ensuring the security of personal information through encrypted storage and encrypted transmission technologies")</f>
        <v>Ensuring the security of personal information through encrypted storage and encrypted transmission technologies</v>
      </c>
      <c r="B6628" s="1" t="str">
        <f ca="1">IFERROR(__xludf.DUMMYFUNCTION("GOOGLETRANSLATE(A6628, ""zh"", ""en"")"),"Data security")</f>
        <v>Data security</v>
      </c>
      <c r="C6628" s="1" t="str">
        <f ca="1">IFERROR(__xludf.DUMMYFUNCTION("GOOGLETRANSLATE(E6628, ""zh"", ""en"")"),"Qualitative text")</f>
        <v>Qualitative text</v>
      </c>
    </row>
    <row r="6629" spans="1:3" ht="13" x14ac:dyDescent="0.15">
      <c r="A6629" s="1" t="str">
        <f ca="1">IFERROR(__xludf.DUMMYFUNCTION("GOOGLETRANSLATE(A6629, ""zh"", ""en"")"),"In terms of access control, the Bank implements strict permission application and approval procedures for system information data collection and blocks personal sensitive information on application pages, strictly controlling the display and download of p"&amp;"lain text.")</f>
        <v>In terms of access control, the Bank implements strict permission application and approval procedures for system information data collection and blocks personal sensitive information on application pages, strictly controlling the display and download of plain text.</v>
      </c>
      <c r="B6629" s="1" t="str">
        <f ca="1">IFERROR(__xludf.DUMMYFUNCTION("GOOGLETRANSLATE(A6629, ""zh"", ""en"")"),"Data security")</f>
        <v>Data security</v>
      </c>
      <c r="C6629" s="1" t="str">
        <f ca="1">IFERROR(__xludf.DUMMYFUNCTION("GOOGLETRANSLATE(E6629, ""zh"", ""en"")"),"Qualitative text")</f>
        <v>Qualitative text</v>
      </c>
    </row>
    <row r="6630" spans="1:3" ht="13" x14ac:dyDescent="0.15">
      <c r="A6630" s="1" t="str">
        <f ca="1">IFERROR(__xludf.DUMMYFUNCTION("GOOGLETRANSLATE(A6630, ""zh"", ""en"")"),"60.7 Development of Green Finance The Bank actively responded to the national call and implemented the concept of green development, deepened the organic integration of commercial value and environmental benefits, innovated green financial products and se"&amp;"rvices, increased support for green industries, and continuously promoted green operations. It built a green bank that coexists harmoniously with the environment and contributed to the national dual carbon goals.")</f>
        <v>60.7 Development of Green Finance The Bank actively responded to the national call and implemented the concept of green development, deepened the organic integration of commercial value and environmental benefits, innovated green financial products and services, increased support for green industries, and continuously promoted green operations. It built a green bank that coexists harmoniously with the environment and contributed to the national dual carbon goals.</v>
      </c>
      <c r="B6630" s="1" t="str">
        <f ca="1">IFERROR(__xludf.DUMMYFUNCTION("GOOGLETRANSLATE(A6630, ""zh"", ""en"")"),"Green Finance")</f>
        <v>Green Finance</v>
      </c>
      <c r="C6630" s="1" t="str">
        <f ca="1">IFERROR(__xludf.DUMMYFUNCTION("GOOGLETRANSLATE(E6630, ""zh"", ""en"")"),"Qualitative text")</f>
        <v>Qualitative text</v>
      </c>
    </row>
    <row r="6631" spans="1:3" ht="13" x14ac:dyDescent="0.15">
      <c r="A6631" s="1" t="str">
        <f ca="1">IFERROR(__xludf.DUMMYFUNCTION("GOOGLETRANSLATE(A6631, ""zh"", ""en"")"),"As of the end of 2022, the green finance business balance of the Bank and its wholly-owned subsidiary Ping An Wealth Management was RMB170.05 billion, an increase of 49.52% over the end of the previous year, and the green loan balance was RMB109.768 billi"&amp;"on, an increase of 58.8% over the end of the previous year.")</f>
        <v>As of the end of 2022, the green finance business balance of the Bank and its wholly-owned subsidiary Ping An Wealth Management was RMB170.05 billion, an increase of 49.52% over the end of the previous year, and the green loan balance was RMB109.768 billion, an increase of 58.8% over the end of the previous year.</v>
      </c>
      <c r="B6631" s="1" t="str">
        <f ca="1">IFERROR(__xludf.DUMMYFUNCTION("GOOGLETRANSLATE(A6631, ""zh"", ""en"")"),"Green Finance")</f>
        <v>Green Finance</v>
      </c>
      <c r="C6631" s="1" t="str">
        <f ca="1">IFERROR(__xludf.DUMMYFUNCTION("GOOGLETRANSLATE(E6631, ""zh"", ""en"")"),"Quantitative Text")</f>
        <v>Quantitative Text</v>
      </c>
    </row>
    <row r="6632" spans="1:3" ht="13" x14ac:dyDescent="0.15">
      <c r="A6632" s="1" t="str">
        <f ca="1">IFERROR(__xludf.DUMMYFUNCTION("GOOGLETRANSLATE(A6632, ""zh"", ""en"")"),"1. Strategy and Objectives: The Bank adheres to the concept that green mountains and clear waters are invaluable assets and actively implements the national dual-carbon strategy. It adheres to the business orientation of promoting the development of the r"&amp;"eal economy through green finance, elevates green finance to a strategic level and prioritizes long-term development of the industry. With a focus on supporting the development of the real economy and the construction of an ecological civilization, it con"&amp;"tinues to expand the scale of green financing, enhances its green financial service capabilities, and actively assumes the responsibility of supporting the high-quality development of the real economy through finance, building a green bank.")</f>
        <v>1. Strategy and Objectives: The Bank adheres to the concept that green mountains and clear waters are invaluable assets and actively implements the national dual-carbon strategy. It adheres to the business orientation of promoting the development of the real economy through green finance, elevates green finance to a strategic level and prioritizes long-term development of the industry. With a focus on supporting the development of the real economy and the construction of an ecological civilization, it continues to expand the scale of green financing, enhances its green financial service capabilities, and actively assumes the responsibility of supporting the high-quality development of the real economy through finance, building a green bank.</v>
      </c>
      <c r="B6632" s="1" t="str">
        <f ca="1">IFERROR(__xludf.DUMMYFUNCTION("GOOGLETRANSLATE(A6632, ""zh"", ""en"")"),"Green Finance")</f>
        <v>Green Finance</v>
      </c>
      <c r="C6632" s="1" t="str">
        <f ca="1">IFERROR(__xludf.DUMMYFUNCTION("GOOGLETRANSLATE(E6632, ""zh"", ""en"")"),"Qualitative text")</f>
        <v>Qualitative text</v>
      </c>
    </row>
    <row r="6633" spans="1:3" ht="13" x14ac:dyDescent="0.15">
      <c r="A6633" s="1" t="str">
        <f ca="1">IFERROR(__xludf.DUMMYFUNCTION("GOOGLETRANSLATE(A6633, ""zh"", ""en"")"),"The Bank's three-year strategic development plan sets out the Bank's medium- and long-term development goals for implementing its green credit strategy. In line with the development requirements of building a beautiful China, we uphold the concept of sust"&amp;"ainable development and further promote green finance, striving to build a green bank. By supporting a green, low-carbon, circular economy, we strengthen environmental and social risk management and enhance the Bank's environmental and social performance.")</f>
        <v>The Bank's three-year strategic development plan sets out the Bank's medium- and long-term development goals for implementing its green credit strategy. In line with the development requirements of building a beautiful China, we uphold the concept of sustainable development and further promote green finance, striving to build a green bank. By supporting a green, low-carbon, circular economy, we strengthen environmental and social risk management and enhance the Bank's environmental and social performance.</v>
      </c>
      <c r="B6633" s="1" t="str">
        <f ca="1">IFERROR(__xludf.DUMMYFUNCTION("GOOGLETRANSLATE(A6633, ""zh"", ""en"")"),"Green Finance")</f>
        <v>Green Finance</v>
      </c>
      <c r="C6633" s="1" t="str">
        <f ca="1">IFERROR(__xludf.DUMMYFUNCTION("GOOGLETRANSLATE(E6633, ""zh"", ""en"")"),"Qualitative text")</f>
        <v>Qualitative text</v>
      </c>
    </row>
    <row r="6634" spans="1:3" ht="13" x14ac:dyDescent="0.15">
      <c r="A6634" s="1" t="str">
        <f ca="1">IFERROR(__xludf.DUMMYFUNCTION("GOOGLETRANSLATE(A6634, ""zh"", ""en"")"),"At the same time, the Bank has formulated a five-year green finance plan and targets for 2023-2027, further strengthening support for green industries, deepening the green transformation of investment and financing structures, and continuously promoting l"&amp;"ow-carbon operations and green offices in accordance with Ping An Group's goal of achieving carbon neutrality at the operational level by 2030.")</f>
        <v>At the same time, the Bank has formulated a five-year green finance plan and targets for 2023-2027, further strengthening support for green industries, deepening the green transformation of investment and financing structures, and continuously promoting low-carbon operations and green offices in accordance with Ping An Group's goal of achieving carbon neutrality at the operational level by 2030.</v>
      </c>
      <c r="B6634" s="1" t="str">
        <f ca="1">IFERROR(__xludf.DUMMYFUNCTION("GOOGLETRANSLATE(A6634, ""zh"", ""en"")"),"Green Finance")</f>
        <v>Green Finance</v>
      </c>
      <c r="C6634" s="1" t="str">
        <f ca="1">IFERROR(__xludf.DUMMYFUNCTION("GOOGLETRANSLATE(E6634, ""zh"", ""en"")"),"Qualitative text")</f>
        <v>Qualitative text</v>
      </c>
    </row>
    <row r="6635" spans="1:3" ht="13" x14ac:dyDescent="0.15">
      <c r="A6635" s="1" t="str">
        <f ca="1">IFERROR(__xludf.DUMMYFUNCTION("GOOGLETRANSLATE(A6635, ""zh"", ""en"")"),"II. Improving the Green Finance Management System The Bank continuously improved the top-level design and governance structure of green finance, formed a green finance management structure and work pattern with the Board of Directors and senior management"&amp;" taking overall leadership, the Green Finance Division taking the lead in coordinating various departments of the Head Office and fully supporting all branches in implementing and promoting the green finance management structure and work pattern with the "&amp;"participation of all employees of the Bank.")</f>
        <v>II. Improving the Green Finance Management System The Bank continuously improved the top-level design and governance structure of green finance, formed a green finance management structure and work pattern with the Board of Directors and senior management taking overall leadership, the Green Finance Division taking the lead in coordinating various departments of the Head Office and fully supporting all branches in implementing and promoting the green finance management structure and work pattern with the participation of all employees of the Bank.</v>
      </c>
      <c r="B6635" s="1" t="str">
        <f ca="1">IFERROR(__xludf.DUMMYFUNCTION("GOOGLETRANSLATE(A6635, ""zh"", ""en"")"),"Green Finance")</f>
        <v>Green Finance</v>
      </c>
      <c r="C6635" s="1" t="str">
        <f ca="1">IFERROR(__xludf.DUMMYFUNCTION("GOOGLETRANSLATE(E6635, ""zh"", ""en"")"),"Qualitative text")</f>
        <v>Qualitative text</v>
      </c>
    </row>
    <row r="6636" spans="1:3" ht="13" x14ac:dyDescent="0.15">
      <c r="A6636" s="1" t="str">
        <f ca="1">IFERROR(__xludf.DUMMYFUNCTION("GOOGLETRANSLATE(A6636, ""zh"", ""en"")"),"Strategic Decision-making by the Board of Directors The Bank's Board of Directors is responsible for determining the green credit development strategy, approving the green credit targets set by senior management and the green credit reports submitted, and"&amp;" overseeing and evaluating the effectiveness of the Bank's green credit development strategy implementation.")</f>
        <v>Strategic Decision-making by the Board of Directors The Bank's Board of Directors is responsible for determining the green credit development strategy, approving the green credit targets set by senior management and the green credit reports submitted, and overseeing and evaluating the effectiveness of the Bank's green credit development strategy implementation.</v>
      </c>
      <c r="B6636" s="1" t="str">
        <f ca="1">IFERROR(__xludf.DUMMYFUNCTION("GOOGLETRANSLATE(A6636, ""zh"", ""en"")"),"Green Finance")</f>
        <v>Green Finance</v>
      </c>
      <c r="C6636" s="1" t="str">
        <f ca="1">IFERROR(__xludf.DUMMYFUNCTION("GOOGLETRANSLATE(E6636, ""zh"", ""en"")"),"Qualitative text")</f>
        <v>Qualitative text</v>
      </c>
    </row>
    <row r="6637" spans="1:3" ht="13" x14ac:dyDescent="0.15">
      <c r="A6637" s="1" t="str">
        <f ca="1">IFERROR(__xludf.DUMMYFUNCTION("GOOGLETRANSLATE(A6637, ""zh"", ""en"")"),"Ping An Bank's 2021 Annual Report and Sustainable Development Report, which was reviewed and approved by the Board of Directors during the reporting period, covers green finance-related topics.")</f>
        <v>Ping An Bank's 2021 Annual Report and Sustainable Development Report, which was reviewed and approved by the Board of Directors during the reporting period, covers green finance-related topics.</v>
      </c>
      <c r="B6637" s="1" t="str">
        <f ca="1">IFERROR(__xludf.DUMMYFUNCTION("GOOGLETRANSLATE(A6637, ""zh"", ""en"")"),"Green Finance")</f>
        <v>Green Finance</v>
      </c>
      <c r="C6637" s="1" t="str">
        <f ca="1">IFERROR(__xludf.DUMMYFUNCTION("GOOGLETRANSLATE(E6637, ""zh"", ""en"")"),"Qualitative text")</f>
        <v>Qualitative text</v>
      </c>
    </row>
    <row r="6638" spans="1:3" ht="13" x14ac:dyDescent="0.15">
      <c r="A6638" s="1" t="str">
        <f ca="1">IFERROR(__xludf.DUMMYFUNCTION("GOOGLETRANSLATE(A6638, ""zh"", ""en"")"),"In 2022, the Board of Directors also conducted special training on green finance guidelines for the banking and insurance industries to keep abreast of the latest development trends in green finance at home and abroad.")</f>
        <v>In 2022, the Board of Directors also conducted special training on green finance guidelines for the banking and insurance industries to keep abreast of the latest development trends in green finance at home and abroad.</v>
      </c>
      <c r="B6638" s="1" t="str">
        <f ca="1">IFERROR(__xludf.DUMMYFUNCTION("GOOGLETRANSLATE(A6638, ""zh"", ""en"")"),"Green Finance")</f>
        <v>Green Finance</v>
      </c>
      <c r="C6638" s="1" t="str">
        <f ca="1">IFERROR(__xludf.DUMMYFUNCTION("GOOGLETRANSLATE(E6638, ""zh"", ""en"")"),"Qualitative text")</f>
        <v>Qualitative text</v>
      </c>
    </row>
    <row r="6639" spans="1:3" ht="13" x14ac:dyDescent="0.15">
      <c r="A6639" s="1" t="str">
        <f ca="1">IFERROR(__xludf.DUMMYFUNCTION("GOOGLETRANSLATE(A6639, ""zh"", ""en"")"),"The Bank established a Green Finance Office with the President of the Head Office as Director and the leaders of the relevant branches as Deputy Directors to comprehensively coordinate and promote the Bank's green finance business.")</f>
        <v>The Bank established a Green Finance Office with the President of the Head Office as Director and the leaders of the relevant branches as Deputy Directors to comprehensively coordinate and promote the Bank's green finance business.</v>
      </c>
      <c r="B6639" s="1" t="str">
        <f ca="1">IFERROR(__xludf.DUMMYFUNCTION("GOOGLETRANSLATE(A6639, ""zh"", ""en"")"),"Green Finance")</f>
        <v>Green Finance</v>
      </c>
      <c r="C6639" s="1" t="str">
        <f ca="1">IFERROR(__xludf.DUMMYFUNCTION("GOOGLETRANSLATE(E6639, ""zh"", ""en"")"),"Qualitative text")</f>
        <v>Qualitative text</v>
      </c>
    </row>
    <row r="6640" spans="1:3" ht="13" x14ac:dyDescent="0.15">
      <c r="A6640" s="1" t="str">
        <f ca="1">IFERROR(__xludf.DUMMYFUNCTION("GOOGLETRANSLATE(A6640, ""zh"", ""en"")"),"The professional department takes the lead in implementing the establishment of the Green Finance Division of the Bank, which is staffed with 54 full-time staff and serves as the secretariat of the Green Finance Office, responsible for coordinating and pr"&amp;"omoting the green finance work of the entire bank.")</f>
        <v>The professional department takes the lead in implementing the establishment of the Green Finance Division of the Bank, which is staffed with 54 full-time staff and serves as the secretariat of the Green Finance Office, responsible for coordinating and promoting the green finance work of the entire bank.</v>
      </c>
      <c r="B6640" s="1" t="str">
        <f ca="1">IFERROR(__xludf.DUMMYFUNCTION("GOOGLETRANSLATE(A6640, ""zh"", ""en"")"),"Green Finance")</f>
        <v>Green Finance</v>
      </c>
      <c r="C6640" s="1" t="str">
        <f ca="1">IFERROR(__xludf.DUMMYFUNCTION("GOOGLETRANSLATE(E6640, ""zh"", ""en"")"),"Quantitative Text")</f>
        <v>Quantitative Text</v>
      </c>
    </row>
    <row r="6641" spans="1:3" ht="13" x14ac:dyDescent="0.15">
      <c r="A6641" s="1" t="str">
        <f ca="1">IFERROR(__xludf.DUMMYFUNCTION("GOOGLETRANSLATE(A6641, ""zh"", ""en"")"),"The bank has implemented a coordinated approach to promote green finance. Each branch's corporate and risk management departments have established dedicated posts to promote green finance business. Through joint assessment, incentives, and team building b"&amp;"etween the head office and branches, a unique networked green finance promotion system has been established.")</f>
        <v>The bank has implemented a coordinated approach to promote green finance. Each branch's corporate and risk management departments have established dedicated posts to promote green finance business. Through joint assessment, incentives, and team building between the head office and branches, a unique networked green finance promotion system has been established.</v>
      </c>
      <c r="B6641" s="1" t="str">
        <f ca="1">IFERROR(__xludf.DUMMYFUNCTION("GOOGLETRANSLATE(A6641, ""zh"", ""en"")"),"Green Finance")</f>
        <v>Green Finance</v>
      </c>
      <c r="C6641" s="1" t="str">
        <f ca="1">IFERROR(__xludf.DUMMYFUNCTION("GOOGLETRANSLATE(E6641, ""zh"", ""en"")"),"Qualitative text")</f>
        <v>Qualitative text</v>
      </c>
    </row>
    <row r="6642" spans="1:3" ht="13" x14ac:dyDescent="0.15">
      <c r="A6642" s="1" t="str">
        <f ca="1">IFERROR(__xludf.DUMMYFUNCTION("GOOGLETRANSLATE(A6642, ""zh"", ""en"")"),"By the end of 2022, there will be more than 80 green finance business contacts at the branch level and the number of green finance business undertaking teams will exceed 300.")</f>
        <v>By the end of 2022, there will be more than 80 green finance business contacts at the branch level and the number of green finance business undertaking teams will exceed 300.</v>
      </c>
      <c r="B6642" s="1" t="str">
        <f ca="1">IFERROR(__xludf.DUMMYFUNCTION("GOOGLETRANSLATE(A6642, ""zh"", ""en"")"),"Green Finance")</f>
        <v>Green Finance</v>
      </c>
      <c r="C6642" s="1" t="str">
        <f ca="1">IFERROR(__xludf.DUMMYFUNCTION("GOOGLETRANSLATE(E6642, ""zh"", ""en"")"),"Quantitative Text")</f>
        <v>Quantitative Text</v>
      </c>
    </row>
    <row r="6643" spans="1:3" ht="13" x14ac:dyDescent="0.15">
      <c r="A6643" s="1" t="str">
        <f ca="1">IFERROR(__xludf.DUMMYFUNCTION("GOOGLETRANSLATE(A6643, ""zh"", ""en"")"),"Third, strengthen the construction of green finance system. Since the People's Bank of China and seven other ministries and commissions issued the Guiding Opinions on Building a Green Finance System in 2016, my country has issued a number of green finance"&amp;" guidance documents and continuously improved the green finance standard system and statistical supervision.")</f>
        <v>Third, strengthen the construction of green finance system. Since the People's Bank of China and seven other ministries and commissions issued the Guiding Opinions on Building a Green Finance System in 2016, my country has issued a number of green finance guidance documents and continuously improved the green finance standard system and statistical supervision.</v>
      </c>
      <c r="B6643" s="1" t="str">
        <f ca="1">IFERROR(__xludf.DUMMYFUNCTION("GOOGLETRANSLATE(A6643, ""zh"", ""en"")"),"Green Finance")</f>
        <v>Green Finance</v>
      </c>
      <c r="C6643" s="1" t="str">
        <f ca="1">IFERROR(__xludf.DUMMYFUNCTION("GOOGLETRANSLATE(E6643, ""zh"", ""en"")"),"Qualitative text")</f>
        <v>Qualitative text</v>
      </c>
    </row>
    <row r="6644" spans="1:3" ht="13" x14ac:dyDescent="0.15">
      <c r="A6644" s="1" t="str">
        <f ca="1">IFERROR(__xludf.DUMMYFUNCTION("GOOGLETRANSLATE(A6644, ""zh"", ""en"")"),"In June 2022, the China Banking and Insurance Regulatory Commission issued the Green Finance Guidelines for the Banking and Insurance Industries, requiring banks and insurance institutions to promote green finance from a strategic perspective, increase su"&amp;"pport for a green, low-carbon, circular economy, and promote a comprehensive green transformation of economic and social development.")</f>
        <v>In June 2022, the China Banking and Insurance Regulatory Commission issued the Green Finance Guidelines for the Banking and Insurance Industries, requiring banks and insurance institutions to promote green finance from a strategic perspective, increase support for a green, low-carbon, circular economy, and promote a comprehensive green transformation of economic and social development.</v>
      </c>
      <c r="B6644" s="1" t="str">
        <f ca="1">IFERROR(__xludf.DUMMYFUNCTION("GOOGLETRANSLATE(A6644, ""zh"", ""en"")"),"Green Finance")</f>
        <v>Green Finance</v>
      </c>
      <c r="C6644" s="1" t="str">
        <f ca="1">IFERROR(__xludf.DUMMYFUNCTION("GOOGLETRANSLATE(E6644, ""zh"", ""en"")"),"Qualitative text")</f>
        <v>Qualitative text</v>
      </c>
    </row>
    <row r="6645" spans="1:3" ht="13" x14ac:dyDescent="0.15">
      <c r="A6645" s="1" t="str">
        <f ca="1">IFERROR(__xludf.DUMMYFUNCTION("GOOGLETRANSLATE(A6645, ""zh"", ""en"")"),"At the local level, the Shenzhen Special Economic Zone Green Finance Regulations were officially implemented in March 2021, setting specific requirements for financial institutions in terms of green finance system construction and environmental informatio"&amp;"n disclosure.")</f>
        <v>At the local level, the Shenzhen Special Economic Zone Green Finance Regulations were officially implemented in March 2021, setting specific requirements for financial institutions in terms of green finance system construction and environmental information disclosure.</v>
      </c>
      <c r="B6645" s="1" t="str">
        <f ca="1">IFERROR(__xludf.DUMMYFUNCTION("GOOGLETRANSLATE(A6645, ""zh"", ""en"")"),"Green Finance")</f>
        <v>Green Finance</v>
      </c>
      <c r="C6645" s="1" t="str">
        <f ca="1">IFERROR(__xludf.DUMMYFUNCTION("GOOGLETRANSLATE(E6645, ""zh"", ""en"")"),"Qualitative text")</f>
        <v>Qualitative text</v>
      </c>
    </row>
    <row r="6646" spans="1:3" ht="13" x14ac:dyDescent="0.15">
      <c r="A6646" s="1" t="str">
        <f ca="1">IFERROR(__xludf.DUMMYFUNCTION("GOOGLETRANSLATE(A6646, ""zh"", ""en"")"),"The Bank has formulated green finance-related systems, including the 2022 Risk Policy Guidelines, the Green Finance Business Risk Manual, the Green Channel Management Measures for Corporate Credit Approval, the Green Finance Bond Proceeds Management Measu"&amp;"res, the Green Financing Business Certification and Label Management Measures, and the Green Finance Marketing Management Measures.")</f>
        <v>The Bank has formulated green finance-related systems, including the 2022 Risk Policy Guidelines, the Green Finance Business Risk Manual, the Green Channel Management Measures for Corporate Credit Approval, the Green Finance Bond Proceeds Management Measures, the Green Financing Business Certification and Label Management Measures, and the Green Finance Marketing Management Measures.</v>
      </c>
      <c r="B6646" s="1" t="str">
        <f ca="1">IFERROR(__xludf.DUMMYFUNCTION("GOOGLETRANSLATE(A6646, ""zh"", ""en"")"),"Green Finance")</f>
        <v>Green Finance</v>
      </c>
      <c r="C6646" s="1" t="str">
        <f ca="1">IFERROR(__xludf.DUMMYFUNCTION("GOOGLETRANSLATE(E6646, ""zh"", ""en"")"),"Qualitative text")</f>
        <v>Qualitative text</v>
      </c>
    </row>
    <row r="6647" spans="1:3" ht="13" x14ac:dyDescent="0.15">
      <c r="A6647" s="1" t="str">
        <f ca="1">IFERROR(__xludf.DUMMYFUNCTION("GOOGLETRANSLATE(A6647, ""zh"", ""en"")"),"During the reporting period, the Bank was not subject to any administrative penalties or judicial decisions related to ecological and environmental green finance.")</f>
        <v>During the reporting period, the Bank was not subject to any administrative penalties or judicial decisions related to ecological and environmental green finance.</v>
      </c>
      <c r="B6647" s="1" t="str">
        <f ca="1">IFERROR(__xludf.DUMMYFUNCTION("GOOGLETRANSLATE(A6647, ""zh"", ""en"")"),"Environmental penalties")</f>
        <v>Environmental penalties</v>
      </c>
      <c r="C6647" s="1" t="str">
        <f ca="1">IFERROR(__xludf.DUMMYFUNCTION("GOOGLETRANSLATE(E6647, ""zh"", ""en"")"),"Quantitative Text")</f>
        <v>Quantitative Text</v>
      </c>
    </row>
    <row r="6648" spans="1:3" ht="13" x14ac:dyDescent="0.15">
      <c r="A6648" s="1" t="str">
        <f ca="1">IFERROR(__xludf.DUMMYFUNCTION("GOOGLETRANSLATE(A6648, ""zh"", ""en"")"),"IV. Strengthening Environmental Risk Management The Bank has incorporated climate change-related risks into its overall risk management system as a key component of risk management. It identifies and assesses climate risks based on its actual business cir"&amp;"cumstances and formulates response measures. It implements strict access control for clients and projects, strengthens due diligence on environmental and social risks in credit granting, and implements differentiated management measures for high-energy-co"&amp;"nsuming and high-polluting industries and green credit businesses.")</f>
        <v>IV. Strengthening Environmental Risk Management The Bank has incorporated climate change-related risks into its overall risk management system as a key component of risk management. It identifies and assesses climate risks based on its actual business circumstances and formulates response measures. It implements strict access control for clients and projects, strengthens due diligence on environmental and social risks in credit granting, and implements differentiated management measures for high-energy-consuming and high-polluting industries and green credit businesses.</v>
      </c>
      <c r="B6648" s="1" t="str">
        <f ca="1">IFERROR(__xludf.DUMMYFUNCTION("GOOGLETRANSLATE(A6648, ""zh"", ""en"")"),"Addressing climate change")</f>
        <v>Addressing climate change</v>
      </c>
      <c r="C6648" s="1" t="str">
        <f ca="1">IFERROR(__xludf.DUMMYFUNCTION("GOOGLETRANSLATE(E6648, ""zh"", ""en"")"),"Qualitative text")</f>
        <v>Qualitative text</v>
      </c>
    </row>
    <row r="6649" spans="1:3" ht="13" x14ac:dyDescent="0.15">
      <c r="A6649" s="1" t="str">
        <f ca="1">IFERROR(__xludf.DUMMYFUNCTION("GOOGLETRANSLATE(A6649, ""zh"", ""en"")"),"621. Climate Risk Assessment: The Bank continues to integrate climate risk into its comprehensive risk management framework. By referring to the Task Force on Climate-related Financial Disclosures (TCFD) climate risk classification and definition, and com"&amp;"bining the Bank's actual development and the industry distribution characteristics of its investment and financing businesses, the Bank identifies the potential impacts of environmental and climate risks over different timeframes, including short-term (13"&amp;" years), mid-term (37 years), and long-term (7 years or longer), on its business. Through analysis and research, the Bank proposes countermeasures.")</f>
        <v>621. Climate Risk Assessment: The Bank continues to integrate climate risk into its comprehensive risk management framework. By referring to the Task Force on Climate-related Financial Disclosures (TCFD) climate risk classification and definition, and combining the Bank's actual development and the industry distribution characteristics of its investment and financing businesses, the Bank identifies the potential impacts of environmental and climate risks over different timeframes, including short-term (13 years), mid-term (37 years), and long-term (7 years or longer), on its business. Through analysis and research, the Bank proposes countermeasures.</v>
      </c>
      <c r="B6649" s="1" t="str">
        <f ca="1">IFERROR(__xludf.DUMMYFUNCTION("GOOGLETRANSLATE(A6649, ""zh"", ""en"")"),"Addressing climate change")</f>
        <v>Addressing climate change</v>
      </c>
      <c r="C6649" s="1" t="str">
        <f ca="1">IFERROR(__xludf.DUMMYFUNCTION("GOOGLETRANSLATE(E6649, ""zh"", ""en"")"),"Qualitative text")</f>
        <v>Qualitative text</v>
      </c>
    </row>
    <row r="6650" spans="1:3" ht="13" x14ac:dyDescent="0.15">
      <c r="A6650" s="1" t="str">
        <f ca="1">IFERROR(__xludf.DUMMYFUNCTION("GOOGLETRANSLATE(A6650, ""zh"", ""en"")"),"Risk type, risk factor, risk example, description, financial risk, time dimension, impact analysis, response measures, physical risk, acute risk, extreme weather events such as typhoons and floods. In recent years, typhoons, floods and other climate disas"&amp;"ters have occurred frequently. These disasters can cause damage to physical assets such as houses and cars in the affected areas, leading to asset losses or supply chain disruptions that affect the normal operation of enterprises, resulting in a decline i"&amp;"n their profitability and an increase in non-performing loans.")</f>
        <v>Risk type, risk factor, risk example, description, financial risk, time dimension, impact analysis, response measures, physical risk, acute risk, extreme weather events such as typhoons and floods. In recent years, typhoons, floods and other climate disasters have occurred frequently. These disasters can cause damage to physical assets such as houses and cars in the affected areas, leading to asset losses or supply chain disruptions that affect the normal operation of enterprises, resulting in a decline in their profitability and an increase in non-performing loans.</v>
      </c>
      <c r="B6650" s="1" t="str">
        <f ca="1">IFERROR(__xludf.DUMMYFUNCTION("GOOGLETRANSLATE(A6650, ""zh"", ""en"")"),"Addressing climate change")</f>
        <v>Addressing climate change</v>
      </c>
      <c r="C6650" s="1" t="str">
        <f ca="1">IFERROR(__xludf.DUMMYFUNCTION("GOOGLETRANSLATE(E6650, ""zh"", ""en"")"),"Qualitative text")</f>
        <v>Qualitative text</v>
      </c>
    </row>
    <row r="6651" spans="1:3" ht="13" x14ac:dyDescent="0.15">
      <c r="A6651" s="1" t="str">
        <f ca="1">IFERROR(__xludf.DUMMYFUNCTION("GOOGLETRANSLATE(A6651, ""zh"", ""en"")"),"Credit risk and operational risk may have short-, medium- and long-term impacts on the Bank's office locations and business outlets, thereby affecting the Bank's business continuity.")</f>
        <v>Credit risk and operational risk may have short-, medium- and long-term impacts on the Bank's office locations and business outlets, thereby affecting the Bank's business continuity.</v>
      </c>
      <c r="B6651" s="1" t="str">
        <f ca="1">IFERROR(__xludf.DUMMYFUNCTION("GOOGLETRANSLATE(A6651, ""zh"", ""en"")"),"irrelevant text")</f>
        <v>irrelevant text</v>
      </c>
      <c r="C6651" s="1" t="str">
        <f ca="1">IFERROR(__xludf.DUMMYFUNCTION("GOOGLETRANSLATE(E6651, ""zh"", ""en"")"),"irrelevant text")</f>
        <v>irrelevant text</v>
      </c>
    </row>
    <row r="6652" spans="1:3" ht="13" x14ac:dyDescent="0.15">
      <c r="A6652" s="1" t="str">
        <f ca="1">IFERROR(__xludf.DUMMYFUNCTION("GOOGLETRANSLATE(A6652, ""zh"", ""en"")"),"Affecting the normal operation of the enterprise, resulting in a decline in its profitability and the occurrence of non-performing loans")</f>
        <v>Affecting the normal operation of the enterprise, resulting in a decline in its profitability and the occurrence of non-performing loans</v>
      </c>
      <c r="B6652" s="1" t="str">
        <f ca="1">IFERROR(__xludf.DUMMYFUNCTION("GOOGLETRANSLATE(A6652, ""zh"", ""en"")"),"Shareholder and creditor rights")</f>
        <v>Shareholder and creditor rights</v>
      </c>
      <c r="C6652" s="1" t="str">
        <f ca="1">IFERROR(__xludf.DUMMYFUNCTION("GOOGLETRANSLATE(E6652, ""zh"", ""en"")"),"Qualitative text")</f>
        <v>Qualitative text</v>
      </c>
    </row>
    <row r="6653" spans="1:3" ht="13" x14ac:dyDescent="0.15">
      <c r="A6653" s="1" t="str">
        <f ca="1">IFERROR(__xludf.DUMMYFUNCTION("GOOGLETRANSLATE(A6653, ""zh"", ""en"")"),"Formulate an overall business continuity emergency plan and, based on the characteristics of various businesses, develop special emergency plans such as IT off-site disaster recovery emergency response and recovery plans to respond to and handle various o"&amp;"perational disruptions, control, offset, and eliminate the damage and impact caused by various disasters.")</f>
        <v>Formulate an overall business continuity emergency plan and, based on the characteristics of various businesses, develop special emergency plans such as IT off-site disaster recovery emergency response and recovery plans to respond to and handle various operational disruptions, control, offset, and eliminate the damage and impact caused by various disasters.</v>
      </c>
      <c r="B6653" s="1" t="str">
        <f ca="1">IFERROR(__xludf.DUMMYFUNCTION("GOOGLETRANSLATE(A6653, ""zh"", ""en"")"),"Data security")</f>
        <v>Data security</v>
      </c>
      <c r="C6653" s="1" t="str">
        <f ca="1">IFERROR(__xludf.DUMMYFUNCTION("GOOGLETRANSLATE(E6653, ""zh"", ""en"")"),"Qualitative text")</f>
        <v>Qualitative text</v>
      </c>
    </row>
    <row r="6654" spans="1:3" ht="13" x14ac:dyDescent="0.15">
      <c r="A6654" s="1" t="str">
        <f ca="1">IFERROR(__xludf.DUMMYFUNCTION("GOOGLETRANSLATE(A6654, ""zh"", ""en"")"),"Formulate special risk policies for hydropower, agriculture, etc. and assess the impact of natural disasters such as climate on enterprises.")</f>
        <v>Formulate special risk policies for hydropower, agriculture, etc. and assess the impact of natural disasters such as climate on enterprises.</v>
      </c>
      <c r="B6654" s="1" t="str">
        <f ca="1">IFERROR(__xludf.DUMMYFUNCTION("GOOGLETRANSLATE(A6654, ""zh"", ""en"")"),"Addressing climate change")</f>
        <v>Addressing climate change</v>
      </c>
      <c r="C6654" s="1" t="str">
        <f ca="1">IFERROR(__xludf.DUMMYFUNCTION("GOOGLETRANSLATE(E6654, ""zh"", ""en"")"),"Qualitative text")</f>
        <v>Qualitative text</v>
      </c>
    </row>
    <row r="6655" spans="1:3" ht="13" x14ac:dyDescent="0.15">
      <c r="A6655" s="1" t="str">
        <f ca="1">IFERROR(__xludf.DUMMYFUNCTION("GOOGLETRANSLATE(A6655, ""zh"", ""en"")"),"Conduct on-site investigations during the client survey phase to investigate potential safety and environmental hazards in the company's production and operations, and assess whether comprehensive response measures have been established. Conduct ongoing m"&amp;"onitoring and regular visits after loan disbursement to ensure timely risk warnings and the development of response measures.")</f>
        <v>Conduct on-site investigations during the client survey phase to investigate potential safety and environmental hazards in the company's production and operations, and assess whether comprehensive response measures have been established. Conduct ongoing monitoring and regular visits after loan disbursement to ensure timely risk warnings and the development of response measures.</v>
      </c>
      <c r="B6655" s="1" t="str">
        <f ca="1">IFERROR(__xludf.DUMMYFUNCTION("GOOGLETRANSLATE(A6655, ""zh"", ""en"")"),"Customers and Consumers")</f>
        <v>Customers and Consumers</v>
      </c>
      <c r="C6655" s="1" t="str">
        <f ca="1">IFERROR(__xludf.DUMMYFUNCTION("GOOGLETRANSLATE(E6655, ""zh"", ""en"")"),"Qualitative text")</f>
        <v>Qualitative text</v>
      </c>
    </row>
    <row r="6656" spans="1:3" ht="13" x14ac:dyDescent="0.15">
      <c r="A6656" s="1" t="str">
        <f ca="1">IFERROR(__xludf.DUMMYFUNCTION("GOOGLETRANSLATE(A6656, ""zh"", ""en"")"),"Chronic risks include rising average temperatures, changes in rainfall, and sea level rise. Climate change, such as rising temperatures and changes in rainfall, may lead to reduced production in certain industries such as agriculture and hydropower. Risin"&amp;"g sea levels may affect assets and business continuity in coastal areas, which may lead to depreciation of debtors' assets or decline in profitability, leading to default risks.")</f>
        <v>Chronic risks include rising average temperatures, changes in rainfall, and sea level rise. Climate change, such as rising temperatures and changes in rainfall, may lead to reduced production in certain industries such as agriculture and hydropower. Rising sea levels may affect assets and business continuity in coastal areas, which may lead to depreciation of debtors' assets or decline in profitability, leading to default risks.</v>
      </c>
      <c r="B6656" s="1" t="str">
        <f ca="1">IFERROR(__xludf.DUMMYFUNCTION("GOOGLETRANSLATE(A6656, ""zh"", ""en"")"),"Addressing climate change")</f>
        <v>Addressing climate change</v>
      </c>
      <c r="C6656" s="1" t="str">
        <f ca="1">IFERROR(__xludf.DUMMYFUNCTION("GOOGLETRANSLATE(E6656, ""zh"", ""en"")"),"Qualitative text")</f>
        <v>Qualitative text</v>
      </c>
    </row>
    <row r="6657" spans="1:3" ht="13" x14ac:dyDescent="0.15">
      <c r="A6657" s="1" t="str">
        <f ca="1">IFERROR(__xludf.DUMMYFUNCTION("GOOGLETRANSLATE(A6657, ""zh"", ""en"")"),"Credit risk: Increased non-performing assets and businesses in specific industries such as agriculture, hydropower, and coastal areas in the medium and long term.")</f>
        <v>Credit risk: Increased non-performing assets and businesses in specific industries such as agriculture, hydropower, and coastal areas in the medium and long term.</v>
      </c>
      <c r="B6657" s="1" t="str">
        <f ca="1">IFERROR(__xludf.DUMMYFUNCTION("GOOGLETRANSLATE(A6657, ""zh"", ""en"")"),"Water resources")</f>
        <v>Water resources</v>
      </c>
      <c r="C6657" s="1" t="str">
        <f ca="1">IFERROR(__xludf.DUMMYFUNCTION("GOOGLETRANSLATE(E6657, ""zh"", ""en"")"),"Qualitative text")</f>
        <v>Qualitative text</v>
      </c>
    </row>
    <row r="6658" spans="1:3" ht="13" x14ac:dyDescent="0.15">
      <c r="A6658" s="1" t="str">
        <f ca="1">IFERROR(__xludf.DUMMYFUNCTION("GOOGLETRANSLATE(A6658, ""zh"", ""en"")"),"Policy risk, credit risk, and market risk. If asset structure is not optimized in a timely manner in the medium and long term, the non-performing loan ratio of some industries will increase and they will also face certain regulatory pressure.")</f>
        <v>Policy risk, credit risk, and market risk. If asset structure is not optimized in a timely manner in the medium and long term, the non-performing loan ratio of some industries will increase and they will also face certain regulatory pressure.</v>
      </c>
      <c r="B6658" s="1" t="str">
        <f ca="1">IFERROR(__xludf.DUMMYFUNCTION("GOOGLETRANSLATE(A6658, ""zh"", ""en"")"),"irrelevant text")</f>
        <v>irrelevant text</v>
      </c>
      <c r="C6658" s="1" t="str">
        <f ca="1">IFERROR(__xludf.DUMMYFUNCTION("GOOGLETRANSLATE(E6658, ""zh"", ""en"")"),"irrelevant text")</f>
        <v>irrelevant text</v>
      </c>
    </row>
    <row r="6659" spans="1:3" ht="13" x14ac:dyDescent="0.15">
      <c r="A6659" s="1" t="str">
        <f ca="1">IFERROR(__xludf.DUMMYFUNCTION("GOOGLETRANSLATE(A6659, ""zh"", ""en"")"),"Establish a Green Finance Office and a Green Finance Division to promote the green transformation of the bank's assets; formulate a dedicated green finance risk policy to increase support for low-carbon transformation assets.")</f>
        <v>Establish a Green Finance Office and a Green Finance Division to promote the green transformation of the bank's assets; formulate a dedicated green finance risk policy to increase support for low-carbon transformation assets.</v>
      </c>
      <c r="B6659" s="1" t="str">
        <f ca="1">IFERROR(__xludf.DUMMYFUNCTION("GOOGLETRANSLATE(A6659, ""zh"", ""en"")"),"Green Finance")</f>
        <v>Green Finance</v>
      </c>
      <c r="C6659" s="1" t="str">
        <f ca="1">IFERROR(__xludf.DUMMYFUNCTION("GOOGLETRANSLATE(E6659, ""zh"", ""en"")"),"Qualitative text")</f>
        <v>Qualitative text</v>
      </c>
    </row>
    <row r="6660" spans="1:3" ht="13" x14ac:dyDescent="0.15">
      <c r="A6660" s="1" t="str">
        <f ca="1">IFERROR(__xludf.DUMMYFUNCTION("GOOGLETRANSLATE(A6660, ""zh"", ""en"")"),"Technology risk: The development of emerging technologies and low-carbon energy-saving technologies may lead to the loss of competitive advantage of traditional high-emission enterprises and the increase in transformation costs, which may lead to credit r"&amp;"isks.")</f>
        <v>Technology risk: The development of emerging technologies and low-carbon energy-saving technologies may lead to the loss of competitive advantage of traditional high-emission enterprises and the increase in transformation costs, which may lead to credit risks.</v>
      </c>
      <c r="B6660" s="1" t="str">
        <f ca="1">IFERROR(__xludf.DUMMYFUNCTION("GOOGLETRANSLATE(A6660, ""zh"", ""en"")"),"Technological innovation")</f>
        <v>Technological innovation</v>
      </c>
      <c r="C6660" s="1" t="str">
        <f ca="1">IFERROR(__xludf.DUMMYFUNCTION("GOOGLETRANSLATE(E6660, ""zh"", ""en"")"),"Qualitative text")</f>
        <v>Qualitative text</v>
      </c>
    </row>
    <row r="6661" spans="1:3" ht="13" x14ac:dyDescent="0.15">
      <c r="A6661" s="1" t="str">
        <f ca="1">IFERROR(__xludf.DUMMYFUNCTION("GOOGLETRANSLATE(A6661, ""zh"", ""en"")"),"Clients engaged in the implementation of emerging low-carbon technologies may also be investing in technological innovation. Credit risk and market risk are also risks. In the process of eliminating outdated production capacity in the medium and long term"&amp;", enterprises fail to transform and upgrade in a timely manner, which may lead to an increase in non-performing loan ratios.")</f>
        <v>Clients engaged in the implementation of emerging low-carbon technologies may also be investing in technological innovation. Credit risk and market risk are also risks. In the process of eliminating outdated production capacity in the medium and long term, enterprises fail to transform and upgrade in a timely manner, which may lead to an increase in non-performing loan ratios.</v>
      </c>
      <c r="B6661" s="1" t="str">
        <f ca="1">IFERROR(__xludf.DUMMYFUNCTION("GOOGLETRANSLATE(A6661, ""zh"", ""en"")"),"Technological innovation")</f>
        <v>Technological innovation</v>
      </c>
      <c r="C6661" s="1" t="str">
        <f ca="1">IFERROR(__xludf.DUMMYFUNCTION("GOOGLETRANSLATE(E6661, ""zh"", ""en"")"),"Qualitative text")</f>
        <v>Qualitative text</v>
      </c>
    </row>
    <row r="6662" spans="1:3" ht="13" x14ac:dyDescent="0.15">
      <c r="A6662" s="1" t="str">
        <f ca="1">IFERROR(__xludf.DUMMYFUNCTION("GOOGLETRANSLATE(A6662, ""zh"", ""en"")"),"Strictly implement the requirements of the Guidance Catalogue for Industrial Restructuring and strictly prohibit involvement in obsolete projects. For restricted projects, only support technology upgrade and transformation projects.")</f>
        <v>Strictly implement the requirements of the Guidance Catalogue for Industrial Restructuring and strictly prohibit involvement in obsolete projects. For restricted projects, only support technology upgrade and transformation projects.</v>
      </c>
      <c r="B6662" s="1" t="str">
        <f ca="1">IFERROR(__xludf.DUMMYFUNCTION("GOOGLETRANSLATE(A6662, ""zh"", ""en"")"),"Technological innovation")</f>
        <v>Technological innovation</v>
      </c>
      <c r="C6662" s="1" t="str">
        <f ca="1">IFERROR(__xludf.DUMMYFUNCTION("GOOGLETRANSLATE(E6662, ""zh"", ""en"")"),"Qualitative text")</f>
        <v>Qualitative text</v>
      </c>
    </row>
    <row r="6663" spans="1:3" ht="13" x14ac:dyDescent="0.15">
      <c r="A6663" s="1" t="str">
        <f ca="1">IFERROR(__xludf.DUMMYFUNCTION("GOOGLETRANSLATE(A6663, ""zh"", ""en"")"),"In addition, the risk policy sets technology-related risk levels for industries that are most affected by technological progress. 632. Environmental and Climate Risk Management The Bank has formulated investment and financing policies related to industrie"&amp;"s such as agriculture, climate change, biodiversity, energy use, mining, oil and gas.")</f>
        <v>In addition, the risk policy sets technology-related risk levels for industries that are most affected by technological progress. 632. Environmental and Climate Risk Management The Bank has formulated investment and financing policies related to industries such as agriculture, climate change, biodiversity, energy use, mining, oil and gas.</v>
      </c>
      <c r="B6663" s="1" t="str">
        <f ca="1">IFERROR(__xludf.DUMMYFUNCTION("GOOGLETRANSLATE(A6663, ""zh"", ""en"")"),"Addressing climate change")</f>
        <v>Addressing climate change</v>
      </c>
      <c r="C6663" s="1" t="str">
        <f ca="1">IFERROR(__xludf.DUMMYFUNCTION("GOOGLETRANSLATE(E6663, ""zh"", ""en"")"),"Qualitative text")</f>
        <v>Qualitative text</v>
      </c>
    </row>
    <row r="6664" spans="1:3" ht="13" x14ac:dyDescent="0.15">
      <c r="A6664" s="1" t="str">
        <f ca="1">IFERROR(__xludf.DUMMYFUNCTION("GOOGLETRANSLATE(A6664, ""zh"", ""en"")"),"The thermal power generation industry requires that the projects operated by enterprises do not belong to the restricted or eliminated projects in the National Development and Reform Commission's industrial structure adjustment guidance catalogue, and the"&amp;" standard coal consumption per kilowatt-hour must comply with national policy requirements and meet environmental protection standards.")</f>
        <v>The thermal power generation industry requires that the projects operated by enterprises do not belong to the restricted or eliminated projects in the National Development and Reform Commission's industrial structure adjustment guidance catalogue, and the standard coal consumption per kilowatt-hour must comply with national policy requirements and meet environmental protection standards.</v>
      </c>
      <c r="B6664" s="1" t="str">
        <f ca="1">IFERROR(__xludf.DUMMYFUNCTION("GOOGLETRANSLATE(A6664, ""zh"", ""en"")"),"Energy and resource consumption")</f>
        <v>Energy and resource consumption</v>
      </c>
      <c r="C6664" s="1" t="str">
        <f ca="1">IFERROR(__xludf.DUMMYFUNCTION("GOOGLETRANSLATE(E6664, ""zh"", ""en"")"),"Qualitative text")</f>
        <v>Qualitative text</v>
      </c>
    </row>
    <row r="6665" spans="1:3" ht="13" x14ac:dyDescent="0.15">
      <c r="A6665" s="1" t="str">
        <f ca="1">IFERROR(__xludf.DUMMYFUNCTION("GOOGLETRANSLATE(A6665, ""zh"", ""en"")"),"The steel industry requires that the project has built an environmental online monitoring system and that all environmental emission indicators comply with relevant national and local standards.")</f>
        <v>The steel industry requires that the project has built an environmental online monitoring system and that all environmental emission indicators comply with relevant national and local standards.</v>
      </c>
      <c r="B6665" s="1" t="str">
        <f ca="1">IFERROR(__xludf.DUMMYFUNCTION("GOOGLETRANSLATE(A6665, ""zh"", ""en"")"),"Environmental Policy")</f>
        <v>Environmental Policy</v>
      </c>
      <c r="C6665" s="1" t="str">
        <f ca="1">IFERROR(__xludf.DUMMYFUNCTION("GOOGLETRANSLATE(E6665, ""zh"", ""en"")"),"Qualitative text")</f>
        <v>Qualitative text</v>
      </c>
    </row>
    <row r="6666" spans="1:3" ht="13" x14ac:dyDescent="0.15">
      <c r="A6666" s="1" t="str">
        <f ca="1">IFERROR(__xludf.DUMMYFUNCTION("GOOGLETRANSLATE(A6666, ""zh"", ""en"")"),"Green energy, such as wind power, solar power, waste power, and hydropower, is generally encouraged in credit granting strategies and sets customer and project access standards. Risk warnings are also issued in the event of major safety and operation acci"&amp;"dents or land disputes.")</f>
        <v>Green energy, such as wind power, solar power, waste power, and hydropower, is generally encouraged in credit granting strategies and sets customer and project access standards. Risk warnings are also issued in the event of major safety and operation accidents or land disputes.</v>
      </c>
      <c r="B6666" s="1" t="str">
        <f ca="1">IFERROR(__xludf.DUMMYFUNCTION("GOOGLETRANSLATE(A6666, ""zh"", ""en"")"),"Clean Technology")</f>
        <v>Clean Technology</v>
      </c>
      <c r="C6666" s="1" t="str">
        <f ca="1">IFERROR(__xludf.DUMMYFUNCTION("GOOGLETRANSLATE(E6666, ""zh"", ""en"")"),"Qualitative text")</f>
        <v>Qualitative text</v>
      </c>
    </row>
    <row r="6667" spans="1:3" ht="13" x14ac:dyDescent="0.15">
      <c r="A6667" s="1" t="str">
        <f ca="1">IFERROR(__xludf.DUMMYFUNCTION("GOOGLETRANSLATE(A6667, ""zh"", ""en"")"),"In the credit granting strategy for agricultural industries, such as planting, forestry, livestock and poultry breeding, and livestock and poultry slaughtering, we adhere to the general principle of moderate support and preferential intervention, set entr"&amp;"y standards, and also clearly define situations where risk warnings are required.")</f>
        <v>In the credit granting strategy for agricultural industries, such as planting, forestry, livestock and poultry breeding, and livestock and poultry slaughtering, we adhere to the general principle of moderate support and preferential intervention, set entry standards, and also clearly define situations where risk warnings are required.</v>
      </c>
      <c r="B6667" s="1" t="str">
        <f ca="1">IFERROR(__xludf.DUMMYFUNCTION("GOOGLETRANSLATE(A6667, ""zh"", ""en"")"),"Rural assistance")</f>
        <v>Rural assistance</v>
      </c>
      <c r="C6667" s="1" t="str">
        <f ca="1">IFERROR(__xludf.DUMMYFUNCTION("GOOGLETRANSLATE(E6667, ""zh"", ""en"")"),"Qualitative text")</f>
        <v>Qualitative text</v>
      </c>
    </row>
    <row r="6668" spans="1:3" ht="13" x14ac:dyDescent="0.15">
      <c r="A6668" s="1" t="str">
        <f ca="1">IFERROR(__xludf.DUMMYFUNCTION("GOOGLETRANSLATE(A6668, ""zh"", ""en"")"),"Market risks, investor preferences are changing, consumer attitudes are shifting, and investors are inclined to invest in companies with good ESG performance. Financial consumers are also inclined to invest in ESG-themed financial products.")</f>
        <v>Market risks, investor preferences are changing, consumer attitudes are shifting, and investors are inclined to invest in companies with good ESG performance. Financial consumers are also inclined to invest in ESG-themed financial products.</v>
      </c>
      <c r="B6668" s="1" t="str">
        <f ca="1">IFERROR(__xludf.DUMMYFUNCTION("GOOGLETRANSLATE(A6668, ""zh"", ""en"")"),"Green Finance")</f>
        <v>Green Finance</v>
      </c>
      <c r="C6668" s="1" t="str">
        <f ca="1">IFERROR(__xludf.DUMMYFUNCTION("GOOGLETRANSLATE(E6668, ""zh"", ""en"")"),"Qualitative text")</f>
        <v>Qualitative text</v>
      </c>
    </row>
    <row r="6669" spans="1:3" ht="13" x14ac:dyDescent="0.15">
      <c r="A6669" s="1" t="str">
        <f ca="1">IFERROR(__xludf.DUMMYFUNCTION("GOOGLETRANSLATE(A6669, ""zh"", ""en"")"),"Demand for products from high-carbon industries has decreased, and price fluctuations in bulk petrochemical and energy products have increased.")</f>
        <v>Demand for products from high-carbon industries has decreased, and price fluctuations in bulk petrochemical and energy products have increased.</v>
      </c>
      <c r="B6669" s="1" t="str">
        <f ca="1">IFERROR(__xludf.DUMMYFUNCTION("GOOGLETRANSLATE(A6669, ""zh"", ""en"")"),"carbon emissions")</f>
        <v>carbon emissions</v>
      </c>
      <c r="C6669" s="1" t="str">
        <f ca="1">IFERROR(__xludf.DUMMYFUNCTION("GOOGLETRANSLATE(E6669, ""zh"", ""en"")"),"Qualitative text")</f>
        <v>Qualitative text</v>
      </c>
    </row>
    <row r="6670" spans="1:3" ht="13" x14ac:dyDescent="0.15">
      <c r="A6670" s="1" t="str">
        <f ca="1">IFERROR(__xludf.DUMMYFUNCTION("GOOGLETRANSLATE(A6670, ""zh"", ""en"")"),"Market risks: In the medium to long term, if banks cannot quickly provide green products and services that better meet customer needs, they may face the risk of losing specific customers. In response to financial transformation, they are continuously upgr"&amp;"ading green financial products and piloting innovative products such as carbon emission reduction and sustainable linkage projects to meet the comprehensive financial needs of customers in high-carbon industries.")</f>
        <v>Market risks: In the medium to long term, if banks cannot quickly provide green products and services that better meet customer needs, they may face the risk of losing specific customers. In response to financial transformation, they are continuously upgrading green financial products and piloting innovative products such as carbon emission reduction and sustainable linkage projects to meet the comprehensive financial needs of customers in high-carbon industries.</v>
      </c>
      <c r="B6670" s="1" t="str">
        <f ca="1">IFERROR(__xludf.DUMMYFUNCTION("GOOGLETRANSLATE(A6670, ""zh"", ""en"")"),"Green Finance")</f>
        <v>Green Finance</v>
      </c>
      <c r="C6670" s="1" t="str">
        <f ca="1">IFERROR(__xludf.DUMMYFUNCTION("GOOGLETRANSLATE(E6670, ""zh"", ""en"")"),"Qualitative text")</f>
        <v>Qualitative text</v>
      </c>
    </row>
    <row r="6671" spans="1:3" ht="13" x14ac:dyDescent="0.15">
      <c r="A6671" s="1" t="str">
        <f ca="1">IFERROR(__xludf.DUMMYFUNCTION("GOOGLETRANSLATE(A6671, ""zh"", ""en"")"),"Reputational risk: Negative public opinion. Stakeholders are increasingly concerned about climate and environmental issues. If negative incidents such as environmental violations occur in enterprises or projects supported by bank funds, the bank may be im"&amp;"plicated and its reputation may be affected. Market risk, credit risk, reputation risk, medium- to long-term damage to the bank's reputation. Monitor and provide early warnings for reputational risks related to topics such as climate change and green fina"&amp;"nce. Strengthen the bank's reputational risk management to effectively prevent, promptly control, and address media-sensitive and negative incidents that may cause reputational risks.")</f>
        <v>Reputational risk: Negative public opinion. Stakeholders are increasingly concerned about climate and environmental issues. If negative incidents such as environmental violations occur in enterprises or projects supported by bank funds, the bank may be implicated and its reputation may be affected. Market risk, credit risk, reputation risk, medium- to long-term damage to the bank's reputation. Monitor and provide early warnings for reputational risks related to topics such as climate change and green finance. Strengthen the bank's reputational risk management to effectively prevent, promptly control, and address media-sensitive and negative incidents that may cause reputational risks.</v>
      </c>
      <c r="B6671" s="1" t="str">
        <f ca="1">IFERROR(__xludf.DUMMYFUNCTION("GOOGLETRANSLATE(A6671, ""zh"", ""en"")"),"Responsible Investment")</f>
        <v>Responsible Investment</v>
      </c>
      <c r="C6671" s="1" t="str">
        <f ca="1">IFERROR(__xludf.DUMMYFUNCTION("GOOGLETRANSLATE(E6671, ""zh"", ""en"")"),"Qualitative text")</f>
        <v>Qualitative text</v>
      </c>
    </row>
    <row r="6672" spans="1:3" ht="13" x14ac:dyDescent="0.15">
      <c r="A6672" s="1" t="str">
        <f ca="1">IFERROR(__xludf.DUMMYFUNCTION("GOOGLETRANSLATE(A6672, ""zh"", ""en"")"),"Pre-loan investigation: According to the company's pre-credit investigation guidelines, the account manager is required to conduct on-site investigations to check whether there are any environmental pollution problems or safety hazards in the production p"&amp;"rocess of the enterprise, and to inquire about environmental protection violations through official channels. Enterprises that do not meet environmental protection standards are strictly prohibited from entering.")</f>
        <v>Pre-loan investigation: According to the company's pre-credit investigation guidelines, the account manager is required to conduct on-site investigations to check whether there are any environmental pollution problems or safety hazards in the production process of the enterprise, and to inquire about environmental protection violations through official channels. Enterprises that do not meet environmental protection standards are strictly prohibited from entering.</v>
      </c>
      <c r="B6672" s="1" t="str">
        <f ca="1">IFERROR(__xludf.DUMMYFUNCTION("GOOGLETRANSLATE(A6672, ""zh"", ""en"")"),"Environmental penalties")</f>
        <v>Environmental penalties</v>
      </c>
      <c r="C6672" s="1" t="str">
        <f ca="1">IFERROR(__xludf.DUMMYFUNCTION("GOOGLETRANSLATE(E6672, ""zh"", ""en"")"),"Qualitative text")</f>
        <v>Qualitative text</v>
      </c>
    </row>
    <row r="6673" spans="1:3" ht="13" x14ac:dyDescent="0.15">
      <c r="A6673" s="1" t="str">
        <f ca="1">IFERROR(__xludf.DUMMYFUNCTION("GOOGLETRANSLATE(A6673, ""zh"", ""en"")"),"Credit approval: Our bank's corporate credit business review guidelines stipulate that during the credit approval review process, we should consult the environmental protection information of the National Ecological Environment Department, the Industrial "&amp;"Structure Adjustment Guidance Catalogue, and the Ministry of Industry and Information Technology's ""Two Highs and One Surplus"" list to ensure that the client has no environmental protection violations and is not in an eliminated industry.")</f>
        <v>Credit approval: Our bank's corporate credit business review guidelines stipulate that during the credit approval review process, we should consult the environmental protection information of the National Ecological Environment Department, the Industrial Structure Adjustment Guidance Catalogue, and the Ministry of Industry and Information Technology's "Two Highs and One Surplus" list to ensure that the client has no environmental protection violations and is not in an eliminated industry.</v>
      </c>
      <c r="B6673" s="1" t="str">
        <f ca="1">IFERROR(__xludf.DUMMYFUNCTION("GOOGLETRANSLATE(A6673, ""zh"", ""en"")"),"Environmental penalties")</f>
        <v>Environmental penalties</v>
      </c>
      <c r="C6673" s="1" t="str">
        <f ca="1">IFERROR(__xludf.DUMMYFUNCTION("GOOGLETRANSLATE(E6673, ""zh"", ""en"")"),"Qualitative text")</f>
        <v>Qualitative text</v>
      </c>
    </row>
    <row r="6674" spans="1:3" ht="13" x14ac:dyDescent="0.15">
      <c r="A6674" s="1" t="str">
        <f ca="1">IFERROR(__xludf.DUMMYFUNCTION("GOOGLETRANSLATE(A6674, ""zh"", ""en"")"),"The Bank's post-loan monitoring and early warning indicators include relevant environmental and social risk indicators, such as the borrower's failure to meet environmental protection standards or energy conservation and emission reduction regulations, th"&amp;"e borrower's major operating and production safety accidents, etc.")</f>
        <v>The Bank's post-loan monitoring and early warning indicators include relevant environmental and social risk indicators, such as the borrower's failure to meet environmental protection standards or energy conservation and emission reduction regulations, the borrower's major operating and production safety accidents, etc.</v>
      </c>
      <c r="B6674" s="1" t="str">
        <f ca="1">IFERROR(__xludf.DUMMYFUNCTION("GOOGLETRANSLATE(A6674, ""zh"", ""en"")"),"Green Finance")</f>
        <v>Green Finance</v>
      </c>
      <c r="C6674" s="1" t="str">
        <f ca="1">IFERROR(__xludf.DUMMYFUNCTION("GOOGLETRANSLATE(E6674, ""zh"", ""en"")"),"Qualitative text")</f>
        <v>Qualitative text</v>
      </c>
    </row>
    <row r="6675" spans="1:3" ht="13" x14ac:dyDescent="0.15">
      <c r="A6675" s="1" t="str">
        <f ca="1">IFERROR(__xludf.DUMMYFUNCTION("GOOGLETRANSLATE(A6675, ""zh"", ""en"")"),"If the above situation occurs in an enterprise, the Bank will initiate an early warning in the system and take corresponding control measures depending on the situation.")</f>
        <v>If the above situation occurs in an enterprise, the Bank will initiate an early warning in the system and take corresponding control measures depending on the situation.</v>
      </c>
      <c r="B6675" s="1" t="str">
        <f ca="1">IFERROR(__xludf.DUMMYFUNCTION("GOOGLETRANSLATE(A6675, ""zh"", ""en"")"),"irrelevant text")</f>
        <v>irrelevant text</v>
      </c>
      <c r="C6675" s="1" t="str">
        <f ca="1">IFERROR(__xludf.DUMMYFUNCTION("GOOGLETRANSLATE(E6675, ""zh"", ""en"")"),"irrelevant text")</f>
        <v>irrelevant text</v>
      </c>
    </row>
    <row r="6676" spans="1:3" ht="13" x14ac:dyDescent="0.15">
      <c r="A6676" s="1" t="str">
        <f ca="1">IFERROR(__xludf.DUMMYFUNCTION("GOOGLETRANSLATE(A6676, ""zh"", ""en"")"),"Climate-related risk stress testing The Bank recognizes that climate risk stress testing is a crucial environmental and climate risk management tool")</f>
        <v>Climate-related risk stress testing The Bank recognizes that climate risk stress testing is a crucial environmental and climate risk management tool</v>
      </c>
      <c r="B6676" s="1" t="str">
        <f ca="1">IFERROR(__xludf.DUMMYFUNCTION("GOOGLETRANSLATE(A6676, ""zh"", ""en"")"),"Addressing climate change")</f>
        <v>Addressing climate change</v>
      </c>
      <c r="C6676" s="1" t="str">
        <f ca="1">IFERROR(__xludf.DUMMYFUNCTION("GOOGLETRANSLATE(E6676, ""zh"", ""en"")"),"Qualitative text")</f>
        <v>Qualitative text</v>
      </c>
    </row>
    <row r="6677" spans="1:3" ht="13" x14ac:dyDescent="0.15">
      <c r="A6677" s="1" t="str">
        <f ca="1">IFERROR(__xludf.DUMMYFUNCTION("GOOGLETRANSLATE(A6677, ""zh"", ""en"")"),"In 2022, under the guidance of the People's Bank of China, the Bank conducted climate risk stress testing on eight high-carbon industries, including petrochemicals, chemicals, building materials, steel, nonferrous metals, papermaking, electricity, and avi"&amp;"ation. Through scenario modeling and sensitivity analysis, a comprehensive substantive assessment of the potential impact on the Bank's credit assets was conducted.")</f>
        <v>In 2022, under the guidance of the People's Bank of China, the Bank conducted climate risk stress testing on eight high-carbon industries, including petrochemicals, chemicals, building materials, steel, nonferrous metals, papermaking, electricity, and aviation. Through scenario modeling and sensitivity analysis, a comprehensive substantive assessment of the potential impact on the Bank's credit assets was conducted.</v>
      </c>
      <c r="B6677" s="1" t="str">
        <f ca="1">IFERROR(__xludf.DUMMYFUNCTION("GOOGLETRANSLATE(A6677, ""zh"", ""en"")"),"Addressing climate change")</f>
        <v>Addressing climate change</v>
      </c>
      <c r="C6677" s="1" t="str">
        <f ca="1">IFERROR(__xludf.DUMMYFUNCTION("GOOGLETRANSLATE(E6677, ""zh"", ""en"")"),"Qualitative text")</f>
        <v>Qualitative text</v>
      </c>
    </row>
    <row r="6678" spans="1:3" ht="13" x14ac:dyDescent="0.15">
      <c r="A6678" s="1" t="str">
        <f ca="1">IFERROR(__xludf.DUMMYFUNCTION("GOOGLETRANSLATE(A6678, ""zh"", ""en"")"),"Management of High-Energy-Consuming and High-Pollution Industries The Bank continues to improve its management processes for high-energy-consuming and high-pollution industries, adhering to the principle of differentiated treatment for high-carbon industr"&amp;"ies, supporting the best and limiting the worst. In addition to setting strict technical energy consumption and emission standards at all stages of credit, strengthening pre-loan, mid-loan and post-loan investigation, management and monitoring, and strict"&amp;"ly controlling the overall scale of high-carbon industries, we selectively support energy-saving transformation in high-carbon areas, guide credit resources, support high-quality clients in the industry, eliminate obsolete production capacity, and promote"&amp;" green upgrades and transformations in traditional industries, especially high-energy-consuming and high-pollution industries such as steel, coal, thermal power, chemical, cement, and papermaking.")</f>
        <v>Management of High-Energy-Consuming and High-Pollution Industries The Bank continues to improve its management processes for high-energy-consuming and high-pollution industries, adhering to the principle of differentiated treatment for high-carbon industries, supporting the best and limiting the worst. In addition to setting strict technical energy consumption and emission standards at all stages of credit, strengthening pre-loan, mid-loan and post-loan investigation, management and monitoring, and strictly controlling the overall scale of high-carbon industries, we selectively support energy-saving transformation in high-carbon areas, guide credit resources, support high-quality clients in the industry, eliminate obsolete production capacity, and promote green upgrades and transformations in traditional industries, especially high-energy-consuming and high-pollution industries such as steel, coal, thermal power, chemical, cement, and papermaking.</v>
      </c>
      <c r="B6678" s="1" t="str">
        <f ca="1">IFERROR(__xludf.DUMMYFUNCTION("GOOGLETRANSLATE(A6678, ""zh"", ""en"")"),"carbon emissions")</f>
        <v>carbon emissions</v>
      </c>
      <c r="C6678" s="1" t="str">
        <f ca="1">IFERROR(__xludf.DUMMYFUNCTION("GOOGLETRANSLATE(E6678, ""zh"", ""en"")"),"Qualitative text")</f>
        <v>Qualitative text</v>
      </c>
    </row>
    <row r="6679" spans="1:3" ht="13" x14ac:dyDescent="0.15">
      <c r="A6679" s="1" t="str">
        <f ca="1">IFERROR(__xludf.DUMMYFUNCTION("GOOGLETRANSLATE(A6679, ""zh"", ""en"")"),"V. Assessing the Environmental Impact of Investment and Financing. The Bank is aligned with the national dual carbon strategy, adhering to the organic integration of commercial and social value, actively promoting the development of green finance business"&amp;"es, vigorously supporting key areas such as clean energy, energy conservation, environmental protection, clean production, green upgrades of ecological environment infrastructure, and green services, and continuously enhancing the positive externalities o"&amp;"f investment and financing activities on the environment. This contributes to Ping An's green finance efforts in fully supporting enterprises' green and low-carbon transformation, socio-economic carbon reduction, and achieving dual carbon goals.")</f>
        <v>V. Assessing the Environmental Impact of Investment and Financing. The Bank is aligned with the national dual carbon strategy, adhering to the organic integration of commercial and social value, actively promoting the development of green finance businesses, vigorously supporting key areas such as clean energy, energy conservation, environmental protection, clean production, green upgrades of ecological environment infrastructure, and green services, and continuously enhancing the positive externalities of investment and financing activities on the environment. This contributes to Ping An's green finance efforts in fully supporting enterprises' green and low-carbon transformation, socio-economic carbon reduction, and achieving dual carbon goals.</v>
      </c>
      <c r="B6679" s="1" t="str">
        <f ca="1">IFERROR(__xludf.DUMMYFUNCTION("GOOGLETRANSLATE(A6679, ""zh"", ""en"")"),"Green Finance")</f>
        <v>Green Finance</v>
      </c>
      <c r="C6679" s="1" t="str">
        <f ca="1">IFERROR(__xludf.DUMMYFUNCTION("GOOGLETRANSLATE(E6679, ""zh"", ""en"")"),"Qualitative text")</f>
        <v>Qualitative text</v>
      </c>
    </row>
    <row r="6680" spans="1:3" ht="13" x14ac:dyDescent="0.15">
      <c r="A6680" s="1" t="str">
        <f ca="1">IFERROR(__xludf.DUMMYFUNCTION("GOOGLETRANSLATE(A6680, ""zh"", ""en"")"),"Green Investment and Financing: The Bank has continuously expanded the application scenarios of green finance and increased its green finance investment through special green finance activities such as the ""Three Maps for Customer Product Operations"" to"&amp;" support the development of green industries.")</f>
        <v>Green Investment and Financing: The Bank has continuously expanded the application scenarios of green finance and increased its green finance investment through special green finance activities such as the "Three Maps for Customer Product Operations" to support the development of green industries.</v>
      </c>
      <c r="B6680" s="1" t="str">
        <f ca="1">IFERROR(__xludf.DUMMYFUNCTION("GOOGLETRANSLATE(A6680, ""zh"", ""en"")"),"Green Finance")</f>
        <v>Green Finance</v>
      </c>
      <c r="C6680" s="1" t="str">
        <f ca="1">IFERROR(__xludf.DUMMYFUNCTION("GOOGLETRANSLATE(E6680, ""zh"", ""en"")"),"Qualitative text")</f>
        <v>Qualitative text</v>
      </c>
    </row>
    <row r="6681" spans="1:3" ht="13" x14ac:dyDescent="0.15">
      <c r="A6681" s="1" t="str">
        <f ca="1">IFERROR(__xludf.DUMMYFUNCTION("GOOGLETRANSLATE(A6681, ""zh"", ""en"")"),"Indicator Unit Value Total amount of green finance business RMB 170.05 billion Balance of green credit RMB 109.76 billion Year-on-year growth of green credit balance 58.8% Ratio of green credit balance 3.23 Balance of green bonds held RMB 9.89 Amount of g"&amp;"reen bond investment RMB 206.76 Number of green bond investment transactions 101 Scale of green bond issuance RMB 200 Scale of domestic green bond issuance underwritten RMB 7.566 Areas of green credit investment The Bank conscientiously implements nationa"&amp;"l industrial policies and strictly restricts financing for new projects in the ""two highs and one surplus"" industries Focuses on key industrial chains such as photovoltaics, wind power, and high-carbon transformation Continues to increase loan support f"&amp;"or green infrastructure upgrades, clean energy, energy conservation, and environmental protection industries to promote industrial structure transformation and upgrading")</f>
        <v>Indicator Unit Value Total amount of green finance business RMB 170.05 billion Balance of green credit RMB 109.76 billion Year-on-year growth of green credit balance 58.8% Ratio of green credit balance 3.23 Balance of green bonds held RMB 9.89 Amount of green bond investment RMB 206.76 Number of green bond investment transactions 101 Scale of green bond issuance RMB 200 Scale of domestic green bond issuance underwritten RMB 7.566 Areas of green credit investment The Bank conscientiously implements national industrial policies and strictly restricts financing for new projects in the "two highs and one surplus" industries Focuses on key industrial chains such as photovoltaics, wind power, and high-carbon transformation Continues to increase loan support for green infrastructure upgrades, clean energy, energy conservation, and environmental protection industries to promote industrial structure transformation and upgrading</v>
      </c>
      <c r="B6681" s="1" t="str">
        <f ca="1">IFERROR(__xludf.DUMMYFUNCTION("GOOGLETRANSLATE(A6681, ""zh"", ""en"")"),"Green Finance")</f>
        <v>Green Finance</v>
      </c>
      <c r="C6681" s="1" t="str">
        <f ca="1">IFERROR(__xludf.DUMMYFUNCTION("GOOGLETRANSLATE(E6681, ""zh"", ""en"")"),"Quantitative Text")</f>
        <v>Quantitative Text</v>
      </c>
    </row>
    <row r="6682" spans="1:3" ht="13" x14ac:dyDescent="0.15">
      <c r="A6682" s="1" t="str">
        <f ca="1">IFERROR(__xludf.DUMMYFUNCTION("GOOGLETRANSLATE(A6682, ""zh"", ""en"")"),"In 2022, the Bank's green credit balance was RMB 109.768 billion, an increase of 58.8% from the end of the previous year.")</f>
        <v>In 2022, the Bank's green credit balance was RMB 109.768 billion, an increase of 58.8% from the end of the previous year.</v>
      </c>
      <c r="B6682" s="1" t="str">
        <f ca="1">IFERROR(__xludf.DUMMYFUNCTION("GOOGLETRANSLATE(A6682, ""zh"", ""en"")"),"Green Finance")</f>
        <v>Green Finance</v>
      </c>
      <c r="C6682" s="1" t="str">
        <f ca="1">IFERROR(__xludf.DUMMYFUNCTION("GOOGLETRANSLATE(E6682, ""zh"", ""en"")"),"Quantitative Text")</f>
        <v>Quantitative Text</v>
      </c>
    </row>
    <row r="6683" spans="1:3" ht="13" x14ac:dyDescent="0.15">
      <c r="A6683" s="1" t="str">
        <f ca="1">IFERROR(__xludf.DUMMYFUNCTION("GOOGLETRANSLATE(A6683, ""zh"", ""en"")"),"Green credit investment industry balance indicator name unit 2022 Infrastructure green upgrade RMB 701.67 Clean energy industry RMB 178.56 Energy conservation and environmental protection industry RMB 145.55 Clean production industry RMB 46.92 Ecological "&amp;"environment industry RMB 23.33 Green service industry RMB 1.6463.9216.2713.264.272.130.15 Green credit investment Infrastructure green upgrade Clean energy industry Energy conservation and environmental protection industry Clean production industry Ecolog"&amp;"ical environment industry Green service industry 67 Green credit environmental benefits 2 Number of projects supported in the field of carbon emission reduction Loan amount per million yuan Annual carbon emission reduction driven by tons of carbon dioxide"&amp;" equivalent Clean energy 34579862.90 1825250.21 Energy conservation and environmental protection 13758.765 1600.00 Carbon emission reduction technology 11272.349489.75 Total 36584894.00 1886339.96 Carbon footprint measurement of investment and financing a"&amp;"ctivities In 2022, the Bank calculated the carbon emissions generated by its corporate loans and personal auto loans with reference to the asset categories and calculation methods specified in the PCAF Global Greenhouse Gas Accounting and Reporting Guidel"&amp;"ines for the Financial Industry.")</f>
        <v>Green credit investment industry balance indicator name unit 2022 Infrastructure green upgrade RMB 701.67 Clean energy industry RMB 178.56 Energy conservation and environmental protection industry RMB 145.55 Clean production industry RMB 46.92 Ecological environment industry RMB 23.33 Green service industry RMB 1.6463.9216.2713.264.272.130.15 Green credit investment Infrastructure green upgrade Clean energy industry Energy conservation and environmental protection industry Clean production industry Ecological environment industry Green service industry 67 Green credit environmental benefits 2 Number of projects supported in the field of carbon emission reduction Loan amount per million yuan Annual carbon emission reduction driven by tons of carbon dioxide equivalent Clean energy 34579862.90 1825250.21 Energy conservation and environmental protection 13758.765 1600.00 Carbon emission reduction technology 11272.349489.75 Total 36584894.00 1886339.96 Carbon footprint measurement of investment and financing activities In 2022, the Bank calculated the carbon emissions generated by its corporate loans and personal auto loans with reference to the asset categories and calculation methods specified in the PCAF Global Greenhouse Gas Accounting and Reporting Guidelines for the Financial Industry.</v>
      </c>
      <c r="B6683" s="1" t="str">
        <f ca="1">IFERROR(__xludf.DUMMYFUNCTION("GOOGLETRANSLATE(A6683, ""zh"", ""en"")"),"Green Finance")</f>
        <v>Green Finance</v>
      </c>
      <c r="C6683" s="1" t="str">
        <f ca="1">IFERROR(__xludf.DUMMYFUNCTION("GOOGLETRANSLATE(E6683, ""zh"", ""en"")"),"Quantitative Text")</f>
        <v>Quantitative Text</v>
      </c>
    </row>
    <row r="6684" spans="1:3" ht="13" x14ac:dyDescent="0.15">
      <c r="A6684" s="1" t="str">
        <f ca="1">IFERROR(__xludf.DUMMYFUNCTION("GOOGLETRANSLATE(A6684, ""zh"", ""en"")"),"2 The statistical caliber is the carbon emission reduction loans under the carbon emission reduction support tool of the People's Bank of China")</f>
        <v>2 The statistical caliber is the carbon emission reduction loans under the carbon emission reduction support tool of the People's Bank of China</v>
      </c>
      <c r="B6684" s="1" t="str">
        <f ca="1">IFERROR(__xludf.DUMMYFUNCTION("GOOGLETRANSLATE(A6684, ""zh"", ""en"")"),"carbon emissions")</f>
        <v>carbon emissions</v>
      </c>
      <c r="C6684" s="1" t="str">
        <f ca="1">IFERROR(__xludf.DUMMYFUNCTION("GOOGLETRANSLATE(E6684, ""zh"", ""en"")"),"Qualitative text")</f>
        <v>Qualitative text</v>
      </c>
    </row>
    <row r="6685" spans="1:3" ht="13" x14ac:dyDescent="0.15">
      <c r="A6685" s="1" t="str">
        <f ca="1">IFERROR(__xludf.DUMMYFUNCTION("GOOGLETRANSLATE(A6685, ""zh"", ""en"")"),"4 According to the definition in the second edition of the PCAF Global Greenhouse Gas Accounting and Reporting Guidelines for the Financial Sector, commercial loans include all loans and lines of credit extended to businesses, non-profit organizations, an"&amp;"d any other structured organizations that are not traded in the market and are on the balance sheet of a financial institution for general business purposes. The motor vehicle loan asset class refers to on-balance sheet loans and lines of credit extended "&amp;"to businesses and consumers for the specific purpose of financing one or more motor vehicles.")</f>
        <v>4 According to the definition in the second edition of the PCAF Global Greenhouse Gas Accounting and Reporting Guidelines for the Financial Sector, commercial loans include all loans and lines of credit extended to businesses, non-profit organizations, and any other structured organizations that are not traded in the market and are on the balance sheet of a financial institution for general business purposes. The motor vehicle loan asset class refers to on-balance sheet loans and lines of credit extended to businesses and consumers for the specific purpose of financing one or more motor vehicles.</v>
      </c>
      <c r="B6685" s="1" t="str">
        <f ca="1">IFERROR(__xludf.DUMMYFUNCTION("GOOGLETRANSLATE(A6685, ""zh"", ""en"")"),"carbon emissions")</f>
        <v>carbon emissions</v>
      </c>
      <c r="C6685" s="1" t="str">
        <f ca="1">IFERROR(__xludf.DUMMYFUNCTION("GOOGLETRANSLATE(E6685, ""zh"", ""en"")"),"Qualitative text")</f>
        <v>Qualitative text</v>
      </c>
    </row>
    <row r="6686" spans="1:3" ht="13" x14ac:dyDescent="0.15">
      <c r="A6686" s="1" t="str">
        <f ca="1">IFERROR(__xludf.DUMMYFUNCTION("GOOGLETRANSLATE(A6686, ""zh"", ""en"")"),"Carbon emissions are calculated as follows: a. Corporate credit Credit emissions c Credit balance c Total assets c Annual carbon emissions cc Credit-granting enterprises b. Personal auto loans Motor vehicle loan emissions v Outstanding amount v Initial to"&amp;"tal value of assets v Distance traveled v Fuel efficiency xf Emission factor v Vehicle or fleet f Fuel type Carbon footprint of investment and financing activities 4 Indicator name Unit 2022 Carbon emissions from investment and financing activities Tons o"&amp;"f CO2 equivalent 18039509.07 Amount of investment and financing included in carbon accounting RMB million 716609.17 Ratio of investment and financing business included in carbon accounting 21.53 Carbon emission intensity of investment and financing activi"&amp;"ties Tons of CO2 equivalent RMB million 25.1768 Environmental data management The Bank continuously improves the management of data related to the environment and green finance, strengthens the construction of the green finance data platform, and continuo"&amp;"usly improves the level of green finance data management.")</f>
        <v>Carbon emissions are calculated as follows: a. Corporate credit Credit emissions c Credit balance c Total assets c Annual carbon emissions cc Credit-granting enterprises b. Personal auto loans Motor vehicle loan emissions v Outstanding amount v Initial total value of assets v Distance traveled v Fuel efficiency xf Emission factor v Vehicle or fleet f Fuel type Carbon footprint of investment and financing activities 4 Indicator name Unit 2022 Carbon emissions from investment and financing activities Tons of CO2 equivalent 18039509.07 Amount of investment and financing included in carbon accounting RMB million 716609.17 Ratio of investment and financing business included in carbon accounting 21.53 Carbon emission intensity of investment and financing activities Tons of CO2 equivalent RMB million 25.1768 Environmental data management The Bank continuously improves the management of data related to the environment and green finance, strengthens the construction of the green finance data platform, and continuously improves the level of green finance data management.</v>
      </c>
      <c r="B6686" s="1" t="str">
        <f ca="1">IFERROR(__xludf.DUMMYFUNCTION("GOOGLETRANSLATE(A6686, ""zh"", ""en"")"),"carbon emissions")</f>
        <v>carbon emissions</v>
      </c>
      <c r="C6686" s="1" t="str">
        <f ca="1">IFERROR(__xludf.DUMMYFUNCTION("GOOGLETRANSLATE(E6686, ""zh"", ""en"")"),"Quantitative Text")</f>
        <v>Quantitative Text</v>
      </c>
    </row>
    <row r="6687" spans="1:3" ht="13" x14ac:dyDescent="0.15">
      <c r="A6687" s="1" t="str">
        <f ca="1">IFERROR(__xludf.DUMMYFUNCTION("GOOGLETRANSLATE(A6687, ""zh"", ""en"")"),"To ensure the accuracy of environmental data statistics and calculations, the Bank has established a green business certification management system, clearly defining the relationship manager as the primary person in charge of green finance business certif"&amp;"ication. Branches and the head office are responsible for reviewing and auditing relevant data to further ensure data accuracy.")</f>
        <v>To ensure the accuracy of environmental data statistics and calculations, the Bank has established a green business certification management system, clearly defining the relationship manager as the primary person in charge of green finance business certification. Branches and the head office are responsible for reviewing and auditing relevant data to further ensure data accuracy.</v>
      </c>
      <c r="B6687" s="1" t="str">
        <f ca="1">IFERROR(__xludf.DUMMYFUNCTION("GOOGLETRANSLATE(A6687, ""zh"", ""en"")"),"Green Finance")</f>
        <v>Green Finance</v>
      </c>
      <c r="C6687" s="1" t="str">
        <f ca="1">IFERROR(__xludf.DUMMYFUNCTION("GOOGLETRANSLATE(E6687, ""zh"", ""en"")"),"Qualitative text")</f>
        <v>Qualitative text</v>
      </c>
    </row>
    <row r="6688" spans="1:3" ht="13" x14ac:dyDescent="0.15">
      <c r="A6688" s="1" t="str">
        <f ca="1">IFERROR(__xludf.DUMMYFUNCTION("GOOGLETRANSLATE(A6688, ""zh"", ""en"")"),"In addition, the Bank has established a green finance business data statistics reporting mechanism to clarify the ledger reporting requirements and standardize the green finance data statistics work.")</f>
        <v>In addition, the Bank has established a green finance business data statistics reporting mechanism to clarify the ledger reporting requirements and standardize the green finance data statistics work.</v>
      </c>
      <c r="B6688" s="1" t="str">
        <f ca="1">IFERROR(__xludf.DUMMYFUNCTION("GOOGLETRANSLATE(A6688, ""zh"", ""en"")"),"Green Finance")</f>
        <v>Green Finance</v>
      </c>
      <c r="C6688" s="1" t="str">
        <f ca="1">IFERROR(__xludf.DUMMYFUNCTION("GOOGLETRANSLATE(E6688, ""zh"", ""en"")"),"Qualitative text")</f>
        <v>Qualitative text</v>
      </c>
    </row>
    <row r="6689" spans="1:3" ht="13" x14ac:dyDescent="0.15">
      <c r="A6689" s="1" t="str">
        <f ca="1">IFERROR(__xludf.DUMMYFUNCTION("GOOGLETRANSLATE(A6689, ""zh"", ""en"")"),"In 2022, the Bank's green finance system was officially launched, enabling intelligent online certification of the Bank's green business. Automatic online summary and statistics of green business data and report generation. System functions such as pre-ce"&amp;"rtification of green business have greatly reduced manual labor and improved data quality.")</f>
        <v>In 2022, the Bank's green finance system was officially launched, enabling intelligent online certification of the Bank's green business. Automatic online summary and statistics of green business data and report generation. System functions such as pre-certification of green business have greatly reduced manual labor and improved data quality.</v>
      </c>
      <c r="B6689" s="1" t="str">
        <f ca="1">IFERROR(__xludf.DUMMYFUNCTION("GOOGLETRANSLATE(A6689, ""zh"", ""en"")"),"Green Finance")</f>
        <v>Green Finance</v>
      </c>
      <c r="C6689" s="1" t="str">
        <f ca="1">IFERROR(__xludf.DUMMYFUNCTION("GOOGLETRANSLATE(E6689, ""zh"", ""en"")"),"Qualitative text")</f>
        <v>Qualitative text</v>
      </c>
    </row>
    <row r="6690" spans="1:3" ht="13" x14ac:dyDescent="0.15">
      <c r="A6690" s="1" t="str">
        <f ca="1">IFERROR(__xludf.DUMMYFUNCTION("GOOGLETRANSLATE(A6690, ""zh"", ""en"")"),"VI. Innovative Green Products and Services: With green finance leading green development as our strategic orientation, the Bank leverages our advantages in integrated finance and financial technology to continuously innovate and upgrade green financial pr"&amp;"oducts and services, creating a multi-tiered green financial product system encompassing green loans, green bonds, green credit cards, and green wealth management products, providing diversified and comprehensive financing channels for enterprises and cre"&amp;"ating a convenient and low-carbon green consumption model for individuals.")</f>
        <v>VI. Innovative Green Products and Services: With green finance leading green development as our strategic orientation, the Bank leverages our advantages in integrated finance and financial technology to continuously innovate and upgrade green financial products and services, creating a multi-tiered green financial product system encompassing green loans, green bonds, green credit cards, and green wealth management products, providing diversified and comprehensive financing channels for enterprises and creating a convenient and low-carbon green consumption model for individuals.</v>
      </c>
      <c r="B6690" s="1" t="str">
        <f ca="1">IFERROR(__xludf.DUMMYFUNCTION("GOOGLETRANSLATE(A6690, ""zh"", ""en"")"),"Green Finance")</f>
        <v>Green Finance</v>
      </c>
      <c r="C6690" s="1" t="str">
        <f ca="1">IFERROR(__xludf.DUMMYFUNCTION("GOOGLETRANSLATE(E6690, ""zh"", ""en"")"),"Qualitative text")</f>
        <v>Qualitative text</v>
      </c>
    </row>
    <row r="6691" spans="1:3" ht="13" x14ac:dyDescent="0.15">
      <c r="A6691" s="1" t="str">
        <f ca="1">IFERROR(__xludf.DUMMYFUNCTION("GOOGLETRANSLATE(A6691, ""zh"", ""en"")"),"At the same time, the Bank actively carries out green finance research and innovation, participates in organizing and leading exchanges and cooperation in the green finance industry")</f>
        <v>At the same time, the Bank actively carries out green finance research and innovation, participates in organizing and leading exchanges and cooperation in the green finance industry</v>
      </c>
      <c r="B6691" s="1" t="str">
        <f ca="1">IFERROR(__xludf.DUMMYFUNCTION("GOOGLETRANSLATE(A6691, ""zh"", ""en"")"),"Green Finance")</f>
        <v>Green Finance</v>
      </c>
      <c r="C6691" s="1" t="str">
        <f ca="1">IFERROR(__xludf.DUMMYFUNCTION("GOOGLETRANSLATE(E6691, ""zh"", ""en"")"),"Qualitative text")</f>
        <v>Qualitative text</v>
      </c>
    </row>
    <row r="6692" spans="1:3" ht="13" x14ac:dyDescent="0.15">
      <c r="A6692" s="1" t="str">
        <f ca="1">IFERROR(__xludf.DUMMYFUNCTION("GOOGLETRANSLATE(A6692, ""zh"", ""en"")"),"1. Green Credit: With professional capabilities, the Bank focuses on 15 sub-sectors across six major areas: clean energy, green environmental protection, high-carbon transformation, green transportation, green buildings, and green services. We create pers"&amp;"onalized credit policies for green industries and projects, and provide enterprises with precise and comprehensive financial services.")</f>
        <v>1. Green Credit: With professional capabilities, the Bank focuses on 15 sub-sectors across six major areas: clean energy, green environmental protection, high-carbon transformation, green transportation, green buildings, and green services. We create personalized credit policies for green industries and projects, and provide enterprises with precise and comprehensive financial services.</v>
      </c>
      <c r="B6692" s="1" t="str">
        <f ca="1">IFERROR(__xludf.DUMMYFUNCTION("GOOGLETRANSLATE(A6692, ""zh"", ""en"")"),"Green Finance")</f>
        <v>Green Finance</v>
      </c>
      <c r="C6692" s="1" t="str">
        <f ca="1">IFERROR(__xludf.DUMMYFUNCTION("GOOGLETRANSLATE(E6692, ""zh"", ""en"")"),"Qualitative text")</f>
        <v>Qualitative text</v>
      </c>
    </row>
    <row r="6693" spans="1:3" ht="13" x14ac:dyDescent="0.15">
      <c r="A6693" s="1" t="str">
        <f ca="1">IFERROR(__xludf.DUMMYFUNCTION("GOOGLETRANSLATE(A6693, ""zh"", ""en"")"),"Case Study: Financial Photovoltaic Ping An and LONGi Green Energy jointly build a green ecosystem. LONGi Green Energy Technology Co., Ltd. is the world's largest photovoltaic manufacturer with the highest market capitalization. It has a complete photovolt"&amp;"aic industry chain layout from silicon wafers, solar cells, and modules to downstream photovoltaic power stations.")</f>
        <v>Case Study: Financial Photovoltaic Ping An and LONGi Green Energy jointly build a green ecosystem. LONGi Green Energy Technology Co., Ltd. is the world's largest photovoltaic manufacturer with the highest market capitalization. It has a complete photovoltaic industry chain layout from silicon wafers, solar cells, and modules to downstream photovoltaic power stations.</v>
      </c>
      <c r="B6693" s="1" t="str">
        <f ca="1">IFERROR(__xludf.DUMMYFUNCTION("GOOGLETRANSLATE(A6693, ""zh"", ""en"")"),"Green Building")</f>
        <v>Green Building</v>
      </c>
      <c r="C6693" s="1" t="str">
        <f ca="1">IFERROR(__xludf.DUMMYFUNCTION("GOOGLETRANSLATE(E6693, ""zh"", ""en"")"),"Qualitative text")</f>
        <v>Qualitative text</v>
      </c>
    </row>
    <row r="6694" spans="1:3" ht="13" x14ac:dyDescent="0.15">
      <c r="A6694" s="1" t="str">
        <f ca="1">IFERROR(__xludf.DUMMYFUNCTION("GOOGLETRANSLATE(A6694, ""zh"", ""en"")"),"The Bank provides LONGi Green Energy with comprehensive and diversified one-stop financial services to support the company's green development.")</f>
        <v>The Bank provides LONGi Green Energy with comprehensive and diversified one-stop financial services to support the company's green development.</v>
      </c>
      <c r="B6694" s="1" t="str">
        <f ca="1">IFERROR(__xludf.DUMMYFUNCTION("GOOGLETRANSLATE(A6694, ""zh"", ""en"")"),"Green Finance")</f>
        <v>Green Finance</v>
      </c>
      <c r="C6694" s="1" t="str">
        <f ca="1">IFERROR(__xludf.DUMMYFUNCTION("GOOGLETRANSLATE(E6694, ""zh"", ""en"")"),"Qualitative text")</f>
        <v>Qualitative text</v>
      </c>
    </row>
    <row r="6695" spans="1:3" ht="13" x14ac:dyDescent="0.15">
      <c r="A6695" s="1" t="str">
        <f ca="1">IFERROR(__xludf.DUMMYFUNCTION("GOOGLETRANSLATE(A6695, ""zh"", ""en"")"),"Through the financial photovoltaic model, we provide support to farmers in purchasing photovoltaic equipment, boosting LONGi Green Energy's distributed photovoltaic strategy. We also provide integrated financial solutions for the entire life cycle of new "&amp;"energy power stations through commercial and investment banking investments, offering a comprehensive package of products and services for the construction of green assets such as LONGi Green Energy's centralized photovoltaic power stations.")</f>
        <v>Through the financial photovoltaic model, we provide support to farmers in purchasing photovoltaic equipment, boosting LONGi Green Energy's distributed photovoltaic strategy. We also provide integrated financial solutions for the entire life cycle of new energy power stations through commercial and investment banking investments, offering a comprehensive package of products and services for the construction of green assets such as LONGi Green Energy's centralized photovoltaic power stations.</v>
      </c>
      <c r="B6695" s="1" t="str">
        <f ca="1">IFERROR(__xludf.DUMMYFUNCTION("GOOGLETRANSLATE(A6695, ""zh"", ""en"")"),"Green Finance")</f>
        <v>Green Finance</v>
      </c>
      <c r="C6695" s="1" t="str">
        <f ca="1">IFERROR(__xludf.DUMMYFUNCTION("GOOGLETRANSLATE(E6695, ""zh"", ""en"")"),"Qualitative text")</f>
        <v>Qualitative text</v>
      </c>
    </row>
    <row r="6696" spans="1:3" ht="13" x14ac:dyDescent="0.15">
      <c r="A6696" s="1" t="str">
        <f ca="1">IFERROR(__xludf.DUMMYFUNCTION("GOOGLETRANSLATE(A6696, ""zh"", ""en"")"),"The Bank provided green credit support for the green energy grid-connected project supporting the zero-carbon industrial park, which strongly supported the construction and commissioning of the zero-carbon industrial park.")</f>
        <v>The Bank provided green credit support for the green energy grid-connected project supporting the zero-carbon industrial park, which strongly supported the construction and commissioning of the zero-carbon industrial park.</v>
      </c>
      <c r="B6696" s="1" t="str">
        <f ca="1">IFERROR(__xludf.DUMMYFUNCTION("GOOGLETRANSLATE(A6696, ""zh"", ""en"")"),"Green Finance")</f>
        <v>Green Finance</v>
      </c>
      <c r="C6696" s="1" t="str">
        <f ca="1">IFERROR(__xludf.DUMMYFUNCTION("GOOGLETRANSLATE(E6696, ""zh"", ""en"")"),"Qualitative text")</f>
        <v>Qualitative text</v>
      </c>
    </row>
    <row r="6697" spans="1:3" ht="13" x14ac:dyDescent="0.15">
      <c r="A6697" s="1" t="str">
        <f ca="1">IFERROR(__xludf.DUMMYFUNCTION("GOOGLETRANSLATE(A6697, ""zh"", ""en"")"),"It is expected that by 2025, the zero-carbon industrial park will create 300 billion yuan in green new industrial output value for the local area, provide 100,000 green high-tech jobs, and achieve an annual carbon dioxide emission reduction target of 100 "&amp;"million tons.")</f>
        <v>It is expected that by 2025, the zero-carbon industrial park will create 300 billion yuan in green new industrial output value for the local area, provide 100,000 green high-tech jobs, and achieve an annual carbon dioxide emission reduction target of 100 million tons.</v>
      </c>
      <c r="B6697" s="1" t="str">
        <f ca="1">IFERROR(__xludf.DUMMYFUNCTION("GOOGLETRANSLATE(A6697, ""zh"", ""en"")"),"carbon emissions")</f>
        <v>carbon emissions</v>
      </c>
      <c r="C6697" s="1" t="str">
        <f ca="1">IFERROR(__xludf.DUMMYFUNCTION("GOOGLETRANSLATE(E6697, ""zh"", ""en"")"),"Quantitative Text")</f>
        <v>Quantitative Text</v>
      </c>
    </row>
    <row r="6698" spans="1:3" ht="13" x14ac:dyDescent="0.15">
      <c r="A6698" s="1" t="str">
        <f ca="1">IFERROR(__xludf.DUMMYFUNCTION("GOOGLETRANSLATE(A6698, ""zh"", ""en"")"),"Case Study: Green Loan for Fixed Assets of a Wind Farm Yancheng City, Jiangsu Province, has abundant coastal wind power development resources, accounting for more than two-thirds of the total wind power development potential in Jiangsu Province.")</f>
        <v>Case Study: Green Loan for Fixed Assets of a Wind Farm Yancheng City, Jiangsu Province, has abundant coastal wind power development resources, accounting for more than two-thirds of the total wind power development potential in Jiangsu Province.</v>
      </c>
      <c r="B6698" s="1" t="str">
        <f ca="1">IFERROR(__xludf.DUMMYFUNCTION("GOOGLETRANSLATE(A6698, ""zh"", ""en"")"),"Green Finance")</f>
        <v>Green Finance</v>
      </c>
      <c r="C6698" s="1" t="str">
        <f ca="1">IFERROR(__xludf.DUMMYFUNCTION("GOOGLETRANSLATE(E6698, ""zh"", ""en"")"),"Quantitative Text")</f>
        <v>Quantitative Text</v>
      </c>
    </row>
    <row r="6699" spans="1:3" ht="13" x14ac:dyDescent="0.15">
      <c r="A6699" s="1" t="str">
        <f ca="1">IFERROR(__xludf.DUMMYFUNCTION("GOOGLETRANSLATE(A6699, ""zh"", ""en"")"),"Wind farm construction also has the characteristics of large fixed asset investment and long term, which urgently requires stable financial support.")</f>
        <v>Wind farm construction also has the characteristics of large fixed asset investment and long term, which urgently requires stable financial support.</v>
      </c>
      <c r="B6699" s="1" t="str">
        <f ca="1">IFERROR(__xludf.DUMMYFUNCTION("GOOGLETRANSLATE(A6699, ""zh"", ""en"")"),"Energy and resource consumption")</f>
        <v>Energy and resource consumption</v>
      </c>
      <c r="C6699" s="1" t="str">
        <f ca="1">IFERROR(__xludf.DUMMYFUNCTION("GOOGLETRANSLATE(E6699, ""zh"", ""en"")"),"Qualitative text")</f>
        <v>Qualitative text</v>
      </c>
    </row>
    <row r="6700" spans="1:3" ht="13" x14ac:dyDescent="0.15">
      <c r="A6700" s="1" t="str">
        <f ca="1">IFERROR(__xludf.DUMMYFUNCTION("GOOGLETRANSLATE(A6700, ""zh"", ""en"")"),"In 2022, the Bank provided a fixed asset green loan for the construction and operation of a wind farm in Yancheng.")</f>
        <v>In 2022, the Bank provided a fixed asset green loan for the construction and operation of a wind farm in Yancheng.</v>
      </c>
      <c r="B6700" s="1" t="str">
        <f ca="1">IFERROR(__xludf.DUMMYFUNCTION("GOOGLETRANSLATE(A6700, ""zh"", ""en"")"),"Green Finance")</f>
        <v>Green Finance</v>
      </c>
      <c r="C6700" s="1" t="str">
        <f ca="1">IFERROR(__xludf.DUMMYFUNCTION("GOOGLETRANSLATE(E6700, ""zh"", ""en"")"),"Qualitative text")</f>
        <v>Qualitative text</v>
      </c>
    </row>
    <row r="6701" spans="1:3" ht="13" x14ac:dyDescent="0.15">
      <c r="A6701" s="1" t="str">
        <f ca="1">IFERROR(__xludf.DUMMYFUNCTION("GOOGLETRANSLATE(A6701, ""zh"", ""en"")"),"After the project is completed, the total installed capacity will be 49MW and the annual on-grid power generation will be 120.83 million kWh. Based on the national average coal consumption of 0.307 kg kWh for thermal power generation, it can save 37,000 t"&amp;"ons of standard coal equivalent each year.")</f>
        <v>After the project is completed, the total installed capacity will be 49MW and the annual on-grid power generation will be 120.83 million kWh. Based on the national average coal consumption of 0.307 kg kWh for thermal power generation, it can save 37,000 tons of standard coal equivalent each year.</v>
      </c>
      <c r="B6701" s="1" t="str">
        <f ca="1">IFERROR(__xludf.DUMMYFUNCTION("GOOGLETRANSLATE(A6701, ""zh"", ""en"")"),"Energy and resource consumption")</f>
        <v>Energy and resource consumption</v>
      </c>
      <c r="C6701" s="1" t="str">
        <f ca="1">IFERROR(__xludf.DUMMYFUNCTION("GOOGLETRANSLATE(E6701, ""zh"", ""en"")"),"Quantitative Text")</f>
        <v>Quantitative Text</v>
      </c>
    </row>
    <row r="6702" spans="1:3" ht="13" x14ac:dyDescent="0.15">
      <c r="A6702" s="1" t="str">
        <f ca="1">IFERROR(__xludf.DUMMYFUNCTION("GOOGLETRANSLATE(A6702, ""zh"", ""en"")"),"Case Study: Issuing carbon-linked loans to promote green and low-carbon transformation. The Bank issued a carbon-linked loan of RMB 1 billion to a domestic technology company. The loan interest rate was linked to the client's emission reduction performanc"&amp;"e. Through interest rate leverage, the client was guided to actively control and reduce their own office energy consumption. Financial concessions were offered to encourage the client's green and low-carbon transformation, further building a green and low"&amp;"-carbon ecosystem for banks and enterprises.")</f>
        <v>Case Study: Issuing carbon-linked loans to promote green and low-carbon transformation. The Bank issued a carbon-linked loan of RMB 1 billion to a domestic technology company. The loan interest rate was linked to the client's emission reduction performance. Through interest rate leverage, the client was guided to actively control and reduce their own office energy consumption. Financial concessions were offered to encourage the client's green and low-carbon transformation, further building a green and low-carbon ecosystem for banks and enterprises.</v>
      </c>
      <c r="B6702" s="1" t="str">
        <f ca="1">IFERROR(__xludf.DUMMYFUNCTION("GOOGLETRANSLATE(A6702, ""zh"", ""en"")"),"carbon emissions")</f>
        <v>carbon emissions</v>
      </c>
      <c r="C6702" s="1" t="str">
        <f ca="1">IFERROR(__xludf.DUMMYFUNCTION("GOOGLETRANSLATE(E6702, ""zh"", ""en"")"),"Quantitative Text")</f>
        <v>Quantitative Text</v>
      </c>
    </row>
    <row r="6703" spans="1:3" ht="13" x14ac:dyDescent="0.15">
      <c r="A6703" s="1" t="str">
        <f ca="1">IFERROR(__xludf.DUMMYFUNCTION("GOOGLETRANSLATE(A6703, ""zh"", ""en"")"),"702. Green Bonds The Bank actively builds a green bond framework to promote the development of green bond issuance, underwriting, and investment businesses.")</f>
        <v>702. Green Bonds The Bank actively builds a green bond framework to promote the development of green bond issuance, underwriting, and investment businesses.</v>
      </c>
      <c r="B6703" s="1" t="str">
        <f ca="1">IFERROR(__xludf.DUMMYFUNCTION("GOOGLETRANSLATE(A6703, ""zh"", ""en"")"),"Green Finance")</f>
        <v>Green Finance</v>
      </c>
      <c r="C6703" s="1" t="str">
        <f ca="1">IFERROR(__xludf.DUMMYFUNCTION("GOOGLETRANSLATE(E6703, ""zh"", ""en"")"),"Qualitative text")</f>
        <v>Qualitative text</v>
      </c>
    </row>
    <row r="6704" spans="1:3" ht="13" x14ac:dyDescent="0.15">
      <c r="A6704" s="1" t="str">
        <f ca="1">IFERROR(__xludf.DUMMYFUNCTION("GOOGLETRANSLATE(A6704, ""zh"", ""en"")"),"In 2022, the Bank successfully issued its first green financial bond with a scale of RMB 20 billion and underwrote green bonds totaling RMB 750 million, one of which has been certified green based on the ICMA standards of the International Capital Market "&amp;"Association.")</f>
        <v>In 2022, the Bank successfully issued its first green financial bond with a scale of RMB 20 billion and underwrote green bonds totaling RMB 750 million, one of which has been certified green based on the ICMA standards of the International Capital Market Association.</v>
      </c>
      <c r="B6704" s="1" t="str">
        <f ca="1">IFERROR(__xludf.DUMMYFUNCTION("GOOGLETRANSLATE(A6704, ""zh"", ""en"")"),"Green Finance")</f>
        <v>Green Finance</v>
      </c>
      <c r="C6704" s="1" t="str">
        <f ca="1">IFERROR(__xludf.DUMMYFUNCTION("GOOGLETRANSLATE(E6704, ""zh"", ""en"")"),"Quantitative Text")</f>
        <v>Quantitative Text</v>
      </c>
    </row>
    <row r="6705" spans="1:3" ht="13" x14ac:dyDescent="0.15">
      <c r="A6705" s="1" t="str">
        <f ca="1">IFERROR(__xludf.DUMMYFUNCTION("GOOGLETRANSLATE(A6705, ""zh"", ""en"")"),"At the same time, the Bank continues to increase its investment in green bonds to provide financial support for the green and low-carbon development of enterprises")</f>
        <v>At the same time, the Bank continues to increase its investment in green bonds to provide financial support for the green and low-carbon development of enterprises</v>
      </c>
      <c r="B6705" s="1" t="str">
        <f ca="1">IFERROR(__xludf.DUMMYFUNCTION("GOOGLETRANSLATE(A6705, ""zh"", ""en"")"),"Green Finance")</f>
        <v>Green Finance</v>
      </c>
      <c r="C6705" s="1" t="str">
        <f ca="1">IFERROR(__xludf.DUMMYFUNCTION("GOOGLETRANSLATE(E6705, ""zh"", ""en"")"),"Qualitative text")</f>
        <v>Qualitative text</v>
      </c>
    </row>
    <row r="6706" spans="1:3" ht="13" x14ac:dyDescent="0.15">
      <c r="A6706" s="1" t="str">
        <f ca="1">IFERROR(__xludf.DUMMYFUNCTION("GOOGLETRANSLATE(A6706, ""zh"", ""en"")"),"As of the end of 2022, the Bank's green bond balance was RMB15.504 billion, an increase of RMB10.279 billion from the previous year, with no defaults or overdue payments.")</f>
        <v>As of the end of 2022, the Bank's green bond balance was RMB15.504 billion, an increase of RMB10.279 billion from the previous year, with no defaults or overdue payments.</v>
      </c>
      <c r="B6706" s="1" t="str">
        <f ca="1">IFERROR(__xludf.DUMMYFUNCTION("GOOGLETRANSLATE(A6706, ""zh"", ""en"")"),"Green Finance")</f>
        <v>Green Finance</v>
      </c>
      <c r="C6706" s="1" t="str">
        <f ca="1">IFERROR(__xludf.DUMMYFUNCTION("GOOGLETRANSLATE(E6706, ""zh"", ""en"")"),"Quantitative Text")</f>
        <v>Quantitative Text</v>
      </c>
    </row>
    <row r="6707" spans="1:3" ht="13" x14ac:dyDescent="0.15">
      <c r="A6707" s="1" t="str">
        <f ca="1">IFERROR(__xludf.DUMMYFUNCTION("GOOGLETRANSLATE(A6707, ""zh"", ""en"")"),"Case Study: Successful Green Bond Issuance: On November 8, 2022, the Bank successfully issued a 3-year, RMB20 billion green financial bond in the national interbank bond market at an interest rate of 2.45%. The proceeds will be used for green industry pro"&amp;"jects as specified in the 2021 edition of the Green Bond Support Project Catalogue, covering key green industry projects such as energy conservation, environmental protection, clean energy, and green infrastructure upgrades.")</f>
        <v>Case Study: Successful Green Bond Issuance: On November 8, 2022, the Bank successfully issued a 3-year, RMB20 billion green financial bond in the national interbank bond market at an interest rate of 2.45%. The proceeds will be used for green industry projects as specified in the 2021 edition of the Green Bond Support Project Catalogue, covering key green industry projects such as energy conservation, environmental protection, clean energy, and green infrastructure upgrades.</v>
      </c>
      <c r="B6707" s="1" t="str">
        <f ca="1">IFERROR(__xludf.DUMMYFUNCTION("GOOGLETRANSLATE(A6707, ""zh"", ""en"")"),"Green Finance")</f>
        <v>Green Finance</v>
      </c>
      <c r="C6707" s="1" t="str">
        <f ca="1">IFERROR(__xludf.DUMMYFUNCTION("GOOGLETRANSLATE(E6707, ""zh"", ""en"")"),"Quantitative Text")</f>
        <v>Quantitative Text</v>
      </c>
    </row>
    <row r="6708" spans="1:3" ht="13" x14ac:dyDescent="0.15">
      <c r="A6708" s="1" t="str">
        <f ca="1">IFERROR(__xludf.DUMMYFUNCTION("GOOGLETRANSLATE(A6708, ""zh"", ""en"")"),"Case Study: Underwriting Green Ultra-Short-Term Financing Bonds. On March 25, 2022, the Bank underwrote the second tranche of green ultra-short-term financing bonds issued by Nanchang Rail Transit Group Co., Ltd. in 2022. The total issuance size was RMB 5"&amp;"00 million, with the Bank underwriting RMB 250 million.")</f>
        <v>Case Study: Underwriting Green Ultra-Short-Term Financing Bonds. On March 25, 2022, the Bank underwrote the second tranche of green ultra-short-term financing bonds issued by Nanchang Rail Transit Group Co., Ltd. in 2022. The total issuance size was RMB 500 million, with the Bank underwriting RMB 250 million.</v>
      </c>
      <c r="B6708" s="1" t="str">
        <f ca="1">IFERROR(__xludf.DUMMYFUNCTION("GOOGLETRANSLATE(A6708, ""zh"", ""en"")"),"Green Finance")</f>
        <v>Green Finance</v>
      </c>
      <c r="C6708" s="1" t="str">
        <f ca="1">IFERROR(__xludf.DUMMYFUNCTION("GOOGLETRANSLATE(E6708, ""zh"", ""en"")"),"Quantitative Text")</f>
        <v>Quantitative Text</v>
      </c>
    </row>
    <row r="6709" spans="1:3" ht="13" x14ac:dyDescent="0.15">
      <c r="A6709" s="1" t="str">
        <f ca="1">IFERROR(__xludf.DUMMYFUNCTION("GOOGLETRANSLATE(A6709, ""zh"", ""en"")"),"After the project is put into operation, it is expected to achieve energy savings of no less than 44,412.08 tons of standard coal, CO2 emission reduction of no less than 191,453.60 tons, CO emission reduction of no less than 1,167.52 tons, HC emission red"&amp;"uction of no less than 188.98 tons, NOx emission reduction of no less than 98.94 tons, and PM emission reduction of no less than 14.84 tons per year.")</f>
        <v>After the project is put into operation, it is expected to achieve energy savings of no less than 44,412.08 tons of standard coal, CO2 emission reduction of no less than 191,453.60 tons, CO emission reduction of no less than 1,167.52 tons, HC emission reduction of no less than 188.98 tons, NOx emission reduction of no less than 98.94 tons, and PM emission reduction of no less than 14.84 tons per year.</v>
      </c>
      <c r="B6709" s="1" t="str">
        <f ca="1">IFERROR(__xludf.DUMMYFUNCTION("GOOGLETRANSLATE(A6709, ""zh"", ""en"")"),"Energy and resource consumption")</f>
        <v>Energy and resource consumption</v>
      </c>
      <c r="C6709" s="1" t="str">
        <f ca="1">IFERROR(__xludf.DUMMYFUNCTION("GOOGLETRANSLATE(E6709, ""zh"", ""en"")"),"Quantitative Text")</f>
        <v>Quantitative Text</v>
      </c>
    </row>
    <row r="6710" spans="1:3" ht="13" x14ac:dyDescent="0.15">
      <c r="A6710" s="1" t="str">
        <f ca="1">IFERROR(__xludf.DUMMYFUNCTION("GOOGLETRANSLATE(A6710, ""zh"", ""en"")"),"Case Study: Underwriting CGN Wind Power Green Debt Financing Instrument Project. On September 14, 2022, the Bank underwrote CGN Wind Power Green Debt Financing Instrument Project. The total issuance size was RMB 1 billion, with a term of three years. The "&amp;"Bank underwrote RMB 500 million.")</f>
        <v>Case Study: Underwriting CGN Wind Power Green Debt Financing Instrument Project. On September 14, 2022, the Bank underwrote CGN Wind Power Green Debt Financing Instrument Project. The total issuance size was RMB 1 billion, with a term of three years. The Bank underwrote RMB 500 million.</v>
      </c>
      <c r="B6710" s="1" t="str">
        <f ca="1">IFERROR(__xludf.DUMMYFUNCTION("GOOGLETRANSLATE(A6710, ""zh"", ""en"")"),"Green Finance")</f>
        <v>Green Finance</v>
      </c>
      <c r="C6710" s="1" t="str">
        <f ca="1">IFERROR(__xludf.DUMMYFUNCTION("GOOGLETRANSLATE(E6710, ""zh"", ""en"")"),"Quantitative Text")</f>
        <v>Quantitative Text</v>
      </c>
    </row>
    <row r="6711" spans="1:3" ht="13" x14ac:dyDescent="0.15">
      <c r="A6711" s="1" t="str">
        <f ca="1">IFERROR(__xludf.DUMMYFUNCTION("GOOGLETRANSLATE(A6711, ""zh"", ""en"")"),"All raised funds will be used for the construction of CGN Shanwei Jiazi 2 offshore wind farm")</f>
        <v>All raised funds will be used for the construction of CGN Shanwei Jiazi 2 offshore wind farm</v>
      </c>
      <c r="B6711" s="1" t="str">
        <f ca="1">IFERROR(__xludf.DUMMYFUNCTION("GOOGLETRANSLATE(A6711, ""zh"", ""en"")"),"irrelevant text")</f>
        <v>irrelevant text</v>
      </c>
      <c r="C6711" s="1" t="str">
        <f ca="1">IFERROR(__xludf.DUMMYFUNCTION("GOOGLETRANSLATE(E6711, ""zh"", ""en"")"),"irrelevant text")</f>
        <v>irrelevant text</v>
      </c>
    </row>
    <row r="6712" spans="1:3" ht="13" x14ac:dyDescent="0.15">
      <c r="A6712" s="1" t="str">
        <f ca="1">IFERROR(__xludf.DUMMYFUNCTION("GOOGLETRANSLATE(A6712, ""zh"", ""en"")"),"The project utilizes abundant renewable energy to replace traditional thermal power generation, which not only meets its own energy and economic development needs but also plays an important role in adjusting the national energy structure and improving en"&amp;"vironmental pollution.")</f>
        <v>The project utilizes abundant renewable energy to replace traditional thermal power generation, which not only meets its own energy and economic development needs but also plays an important role in adjusting the national energy structure and improving environmental pollution.</v>
      </c>
      <c r="B6712" s="1" t="str">
        <f ca="1">IFERROR(__xludf.DUMMYFUNCTION("GOOGLETRANSLATE(A6712, ""zh"", ""en"")"),"Energy and resource consumption")</f>
        <v>Energy and resource consumption</v>
      </c>
      <c r="C6712" s="1" t="str">
        <f ca="1">IFERROR(__xludf.DUMMYFUNCTION("GOOGLETRANSLATE(E6712, ""zh"", ""en"")"),"Qualitative text")</f>
        <v>Qualitative text</v>
      </c>
    </row>
    <row r="6713" spans="1:3" ht="13" x14ac:dyDescent="0.15">
      <c r="A6713" s="1" t="str">
        <f ca="1">IFERROR(__xludf.DUMMYFUNCTION("GOOGLETRANSLATE(A6713, ""zh"", ""en"")"),"The project is expected to save 357,200 tons of standard coal, reduce smoke emissions by 26.06 tons, SO2 emissions by 119.65 tons, and NOx emissions by 180.07 tons annually.")</f>
        <v>The project is expected to save 357,200 tons of standard coal, reduce smoke emissions by 26.06 tons, SO2 emissions by 119.65 tons, and NOx emissions by 180.07 tons annually.</v>
      </c>
      <c r="B6713" s="1" t="str">
        <f ca="1">IFERROR(__xludf.DUMMYFUNCTION("GOOGLETRANSLATE(A6713, ""zh"", ""en"")"),"Clean Technology")</f>
        <v>Clean Technology</v>
      </c>
      <c r="C6713" s="1" t="str">
        <f ca="1">IFERROR(__xludf.DUMMYFUNCTION("GOOGLETRANSLATE(E6713, ""zh"", ""en"")"),"Quantitative Text")</f>
        <v>Quantitative Text</v>
      </c>
    </row>
    <row r="6714" spans="1:3" ht="13" x14ac:dyDescent="0.15">
      <c r="A6714" s="1" t="str">
        <f ca="1">IFERROR(__xludf.DUMMYFUNCTION("GOOGLETRANSLATE(A6714, ""zh"", ""en"")"),"713. Green Credit Card. This year, the Bank officially launched green retail products such as the Low-Carbon Home Ping An Xiaopeng Card. By converting individual low-carbon emission reduction behaviors into public welfare points rewards, we encourage envi"&amp;"ronmentally friendly and low-carbon lifestyles, promoting dual-carbon development from the consumer's perspective.")</f>
        <v>713. Green Credit Card. This year, the Bank officially launched green retail products such as the Low-Carbon Home Ping An Xiaopeng Card. By converting individual low-carbon emission reduction behaviors into public welfare points rewards, we encourage environmentally friendly and low-carbon lifestyles, promoting dual-carbon development from the consumer's perspective.</v>
      </c>
      <c r="B6714" s="1" t="str">
        <f ca="1">IFERROR(__xludf.DUMMYFUNCTION("GOOGLETRANSLATE(A6714, ""zh"", ""en"")"),"carbon emissions")</f>
        <v>carbon emissions</v>
      </c>
      <c r="C6714" s="1" t="str">
        <f ca="1">IFERROR(__xludf.DUMMYFUNCTION("GOOGLETRANSLATE(E6714, ""zh"", ""en"")"),"Qualitative text")</f>
        <v>Qualitative text</v>
      </c>
    </row>
    <row r="6715" spans="1:3" ht="13" x14ac:dyDescent="0.15">
      <c r="A6715" s="1" t="str">
        <f ca="1">IFERROR(__xludf.DUMMYFUNCTION("GOOGLETRANSLATE(A6715, ""zh"", ""en"")"),"Low Carbon Home is a UnionPay credit and debit card personal carbon account platform launched by the Bank in collaboration with China UnionPay Shanghai Environment and Energy Exchange on the Ping An Pocket Bank app. This platform leverages the carbon emis"&amp;"sion reduction calculation support provided by China UnionPay and Shanghai Environment and Energy Exchange to provide users with carbon emission reduction accounting capabilities for multiple scenarios such as daily transportation. Meanwhile, Ping An Xiao"&amp;"peng Card is a new energy vehicle co-branded credit card launched by the Bank and Xiaopeng Motors. Customers using this card can earn points for charging new energy vehicles and engaging in green consumption, which can be redeemed for relevant benefits pr"&amp;"ovided by the platform.")</f>
        <v>Low Carbon Home is a UnionPay credit and debit card personal carbon account platform launched by the Bank in collaboration with China UnionPay Shanghai Environment and Energy Exchange on the Ping An Pocket Bank app. This platform leverages the carbon emission reduction calculation support provided by China UnionPay and Shanghai Environment and Energy Exchange to provide users with carbon emission reduction accounting capabilities for multiple scenarios such as daily transportation. Meanwhile, Ping An Xiaopeng Card is a new energy vehicle co-branded credit card launched by the Bank and Xiaopeng Motors. Customers using this card can earn points for charging new energy vehicles and engaging in green consumption, which can be redeemed for relevant benefits provided by the platform.</v>
      </c>
      <c r="B6715" s="1" t="str">
        <f ca="1">IFERROR(__xludf.DUMMYFUNCTION("GOOGLETRANSLATE(A6715, ""zh"", ""en"")"),"carbon emissions")</f>
        <v>carbon emissions</v>
      </c>
      <c r="C6715" s="1" t="str">
        <f ca="1">IFERROR(__xludf.DUMMYFUNCTION("GOOGLETRANSLATE(E6715, ""zh"", ""en"")"),"Qualitative text")</f>
        <v>Qualitative text</v>
      </c>
    </row>
    <row r="6716" spans="1:3" ht="13" x14ac:dyDescent="0.15">
      <c r="A6716" s="1" t="str">
        <f ca="1">IFERROR(__xludf.DUMMYFUNCTION("GOOGLETRANSLATE(A6716, ""zh"", ""en"")"),"Ping An Xiaopeng Low-Carbon Home Card 4. Green Wealth Management Ping An Wealth Management, a wholly-owned subsidiary of the Bank, is actively developing green finance and ESG investments. It has formulated regulations such as the due diligence management"&amp;" method for non-standard business, continuously improved ESG risk management during due diligence, and incorporated green finance and ESG products into its overall planning. It has launched a number of green finance and ESG-themed products.")</f>
        <v>Ping An Xiaopeng Low-Carbon Home Card 4. Green Wealth Management Ping An Wealth Management, a wholly-owned subsidiary of the Bank, is actively developing green finance and ESG investments. It has formulated regulations such as the due diligence management method for non-standard business, continuously improved ESG risk management during due diligence, and incorporated green finance and ESG products into its overall planning. It has launched a number of green finance and ESG-themed products.</v>
      </c>
      <c r="B6716" s="1" t="str">
        <f ca="1">IFERROR(__xludf.DUMMYFUNCTION("GOOGLETRANSLATE(A6716, ""zh"", ""en"")"),"Green Finance")</f>
        <v>Green Finance</v>
      </c>
      <c r="C6716" s="1" t="str">
        <f ca="1">IFERROR(__xludf.DUMMYFUNCTION("GOOGLETRANSLATE(E6716, ""zh"", ""en"")"),"Qualitative text")</f>
        <v>Qualitative text</v>
      </c>
    </row>
    <row r="6717" spans="1:3" ht="13" x14ac:dyDescent="0.15">
      <c r="A6717" s="1" t="str">
        <f ca="1">IFERROR(__xludf.DUMMYFUNCTION("GOOGLETRANSLATE(A6717, ""zh"", ""en"")"),"Support for green finance and ESG investments exceeded RMB 45 billion throughout the year, including 51 green bond investments totaling RMB 5.172 billion.")</f>
        <v>Support for green finance and ESG investments exceeded RMB 45 billion throughout the year, including 51 green bond investments totaling RMB 5.172 billion.</v>
      </c>
      <c r="B6717" s="1" t="str">
        <f ca="1">IFERROR(__xludf.DUMMYFUNCTION("GOOGLETRANSLATE(A6717, ""zh"", ""en"")"),"Green Finance")</f>
        <v>Green Finance</v>
      </c>
      <c r="C6717" s="1" t="str">
        <f ca="1">IFERROR(__xludf.DUMMYFUNCTION("GOOGLETRANSLATE(E6717, ""zh"", ""en"")"),"Quantitative Text")</f>
        <v>Quantitative Text</v>
      </c>
    </row>
    <row r="6718" spans="1:3" ht="13" x14ac:dyDescent="0.15">
      <c r="A6718" s="1" t="str">
        <f ca="1">IFERROR(__xludf.DUMMYFUNCTION("GOOGLETRANSLATE(A6718, ""zh"", ""en"")"),"This year, Ping An Wealth Management launched its first ESG wealth management product, Ping An Wealth Management Zhixiang ESG Daily Opening Hybrid Net Value Wealth Management Product. This product utilizes the ESG database and ESG model of Ping An Group a"&amp;"nd Harvest Fund to objectively score, sort, and screen A-share and H-share listed companies and equity-linked public funds with excellent comprehensive scores, providing users with products that conform to ESG investment concepts. At the same time, Ping A"&amp;"n Wealth Management, based on its internal credit rating system and ESG research results, jointly released the China Bond Financial Valuation Center, the first green finance and sustainable development dual-themed bond index in the domestic wealth managem"&amp;"ent industry. The China Bond Ping An Wealth Management ESG Preferred Green Bond Index 72 has performed stably. As of the end of 2022, the index had a 52-week volatility of 0.87 and a one-year yield of 2.70.")</f>
        <v>This year, Ping An Wealth Management launched its first ESG wealth management product, Ping An Wealth Management Zhixiang ESG Daily Opening Hybrid Net Value Wealth Management Product. This product utilizes the ESG database and ESG model of Ping An Group and Harvest Fund to objectively score, sort, and screen A-share and H-share listed companies and equity-linked public funds with excellent comprehensive scores, providing users with products that conform to ESG investment concepts. At the same time, Ping An Wealth Management, based on its internal credit rating system and ESG research results, jointly released the China Bond Financial Valuation Center, the first green finance and sustainable development dual-themed bond index in the domestic wealth management industry. The China Bond Ping An Wealth Management ESG Preferred Green Bond Index 72 has performed stably. As of the end of 2022, the index had a 52-week volatility of 0.87 and a one-year yield of 2.70.</v>
      </c>
      <c r="B6718" s="1" t="str">
        <f ca="1">IFERROR(__xludf.DUMMYFUNCTION("GOOGLETRANSLATE(A6718, ""zh"", ""en"")"),"Green Finance")</f>
        <v>Green Finance</v>
      </c>
      <c r="C6718" s="1" t="str">
        <f ca="1">IFERROR(__xludf.DUMMYFUNCTION("GOOGLETRANSLATE(E6718, ""zh"", ""en"")"),"Quantitative Text")</f>
        <v>Quantitative Text</v>
      </c>
    </row>
    <row r="6719" spans="1:3" ht="13" x14ac:dyDescent="0.15">
      <c r="A6719" s="1" t="str">
        <f ca="1">IFERROR(__xludf.DUMMYFUNCTION("GOOGLETRANSLATE(A6719, ""zh"", ""en"")"),"5. Transition Finance Transition Finance provides specialized support for traditional carbon-intensive economic activities or market entities to transition to low-carbon and zero-carbon emissions.")</f>
        <v>5. Transition Finance Transition Finance provides specialized support for traditional carbon-intensive economic activities or market entities to transition to low-carbon and zero-carbon emissions.</v>
      </c>
      <c r="B6719" s="1" t="str">
        <f ca="1">IFERROR(__xludf.DUMMYFUNCTION("GOOGLETRANSLATE(A6719, ""zh"", ""en"")"),"carbon emissions")</f>
        <v>carbon emissions</v>
      </c>
      <c r="C6719" s="1" t="str">
        <f ca="1">IFERROR(__xludf.DUMMYFUNCTION("GOOGLETRANSLATE(E6719, ""zh"", ""en"")"),"Qualitative text")</f>
        <v>Qualitative text</v>
      </c>
    </row>
    <row r="6720" spans="1:3" ht="13" x14ac:dyDescent="0.15">
      <c r="A6720" s="1" t="str">
        <f ca="1">IFERROR(__xludf.DUMMYFUNCTION("GOOGLETRANSLATE(A6720, ""zh"", ""en"")"),"Case Study: The first carbon capture, utilization and storage technology (CCUS) loan project in the domestic steel industry was successfully launched on November 19, 2022. The first pre-financing loan for a steel group's CCUS carbon capture, utilization a"&amp;"nd storage technology demonstration project was approved with an exposure amount of 180 million yuan and a term of 3 years.")</f>
        <v>Case Study: The first carbon capture, utilization and storage technology (CCUS) loan project in the domestic steel industry was successfully launched on November 19, 2022. The first pre-financing loan for a steel group's CCUS carbon capture, utilization and storage technology demonstration project was approved with an exposure amount of 180 million yuan and a term of 3 years.</v>
      </c>
      <c r="B6720" s="1" t="str">
        <f ca="1">IFERROR(__xludf.DUMMYFUNCTION("GOOGLETRANSLATE(A6720, ""zh"", ""en"")"),"carbon emissions")</f>
        <v>carbon emissions</v>
      </c>
      <c r="C6720" s="1" t="str">
        <f ca="1">IFERROR(__xludf.DUMMYFUNCTION("GOOGLETRANSLATE(E6720, ""zh"", ""en"")"),"Quantitative Text")</f>
        <v>Quantitative Text</v>
      </c>
    </row>
    <row r="6721" spans="1:3" ht="13" x14ac:dyDescent="0.15">
      <c r="A6721" s="1" t="str">
        <f ca="1">IFERROR(__xludf.DUMMYFUNCTION("GOOGLETRANSLATE(A6721, ""zh"", ""en"")"),"CCUS is one of the key technologies for addressing global climate change. It plays an important role in promoting the clean use of coal, and can significantly promote the optimization and development of industries such as oil and gas, coal-fired power gen"&amp;"eration, and coal chemical industry. It is an important part of the global climate solution and has strategic significance for the world's energy supply. It is highly valued by countries around the world.")</f>
        <v>CCUS is one of the key technologies for addressing global climate change. It plays an important role in promoting the clean use of coal, and can significantly promote the optimization and development of industries such as oil and gas, coal-fired power generation, and coal chemical industry. It is an important part of the global climate solution and has strategic significance for the world's energy supply. It is highly valued by countries around the world.</v>
      </c>
      <c r="B6721" s="1" t="str">
        <f ca="1">IFERROR(__xludf.DUMMYFUNCTION("GOOGLETRANSLATE(A6721, ""zh"", ""en"")"),"Addressing climate change")</f>
        <v>Addressing climate change</v>
      </c>
      <c r="C6721" s="1" t="str">
        <f ca="1">IFERROR(__xludf.DUMMYFUNCTION("GOOGLETRANSLATE(E6721, ""zh"", ""en"")"),"Qualitative text")</f>
        <v>Qualitative text</v>
      </c>
    </row>
    <row r="6722" spans="1:3" ht="13" x14ac:dyDescent="0.15">
      <c r="A6722" s="1" t="str">
        <f ca="1">IFERROR(__xludf.DUMMYFUNCTION("GOOGLETRANSLATE(A6722, ""zh"", ""en"")"),"This CCUS project is the first CCUS full industry chain demonstration project in China's largest steel industry.")</f>
        <v>This CCUS project is the first CCUS full industry chain demonstration project in China's largest steel industry.</v>
      </c>
      <c r="B6722" s="1" t="str">
        <f ca="1">IFERROR(__xludf.DUMMYFUNCTION("GOOGLETRANSLATE(A6722, ""zh"", ""en"")"),"carbon emissions")</f>
        <v>carbon emissions</v>
      </c>
      <c r="C6722" s="1" t="str">
        <f ca="1">IFERROR(__xludf.DUMMYFUNCTION("GOOGLETRANSLATE(E6722, ""zh"", ""en"")"),"Qualitative text")</f>
        <v>Qualitative text</v>
      </c>
    </row>
    <row r="6723" spans="1:3" ht="13" x14ac:dyDescent="0.15">
      <c r="A6723" s="1" t="str">
        <f ca="1">IFERROR(__xludf.DUMMYFUNCTION("GOOGLETRANSLATE(A6723, ""zh"", ""en"")"),"The bank issued a special loan for the early equipment procurement of this project. Its successful implementation marks a solid step forward for my country's steel industry in promoting dual carbon work and is of great significance in promoting cross-indu"&amp;"stry integration of the carbon industry and exploring new ways of carbon utilization.")</f>
        <v>The bank issued a special loan for the early equipment procurement of this project. Its successful implementation marks a solid step forward for my country's steel industry in promoting dual carbon work and is of great significance in promoting cross-industry integration of the carbon industry and exploring new ways of carbon utilization.</v>
      </c>
      <c r="B6723" s="1" t="str">
        <f ca="1">IFERROR(__xludf.DUMMYFUNCTION("GOOGLETRANSLATE(A6723, ""zh"", ""en"")"),"carbon emissions")</f>
        <v>carbon emissions</v>
      </c>
      <c r="C6723" s="1" t="str">
        <f ca="1">IFERROR(__xludf.DUMMYFUNCTION("GOOGLETRANSLATE(E6723, ""zh"", ""en"")"),"Qualitative text")</f>
        <v>Qualitative text</v>
      </c>
    </row>
    <row r="6724" spans="1:3" ht="13" x14ac:dyDescent="0.15">
      <c r="A6724" s="1" t="str">
        <f ca="1">IFERROR(__xludf.DUMMYFUNCTION("GOOGLETRANSLATE(A6724, ""zh"", ""en"")"),"Seven Industry Exchanges and Research Trainings: The Bank actively participated in exchanges in the green finance industry and participated in research on important and cutting-edge green finance topics at all levels. We conducted in-depth research on sev"&amp;"en topics, including commercial banks' low-carbon transformation, financial support for carbon market development, green finance reform and innovation, and business promotion, and put forward work suggestions, forming a good mechanism for using research t"&amp;"o serve decision-making and business development.")</f>
        <v>Seven Industry Exchanges and Research Trainings: The Bank actively participated in exchanges in the green finance industry and participated in research on important and cutting-edge green finance topics at all levels. We conducted in-depth research on seven topics, including commercial banks' low-carbon transformation, financial support for carbon market development, green finance reform and innovation, and business promotion, and put forward work suggestions, forming a good mechanism for using research to serve decision-making and business development.</v>
      </c>
      <c r="B6724" s="1" t="str">
        <f ca="1">IFERROR(__xludf.DUMMYFUNCTION("GOOGLETRANSLATE(A6724, ""zh"", ""en"")"),"Green Finance")</f>
        <v>Green Finance</v>
      </c>
      <c r="C6724" s="1" t="str">
        <f ca="1">IFERROR(__xludf.DUMMYFUNCTION("GOOGLETRANSLATE(E6724, ""zh"", ""en"")"),"Qualitative text")</f>
        <v>Qualitative text</v>
      </c>
    </row>
    <row r="6725" spans="1:3" ht="13" x14ac:dyDescent="0.15">
      <c r="A6725" s="1" t="str">
        <f ca="1">IFERROR(__xludf.DUMMYFUNCTION("GOOGLETRANSLATE(A6725, ""zh"", ""en"")"),"Green Finance Research and Industry Exchanges: The Bank actively participated in the Guangdong Finance Society's research on financial institutions promoting the development of my country's carbon market, the Shenzhen Special Economic Zone Finance Society"&amp;"'s research on carbon trading and carbon finance development trends, and the Shenzhen Special Economic Zone Finance Society's research on international comparisons of transitional finance and its reference for China. The Bank also conducted research on my"&amp;" country's carbon neutrality strategy and new energy development trends in Shenzhen, focusing on cutting-edge topics such as transitional finance, carbon trading, and carbon markets. The Bank provided practical experience and academic support for the deve"&amp;"lopment of green finance in the financial industry from the perspective of commercial banks.")</f>
        <v>Green Finance Research and Industry Exchanges: The Bank actively participated in the Guangdong Finance Society's research on financial institutions promoting the development of my country's carbon market, the Shenzhen Special Economic Zone Finance Society's research on carbon trading and carbon finance development trends, and the Shenzhen Special Economic Zone Finance Society's research on international comparisons of transitional finance and its reference for China. The Bank also conducted research on my country's carbon neutrality strategy and new energy development trends in Shenzhen, focusing on cutting-edge topics such as transitional finance, carbon trading, and carbon markets. The Bank provided practical experience and academic support for the development of green finance in the financial industry from the perspective of commercial banks.</v>
      </c>
      <c r="B6725" s="1" t="str">
        <f ca="1">IFERROR(__xludf.DUMMYFUNCTION("GOOGLETRANSLATE(A6725, ""zh"", ""en"")"),"Green Finance")</f>
        <v>Green Finance</v>
      </c>
      <c r="C6725" s="1" t="str">
        <f ca="1">IFERROR(__xludf.DUMMYFUNCTION("GOOGLETRANSLATE(E6725, ""zh"", ""en"")"),"Qualitative text")</f>
        <v>Qualitative text</v>
      </c>
    </row>
    <row r="6726" spans="1:3" ht="13" x14ac:dyDescent="0.15">
      <c r="A6726" s="1" t="str">
        <f ca="1">IFERROR(__xludf.DUMMYFUNCTION("GOOGLETRANSLATE(A6726, ""zh"", ""en"")"),"On January 6, 2022, the Bank of China and Ping An Securities jointly released the banking industry's first green finance white paper, Green Finance Promotes High-Quality White Paper 2022.")</f>
        <v>On January 6, 2022, the Bank of China and Ping An Securities jointly released the banking industry's first green finance white paper, Green Finance Promotes High-Quality White Paper 2022.</v>
      </c>
      <c r="B6726" s="1" t="str">
        <f ca="1">IFERROR(__xludf.DUMMYFUNCTION("GOOGLETRANSLATE(A6726, ""zh"", ""en"")"),"Green Finance")</f>
        <v>Green Finance</v>
      </c>
      <c r="C6726" s="1" t="str">
        <f ca="1">IFERROR(__xludf.DUMMYFUNCTION("GOOGLETRANSLATE(E6726, ""zh"", ""en"")"),"Qualitative text")</f>
        <v>Qualitative text</v>
      </c>
    </row>
    <row r="6727" spans="1:3" ht="13" x14ac:dyDescent="0.15">
      <c r="A6727" s="1" t="str">
        <f ca="1">IFERROR(__xludf.DUMMYFUNCTION("GOOGLETRANSLATE(A6727, ""zh"", ""en"")"),"This project aims to draw on and absorb international transition finance theories, standards, and practices to sort out the development direction, goals, paths, and needs of my country's transition finance, propose policy recommendations for my country's "&amp;"transition finance development, specify a transition finance support catalog for the steel and coal power industries, and suggest clear definition standards and key technical indicators for transition activities, promote the implementation of my country's"&amp;" transition finance products and tools, accelerate energy structure adjustment and the transformation and upgrading of traditional industries, and help achieve my country's dual carbon development goals.")</f>
        <v>This project aims to draw on and absorb international transition finance theories, standards, and practices to sort out the development direction, goals, paths, and needs of my country's transition finance, propose policy recommendations for my country's transition finance development, specify a transition finance support catalog for the steel and coal power industries, and suggest clear definition standards and key technical indicators for transition activities, promote the implementation of my country's transition finance products and tools, accelerate energy structure adjustment and the transformation and upgrading of traditional industries, and help achieve my country's dual carbon development goals.</v>
      </c>
      <c r="B6727" s="1" t="str">
        <f ca="1">IFERROR(__xludf.DUMMYFUNCTION("GOOGLETRANSLATE(A6727, ""zh"", ""en"")"),"Technological innovation")</f>
        <v>Technological innovation</v>
      </c>
      <c r="C6727" s="1" t="str">
        <f ca="1">IFERROR(__xludf.DUMMYFUNCTION("GOOGLETRANSLATE(E6727, ""zh"", ""en"")"),"Qualitative text")</f>
        <v>Qualitative text</v>
      </c>
    </row>
    <row r="6728" spans="1:3" ht="13" x14ac:dyDescent="0.15">
      <c r="A6728" s="1" t="str">
        <f ca="1">IFERROR(__xludf.DUMMYFUNCTION("GOOGLETRANSLATE(A6728, ""zh"", ""en"")"),"Case Study: Invited to attend the first Greater Bay Area Green and Sustainable Finance Summit. On November 16, 2022, as an important representative of the Greater Bay Area's green finance, our bank was invited to attend the first Greater Bay Area Green an"&amp;"d Sustainable Finance Summit. The Greater Bay Area Green Finance New Development Sub-Forum shared Ping An Bank's cutting-edge practical experience in leveraging its integrated finance and financial technology advantages to continuously innovate and upgrad"&amp;"e green financial products and services, creating innovative examples of green finance to promote the green development of the real economy.")</f>
        <v>Case Study: Invited to attend the first Greater Bay Area Green and Sustainable Finance Summit. On November 16, 2022, as an important representative of the Greater Bay Area's green finance, our bank was invited to attend the first Greater Bay Area Green and Sustainable Finance Summit. The Greater Bay Area Green Finance New Development Sub-Forum shared Ping An Bank's cutting-edge practical experience in leveraging its integrated finance and financial technology advantages to continuously innovate and upgrade green financial products and services, creating innovative examples of green finance to promote the green development of the real economy.</v>
      </c>
      <c r="B6728" s="1" t="str">
        <f ca="1">IFERROR(__xludf.DUMMYFUNCTION("GOOGLETRANSLATE(A6728, ""zh"", ""en"")"),"Green Finance")</f>
        <v>Green Finance</v>
      </c>
      <c r="C6728" s="1" t="str">
        <f ca="1">IFERROR(__xludf.DUMMYFUNCTION("GOOGLETRANSLATE(E6728, ""zh"", ""en"")"),"Qualitative text")</f>
        <v>Qualitative text</v>
      </c>
    </row>
    <row r="6729" spans="1:3" ht="13" x14ac:dyDescent="0.15">
      <c r="A6729" s="1" t="str">
        <f ca="1">IFERROR(__xludf.DUMMYFUNCTION("GOOGLETRANSLATE(A6729, ""zh"", ""en"")"),"Green Finance Capacity Building: The Bank provides various forms of green and sustainable finance training to directors and all employees, helping them master the basics of financial responses to climate change. We support employees in implementing ESG co"&amp;"ncepts in their business operations and building a positive culture of responsible investment and financing.")</f>
        <v>Green Finance Capacity Building: The Bank provides various forms of green and sustainable finance training to directors and all employees, helping them master the basics of financial responses to climate change. We support employees in implementing ESG concepts in their business operations and building a positive culture of responsible investment and financing.</v>
      </c>
      <c r="B6729" s="1" t="str">
        <f ca="1">IFERROR(__xludf.DUMMYFUNCTION("GOOGLETRANSLATE(A6729, ""zh"", ""en"")"),"Responsible Investment")</f>
        <v>Responsible Investment</v>
      </c>
      <c r="C6729" s="1" t="str">
        <f ca="1">IFERROR(__xludf.DUMMYFUNCTION("GOOGLETRANSLATE(E6729, ""zh"", ""en"")"),"Qualitative text")</f>
        <v>Qualitative text</v>
      </c>
    </row>
    <row r="6730" spans="1:3" ht="13" x14ac:dyDescent="0.15">
      <c r="A6730" s="1" t="str">
        <f ca="1">IFERROR(__xludf.DUMMYFUNCTION("GOOGLETRANSLATE(A6730, ""zh"", ""en"")"),"In 2022, the Bank organized risk policy training across the Bank. The training content covered ESG-related policies, including green finance, agriculture, and mining. The training participants included relationship managers, risk managers, administrative "&amp;"and financial personnel.")</f>
        <v>In 2022, the Bank organized risk policy training across the Bank. The training content covered ESG-related policies, including green finance, agriculture, and mining. The training participants included relationship managers, risk managers, administrative and financial personnel.</v>
      </c>
      <c r="B6730" s="1" t="str">
        <f ca="1">IFERROR(__xludf.DUMMYFUNCTION("GOOGLETRANSLATE(A6730, ""zh"", ""en"")"),"Green Finance")</f>
        <v>Green Finance</v>
      </c>
      <c r="C6730" s="1" t="str">
        <f ca="1">IFERROR(__xludf.DUMMYFUNCTION("GOOGLETRANSLATE(E6730, ""zh"", ""en"")"),"Qualitative text")</f>
        <v>Qualitative text</v>
      </c>
    </row>
    <row r="6731" spans="1:3" ht="13" x14ac:dyDescent="0.15">
      <c r="A6731" s="1" t="str">
        <f ca="1">IFERROR(__xludf.DUMMYFUNCTION("GOOGLETRANSLATE(A6731, ""zh"", ""en"")"),"At the same time, the Bank organizes a special examination on green finance knowledge for senior risk management personnel to strengthen their knowledge of green finance and enhance their ability to identify and respond to green finance risks.")</f>
        <v>At the same time, the Bank organizes a special examination on green finance knowledge for senior risk management personnel to strengthen their knowledge of green finance and enhance their ability to identify and respond to green finance risks.</v>
      </c>
      <c r="B6731" s="1" t="str">
        <f ca="1">IFERROR(__xludf.DUMMYFUNCTION("GOOGLETRANSLATE(A6731, ""zh"", ""en"")"),"Green Finance")</f>
        <v>Green Finance</v>
      </c>
      <c r="C6731" s="1" t="str">
        <f ca="1">IFERROR(__xludf.DUMMYFUNCTION("GOOGLETRANSLATE(E6731, ""zh"", ""en"")"),"Qualitative text")</f>
        <v>Qualitative text</v>
      </c>
    </row>
    <row r="6732" spans="1:3" ht="13" x14ac:dyDescent="0.15">
      <c r="A6732" s="1" t="str">
        <f ca="1">IFERROR(__xludf.DUMMYFUNCTION("GOOGLETRANSLATE(A6732, ""zh"", ""en"")"),"Case Study: Interpretation of Green Finance Guidelines for the Banking and Insurance Industry and Special Training on Green Finance Risk Management. On September 21, 2022, in order to implement the requirements of the China Banking and Insurance Regulator"&amp;"y Commission's Green Finance Guidelines for the Banking and Insurance Industry, the Bank's head office invited external experts to conduct special training on Green Finance Guidelines for the Banking and Insurance Industry and Green Finance Risk Managemen"&amp;"t. Analyzing the impact of the dual-carbon policy on industrial structure, energy structure, and industry trends, combined with peer practices, analyzing the paths and methods for financial institutions to incorporate environmental, social, and governance"&amp;" (ESG) risks into the comprehensive risk management system and conduct full-process management. More than 800 relevant personnel from the bank's corporate market and risk lines participated in the training through on-site meetings, Zhiniao live broadcasts"&amp;", and other forms.")</f>
        <v>Case Study: Interpretation of Green Finance Guidelines for the Banking and Insurance Industry and Special Training on Green Finance Risk Management. On September 21, 2022, in order to implement the requirements of the China Banking and Insurance Regulatory Commission's Green Finance Guidelines for the Banking and Insurance Industry, the Bank's head office invited external experts to conduct special training on Green Finance Guidelines for the Banking and Insurance Industry and Green Finance Risk Management. Analyzing the impact of the dual-carbon policy on industrial structure, energy structure, and industry trends, combined with peer practices, analyzing the paths and methods for financial institutions to incorporate environmental, social, and governance (ESG) risks into the comprehensive risk management system and conduct full-process management. More than 800 relevant personnel from the bank's corporate market and risk lines participated in the training through on-site meetings, Zhiniao live broadcasts, and other forms.</v>
      </c>
      <c r="B6732" s="1" t="str">
        <f ca="1">IFERROR(__xludf.DUMMYFUNCTION("GOOGLETRANSLATE(A6732, ""zh"", ""en"")"),"Green Finance")</f>
        <v>Green Finance</v>
      </c>
      <c r="C6732" s="1" t="str">
        <f ca="1">IFERROR(__xludf.DUMMYFUNCTION("GOOGLETRANSLATE(E6732, ""zh"", ""en"")"),"Quantitative Text")</f>
        <v>Quantitative Text</v>
      </c>
    </row>
    <row r="6733" spans="1:3" ht="13" x14ac:dyDescent="0.15">
      <c r="A6733" s="1" t="str">
        <f ca="1">IFERROR(__xludf.DUMMYFUNCTION("GOOGLETRANSLATE(A6733, ""zh"", ""en"")"),"8. Promoting Green and Low-Carbon Operations: The Bank adheres to the principle of ""Starting with Low-Carbon and Environmental Protection"", integrating green operations into all business lines of the Bank, continuously promoting paperless, electronic an"&amp;"d intelligent business operations, promoting green offices, establishing green branches, carrying out regular green public welfare publicity, etc., to build a green, low-carbon and environmentally friendly green banking brand image.")</f>
        <v>8. Promoting Green and Low-Carbon Operations: The Bank adheres to the principle of "Starting with Low-Carbon and Environmental Protection", integrating green operations into all business lines of the Bank, continuously promoting paperless, electronic and intelligent business operations, promoting green offices, establishing green branches, carrying out regular green public welfare publicity, etc., to build a green, low-carbon and environmentally friendly green banking brand image.</v>
      </c>
      <c r="B6733" s="1" t="str">
        <f ca="1">IFERROR(__xludf.DUMMYFUNCTION("GOOGLETRANSLATE(A6733, ""zh"", ""en"")"),"Green Finance")</f>
        <v>Green Finance</v>
      </c>
      <c r="C6733" s="1" t="str">
        <f ca="1">IFERROR(__xludf.DUMMYFUNCTION("GOOGLETRANSLATE(E6733, ""zh"", ""en"")"),"Qualitative text")</f>
        <v>Qualitative text</v>
      </c>
    </row>
    <row r="6734" spans="1:3" ht="13" x14ac:dyDescent="0.15">
      <c r="A6734" s="1" t="str">
        <f ca="1">IFERROR(__xludf.DUMMYFUNCTION("GOOGLETRANSLATE(A6734, ""zh"", ""en"")"),"2. Green Office The Bank prioritizes conservation and advocates the concept of green office. It comprehensively strengthens and promotes energy conservation and emission reduction models, comprehensively implements energy conservation and emission reducti"&amp;"on measures to improve energy resource utilization.")</f>
        <v>2. Green Office The Bank prioritizes conservation and advocates the concept of green office. It comprehensively strengthens and promotes energy conservation and emission reduction models, comprehensively implements energy conservation and emission reduction measures to improve energy resource utilization.</v>
      </c>
      <c r="B6734" s="1" t="str">
        <f ca="1">IFERROR(__xludf.DUMMYFUNCTION("GOOGLETRANSLATE(A6734, ""zh"", ""en"")"),"Energy and resource consumption")</f>
        <v>Energy and resource consumption</v>
      </c>
      <c r="C6734" s="1" t="str">
        <f ca="1">IFERROR(__xludf.DUMMYFUNCTION("GOOGLETRANSLATE(E6734, ""zh"", ""en"")"),"Qualitative text")</f>
        <v>Qualitative text</v>
      </c>
    </row>
    <row r="6735" spans="1:3" ht="13" x14ac:dyDescent="0.15">
      <c r="A6735" s="1" t="str">
        <f ca="1">IFERROR(__xludf.DUMMYFUNCTION("GOOGLETRANSLATE(A6735, ""zh"", ""en"")"),"Save water and electricity, issue water conservation initiatives and provide guidance to employees")</f>
        <v>Save water and electricity, issue water conservation initiatives and provide guidance to employees</v>
      </c>
      <c r="B6735" s="1" t="str">
        <f ca="1">IFERROR(__xludf.DUMMYFUNCTION("GOOGLETRANSLATE(A6735, ""zh"", ""en"")"),"Water resources")</f>
        <v>Water resources</v>
      </c>
      <c r="C6735" s="1" t="str">
        <f ca="1">IFERROR(__xludf.DUMMYFUNCTION("GOOGLETRANSLATE(E6735, ""zh"", ""en"")"),"Qualitative text")</f>
        <v>Qualitative text</v>
      </c>
    </row>
    <row r="6736" spans="1:3" ht="13" x14ac:dyDescent="0.15">
      <c r="A6736" s="1" t="str">
        <f ca="1">IFERROR(__xludf.DUMMYFUNCTION("GOOGLETRANSLATE(A6736, ""zh"", ""en"")"),"It is recommended to set the air conditioning temperature to 26 degrees in summer")</f>
        <v>It is recommended to set the air conditioning temperature to 26 degrees in summer</v>
      </c>
      <c r="B6736" s="1" t="str">
        <f ca="1">IFERROR(__xludf.DUMMYFUNCTION("GOOGLETRANSLATE(A6736, ""zh"", ""en"")"),"Energy and resource consumption")</f>
        <v>Energy and resource consumption</v>
      </c>
      <c r="C6736" s="1" t="str">
        <f ca="1">IFERROR(__xludf.DUMMYFUNCTION("GOOGLETRANSLATE(E6736, ""zh"", ""en"")"),"Qualitative text")</f>
        <v>Qualitative text</v>
      </c>
    </row>
    <row r="6737" spans="1:3" ht="13" x14ac:dyDescent="0.15">
      <c r="A6737" s="1" t="str">
        <f ca="1">IFERROR(__xludf.DUMMYFUNCTION("GOOGLETRANSLATE(A6737, ""zh"", ""en"")"),"Call on all employees to turn off lights, computers and power supplies after get off work")</f>
        <v>Call on all employees to turn off lights, computers and power supplies after get off work</v>
      </c>
      <c r="B6737" s="1" t="str">
        <f ca="1">IFERROR(__xludf.DUMMYFUNCTION("GOOGLETRANSLATE(A6737, ""zh"", ""en"")"),"Energy and resource consumption")</f>
        <v>Energy and resource consumption</v>
      </c>
      <c r="C6737" s="1" t="str">
        <f ca="1">IFERROR(__xludf.DUMMYFUNCTION("GOOGLETRANSLATE(E6737, ""zh"", ""en"")"),"Qualitative text")</f>
        <v>Qualitative text</v>
      </c>
    </row>
    <row r="6738" spans="1:3" ht="13" x14ac:dyDescent="0.15">
      <c r="A6738" s="1" t="str">
        <f ca="1">IFERROR(__xludf.DUMMYFUNCTION("GOOGLETRANSLATE(A6738, ""zh"", ""en"")"),"Save paper and promote the application of Ping An Financial Intelligence Cloud Platform. Employees can book and reimburse travel, commuting, meals, express delivery and other matters online on the Financial Intelligence Cloud Platform, reducing the waste "&amp;"of paper pasting receipts.")</f>
        <v>Save paper and promote the application of Ping An Financial Intelligence Cloud Platform. Employees can book and reimburse travel, commuting, meals, express delivery and other matters online on the Financial Intelligence Cloud Platform, reducing the waste of paper pasting receipts.</v>
      </c>
      <c r="B6738" s="1" t="str">
        <f ca="1">IFERROR(__xludf.DUMMYFUNCTION("GOOGLETRANSLATE(A6738, ""zh"", ""en"")"),"staff")</f>
        <v>staff</v>
      </c>
      <c r="C6738" s="1" t="str">
        <f ca="1">IFERROR(__xludf.DUMMYFUNCTION("GOOGLETRANSLATE(E6738, ""zh"", ""en"")"),"Qualitative text")</f>
        <v>Qualitative text</v>
      </c>
    </row>
    <row r="6739" spans="1:3" ht="13" x14ac:dyDescent="0.15">
      <c r="A6739" s="1" t="str">
        <f ca="1">IFERROR(__xludf.DUMMYFUNCTION("GOOGLETRANSLATE(A6739, ""zh"", ""en"")"),"Reduce waste by posting garbage sorting reminders and signs to guide employees to sort their garbage")</f>
        <v>Reduce waste by posting garbage sorting reminders and signs to guide employees to sort their garbage</v>
      </c>
      <c r="B6739" s="1" t="str">
        <f ca="1">IFERROR(__xludf.DUMMYFUNCTION("GOOGLETRANSLATE(A6739, ""zh"", ""en"")"),"Waste Management")</f>
        <v>Waste Management</v>
      </c>
      <c r="C6739" s="1" t="str">
        <f ca="1">IFERROR(__xludf.DUMMYFUNCTION("GOOGLETRANSLATE(E6739, ""zh"", ""en"")"),"Qualitative text")</f>
        <v>Qualitative text</v>
      </c>
    </row>
    <row r="6740" spans="1:3" ht="13" x14ac:dyDescent="0.15">
      <c r="A6740" s="1" t="str">
        <f ca="1">IFERROR(__xludf.DUMMYFUNCTION("GOOGLETRANSLATE(A6740, ""zh"", ""en"")"),"75 Improve the recycling rate of office supplies and clarify the disposal method of electronic waste in IT asset management regulations")</f>
        <v>75 Improve the recycling rate of office supplies and clarify the disposal method of electronic waste in IT asset management regulations</v>
      </c>
      <c r="B6740" s="1" t="str">
        <f ca="1">IFERROR(__xludf.DUMMYFUNCTION("GOOGLETRANSLATE(A6740, ""zh"", ""en"")"),"Waste Management")</f>
        <v>Waste Management</v>
      </c>
      <c r="C6740" s="1" t="str">
        <f ca="1">IFERROR(__xludf.DUMMYFUNCTION("GOOGLETRANSLATE(E6740, ""zh"", ""en"")"),"Qualitative text")</f>
        <v>Qualitative text</v>
      </c>
    </row>
    <row r="6741" spans="1:3" ht="13" x14ac:dyDescent="0.15">
      <c r="A6741" s="1" t="str">
        <f ca="1">IFERROR(__xludf.DUMMYFUNCTION("GOOGLETRANSLATE(A6741, ""zh"", ""en"")"),"In 2022, in order to reduce the amount of electronic waste generated by the disposal of expired computers, 30 expired but still usable computers were repaired and updated with accessories and donated to rural schools.")</f>
        <v>In 2022, in order to reduce the amount of electronic waste generated by the disposal of expired computers, 30 expired but still usable computers were repaired and updated with accessories and donated to rural schools.</v>
      </c>
      <c r="B6741" s="1" t="str">
        <f ca="1">IFERROR(__xludf.DUMMYFUNCTION("GOOGLETRANSLATE(A6741, ""zh"", ""en"")"),"Waste Management")</f>
        <v>Waste Management</v>
      </c>
      <c r="C6741" s="1" t="str">
        <f ca="1">IFERROR(__xludf.DUMMYFUNCTION("GOOGLETRANSLATE(E6741, ""zh"", ""en"")"),"Quantitative Text")</f>
        <v>Quantitative Text</v>
      </c>
    </row>
    <row r="6742" spans="1:3" ht="13" x14ac:dyDescent="0.15">
      <c r="A6742" s="1" t="str">
        <f ca="1">IFERROR(__xludf.DUMMYFUNCTION("GOOGLETRANSLATE(A6742, ""zh"", ""en"")"),"Continue to implement low-carbon plastic reduction actions to reduce the use of disposable plastic bottles in daily drinking water and meeting drinking water")</f>
        <v>Continue to implement low-carbon plastic reduction actions to reduce the use of disposable plastic bottles in daily drinking water and meeting drinking water</v>
      </c>
      <c r="B6742" s="1" t="str">
        <f ca="1">IFERROR(__xludf.DUMMYFUNCTION("GOOGLETRANSLATE(A6742, ""zh"", ""en"")"),"Waste Management")</f>
        <v>Waste Management</v>
      </c>
      <c r="C6742" s="1" t="str">
        <f ca="1">IFERROR(__xludf.DUMMYFUNCTION("GOOGLETRANSLATE(E6742, ""zh"", ""en"")"),"Qualitative text")</f>
        <v>Qualitative text</v>
      </c>
    </row>
    <row r="6743" spans="1:3" ht="13" x14ac:dyDescent="0.15">
      <c r="A6743" s="1" t="str">
        <f ca="1">IFERROR(__xludf.DUMMYFUNCTION("GOOGLETRANSLATE(A6743, ""zh"", ""en"")"),"In 2022, the consumption of bottled drinking water in daily department and meetings was 65,697 bottles, which was 13,100 bottles less than the previous year.")</f>
        <v>In 2022, the consumption of bottled drinking water in daily department and meetings was 65,697 bottles, which was 13,100 bottles less than the previous year.</v>
      </c>
      <c r="B6743" s="1" t="str">
        <f ca="1">IFERROR(__xludf.DUMMYFUNCTION("GOOGLETRANSLATE(A6743, ""zh"", ""en"")"),"Energy and resource consumption")</f>
        <v>Energy and resource consumption</v>
      </c>
      <c r="C6743" s="1" t="str">
        <f ca="1">IFERROR(__xludf.DUMMYFUNCTION("GOOGLETRANSLATE(E6743, ""zh"", ""en"")"),"Quantitative Text")</f>
        <v>Quantitative Text</v>
      </c>
    </row>
    <row r="6744" spans="1:3" ht="13" x14ac:dyDescent="0.15">
      <c r="A6744" s="1" t="str">
        <f ca="1">IFERROR(__xludf.DUMMYFUNCTION("GOOGLETRANSLATE(A6744, ""zh"", ""en"")"),"Case Study: Promoting Automatic Shutdown and Advocating Energy Conservation and Emission Reduction. In 2022, Dalian Branch promoted the automatic shutdown function for computers, setting the period from 22:00 to 5:30 the next day as non-working hours. Dur"&amp;"ing this period, if the mouse or keyboard is not used within 30 minutes, the user will be automatically prompted to save the document and the computer will automatically shut down after 5 minutes.")</f>
        <v>Case Study: Promoting Automatic Shutdown and Advocating Energy Conservation and Emission Reduction. In 2022, Dalian Branch promoted the automatic shutdown function for computers, setting the period from 22:00 to 5:30 the next day as non-working hours. During this period, if the mouse or keyboard is not used within 30 minutes, the user will be automatically prompted to save the document and the computer will automatically shut down after 5 minutes.</v>
      </c>
      <c r="B6744" s="1" t="str">
        <f ca="1">IFERROR(__xludf.DUMMYFUNCTION("GOOGLETRANSLATE(A6744, ""zh"", ""en"")"),"Energy and resource consumption")</f>
        <v>Energy and resource consumption</v>
      </c>
      <c r="C6744" s="1" t="str">
        <f ca="1">IFERROR(__xludf.DUMMYFUNCTION("GOOGLETRANSLATE(E6744, ""zh"", ""en"")"),"Qualitative text")</f>
        <v>Qualitative text</v>
      </c>
    </row>
    <row r="6745" spans="1:3" ht="13" x14ac:dyDescent="0.15">
      <c r="A6745" s="1" t="str">
        <f ca="1">IFERROR(__xludf.DUMMYFUNCTION("GOOGLETRANSLATE(A6745, ""zh"", ""en"")"),"According to statistics, this function saves about 200KWh of electricity for the branch every year")</f>
        <v>According to statistics, this function saves about 200KWh of electricity for the branch every year</v>
      </c>
      <c r="B6745" s="1" t="str">
        <f ca="1">IFERROR(__xludf.DUMMYFUNCTION("GOOGLETRANSLATE(A6745, ""zh"", ""en"")"),"Energy and resource consumption")</f>
        <v>Energy and resource consumption</v>
      </c>
      <c r="C6745" s="1" t="str">
        <f ca="1">IFERROR(__xludf.DUMMYFUNCTION("GOOGLETRANSLATE(E6745, ""zh"", ""en"")"),"Quantitative Text")</f>
        <v>Quantitative Text</v>
      </c>
    </row>
    <row r="6746" spans="1:3" ht="13" x14ac:dyDescent="0.15">
      <c r="A6746" s="1" t="str">
        <f ca="1">IFERROR(__xludf.DUMMYFUNCTION("GOOGLETRANSLATE(A6746, ""zh"", ""en"")"),"Case Study: Participated in the Earth Hour event for seven consecutive years. Earth Hour is a global energy-saving event proposed by the World Wildlife Fund (WWF) to respond to global climate change.")</f>
        <v>Case Study: Participated in the Earth Hour event for seven consecutive years. Earth Hour is a global energy-saving event proposed by the World Wildlife Fund (WWF) to respond to global climate change.</v>
      </c>
      <c r="B6746" s="1" t="str">
        <f ca="1">IFERROR(__xludf.DUMMYFUNCTION("GOOGLETRANSLATE(A6746, ""zh"", ""en"")"),"Addressing climate change")</f>
        <v>Addressing climate change</v>
      </c>
      <c r="C6746" s="1" t="str">
        <f ca="1">IFERROR(__xludf.DUMMYFUNCTION("GOOGLETRANSLATE(E6746, ""zh"", ""en"")"),"Qualitative text")</f>
        <v>Qualitative text</v>
      </c>
    </row>
    <row r="6747" spans="1:3" ht="13" x14ac:dyDescent="0.15">
      <c r="A6747" s="1" t="str">
        <f ca="1">IFERROR(__xludf.DUMMYFUNCTION("GOOGLETRANSLATE(A6747, ""zh"", ""en"")"),"The Bank has actively responded to the initiative and has participated in the Earth Hour event for seven consecutive years, taking concrete actions to advocate low-carbon living and green development to the society.")</f>
        <v>The Bank has actively responded to the initiative and has participated in the Earth Hour event for seven consecutive years, taking concrete actions to advocate low-carbon living and green development to the society.</v>
      </c>
      <c r="B6747" s="1" t="str">
        <f ca="1">IFERROR(__xludf.DUMMYFUNCTION("GOOGLETRANSLATE(A6747, ""zh"", ""en"")"),"carbon emissions")</f>
        <v>carbon emissions</v>
      </c>
      <c r="C6747" s="1" t="str">
        <f ca="1">IFERROR(__xludf.DUMMYFUNCTION("GOOGLETRANSLATE(E6747, ""zh"", ""en"")"),"Qualitative text")</f>
        <v>Qualitative text</v>
      </c>
    </row>
    <row r="6748" spans="1:3" ht="13" x14ac:dyDescent="0.15">
      <c r="A6748" s="1" t="str">
        <f ca="1">IFERROR(__xludf.DUMMYFUNCTION("GOOGLETRANSLATE(A6748, ""zh"", ""en"")"),"On the evening of March 26, 2022, Changsha Branch also participated in the Earth Hour event to inspire people to have a sense of responsibility for protecting the earth and to think about environmental issues such as climate change, and to show support fo"&amp;"r global joint efforts to combat climate change.")</f>
        <v>On the evening of March 26, 2022, Changsha Branch also participated in the Earth Hour event to inspire people to have a sense of responsibility for protecting the earth and to think about environmental issues such as climate change, and to show support for global joint efforts to combat climate change.</v>
      </c>
      <c r="B6748" s="1" t="str">
        <f ca="1">IFERROR(__xludf.DUMMYFUNCTION("GOOGLETRANSLATE(A6748, ""zh"", ""en"")"),"Addressing climate change")</f>
        <v>Addressing climate change</v>
      </c>
      <c r="C6748" s="1" t="str">
        <f ca="1">IFERROR(__xludf.DUMMYFUNCTION("GOOGLETRANSLATE(E6748, ""zh"", ""en"")"),"Qualitative text")</f>
        <v>Qualitative text</v>
      </c>
    </row>
    <row r="6749" spans="1:3" ht="13" x14ac:dyDescent="0.15">
      <c r="A6749" s="1" t="str">
        <f ca="1">IFERROR(__xludf.DUMMYFUNCTION("GOOGLETRANSLATE(A6749, ""zh"", ""en"")"),"763. Green Data Center: The Bank actively responds to calls for energy conservation and emission reduction. The data center's cold aisle enclosure adopts a modular design. The air conditioning system utilizes evaporative cooling, fluorine pumps, and natur"&amp;"al cooling technology combined with an AI group control system. The power supply and distribution system utilizes a UPS system with VI mode and full busbar power supply technology, enabling efficient, low-carbon, and green use of the data center.")</f>
        <v>763. Green Data Center: The Bank actively responds to calls for energy conservation and emission reduction. The data center's cold aisle enclosure adopts a modular design. The air conditioning system utilizes evaporative cooling, fluorine pumps, and natural cooling technology combined with an AI group control system. The power supply and distribution system utilizes a UPS system with VI mode and full busbar power supply technology, enabling efficient, low-carbon, and green use of the data center.</v>
      </c>
      <c r="B6749" s="1" t="str">
        <f ca="1">IFERROR(__xludf.DUMMYFUNCTION("GOOGLETRANSLATE(A6749, ""zh"", ""en"")"),"Energy and resource consumption")</f>
        <v>Energy and resource consumption</v>
      </c>
      <c r="C6749" s="1" t="str">
        <f ca="1">IFERROR(__xludf.DUMMYFUNCTION("GOOGLETRANSLATE(E6749, ""zh"", ""en"")"),"Qualitative text")</f>
        <v>Qualitative text</v>
      </c>
    </row>
    <row r="6750" spans="1:3" ht="13" x14ac:dyDescent="0.15">
      <c r="A6750" s="1" t="str">
        <f ca="1">IFERROR(__xludf.DUMMYFUNCTION("GOOGLETRANSLATE(A6750, ""zh"", ""en"")"),"By the end of 2022, the Bank's data center had reduced its average PUE from 1.467 in 2021 to 1.433 in 2022 through the optimization of various energy-saving measures, saving 509,511 kWh of electricity consumption.")</f>
        <v>By the end of 2022, the Bank's data center had reduced its average PUE from 1.467 in 2021 to 1.433 in 2022 through the optimization of various energy-saving measures, saving 509,511 kWh of electricity consumption.</v>
      </c>
      <c r="B6750" s="1" t="str">
        <f ca="1">IFERROR(__xludf.DUMMYFUNCTION("GOOGLETRANSLATE(A6750, ""zh"", ""en"")"),"Energy and resource consumption")</f>
        <v>Energy and resource consumption</v>
      </c>
      <c r="C6750" s="1" t="str">
        <f ca="1">IFERROR(__xludf.DUMMYFUNCTION("GOOGLETRANSLATE(E6750, ""zh"", ""en"")"),"Quantitative Text")</f>
        <v>Quantitative Text</v>
      </c>
    </row>
    <row r="6751" spans="1:3" ht="13" x14ac:dyDescent="0.15">
      <c r="A6751" s="1" t="str">
        <f ca="1">IFERROR(__xludf.DUMMYFUNCTION("GOOGLETRANSLATE(A6751, ""zh"", ""en"")"),"The Changsha Branch posted signs to encourage energy conservation and water conservation on light switches and faucets in its offices. The Dongguan Branch renovated its garbage collection points and equipped them with separate collection containers. 774. "&amp;"Green Procurement: The Bank promotes green and low-carbon concepts in its procurement activities, fully considering environmental protection, resource conservation, recycling, low-carbon development, and recycling promotion, prioritizing the purchase of r"&amp;"aw materials, products, and services that contribute to environmental protection.")</f>
        <v>The Changsha Branch posted signs to encourage energy conservation and water conservation on light switches and faucets in its offices. The Dongguan Branch renovated its garbage collection points and equipped them with separate collection containers. 774. Green Procurement: The Bank promotes green and low-carbon concepts in its procurement activities, fully considering environmental protection, resource conservation, recycling, low-carbon development, and recycling promotion, prioritizing the purchase of raw materials, products, and services that contribute to environmental protection.</v>
      </c>
      <c r="B6751" s="1" t="str">
        <f ca="1">IFERROR(__xludf.DUMMYFUNCTION("GOOGLETRANSLATE(A6751, ""zh"", ""en"")"),"raw materials")</f>
        <v>raw materials</v>
      </c>
      <c r="C6751" s="1" t="str">
        <f ca="1">IFERROR(__xludf.DUMMYFUNCTION("GOOGLETRANSLATE(E6751, ""zh"", ""en"")"),"Qualitative text")</f>
        <v>Qualitative text</v>
      </c>
    </row>
    <row r="6752" spans="1:3" ht="13" x14ac:dyDescent="0.15">
      <c r="A6752" s="1" t="str">
        <f ca="1">IFERROR(__xludf.DUMMYFUNCTION("GOOGLETRANSLATE(A6752, ""zh"", ""en"")"),"At the same time, the Bank actively builds a green supply chain, continuously improves the conditions and procedures for screening and identifying green suppliers, and establishes a full life cycle management mechanism.")</f>
        <v>At the same time, the Bank actively builds a green supply chain, continuously improves the conditions and procedures for screening and identifying green suppliers, and establishes a full life cycle management mechanism.</v>
      </c>
      <c r="B6752" s="1" t="str">
        <f ca="1">IFERROR(__xludf.DUMMYFUNCTION("GOOGLETRANSLATE(A6752, ""zh"", ""en"")"),"supply chain management")</f>
        <v>supply chain management</v>
      </c>
      <c r="C6752" s="1" t="str">
        <f ca="1">IFERROR(__xludf.DUMMYFUNCTION("GOOGLETRANSLATE(E6752, ""zh"", ""en"")"),"Qualitative text")</f>
        <v>Qualitative text</v>
      </c>
    </row>
    <row r="6753" spans="1:3" ht="13" x14ac:dyDescent="0.15">
      <c r="A6753" s="1" t="str">
        <f ca="1">IFERROR(__xludf.DUMMYFUNCTION("GOOGLETRANSLATE(A6753, ""zh"", ""en"")"),"Check the supplier's green product raw material and green service qualification certification status from aspects such as supplier access, review, assessment and elimination. Give priority to suppliers with environmental management system certification an"&amp;"d environmental label products. Clarify environmental protection requirements and pay attention to suppliers' environmental protection measures.")</f>
        <v>Check the supplier's green product raw material and green service qualification certification status from aspects such as supplier access, review, assessment and elimination. Give priority to suppliers with environmental management system certification and environmental label products. Clarify environmental protection requirements and pay attention to suppliers' environmental protection measures.</v>
      </c>
      <c r="B6753" s="1" t="str">
        <f ca="1">IFERROR(__xludf.DUMMYFUNCTION("GOOGLETRANSLATE(A6753, ""zh"", ""en"")"),"raw materials")</f>
        <v>raw materials</v>
      </c>
      <c r="C6753" s="1" t="str">
        <f ca="1">IFERROR(__xludf.DUMMYFUNCTION("GOOGLETRANSLATE(E6753, ""zh"", ""en"")"),"Qualitative text")</f>
        <v>Qualitative text</v>
      </c>
    </row>
    <row r="6754" spans="1:3" ht="13" x14ac:dyDescent="0.15">
      <c r="A6754" s="1" t="str">
        <f ca="1">IFERROR(__xludf.DUMMYFUNCTION("GOOGLETRANSLATE(A6754, ""zh"", ""en"")"),"At the same time, in the procurement process, the Bank reviewed suppliers' environmental protection measures in product packaging, logistics, recycling, and other aspects through the establishment of standard procurement contract clauses. It also promoted"&amp;" electronic bidding documents through the electronic procurement platform, significantly reducing the paper consumption of procurement documents.")</f>
        <v>At the same time, in the procurement process, the Bank reviewed suppliers' environmental protection measures in product packaging, logistics, recycling, and other aspects through the establishment of standard procurement contract clauses. It also promoted electronic bidding documents through the electronic procurement platform, significantly reducing the paper consumption of procurement documents.</v>
      </c>
      <c r="B6754" s="1" t="str">
        <f ca="1">IFERROR(__xludf.DUMMYFUNCTION("GOOGLETRANSLATE(A6754, ""zh"", ""en"")"),"raw materials")</f>
        <v>raw materials</v>
      </c>
      <c r="C6754" s="1" t="str">
        <f ca="1">IFERROR(__xludf.DUMMYFUNCTION("GOOGLETRANSLATE(E6754, ""zh"", ""en"")"),"Qualitative text")</f>
        <v>Qualitative text</v>
      </c>
    </row>
    <row r="6755" spans="1:3" ht="13" x14ac:dyDescent="0.15">
      <c r="A6755" s="1" t="str">
        <f ca="1">IFERROR(__xludf.DUMMYFUNCTION("GOOGLETRANSLATE(A6755, ""zh"", ""en"")"),"IX. Environmental Impact of Business Activities: The Bank has compiled statistics on energy and resource consumption in its operations and offices in 2022. The relevant basic data is sourced from the Bank's financial system, financial intelligence reporti"&amp;"ng system, and institutional management system to avoid omissions and misreporting resulting from separate data maintenance, ensuring data accuracy and completeness.")</f>
        <v>IX. Environmental Impact of Business Activities: The Bank has compiled statistics on energy and resource consumption in its operations and offices in 2022. The relevant basic data is sourced from the Bank's financial system, financial intelligence reporting system, and institutional management system to avoid omissions and misreporting resulting from separate data maintenance, ensuring data accuracy and completeness.</v>
      </c>
      <c r="B6755" s="1" t="str">
        <f ca="1">IFERROR(__xludf.DUMMYFUNCTION("GOOGLETRANSLATE(A6755, ""zh"", ""en"")"),"Energy and resource consumption")</f>
        <v>Energy and resource consumption</v>
      </c>
      <c r="C6755" s="1" t="str">
        <f ca="1">IFERROR(__xludf.DUMMYFUNCTION("GOOGLETRANSLATE(E6755, ""zh"", ""en"")"),"Qualitative text")</f>
        <v>Qualitative text</v>
      </c>
    </row>
    <row r="6756" spans="1:3" ht="13" x14ac:dyDescent="0.15">
      <c r="A6756" s="1" t="str">
        <f ca="1">IFERROR(__xludf.DUMMYFUNCTION("GOOGLETRANSLATE(A6756, ""zh"", ""en"")"),"6. The Bank's IT-related electronic waste mainly includes terminal equipment, R&amp;D and testing equipment, network equipment, storage equipment, computer room facilities, servers, etc.")</f>
        <v>6. The Bank's IT-related electronic waste mainly includes terminal equipment, R&amp;D and testing equipment, network equipment, storage equipment, computer room facilities, servers, etc.</v>
      </c>
      <c r="B6756" s="1" t="str">
        <f ca="1">IFERROR(__xludf.DUMMYFUNCTION("GOOGLETRANSLATE(A6756, ""zh"", ""en"")"),"Waste Management")</f>
        <v>Waste Management</v>
      </c>
      <c r="C6756" s="1" t="str">
        <f ca="1">IFERROR(__xludf.DUMMYFUNCTION("GOOGLETRANSLATE(E6756, ""zh"", ""en"")"),"Qualitative text")</f>
        <v>Qualitative text</v>
      </c>
    </row>
    <row r="6757" spans="1:3" ht="13" x14ac:dyDescent="0.15">
      <c r="A6757" s="1" t="str">
        <f ca="1">IFERROR(__xludf.DUMMYFUNCTION("GOOGLETRANSLATE(A6757, ""zh"", ""en"")"),"79 Eight Working Together with Employees to Grow Together, the Bank adheres to a people-oriented philosophy and is committed to providing a fair, just, open, inclusive and diversified employee recruitment mechanism, a competitive salary and benefits syste"&amp;"m, scientific and diverse career development paths and a scientific and comprehensive training system.")</f>
        <v>79 Eight Working Together with Employees to Grow Together, the Bank adheres to a people-oriented philosophy and is committed to providing a fair, just, open, inclusive and diversified employee recruitment mechanism, a competitive salary and benefits system, scientific and diverse career development paths and a scientific and comprehensive training system.</v>
      </c>
      <c r="B6757" s="1" t="str">
        <f ca="1">IFERROR(__xludf.DUMMYFUNCTION("GOOGLETRANSLATE(A6757, ""zh"", ""en"")"),"staff")</f>
        <v>staff</v>
      </c>
      <c r="C6757" s="1" t="str">
        <f ca="1">IFERROR(__xludf.DUMMYFUNCTION("GOOGLETRANSLATE(E6757, ""zh"", ""en"")"),"Qualitative text")</f>
        <v>Qualitative text</v>
      </c>
    </row>
    <row r="6758" spans="1:3" ht="13" x14ac:dyDescent="0.15">
      <c r="A6758" s="1" t="str">
        <f ca="1">IFERROR(__xludf.DUMMYFUNCTION("GOOGLETRANSLATE(A6758, ""zh"", ""en"")"),"At the same time, the Bank is committed to protecting the basic rights and interests of employees, actively listening to their voices, and creating a friendly and harmonious workplace environment with happy work and healthy life as the basic concept, so t"&amp;"hat employees can continue to grow in a warm family.")</f>
        <v>At the same time, the Bank is committed to protecting the basic rights and interests of employees, actively listening to their voices, and creating a friendly and harmonious workplace environment with happy work and healthy life as the basic concept, so that employees can continue to grow in a warm family.</v>
      </c>
      <c r="B6758" s="1" t="str">
        <f ca="1">IFERROR(__xludf.DUMMYFUNCTION("GOOGLETRANSLATE(A6758, ""zh"", ""en"")"),"staff")</f>
        <v>staff</v>
      </c>
      <c r="C6758" s="1" t="str">
        <f ca="1">IFERROR(__xludf.DUMMYFUNCTION("GOOGLETRANSLATE(E6758, ""zh"", ""en"")"),"Qualitative text")</f>
        <v>Qualitative text</v>
      </c>
    </row>
    <row r="6759" spans="1:3" ht="13" x14ac:dyDescent="0.15">
      <c r="A6759" s="1" t="str">
        <f ca="1">IFERROR(__xludf.DUMMYFUNCTION("GOOGLETRANSLATE(A6759, ""zh"", ""en"")"),"1. Recruiting outstanding talents. The Bank takes diversity and inclusion as the core value of talent management and is committed to eliminating discrimination based on gender, age, ethnicity, family status, religion, sexual orientation, social origin, et"&amp;"c. to build a diverse talent team.")</f>
        <v>1. Recruiting outstanding talents. The Bank takes diversity and inclusion as the core value of talent management and is committed to eliminating discrimination based on gender, age, ethnicity, family status, religion, sexual orientation, social origin, etc. to build a diverse talent team.</v>
      </c>
      <c r="B6759" s="1" t="str">
        <f ca="1">IFERROR(__xludf.DUMMYFUNCTION("GOOGLETRANSLATE(A6759, ""zh"", ""en"")"),"staff")</f>
        <v>staff</v>
      </c>
      <c r="C6759" s="1" t="str">
        <f ca="1">IFERROR(__xludf.DUMMYFUNCTION("GOOGLETRANSLATE(E6759, ""zh"", ""en"")"),"Qualitative text")</f>
        <v>Qualitative text</v>
      </c>
    </row>
    <row r="6760" spans="1:3" ht="13" x14ac:dyDescent="0.15">
      <c r="A6760" s="1" t="str">
        <f ca="1">IFERROR(__xludf.DUMMYFUNCTION("GOOGLETRANSLATE(A6760, ""zh"", ""en"")"),"Sign a labor contract with each employee. There is no forced or compulsory labor. The bank does not employ part-time staff.")</f>
        <v>Sign a labor contract with each employee. There is no forced or compulsory labor. The bank does not employ part-time staff.</v>
      </c>
      <c r="B6760" s="1" t="str">
        <f ca="1">IFERROR(__xludf.DUMMYFUNCTION("GOOGLETRANSLATE(A6760, ""zh"", ""en"")"),"staff")</f>
        <v>staff</v>
      </c>
      <c r="C6760" s="1" t="str">
        <f ca="1">IFERROR(__xludf.DUMMYFUNCTION("GOOGLETRANSLATE(E6760, ""zh"", ""en"")"),"Qualitative text")</f>
        <v>Qualitative text</v>
      </c>
    </row>
    <row r="6761" spans="1:3" ht="13" x14ac:dyDescent="0.15">
      <c r="A6761" s="1" t="str">
        <f ca="1">IFERROR(__xludf.DUMMYFUNCTION("GOOGLETRANSLATE(A6761, ""zh"", ""en"")"),"During the resume screening stage, the Bank reviews the age and background of candidates. If they do not meet the requirements of relevant laws and regulations, they will not be allowed to pass the resume screening to prevent the employment of child labor"&amp;" and forced labor.")</f>
        <v>During the resume screening stage, the Bank reviews the age and background of candidates. If they do not meet the requirements of relevant laws and regulations, they will not be allowed to pass the resume screening to prevent the employment of child labor and forced labor.</v>
      </c>
      <c r="B6761" s="1" t="str">
        <f ca="1">IFERROR(__xludf.DUMMYFUNCTION("GOOGLETRANSLATE(A6761, ""zh"", ""en"")"),"staff")</f>
        <v>staff</v>
      </c>
      <c r="C6761" s="1" t="str">
        <f ca="1">IFERROR(__xludf.DUMMYFUNCTION("GOOGLETRANSLATE(E6761, ""zh"", ""en"")"),"Qualitative text")</f>
        <v>Qualitative text</v>
      </c>
    </row>
    <row r="6762" spans="1:3" ht="13" x14ac:dyDescent="0.15">
      <c r="A6762" s="1" t="str">
        <f ca="1">IFERROR(__xludf.DUMMYFUNCTION("GOOGLETRANSLATE(A6762, ""zh"", ""en"")"),"The number of ethnic minority and foreign employees in the Bank increased by more than 10% this year, and female employees accounted for more than 50% of the new employees.")</f>
        <v>The number of ethnic minority and foreign employees in the Bank increased by more than 10% this year, and female employees accounted for more than 50% of the new employees.</v>
      </c>
      <c r="B6762" s="1" t="str">
        <f ca="1">IFERROR(__xludf.DUMMYFUNCTION("GOOGLETRANSLATE(A6762, ""zh"", ""en"")"),"staff")</f>
        <v>staff</v>
      </c>
      <c r="C6762" s="1" t="str">
        <f ca="1">IFERROR(__xludf.DUMMYFUNCTION("GOOGLETRANSLATE(E6762, ""zh"", ""en"")"),"Quantitative Text")</f>
        <v>Quantitative Text</v>
      </c>
    </row>
    <row r="6763" spans="1:3" ht="13" x14ac:dyDescent="0.15">
      <c r="A6763" s="1" t="str">
        <f ca="1">IFERROR(__xludf.DUMMYFUNCTION("GOOGLETRANSLATE(A6763, ""zh"", ""en"")"),"Indicators 2022 Data Total Employees 44,207 Female Employees 25,225 Male Employees 18,982 Minority Employees 1,962 Foreign Employees 214 New Employees 8,666 Labor Contract Signing Rate 100 Social Insurance Coverage Rate 100 Employee Turnover Rate 10.0080 "&amp;"1. Recruitment and Employment Management The Bank has formulated recruitment management measures to proactively forecast recruitment needs through annual recruitment demand reviews and monthly follow-up on recruitment demand progress to flexibly adjust re"&amp;"cruitment needs.")</f>
        <v>Indicators 2022 Data Total Employees 44,207 Female Employees 25,225 Male Employees 18,982 Minority Employees 1,962 Foreign Employees 214 New Employees 8,666 Labor Contract Signing Rate 100 Social Insurance Coverage Rate 100 Employee Turnover Rate 10.0080 1. Recruitment and Employment Management The Bank has formulated recruitment management measures to proactively forecast recruitment needs through annual recruitment demand reviews and monthly follow-up on recruitment demand progress to flexibly adjust recruitment needs.</v>
      </c>
      <c r="B6763" s="1" t="str">
        <f ca="1">IFERROR(__xludf.DUMMYFUNCTION("GOOGLETRANSLATE(A6763, ""zh"", ""en"")"),"staff")</f>
        <v>staff</v>
      </c>
      <c r="C6763" s="1" t="str">
        <f ca="1">IFERROR(__xludf.DUMMYFUNCTION("GOOGLETRANSLATE(E6763, ""zh"", ""en"")"),"Quantitative Text")</f>
        <v>Quantitative Text</v>
      </c>
    </row>
    <row r="6764" spans="1:3" ht="13" x14ac:dyDescent="0.15">
      <c r="A6764" s="1" t="str">
        <f ca="1">IFERROR(__xludf.DUMMYFUNCTION("GOOGLETRANSLATE(A6764, ""zh"", ""en"")"),"The Bank continuously optimized its recruitment process and actively expanded its recruitment channels, absorbing talents extensively through various means such as school-enterprise cooperation, campus recruitment and talent introduction, and actively dev"&amp;"eloping its talent pool.")</f>
        <v>The Bank continuously optimized its recruitment process and actively expanded its recruitment channels, absorbing talents extensively through various means such as school-enterprise cooperation, campus recruitment and talent introduction, and actively developing its talent pool.</v>
      </c>
      <c r="B6764" s="1" t="str">
        <f ca="1">IFERROR(__xludf.DUMMYFUNCTION("GOOGLETRANSLATE(A6764, ""zh"", ""en"")"),"Promoting employment")</f>
        <v>Promoting employment</v>
      </c>
      <c r="C6764" s="1" t="str">
        <f ca="1">IFERROR(__xludf.DUMMYFUNCTION("GOOGLETRANSLATE(E6764, ""zh"", ""en"")"),"Qualitative text")</f>
        <v>Qualitative text</v>
      </c>
    </row>
    <row r="6765" spans="1:3" ht="13" x14ac:dyDescent="0.15">
      <c r="A6765" s="1" t="str">
        <f ca="1">IFERROR(__xludf.DUMMYFUNCTION("GOOGLETRANSLATE(A6765, ""zh"", ""en"")"),"Career Guidance: The Bank participated in the Australian National University Career Rocket Training Camp and offered FinTech courses and lectures to guide students in career planning. We also collaborated with the Shenzhen University School of FinTech's M"&amp;"aster's Program and regularly provided industry mentors to conduct career guidance lectures.")</f>
        <v>Career Guidance: The Bank participated in the Australian National University Career Rocket Training Camp and offered FinTech courses and lectures to guide students in career planning. We also collaborated with the Shenzhen University School of FinTech's Master's Program and regularly provided industry mentors to conduct career guidance lectures.</v>
      </c>
      <c r="B6765" s="1" t="str">
        <f ca="1">IFERROR(__xludf.DUMMYFUNCTION("GOOGLETRANSLATE(A6765, ""zh"", ""en"")"),"Promoting employment")</f>
        <v>Promoting employment</v>
      </c>
      <c r="C6765" s="1" t="str">
        <f ca="1">IFERROR(__xludf.DUMMYFUNCTION("GOOGLETRANSLATE(E6765, ""zh"", ""en"")"),"Qualitative text")</f>
        <v>Qualitative text</v>
      </c>
    </row>
    <row r="6766" spans="1:3" ht="13" x14ac:dyDescent="0.15">
      <c r="A6766" s="1" t="str">
        <f ca="1">IFERROR(__xludf.DUMMYFUNCTION("GOOGLETRANSLATE(A6766, ""zh"", ""en"")"),"Internship Program The Bank signed internship base construction agreements with 34 universities and received visits and exchanges from teachers and students from many well-known domestic and foreign universities.")</f>
        <v>Internship Program The Bank signed internship base construction agreements with 34 universities and received visits and exchanges from teachers and students from many well-known domestic and foreign universities.</v>
      </c>
      <c r="B6766" s="1" t="str">
        <f ca="1">IFERROR(__xludf.DUMMYFUNCTION("GOOGLETRANSLATE(A6766, ""zh"", ""en"")"),"Promoting employment")</f>
        <v>Promoting employment</v>
      </c>
      <c r="C6766" s="1" t="str">
        <f ca="1">IFERROR(__xludf.DUMMYFUNCTION("GOOGLETRANSLATE(E6766, ""zh"", ""en"")"),"Quantitative Text")</f>
        <v>Quantitative Text</v>
      </c>
    </row>
    <row r="6767" spans="1:3" ht="13" x14ac:dyDescent="0.15">
      <c r="A6767" s="1" t="str">
        <f ca="1">IFERROR(__xludf.DUMMYFUNCTION("GOOGLETRANSLATE(A6767, ""zh"", ""en"")"),"In 2022, the Bank provided internship opportunities to 2,755 college students")</f>
        <v>In 2022, the Bank provided internship opportunities to 2,755 college students</v>
      </c>
      <c r="B6767" s="1" t="str">
        <f ca="1">IFERROR(__xludf.DUMMYFUNCTION("GOOGLETRANSLATE(A6767, ""zh"", ""en"")"),"Promoting employment")</f>
        <v>Promoting employment</v>
      </c>
      <c r="C6767" s="1" t="str">
        <f ca="1">IFERROR(__xludf.DUMMYFUNCTION("GOOGLETRANSLATE(E6767, ""zh"", ""en"")"),"Quantitative Text")</f>
        <v>Quantitative Text</v>
      </c>
    </row>
    <row r="6768" spans="1:3" ht="13" x14ac:dyDescent="0.15">
      <c r="A6768" s="1" t="str">
        <f ca="1">IFERROR(__xludf.DUMMYFUNCTION("GOOGLETRANSLATE(A6768, ""zh"", ""en"")"),"The Bank has entered into a strategic partnership with Shenzhen University and others to jointly establish the Shenzhen Xiangmihu International Fintech Research Institute.")</f>
        <v>The Bank has entered into a strategic partnership with Shenzhen University and others to jointly establish the Shenzhen Xiangmihu International Fintech Research Institute.</v>
      </c>
      <c r="B6768" s="1" t="str">
        <f ca="1">IFERROR(__xludf.DUMMYFUNCTION("GOOGLETRANSLATE(A6768, ""zh"", ""en"")"),"Technological innovation")</f>
        <v>Technological innovation</v>
      </c>
      <c r="C6768" s="1" t="str">
        <f ca="1">IFERROR(__xludf.DUMMYFUNCTION("GOOGLETRANSLATE(E6768, ""zh"", ""en"")"),"Qualitative text")</f>
        <v>Qualitative text</v>
      </c>
    </row>
    <row r="6769" spans="1:3" ht="13" x14ac:dyDescent="0.15">
      <c r="A6769" s="1" t="str">
        <f ca="1">IFERROR(__xludf.DUMMYFUNCTION("GOOGLETRANSLATE(A6769, ""zh"", ""en"")"),"The Institute will integrate resources from various sectors, including industry, academia, research, government, and capital, to build a first-class open innovation ecosystem for financial technology, focusing on technology research and development, high-"&amp;"end think tanks, international exchanges, risk prevention, and technology transformation.")</f>
        <v>The Institute will integrate resources from various sectors, including industry, academia, research, government, and capital, to build a first-class open innovation ecosystem for financial technology, focusing on technology research and development, high-end think tanks, international exchanges, risk prevention, and technology transformation.</v>
      </c>
      <c r="B6769" s="1" t="str">
        <f ca="1">IFERROR(__xludf.DUMMYFUNCTION("GOOGLETRANSLATE(A6769, ""zh"", ""en"")"),"Technological innovation")</f>
        <v>Technological innovation</v>
      </c>
      <c r="C6769" s="1" t="str">
        <f ca="1">IFERROR(__xludf.DUMMYFUNCTION("GOOGLETRANSLATE(E6769, ""zh"", ""en"")"),"Qualitative text")</f>
        <v>Qualitative text</v>
      </c>
    </row>
    <row r="6770" spans="1:3" ht="13" x14ac:dyDescent="0.15">
      <c r="A6770" s="1" t="str">
        <f ca="1">IFERROR(__xludf.DUMMYFUNCTION("GOOGLETRANSLATE(A6770, ""zh"", ""en"")"),"The Shenzhen Xiangmihu International Fintech Research Institute was officially unveiled. The Bank launched the WE Unlimited campus recruitment campaign in 2022. The Bank also launched the Orange Talent Program, an innovative recruitment and training progr"&amp;"am for outstanding campus talent. Through professional mentorship, job rotation, practical training, and targeted empowerment business courses, the program cultivates future bankers proficient in wealth management.")</f>
        <v>The Shenzhen Xiangmihu International Fintech Research Institute was officially unveiled. The Bank launched the WE Unlimited campus recruitment campaign in 2022. The Bank also launched the Orange Talent Program, an innovative recruitment and training program for outstanding campus talent. Through professional mentorship, job rotation, practical training, and targeted empowerment business courses, the program cultivates future bankers proficient in wealth management.</v>
      </c>
      <c r="B6770" s="1" t="str">
        <f ca="1">IFERROR(__xludf.DUMMYFUNCTION("GOOGLETRANSLATE(A6770, ""zh"", ""en"")"),"Promoting employment")</f>
        <v>Promoting employment</v>
      </c>
      <c r="C6770" s="1" t="str">
        <f ca="1">IFERROR(__xludf.DUMMYFUNCTION("GOOGLETRANSLATE(E6770, ""zh"", ""en"")"),"Qualitative text")</f>
        <v>Qualitative text</v>
      </c>
    </row>
    <row r="6771" spans="1:3" ht="13" x14ac:dyDescent="0.15">
      <c r="A6771" s="1" t="str">
        <f ca="1">IFERROR(__xludf.DUMMYFUNCTION("GOOGLETRANSLATE(A6771, ""zh"", ""en"")"),"The Bank has actively introduced more than 100 fintech talents, including key talent recruitment and fintech talent recruitment, to help employees enhance their cross-border vision and digital management capabilities in fintech.")</f>
        <v>The Bank has actively introduced more than 100 fintech talents, including key talent recruitment and fintech talent recruitment, to help employees enhance their cross-border vision and digital management capabilities in fintech.</v>
      </c>
      <c r="B6771" s="1" t="str">
        <f ca="1">IFERROR(__xludf.DUMMYFUNCTION("GOOGLETRANSLATE(A6771, ""zh"", ""en"")"),"staff")</f>
        <v>staff</v>
      </c>
      <c r="C6771" s="1" t="str">
        <f ca="1">IFERROR(__xludf.DUMMYFUNCTION("GOOGLETRANSLATE(E6771, ""zh"", ""en"")"),"Quantitative Text")</f>
        <v>Quantitative Text</v>
      </c>
    </row>
    <row r="6772" spans="1:3" ht="13" x14ac:dyDescent="0.15">
      <c r="A6772" s="1" t="str">
        <f ca="1">IFERROR(__xludf.DUMMYFUNCTION("GOOGLETRANSLATE(A6772, ""zh"", ""en"")"),"As of the end of 2022, there are 1 postdoctoral fellow in the postdoctoral workstation and 5 postdoctoral fellows have left the station.")</f>
        <v>As of the end of 2022, there are 1 postdoctoral fellow in the postdoctoral workstation and 5 postdoctoral fellows have left the station.</v>
      </c>
      <c r="B6772" s="1" t="str">
        <f ca="1">IFERROR(__xludf.DUMMYFUNCTION("GOOGLETRANSLATE(A6772, ""zh"", ""en"")"),"Organizational structure and operations")</f>
        <v>Organizational structure and operations</v>
      </c>
      <c r="C6772" s="1" t="str">
        <f ca="1">IFERROR(__xludf.DUMMYFUNCTION("GOOGLETRANSLATE(E6772, ""zh"", ""en"")"),"Quantitative Text")</f>
        <v>Quantitative Text</v>
      </c>
    </row>
    <row r="6773" spans="1:3" ht="13" x14ac:dyDescent="0.15">
      <c r="A6773" s="1" t="str">
        <f ca="1">IFERROR(__xludf.DUMMYFUNCTION("GOOGLETRANSLATE(A6773, ""zh"", ""en"")"),"2. Compensation and Benefits Management The Bank has established a market-oriented compensation policy that determines salary based on position, bonus based on performance, and long-term incentives based on long-term business performance and the bank's ma"&amp;"rket value.")</f>
        <v>2. Compensation and Benefits Management The Bank has established a market-oriented compensation policy that determines salary based on position, bonus based on performance, and long-term incentives based on long-term business performance and the bank's market value.</v>
      </c>
      <c r="B6773" s="1" t="str">
        <f ca="1">IFERROR(__xludf.DUMMYFUNCTION("GOOGLETRANSLATE(A6773, ""zh"", ""en"")"),"staff")</f>
        <v>staff</v>
      </c>
      <c r="C6773" s="1" t="str">
        <f ca="1">IFERROR(__xludf.DUMMYFUNCTION("GOOGLETRANSLATE(E6773, ""zh"", ""en"")"),"Qualitative text")</f>
        <v>Qualitative text</v>
      </c>
    </row>
    <row r="6774" spans="1:3" ht="13" x14ac:dyDescent="0.15">
      <c r="A6774" s="1" t="str">
        <f ca="1">IFERROR(__xludf.DUMMYFUNCTION("GOOGLETRANSLATE(A6774, ""zh"", ""en"")"),"The Bank adheres to the principles of fair and equitable remuneration management, gender equality, and equal pay for equal work, and actively optimizes its remuneration planning mechanism to ensure that employees fully share in the company's operating res"&amp;"ults. It also emphasizes the matching of employee remuneration resources with performance.")</f>
        <v>The Bank adheres to the principles of fair and equitable remuneration management, gender equality, and equal pay for equal work, and actively optimizes its remuneration planning mechanism to ensure that employees fully share in the company's operating results. It also emphasizes the matching of employee remuneration resources with performance.</v>
      </c>
      <c r="B6774" s="1" t="str">
        <f ca="1">IFERROR(__xludf.DUMMYFUNCTION("GOOGLETRANSLATE(A6774, ""zh"", ""en"")"),"staff")</f>
        <v>staff</v>
      </c>
      <c r="C6774" s="1" t="str">
        <f ca="1">IFERROR(__xludf.DUMMYFUNCTION("GOOGLETRANSLATE(E6774, ""zh"", ""en"")"),"Qualitative text")</f>
        <v>Qualitative text</v>
      </c>
    </row>
    <row r="6775" spans="1:3" ht="13" x14ac:dyDescent="0.15">
      <c r="A6775" s="1" t="str">
        <f ca="1">IFERROR(__xludf.DUMMYFUNCTION("GOOGLETRANSLATE(A6775, ""zh"", ""en"")"),"At the same time, the Bank has also established a linkage mechanism between employee bonuses and their personal performance, departmental performance, and organizational performance to fully mobilize the enthusiasm of the organization and employees.")</f>
        <v>At the same time, the Bank has also established a linkage mechanism between employee bonuses and their personal performance, departmental performance, and organizational performance to fully mobilize the enthusiasm of the organization and employees.</v>
      </c>
      <c r="B6775" s="1" t="str">
        <f ca="1">IFERROR(__xludf.DUMMYFUNCTION("GOOGLETRANSLATE(A6775, ""zh"", ""en"")"),"staff")</f>
        <v>staff</v>
      </c>
      <c r="C6775" s="1" t="str">
        <f ca="1">IFERROR(__xludf.DUMMYFUNCTION("GOOGLETRANSLATE(E6775, ""zh"", ""en"")"),"Qualitative text")</f>
        <v>Qualitative text</v>
      </c>
    </row>
    <row r="6776" spans="1:3" ht="13" x14ac:dyDescent="0.15">
      <c r="A6776" s="1" t="str">
        <f ca="1">IFERROR(__xludf.DUMMYFUNCTION("GOOGLETRANSLATE(A6776, ""zh"", ""en"")"),"The Bank has formulated employee welfare management measures to provide a variety of welfare benefits to all employees. In addition to paying the five social insurances and one housing fund in full and on time and providing maternity leave, paternity leav"&amp;"e and annual leave as required by law, the Bank also provides employees with an enterprise annuity plan, supplementary commercial insurance, annual employee health examinations, turnover housing, meal subsidies, birthday and festival benefits.")</f>
        <v>The Bank has formulated employee welfare management measures to provide a variety of welfare benefits to all employees. In addition to paying the five social insurances and one housing fund in full and on time and providing maternity leave, paternity leave and annual leave as required by law, the Bank also provides employees with an enterprise annuity plan, supplementary commercial insurance, annual employee health examinations, turnover housing, meal subsidies, birthday and festival benefits.</v>
      </c>
      <c r="B6776" s="1" t="str">
        <f ca="1">IFERROR(__xludf.DUMMYFUNCTION("GOOGLETRANSLATE(A6776, ""zh"", ""en"")"),"staff")</f>
        <v>staff</v>
      </c>
      <c r="C6776" s="1" t="str">
        <f ca="1">IFERROR(__xludf.DUMMYFUNCTION("GOOGLETRANSLATE(E6776, ""zh"", ""en"")"),"Qualitative text")</f>
        <v>Qualitative text</v>
      </c>
    </row>
    <row r="6777" spans="1:3" ht="13" x14ac:dyDescent="0.15">
      <c r="A6777" s="1" t="str">
        <f ca="1">IFERROR(__xludf.DUMMYFUNCTION("GOOGLETRANSLATE(A6777, ""zh"", ""en"")"),"2. Smooth career development. The Bank's talent strategy requires us to prioritize the career development needs of our employees, establish a bank-wide tiered talent development system, and provide professional qualification certification to support our e"&amp;"mployees' mutual progress.")</f>
        <v>2. Smooth career development. The Bank's talent strategy requires us to prioritize the career development needs of our employees, establish a bank-wide tiered talent development system, and provide professional qualification certification to support our employees' mutual progress.</v>
      </c>
      <c r="B6777" s="1" t="str">
        <f ca="1">IFERROR(__xludf.DUMMYFUNCTION("GOOGLETRANSLATE(A6777, ""zh"", ""en"")"),"staff")</f>
        <v>staff</v>
      </c>
      <c r="C6777" s="1" t="str">
        <f ca="1">IFERROR(__xludf.DUMMYFUNCTION("GOOGLETRANSLATE(E6777, ""zh"", ""en"")"),"Qualitative text")</f>
        <v>Qualitative text</v>
      </c>
    </row>
    <row r="6778" spans="1:3" ht="13" x14ac:dyDescent="0.15">
      <c r="A6778" s="1" t="str">
        <f ca="1">IFERROR(__xludf.DUMMYFUNCTION("GOOGLETRANSLATE(A6778, ""zh"", ""en"")"),"821. Talent Development Management. The Bank has formulated talent development guidelines emphasizing a cross-disciplinary talent orientation characterized by strategic implementation, professional versatility, and the ability to navigate the world. This "&amp;"requires striving to build a bank-wide talent supply chain, primarily driven by self-sustaining processes and supplemented by the introduction of strategic, specialized talent. This initiative aims to fully tap and cultivate high-potential talent to suppo"&amp;"rt the implementation of the Bank's overall strategy.")</f>
        <v>821. Talent Development Management. The Bank has formulated talent development guidelines emphasizing a cross-disciplinary talent orientation characterized by strategic implementation, professional versatility, and the ability to navigate the world. This requires striving to build a bank-wide talent supply chain, primarily driven by self-sustaining processes and supplemented by the introduction of strategic, specialized talent. This initiative aims to fully tap and cultivate high-potential talent to support the implementation of the Bank's overall strategy.</v>
      </c>
      <c r="B6778" s="1" t="str">
        <f ca="1">IFERROR(__xludf.DUMMYFUNCTION("GOOGLETRANSLATE(A6778, ""zh"", ""en"")"),"staff")</f>
        <v>staff</v>
      </c>
      <c r="C6778" s="1" t="str">
        <f ca="1">IFERROR(__xludf.DUMMYFUNCTION("GOOGLETRANSLATE(E6778, ""zh"", ""en"")"),"Qualitative text")</f>
        <v>Qualitative text</v>
      </c>
    </row>
    <row r="6779" spans="1:3" ht="13" x14ac:dyDescent="0.15">
      <c r="A6779" s="1" t="str">
        <f ca="1">IFERROR(__xludf.DUMMYFUNCTION("GOOGLETRANSLATE(A6779, ""zh"", ""en"")"),"The Bank has formulated management measures for management sequence personnel. Based on the competency model of the management sequence, it has established fair and equitable selection standards and deployment rules for management sequence personnel, ince"&amp;"ntivizing cadres to continuously achieve outstanding performance goals. It has also formulated management measures for non-management sequence personnel, establishing non-management sequences such as functional sequence, professional sequence, technologic"&amp;"al sequence, and operational sequence. With job grade development as the core and job promotion as the supplement, it has promoted the orderly development of the talent team and established a talent career development ladder.")</f>
        <v>The Bank has formulated management measures for management sequence personnel. Based on the competency model of the management sequence, it has established fair and equitable selection standards and deployment rules for management sequence personnel, incentivizing cadres to continuously achieve outstanding performance goals. It has also formulated management measures for non-management sequence personnel, establishing non-management sequences such as functional sequence, professional sequence, technological sequence, and operational sequence. With job grade development as the core and job promotion as the supplement, it has promoted the orderly development of the talent team and established a talent career development ladder.</v>
      </c>
      <c r="B6779" s="1" t="str">
        <f ca="1">IFERROR(__xludf.DUMMYFUNCTION("GOOGLETRANSLATE(A6779, ""zh"", ""en"")"),"Organizational structure and operations")</f>
        <v>Organizational structure and operations</v>
      </c>
      <c r="C6779" s="1" t="str">
        <f ca="1">IFERROR(__xludf.DUMMYFUNCTION("GOOGLETRANSLATE(E6779, ""zh"", ""en"")"),"Qualitative text")</f>
        <v>Qualitative text</v>
      </c>
    </row>
    <row r="6780" spans="1:3" ht="13" x14ac:dyDescent="0.15">
      <c r="A6780" s="1" t="str">
        <f ca="1">IFERROR(__xludf.DUMMYFUNCTION("GOOGLETRANSLATE(A6780, ""zh"", ""en"")"),"In terms of performance evaluation, the Bank has established a scientific and reasonable performance evaluation system and implemented a full closed-loop management from planning process guidance to evaluation and assessment. It not only focuses on the ac"&amp;"hievement of employee performance goals, but also attaches importance to the guidance and communication with employees during the process. It ensures that the contributions of employees are evaluated objectively and fairly under the same rules and achieve"&amp;"s equal opportunities.")</f>
        <v>In terms of performance evaluation, the Bank has established a scientific and reasonable performance evaluation system and implemented a full closed-loop management from planning process guidance to evaluation and assessment. It not only focuses on the achievement of employee performance goals, but also attaches importance to the guidance and communication with employees during the process. It ensures that the contributions of employees are evaluated objectively and fairly under the same rules and achieves equal opportunities.</v>
      </c>
      <c r="B6780" s="1" t="str">
        <f ca="1">IFERROR(__xludf.DUMMYFUNCTION("GOOGLETRANSLATE(A6780, ""zh"", ""en"")"),"staff")</f>
        <v>staff</v>
      </c>
      <c r="C6780" s="1" t="str">
        <f ca="1">IFERROR(__xludf.DUMMYFUNCTION("GOOGLETRANSLATE(E6780, ""zh"", ""en"")"),"Qualitative text")</f>
        <v>Qualitative text</v>
      </c>
    </row>
    <row r="6781" spans="1:3" ht="13" x14ac:dyDescent="0.15">
      <c r="A6781" s="1" t="str">
        <f ca="1">IFERROR(__xludf.DUMMYFUNCTION("GOOGLETRANSLATE(A6781, ""zh"", ""en"")"),"At the same time, the Bank has implemented online performance tag management and linked it with training to promote online high-quality courses to help employees improve their shortcomings and performance.")</f>
        <v>At the same time, the Bank has implemented online performance tag management and linked it with training to promote online high-quality courses to help employees improve their shortcomings and performance.</v>
      </c>
      <c r="B6781" s="1" t="str">
        <f ca="1">IFERROR(__xludf.DUMMYFUNCTION("GOOGLETRANSLATE(A6781, ""zh"", ""en"")"),"staff")</f>
        <v>staff</v>
      </c>
      <c r="C6781" s="1" t="str">
        <f ca="1">IFERROR(__xludf.DUMMYFUNCTION("GOOGLETRANSLATE(E6781, ""zh"", ""en"")"),"Qualitative text")</f>
        <v>Qualitative text</v>
      </c>
    </row>
    <row r="6782" spans="1:3" ht="13" x14ac:dyDescent="0.15">
      <c r="A6782" s="1" t="str">
        <f ca="1">IFERROR(__xludf.DUMMYFUNCTION("GOOGLETRANSLATE(A6782, ""zh"", ""en"")"),"2. Employee Training System The Bank integrates talent development paths to build a phased and hierarchical training system for all employees")</f>
        <v>2. Employee Training System The Bank integrates talent development paths to build a phased and hierarchical training system for all employees</v>
      </c>
      <c r="B6782" s="1" t="str">
        <f ca="1">IFERROR(__xludf.DUMMYFUNCTION("GOOGLETRANSLATE(A6782, ""zh"", ""en"")"),"staff")</f>
        <v>staff</v>
      </c>
      <c r="C6782" s="1" t="str">
        <f ca="1">IFERROR(__xludf.DUMMYFUNCTION("GOOGLETRANSLATE(E6782, ""zh"", ""en"")"),"Qualitative text")</f>
        <v>Qualitative text</v>
      </c>
    </row>
    <row r="6783" spans="1:3" ht="13" x14ac:dyDescent="0.15">
      <c r="A6783" s="1" t="str">
        <f ca="1">IFERROR(__xludf.DUMMYFUNCTION("GOOGLETRANSLATE(A6783, ""zh"", ""en"")"),"Panorama of the Talent Training System 83 The Bank focuses on the growth of on-the-job employees. We collaborate with professional academic institutions such as Harvard Business School, Peking University Shenzhen Research Institute, Shanghai Jiao Tong Uni"&amp;"versity, and Renmin University of China Shenzhen Research Institute in a line- and business-oriented manner to enhance the professional capabilities and leadership of our employees by inviting university professors and industry experts to give lectures.")</f>
        <v>Panorama of the Talent Training System 83 The Bank focuses on the growth of on-the-job employees. We collaborate with professional academic institutions such as Harvard Business School, Peking University Shenzhen Research Institute, Shanghai Jiao Tong University, and Renmin University of China Shenzhen Research Institute in a line- and business-oriented manner to enhance the professional capabilities and leadership of our employees by inviting university professors and industry experts to give lectures.</v>
      </c>
      <c r="B6783" s="1" t="str">
        <f ca="1">IFERROR(__xludf.DUMMYFUNCTION("GOOGLETRANSLATE(A6783, ""zh"", ""en"")"),"staff")</f>
        <v>staff</v>
      </c>
      <c r="C6783" s="1" t="str">
        <f ca="1">IFERROR(__xludf.DUMMYFUNCTION("GOOGLETRANSLATE(E6783, ""zh"", ""en"")"),"Qualitative text")</f>
        <v>Qualitative text</v>
      </c>
    </row>
    <row r="6784" spans="1:3" ht="13" x14ac:dyDescent="0.15">
      <c r="A6784" s="1" t="str">
        <f ca="1">IFERROR(__xludf.DUMMYFUNCTION("GOOGLETRANSLATE(A6784, ""zh"", ""en"")"),"To help new employees quickly integrate into the team, we have created the Orange is Extraordinary training program. Through the combination of online training camps and offline teaching, we can comprehensively deepen new employees' cognition and understa"&amp;"nding of corporate strategy, culture, compliance, business and other aspects.")</f>
        <v>To help new employees quickly integrate into the team, we have created the Orange is Extraordinary training program. Through the combination of online training camps and offline teaching, we can comprehensively deepen new employees' cognition and understanding of corporate strategy, culture, compliance, business and other aspects.</v>
      </c>
      <c r="B6784" s="1" t="str">
        <f ca="1">IFERROR(__xludf.DUMMYFUNCTION("GOOGLETRANSLATE(A6784, ""zh"", ""en"")"),"staff")</f>
        <v>staff</v>
      </c>
      <c r="C6784" s="1" t="str">
        <f ca="1">IFERROR(__xludf.DUMMYFUNCTION("GOOGLETRANSLATE(E6784, ""zh"", ""en"")"),"Qualitative text")</f>
        <v>Qualitative text</v>
      </c>
    </row>
    <row r="6785" spans="1:3" ht="13" x14ac:dyDescent="0.15">
      <c r="A6785" s="1" t="str">
        <f ca="1">IFERROR(__xludf.DUMMYFUNCTION("GOOGLETRANSLATE(A6785, ""zh"", ""en"")"),"Orange is extraordinary. The bank provides customized training programs for new employees and potential talents across the bank. We plan targeted rotation paths to effectively discover high-quality and specialized potential talents and let hidden talents "&amp;"stand out.")</f>
        <v>Orange is extraordinary. The bank provides customized training programs for new employees and potential talents across the bank. We plan targeted rotation paths to effectively discover high-quality and specialized potential talents and let hidden talents stand out.</v>
      </c>
      <c r="B6785" s="1" t="str">
        <f ca="1">IFERROR(__xludf.DUMMYFUNCTION("GOOGLETRANSLATE(A6785, ""zh"", ""en"")"),"staff")</f>
        <v>staff</v>
      </c>
      <c r="C6785" s="1" t="str">
        <f ca="1">IFERROR(__xludf.DUMMYFUNCTION("GOOGLETRANSLATE(E6785, ""zh"", ""en"")"),"Qualitative text")</f>
        <v>Qualitative text</v>
      </c>
    </row>
    <row r="6786" spans="1:3" ht="13" x14ac:dyDescent="0.15">
      <c r="A6786" s="1" t="str">
        <f ca="1">IFERROR(__xludf.DUMMYFUNCTION("GOOGLETRANSLATE(A6786, ""zh"", ""en"")"),"84 Head Office Shining Training Program Group Photo In 2022, the Bank organized 9,751 training sessions for all employees. The training content covered areas such as strategy, culture, business skills, management capabilities, financial technology, compli"&amp;"ance, and risk, fully empowering employees' personal growth and professional improvement.")</f>
        <v>84 Head Office Shining Training Program Group Photo In 2022, the Bank organized 9,751 training sessions for all employees. The training content covered areas such as strategy, culture, business skills, management capabilities, financial technology, compliance, and risk, fully empowering employees' personal growth and professional improvement.</v>
      </c>
      <c r="B6786" s="1" t="str">
        <f ca="1">IFERROR(__xludf.DUMMYFUNCTION("GOOGLETRANSLATE(A6786, ""zh"", ""en"")"),"staff")</f>
        <v>staff</v>
      </c>
      <c r="C6786" s="1" t="str">
        <f ca="1">IFERROR(__xludf.DUMMYFUNCTION("GOOGLETRANSLATE(E6786, ""zh"", ""en"")"),"Quantitative Text")</f>
        <v>Quantitative Text</v>
      </c>
    </row>
    <row r="6787" spans="1:3" ht="13" x14ac:dyDescent="0.15">
      <c r="A6787" s="1" t="str">
        <f ca="1">IFERROR(__xludf.DUMMYFUNCTION("GOOGLETRANSLATE(A6787, ""zh"", ""en"")"),"Indicator: Employee training expenditure in 2022, RMB 7939, Total employee training person-times, 354,465, Average annual employee training hours, 126, Employee training coverage rate, 71,000. 3. Professional Qualification Certification: The Bank has laun"&amp;"ched a professional qualification certification support program to encourage all employees to participate in the financial investment industry qualification certification, such as the FinTech Talent Certification (CGFT), Certified Management Accountant (C"&amp;"MA), Chartered Financial Analyst (CFA), and Financial Risk Manager (FRM). Employees can apply for reimbursement of examination fees by presenting certificates or certification documents.")</f>
        <v>Indicator: Employee training expenditure in 2022, RMB 7939, Total employee training person-times, 354,465, Average annual employee training hours, 126, Employee training coverage rate, 71,000. 3. Professional Qualification Certification: The Bank has launched a professional qualification certification support program to encourage all employees to participate in the financial investment industry qualification certification, such as the FinTech Talent Certification (CGFT), Certified Management Accountant (CMA), Chartered Financial Analyst (CFA), and Financial Risk Manager (FRM). Employees can apply for reimbursement of examination fees by presenting certificates or certification documents.</v>
      </c>
      <c r="B6787" s="1" t="str">
        <f ca="1">IFERROR(__xludf.DUMMYFUNCTION("GOOGLETRANSLATE(A6787, ""zh"", ""en"")"),"staff")</f>
        <v>staff</v>
      </c>
      <c r="C6787" s="1" t="str">
        <f ca="1">IFERROR(__xludf.DUMMYFUNCTION("GOOGLETRANSLATE(E6787, ""zh"", ""en"")"),"Quantitative Text")</f>
        <v>Quantitative Text</v>
      </c>
    </row>
    <row r="6788" spans="1:3" ht="13" x14ac:dyDescent="0.15">
      <c r="A6788" s="1" t="str">
        <f ca="1">IFERROR(__xludf.DUMMYFUNCTION("GOOGLETRANSLATE(A6788, ""zh"", ""en"")"),"3. Friendly Workplace Environment: The Bank encourages employees to participate in democratic management, fosters a two-way communication culture and facilitates employee feedback.")</f>
        <v>3. Friendly Workplace Environment: The Bank encourages employees to participate in democratic management, fosters a two-way communication culture and facilitates employee feedback.</v>
      </c>
      <c r="B6788" s="1" t="str">
        <f ca="1">IFERROR(__xludf.DUMMYFUNCTION("GOOGLETRANSLATE(A6788, ""zh"", ""en"")"),"staff")</f>
        <v>staff</v>
      </c>
      <c r="C6788" s="1" t="str">
        <f ca="1">IFERROR(__xludf.DUMMYFUNCTION("GOOGLETRANSLATE(E6788, ""zh"", ""en"")"),"Qualitative text")</f>
        <v>Qualitative text</v>
      </c>
    </row>
    <row r="6789" spans="1:3" ht="13" x14ac:dyDescent="0.15">
      <c r="A6789" s="1" t="str">
        <f ca="1">IFERROR(__xludf.DUMMYFUNCTION("GOOGLETRANSLATE(A6789, ""zh"", ""en"")"),"The Bank adheres to the concept of happy work and healthy life to promote the health and well-being of employees")</f>
        <v>The Bank adheres to the concept of happy work and healthy life to promote the health and well-being of employees</v>
      </c>
      <c r="B6789" s="1" t="str">
        <f ca="1">IFERROR(__xludf.DUMMYFUNCTION("GOOGLETRANSLATE(A6789, ""zh"", ""en"")"),"staff")</f>
        <v>staff</v>
      </c>
      <c r="C6789" s="1" t="str">
        <f ca="1">IFERROR(__xludf.DUMMYFUNCTION("GOOGLETRANSLATE(E6789, ""zh"", ""en"")"),"Qualitative text")</f>
        <v>Qualitative text</v>
      </c>
    </row>
    <row r="6790" spans="1:3" ht="13" x14ac:dyDescent="0.15">
      <c r="A6790" s="1" t="str">
        <f ca="1">IFERROR(__xludf.DUMMYFUNCTION("GOOGLETRANSLATE(A6790, ""zh"", ""en"")"),"7. Including all bank employees and outsourced personnel. 851. Democratic Management and Communication. The bank respects and recognizes the core content of international labor conventions and related agreements. It formulates employee welfare management "&amp;"regulations and other documents and is committed to protecting the legitimate rights and interests of every employee. It adopts anti-discrimination regulations to eliminate unfair treatment, resists the use of child labor and forced labor, and fully guara"&amp;"ntees employees' rights to participate in or form legal associations.")</f>
        <v>7. Including all bank employees and outsourced personnel. 851. Democratic Management and Communication. The bank respects and recognizes the core content of international labor conventions and related agreements. It formulates employee welfare management regulations and other documents and is committed to protecting the legitimate rights and interests of every employee. It adopts anti-discrimination regulations to eliminate unfair treatment, resists the use of child labor and forced labor, and fully guarantees employees' rights to participate in or form legal associations.</v>
      </c>
      <c r="B6790" s="1" t="str">
        <f ca="1">IFERROR(__xludf.DUMMYFUNCTION("GOOGLETRANSLATE(A6790, ""zh"", ""en"")"),"staff")</f>
        <v>staff</v>
      </c>
      <c r="C6790" s="1" t="str">
        <f ca="1">IFERROR(__xludf.DUMMYFUNCTION("GOOGLETRANSLATE(E6790, ""zh"", ""en"")"),"Qualitative text")</f>
        <v>Qualitative text</v>
      </c>
    </row>
    <row r="6791" spans="1:3" ht="13" x14ac:dyDescent="0.15">
      <c r="A6791" s="1" t="str">
        <f ca="1">IFERROR(__xludf.DUMMYFUNCTION("GOOGLETRANSLATE(A6791, ""zh"", ""en"")"),"The Bank’s labor union covers 100")</f>
        <v>The Bank’s labor union covers 100</v>
      </c>
      <c r="B6791" s="1" t="str">
        <f ca="1">IFERROR(__xludf.DUMMYFUNCTION("GOOGLETRANSLATE(A6791, ""zh"", ""en"")"),"staff")</f>
        <v>staff</v>
      </c>
      <c r="C6791" s="1" t="str">
        <f ca="1">IFERROR(__xludf.DUMMYFUNCTION("GOOGLETRANSLATE(E6791, ""zh"", ""en"")"),"Quantitative Text")</f>
        <v>Quantitative Text</v>
      </c>
    </row>
    <row r="6792" spans="1:3" ht="13" x14ac:dyDescent="0.15">
      <c r="A6792" s="1" t="str">
        <f ca="1">IFERROR(__xludf.DUMMYFUNCTION("GOOGLETRANSLATE(A6792, ""zh"", ""en"")"),"The Bank adheres to the spirit of the provisions on democratic management of enterprises and effectively protects the democratic rights of all employees, including the right to know, the right to participate, the right to express, and the right to supervi"&amp;"se. It carries out democratic management of the enterprise in accordance with the law, builds harmonious labor relations, further improves the democratic management system with the workers' congress as the basic form, supports employees' participation in "&amp;"enterprise management, safeguards their legitimate rights and interests, and promotes the sustainable and healthy development of the enterprise.")</f>
        <v>The Bank adheres to the spirit of the provisions on democratic management of enterprises and effectively protects the democratic rights of all employees, including the right to know, the right to participate, the right to express, and the right to supervise. It carries out democratic management of the enterprise in accordance with the law, builds harmonious labor relations, further improves the democratic management system with the workers' congress as the basic form, supports employees' participation in enterprise management, safeguards their legitimate rights and interests, and promotes the sustainable and healthy development of the enterprise.</v>
      </c>
      <c r="B6792" s="1" t="str">
        <f ca="1">IFERROR(__xludf.DUMMYFUNCTION("GOOGLETRANSLATE(A6792, ""zh"", ""en"")"),"staff")</f>
        <v>staff</v>
      </c>
      <c r="C6792" s="1" t="str">
        <f ca="1">IFERROR(__xludf.DUMMYFUNCTION("GOOGLETRANSLATE(E6792, ""zh"", ""en"")"),"Qualitative text")</f>
        <v>Qualitative text</v>
      </c>
    </row>
    <row r="6793" spans="1:3" ht="13" x14ac:dyDescent="0.15">
      <c r="A6793" s="1" t="str">
        <f ca="1">IFERROR(__xludf.DUMMYFUNCTION("GOOGLETRANSLATE(A6793, ""zh"", ""en"")"),"In 2022, the Bank held a total of 28 employee representative conferences through on-site meetings or video conferences to review and approve 28 management systems involving the vital interests of employees, including the performance appraisal management m"&amp;"easures for branch managers and the implementation details of the qualification certification for risk-related positions.")</f>
        <v>In 2022, the Bank held a total of 28 employee representative conferences through on-site meetings or video conferences to review and approve 28 management systems involving the vital interests of employees, including the performance appraisal management measures for branch managers and the implementation details of the qualification certification for risk-related positions.</v>
      </c>
      <c r="B6793" s="1" t="str">
        <f ca="1">IFERROR(__xludf.DUMMYFUNCTION("GOOGLETRANSLATE(A6793, ""zh"", ""en"")"),"staff")</f>
        <v>staff</v>
      </c>
      <c r="C6793" s="1" t="str">
        <f ca="1">IFERROR(__xludf.DUMMYFUNCTION("GOOGLETRANSLATE(E6793, ""zh"", ""en"")"),"Quantitative Text")</f>
        <v>Quantitative Text</v>
      </c>
    </row>
    <row r="6794" spans="1:3" ht="13" x14ac:dyDescent="0.15">
      <c r="A6794" s="1" t="str">
        <f ca="1">IFERROR(__xludf.DUMMYFUNCTION("GOOGLETRANSLATE(A6794, ""zh"", ""en"")"),"At the same time, in order to ensure that employee supervisors can normally participate in corporate governance and exercise their democratic supervisory power, the Bank organized and completed the election of employee supervisor candidates and announced "&amp;"the election results to the entire bank through the intranet.")</f>
        <v>At the same time, in order to ensure that employee supervisors can normally participate in corporate governance and exercise their democratic supervisory power, the Bank organized and completed the election of employee supervisor candidates and announced the election results to the entire bank through the intranet.</v>
      </c>
      <c r="B6794" s="1" t="str">
        <f ca="1">IFERROR(__xludf.DUMMYFUNCTION("GOOGLETRANSLATE(A6794, ""zh"", ""en"")"),"Organizational structure and operations")</f>
        <v>Organizational structure and operations</v>
      </c>
      <c r="C6794" s="1" t="str">
        <f ca="1">IFERROR(__xludf.DUMMYFUNCTION("GOOGLETRANSLATE(E6794, ""zh"", ""en"")"),"Qualitative text")</f>
        <v>Qualitative text</v>
      </c>
    </row>
    <row r="6795" spans="1:3" ht="13" x14ac:dyDescent="0.15">
      <c r="A6795" s="1" t="str">
        <f ca="1">IFERROR(__xludf.DUMMYFUNCTION("GOOGLETRANSLATE(A6795, ""zh"", ""en"")"),"The Bank has established a public opinion collection and feedback network through an employee communication platform. It collects public opinion information through public opinion surveys and questionnaires and holds employee forums to improve management "&amp;"efficiency and service quality.")</f>
        <v>The Bank has established a public opinion collection and feedback network through an employee communication platform. It collects public opinion information through public opinion surveys and questionnaires and holds employee forums to improve management efficiency and service quality.</v>
      </c>
      <c r="B6795" s="1" t="str">
        <f ca="1">IFERROR(__xludf.DUMMYFUNCTION("GOOGLETRANSLATE(A6795, ""zh"", ""en"")"),"staff")</f>
        <v>staff</v>
      </c>
      <c r="C6795" s="1" t="str">
        <f ca="1">IFERROR(__xludf.DUMMYFUNCTION("GOOGLETRANSLATE(E6795, ""zh"", ""en"")"),"Qualitative text")</f>
        <v>Qualitative text</v>
      </c>
    </row>
    <row r="6796" spans="1:3" ht="13" x14ac:dyDescent="0.15">
      <c r="A6796" s="1" t="str">
        <f ca="1">IFERROR(__xludf.DUMMYFUNCTION("GOOGLETRANSLATE(A6796, ""zh"", ""en"")"),"By the end of 2022, the Bank had collected and reported 418 pieces of public opinion information and rationalization suggestions.")</f>
        <v>By the end of 2022, the Bank had collected and reported 418 pieces of public opinion information and rationalization suggestions.</v>
      </c>
      <c r="B6796" s="1" t="str">
        <f ca="1">IFERROR(__xludf.DUMMYFUNCTION("GOOGLETRANSLATE(A6796, ""zh"", ""en"")"),"Information Disclosure and Investor Communication")</f>
        <v>Information Disclosure and Investor Communication</v>
      </c>
      <c r="C6796" s="1" t="str">
        <f ca="1">IFERROR(__xludf.DUMMYFUNCTION("GOOGLETRANSLATE(E6796, ""zh"", ""en"")"),"Quantitative Text")</f>
        <v>Quantitative Text</v>
      </c>
    </row>
    <row r="6797" spans="1:3" ht="13" x14ac:dyDescent="0.15">
      <c r="A6797" s="1" t="str">
        <f ca="1">IFERROR(__xludf.DUMMYFUNCTION("GOOGLETRANSLATE(A6797, ""zh"", ""en"")"),"The Bank regularly conducts service evaluations of the head office management department and objectively evaluates the services of the head office management department by distributing evaluation questionnaires to branch employees to listen to their opini"&amp;"ons.")</f>
        <v>The Bank regularly conducts service evaluations of the head office management department and objectively evaluates the services of the head office management department by distributing evaluation questionnaires to branch employees to listen to their opinions.</v>
      </c>
      <c r="B6797" s="1" t="str">
        <f ca="1">IFERROR(__xludf.DUMMYFUNCTION("GOOGLETRANSLATE(A6797, ""zh"", ""en"")"),"staff")</f>
        <v>staff</v>
      </c>
      <c r="C6797" s="1" t="str">
        <f ca="1">IFERROR(__xludf.DUMMYFUNCTION("GOOGLETRANSLATE(E6797, ""zh"", ""en"")"),"Qualitative text")</f>
        <v>Qualitative text</v>
      </c>
    </row>
    <row r="6798" spans="1:3" ht="13" x14ac:dyDescent="0.15">
      <c r="A6798" s="1" t="str">
        <f ca="1">IFERROR(__xludf.DUMMYFUNCTION("GOOGLETRANSLATE(A6798, ""zh"", ""en"")"),"As of the end of 2022, the bank had collected a total of 2,173 evaluation questionnaires and received 7,562 likes. Employees generally expressed their approval of the service.")</f>
        <v>As of the end of 2022, the bank had collected a total of 2,173 evaluation questionnaires and received 7,562 likes. Employees generally expressed their approval of the service.</v>
      </c>
      <c r="B6798" s="1" t="str">
        <f ca="1">IFERROR(__xludf.DUMMYFUNCTION("GOOGLETRANSLATE(A6798, ""zh"", ""en"")"),"staff")</f>
        <v>staff</v>
      </c>
      <c r="C6798" s="1" t="str">
        <f ca="1">IFERROR(__xludf.DUMMYFUNCTION("GOOGLETRANSLATE(E6798, ""zh"", ""en"")"),"Quantitative Text")</f>
        <v>Quantitative Text</v>
      </c>
    </row>
    <row r="6799" spans="1:3" ht="13" x14ac:dyDescent="0.15">
      <c r="A6799" s="1" t="str">
        <f ca="1">IFERROR(__xludf.DUMMYFUNCTION("GOOGLETRANSLATE(A6799, ""zh"", ""en"")"),"86 Case Study: The Expert App is a great tool for employees to offer suggestions and advice. The Bank has launched the Expert App module, allowing all employees to anonymously submit suggestions or opinions on various business lines and regions.")</f>
        <v>86 Case Study: The Expert App is a great tool for employees to offer suggestions and advice. The Bank has launched the Expert App module, allowing all employees to anonymously submit suggestions or opinions on various business lines and regions.</v>
      </c>
      <c r="B6799" s="1" t="str">
        <f ca="1">IFERROR(__xludf.DUMMYFUNCTION("GOOGLETRANSLATE(A6799, ""zh"", ""en"")"),"staff")</f>
        <v>staff</v>
      </c>
      <c r="C6799" s="1" t="str">
        <f ca="1">IFERROR(__xludf.DUMMYFUNCTION("GOOGLETRANSLATE(E6799, ""zh"", ""en"")"),"Qualitative text")</f>
        <v>Qualitative text</v>
      </c>
    </row>
    <row r="6800" spans="1:3" ht="13" x14ac:dyDescent="0.15">
      <c r="A6800" s="1" t="str">
        <f ca="1">IFERROR(__xludf.DUMMYFUNCTION("GOOGLETRANSLATE(A6800, ""zh"", ""en"")"),"Valuable ideas and reasonable suggestions will be pushed to each business line for response and follow-up implementation to form a closed-loop management of employee demands")</f>
        <v>Valuable ideas and reasonable suggestions will be pushed to each business line for response and follow-up implementation to form a closed-loop management of employee demands</v>
      </c>
      <c r="B6800" s="1" t="str">
        <f ca="1">IFERROR(__xludf.DUMMYFUNCTION("GOOGLETRANSLATE(A6800, ""zh"", ""en"")"),"Reporting System")</f>
        <v>Reporting System</v>
      </c>
      <c r="C6800" s="1" t="str">
        <f ca="1">IFERROR(__xludf.DUMMYFUNCTION("GOOGLETRANSLATE(E6800, ""zh"", ""en"")"),"Qualitative text")</f>
        <v>Qualitative text</v>
      </c>
    </row>
    <row r="6801" spans="1:3" ht="13" x14ac:dyDescent="0.15">
      <c r="A6801" s="1" t="str">
        <f ca="1">IFERROR(__xludf.DUMMYFUNCTION("GOOGLETRANSLATE(A6801, ""zh"", ""en"")"),"At the same time, the online leadership reward issues revolve around customer-centricity and practice value maximization issues, listen to the voices of employees, and widely gather development wisdom and strength.")</f>
        <v>At the same time, the online leadership reward issues revolve around customer-centricity and practice value maximization issues, listen to the voices of employees, and widely gather development wisdom and strength.</v>
      </c>
      <c r="B6801" s="1" t="str">
        <f ca="1">IFERROR(__xludf.DUMMYFUNCTION("GOOGLETRANSLATE(A6801, ""zh"", ""en"")"),"staff")</f>
        <v>staff</v>
      </c>
      <c r="C6801" s="1" t="str">
        <f ca="1">IFERROR(__xludf.DUMMYFUNCTION("GOOGLETRANSLATE(E6801, ""zh"", ""en"")"),"Qualitative text")</f>
        <v>Qualitative text</v>
      </c>
    </row>
    <row r="6802" spans="1:3" ht="13" x14ac:dyDescent="0.15">
      <c r="A6802" s="1" t="str">
        <f ca="1">IFERROR(__xludf.DUMMYFUNCTION("GOOGLETRANSLATE(A6802, ""zh"", ""en"")"),"By the end of 2022, the total number of clicks on the DianZiCheng module exceeded 265,000. A total of 21,260 ideas and 3,411 complaints were published. 144 answers were offered by leaders, and 462 likes were received.")</f>
        <v>By the end of 2022, the total number of clicks on the DianZiCheng module exceeded 265,000. A total of 21,260 ideas and 3,411 complaints were published. 144 answers were offered by leaders, and 462 likes were received.</v>
      </c>
      <c r="B6802" s="1" t="str">
        <f ca="1">IFERROR(__xludf.DUMMYFUNCTION("GOOGLETRANSLATE(A6802, ""zh"", ""en"")"),"Technological innovation")</f>
        <v>Technological innovation</v>
      </c>
      <c r="C6802" s="1" t="str">
        <f ca="1">IFERROR(__xludf.DUMMYFUNCTION("GOOGLETRANSLATE(E6802, ""zh"", ""en"")"),"Quantitative Text")</f>
        <v>Quantitative Text</v>
      </c>
    </row>
    <row r="6803" spans="1:3" ht="13" x14ac:dyDescent="0.15">
      <c r="A6803" s="1" t="str">
        <f ca="1">IFERROR(__xludf.DUMMYFUNCTION("GOOGLETRANSLATE(A6803, ""zh"", ""en"")"),"Employee Complaints The Bank has established a comprehensive and standardized employee accountability and penalty complaint system")</f>
        <v>Employee Complaints The Bank has established a comprehensive and standardized employee accountability and penalty complaint system</v>
      </c>
      <c r="B6803" s="1" t="str">
        <f ca="1">IFERROR(__xludf.DUMMYFUNCTION("GOOGLETRANSLATE(A6803, ""zh"", ""en"")"),"staff")</f>
        <v>staff</v>
      </c>
      <c r="C6803" s="1" t="str">
        <f ca="1">IFERROR(__xludf.DUMMYFUNCTION("GOOGLETRANSLATE(E6803, ""zh"", ""en"")"),"Qualitative text")</f>
        <v>Qualitative text</v>
      </c>
    </row>
    <row r="6804" spans="1:3" ht="13" x14ac:dyDescent="0.15">
      <c r="A6804" s="1" t="str">
        <f ca="1">IFERROR(__xludf.DUMMYFUNCTION("GOOGLETRANSLATE(A6804, ""zh"", ""en"")"),"The Bank has established a Head Office Complaints Committee and an Institutional Complaints Team to handle complaints across the Bank.")</f>
        <v>The Bank has established a Head Office Complaints Committee and an Institutional Complaints Team to handle complaints across the Bank.</v>
      </c>
      <c r="B6804" s="1" t="str">
        <f ca="1">IFERROR(__xludf.DUMMYFUNCTION("GOOGLETRANSLATE(A6804, ""zh"", ""en"")"),"Reporting System")</f>
        <v>Reporting System</v>
      </c>
      <c r="C6804" s="1" t="str">
        <f ca="1">IFERROR(__xludf.DUMMYFUNCTION("GOOGLETRANSLATE(E6804, ""zh"", ""en"")"),"Qualitative text")</f>
        <v>Qualitative text</v>
      </c>
    </row>
    <row r="6805" spans="1:3" ht="13" x14ac:dyDescent="0.15">
      <c r="A6805" s="1" t="str">
        <f ca="1">IFERROR(__xludf.DUMMYFUNCTION("GOOGLETRANSLATE(A6805, ""zh"", ""en"")"),"As of the end of 2022, the bank had received 219 employee complaints.")</f>
        <v>As of the end of 2022, the bank had received 219 employee complaints.</v>
      </c>
      <c r="B6805" s="1" t="str">
        <f ca="1">IFERROR(__xludf.DUMMYFUNCTION("GOOGLETRANSLATE(A6805, ""zh"", ""en"")"),"staff")</f>
        <v>staff</v>
      </c>
      <c r="C6805" s="1" t="str">
        <f ca="1">IFERROR(__xludf.DUMMYFUNCTION("GOOGLETRANSLATE(E6805, ""zh"", ""en"")"),"Quantitative Text")</f>
        <v>Quantitative Text</v>
      </c>
    </row>
    <row r="6806" spans="1:3" ht="13" x14ac:dyDescent="0.15">
      <c r="A6806" s="1" t="str">
        <f ca="1">IFERROR(__xludf.DUMMYFUNCTION("GOOGLETRANSLATE(A6806, ""zh"", ""en"")"),"The Bank has formulated a complaint management method to regulate the management of employee complaint reporting, and has clear provisions for the entire process of complaint submission, acceptance and complaint feedback.")</f>
        <v>The Bank has formulated a complaint management method to regulate the management of employee complaint reporting, and has clear provisions for the entire process of complaint submission, acceptance and complaint feedback.</v>
      </c>
      <c r="B6806" s="1" t="str">
        <f ca="1">IFERROR(__xludf.DUMMYFUNCTION("GOOGLETRANSLATE(A6806, ""zh"", ""en"")"),"Reporting System")</f>
        <v>Reporting System</v>
      </c>
      <c r="C6806" s="1" t="str">
        <f ca="1">IFERROR(__xludf.DUMMYFUNCTION("GOOGLETRANSLATE(E6806, ""zh"", ""en"")"),"Qualitative text")</f>
        <v>Qualitative text</v>
      </c>
    </row>
    <row r="6807" spans="1:3" ht="13" x14ac:dyDescent="0.15">
      <c r="A6807" s="1" t="str">
        <f ca="1">IFERROR(__xludf.DUMMYFUNCTION("GOOGLETRANSLATE(A6807, ""zh"", ""en"")"),"2. Health, Safety and Employee Care The Bank prioritizes employee health and well-being in its daily operations and management, striving to create a safe working environment and foster sustainable development through employee happiness at work.")</f>
        <v>2. Health, Safety and Employee Care The Bank prioritizes employee health and well-being in its daily operations and management, striving to create a safe working environment and foster sustainable development through employee happiness at work.</v>
      </c>
      <c r="B6807" s="1" t="str">
        <f ca="1">IFERROR(__xludf.DUMMYFUNCTION("GOOGLETRANSLATE(A6807, ""zh"", ""en"")"),"staff")</f>
        <v>staff</v>
      </c>
      <c r="C6807" s="1" t="str">
        <f ca="1">IFERROR(__xludf.DUMMYFUNCTION("GOOGLETRANSLATE(E6807, ""zh"", ""en"")"),"Qualitative text")</f>
        <v>Qualitative text</v>
      </c>
    </row>
    <row r="6808" spans="1:3" ht="13" x14ac:dyDescent="0.15">
      <c r="A6808" s="1" t="str">
        <f ca="1">IFERROR(__xludf.DUMMYFUNCTION("GOOGLETRANSLATE(A6808, ""zh"", ""en"")"),"Workplace Health and Safety: The Bank firmly implements the government's epidemic prevention and control arrangements and organizes all branches at all levels to carry out workplace epidemic prevention and control, including COVID-19 vaccination, epidemic"&amp;" prevention and control safety training, and disinfection of the work environment.")</f>
        <v>Workplace Health and Safety: The Bank firmly implements the government's epidemic prevention and control arrangements and organizes all branches at all levels to carry out workplace epidemic prevention and control, including COVID-19 vaccination, epidemic prevention and control safety training, and disinfection of the work environment.</v>
      </c>
      <c r="B6808" s="1" t="str">
        <f ca="1">IFERROR(__xludf.DUMMYFUNCTION("GOOGLETRANSLATE(A6808, ""zh"", ""en"")"),"Fighting the epidemic")</f>
        <v>Fighting the epidemic</v>
      </c>
      <c r="C6808" s="1" t="str">
        <f ca="1">IFERROR(__xludf.DUMMYFUNCTION("GOOGLETRANSLATE(E6808, ""zh"", ""en"")"),"Qualitative text")</f>
        <v>Qualitative text</v>
      </c>
    </row>
    <row r="6809" spans="1:3" ht="13" x14ac:dyDescent="0.15">
      <c r="A6809" s="1" t="str">
        <f ca="1">IFERROR(__xludf.DUMMYFUNCTION("GOOGLETRANSLATE(A6809, ""zh"", ""en"")"),"At the same time, we expressed our condolences to the confirmed employees and provided 87 epidemic prevention and logistics support to those returning to work")</f>
        <v>At the same time, we expressed our condolences to the confirmed employees and provided 87 epidemic prevention and logistics support to those returning to work</v>
      </c>
      <c r="B6809" s="1" t="str">
        <f ca="1">IFERROR(__xludf.DUMMYFUNCTION("GOOGLETRANSLATE(A6809, ""zh"", ""en"")"),"Fighting the epidemic")</f>
        <v>Fighting the epidemic</v>
      </c>
      <c r="C6809" s="1" t="str">
        <f ca="1">IFERROR(__xludf.DUMMYFUNCTION("GOOGLETRANSLATE(E6809, ""zh"", ""en"")"),"Quantitative Text")</f>
        <v>Quantitative Text</v>
      </c>
    </row>
    <row r="6810" spans="1:3" ht="13" x14ac:dyDescent="0.15">
      <c r="A6810" s="1" t="str">
        <f ca="1">IFERROR(__xludf.DUMMYFUNCTION("GOOGLETRANSLATE(A6810, ""zh"", ""en"")"),"In 2022, the Bank distributed a total of 3 million masks and 105,000 antigen test kits to head office employees. All branches also distributed epidemic prevention materials under the organization of grassroots trade unions.")</f>
        <v>In 2022, the Bank distributed a total of 3 million masks and 105,000 antigen test kits to head office employees. All branches also distributed epidemic prevention materials under the organization of grassroots trade unions.</v>
      </c>
      <c r="B6810" s="1" t="str">
        <f ca="1">IFERROR(__xludf.DUMMYFUNCTION("GOOGLETRANSLATE(A6810, ""zh"", ""en"")"),"Fighting the epidemic")</f>
        <v>Fighting the epidemic</v>
      </c>
      <c r="C6810" s="1" t="str">
        <f ca="1">IFERROR(__xludf.DUMMYFUNCTION("GOOGLETRANSLATE(E6810, ""zh"", ""en"")"),"Quantitative Text")</f>
        <v>Quantitative Text</v>
      </c>
    </row>
    <row r="6811" spans="1:3" ht="13" x14ac:dyDescent="0.15">
      <c r="A6811" s="1" t="str">
        <f ca="1">IFERROR(__xludf.DUMMYFUNCTION("GOOGLETRANSLATE(A6811, ""zh"", ""en"")"),"The Bank pays close attention to the physical and mental health of its employees and builds an online platform for mental health. Through the live-streaming module of expert lectures, it provides professional psychology lectures and mindfulness stress red"&amp;"uction courses to enhance employees' emotional awareness.")</f>
        <v>The Bank pays close attention to the physical and mental health of its employees and builds an online platform for mental health. Through the live-streaming module of expert lectures, it provides professional psychology lectures and mindfulness stress reduction courses to enhance employees' emotional awareness.</v>
      </c>
      <c r="B6811" s="1" t="str">
        <f ca="1">IFERROR(__xludf.DUMMYFUNCTION("GOOGLETRANSLATE(A6811, ""zh"", ""en"")"),"staff")</f>
        <v>staff</v>
      </c>
      <c r="C6811" s="1" t="str">
        <f ca="1">IFERROR(__xludf.DUMMYFUNCTION("GOOGLETRANSLATE(E6811, ""zh"", ""en"")"),"Qualitative text")</f>
        <v>Qualitative text</v>
      </c>
    </row>
    <row r="6812" spans="1:3" ht="13" x14ac:dyDescent="0.15">
      <c r="A6812" s="1" t="str">
        <f ca="1">IFERROR(__xludf.DUMMYFUNCTION("GOOGLETRANSLATE(A6812, ""zh"", ""en"")"),"At the same time, the Bank continues to provide free psychological counseling assistance to all employees and their families through the Xinqing Hotline, extending care and warmth to employees' families.")</f>
        <v>At the same time, the Bank continues to provide free psychological counseling assistance to all employees and their families through the Xinqing Hotline, extending care and warmth to employees' families.</v>
      </c>
      <c r="B6812" s="1" t="str">
        <f ca="1">IFERROR(__xludf.DUMMYFUNCTION("GOOGLETRANSLATE(A6812, ""zh"", ""en"")"),"staff")</f>
        <v>staff</v>
      </c>
      <c r="C6812" s="1" t="str">
        <f ca="1">IFERROR(__xludf.DUMMYFUNCTION("GOOGLETRANSLATE(E6812, ""zh"", ""en"")"),"Qualitative text")</f>
        <v>Qualitative text</v>
      </c>
    </row>
    <row r="6813" spans="1:3" ht="13" x14ac:dyDescent="0.15">
      <c r="A6813" s="1" t="str">
        <f ca="1">IFERROR(__xludf.DUMMYFUNCTION("GOOGLETRANSLATE(A6813, ""zh"", ""en"")"),"Care for Employees in the Workplace The Bank continues to carry out employee care activities across the bank, providing various entertainment activities and welfare care.")</f>
        <v>Care for Employees in the Workplace The Bank continues to carry out employee care activities across the bank, providing various entertainment activities and welfare care.</v>
      </c>
      <c r="B6813" s="1" t="str">
        <f ca="1">IFERROR(__xludf.DUMMYFUNCTION("GOOGLETRANSLATE(A6813, ""zh"", ""en"")"),"staff")</f>
        <v>staff</v>
      </c>
      <c r="C6813" s="1" t="str">
        <f ca="1">IFERROR(__xludf.DUMMYFUNCTION("GOOGLETRANSLATE(E6813, ""zh"", ""en"")"),"Qualitative text")</f>
        <v>Qualitative text</v>
      </c>
    </row>
    <row r="6814" spans="1:3" ht="13" x14ac:dyDescent="0.15">
      <c r="A6814" s="1" t="str">
        <f ca="1">IFERROR(__xludf.DUMMYFUNCTION("GOOGLETRANSLATE(A6814, ""zh"", ""en"")"),"At the same time, the Bank actively promotes the construction of employee communities, and has established various employee service stations such as the Mother's Love Hut, a female employee lounge, an employee activity center, a reading corner, and a leis"&amp;"ure area within the workplace.")</f>
        <v>At the same time, the Bank actively promotes the construction of employee communities, and has established various employee service stations such as the Mother's Love Hut, a female employee lounge, an employee activity center, a reading corner, and a leisure area within the workplace.</v>
      </c>
      <c r="B6814" s="1" t="str">
        <f ca="1">IFERROR(__xludf.DUMMYFUNCTION("GOOGLETRANSLATE(A6814, ""zh"", ""en"")"),"staff")</f>
        <v>staff</v>
      </c>
      <c r="C6814" s="1" t="str">
        <f ca="1">IFERROR(__xludf.DUMMYFUNCTION("GOOGLETRANSLATE(E6814, ""zh"", ""en"")"),"Qualitative text")</f>
        <v>Qualitative text</v>
      </c>
    </row>
    <row r="6815" spans="1:3" ht="13" x14ac:dyDescent="0.15">
      <c r="A6815" s="1" t="str">
        <f ca="1">IFERROR(__xludf.DUMMYFUNCTION("GOOGLETRANSLATE(A6815, ""zh"", ""en"")"),"In 2022, the bank carried out care and condolences for employees, with a total of 82,732 people receiving gifts and condolences totaling RMB 54.95 million. Among them, 410 people received support and condolences for special groups, with a total of RMB 1.0"&amp;"1 million receiving gifts and condolences.")</f>
        <v>In 2022, the bank carried out care and condolences for employees, with a total of 82,732 people receiving gifts and condolences totaling RMB 54.95 million. Among them, 410 people received support and condolences for special groups, with a total of RMB 1.01 million receiving gifts and condolences.</v>
      </c>
      <c r="B6815" s="1" t="str">
        <f ca="1">IFERROR(__xludf.DUMMYFUNCTION("GOOGLETRANSLATE(A6815, ""zh"", ""en"")"),"staff")</f>
        <v>staff</v>
      </c>
      <c r="C6815" s="1" t="str">
        <f ca="1">IFERROR(__xludf.DUMMYFUNCTION("GOOGLETRANSLATE(E6815, ""zh"", ""en"")"),"Quantitative Text")</f>
        <v>Quantitative Text</v>
      </c>
    </row>
    <row r="6816" spans="1:3" ht="13" x14ac:dyDescent="0.15">
      <c r="A6816" s="1" t="str">
        <f ca="1">IFERROR(__xludf.DUMMYFUNCTION("GOOGLETRANSLATE(A6816, ""zh"", ""en"")"),"The Bank encourages employees to participate in clubs and health management activities")</f>
        <v>The Bank encourages employees to participate in clubs and health management activities</v>
      </c>
      <c r="B6816" s="1" t="str">
        <f ca="1">IFERROR(__xludf.DUMMYFUNCTION("GOOGLETRANSLATE(A6816, ""zh"", ""en"")"),"staff")</f>
        <v>staff</v>
      </c>
      <c r="C6816" s="1" t="str">
        <f ca="1">IFERROR(__xludf.DUMMYFUNCTION("GOOGLETRANSLATE(E6816, ""zh"", ""en"")"),"Qualitative text")</f>
        <v>Qualitative text</v>
      </c>
    </row>
    <row r="6817" spans="1:3" ht="13" x14ac:dyDescent="0.15">
      <c r="A6817" s="1" t="str">
        <f ca="1">IFERROR(__xludf.DUMMYFUNCTION("GOOGLETRANSLATE(A6817, ""zh"", ""en"")"),"The Bank launched a union activity module on its self-developed Expert APP to help employees conveniently organize and participate in workplace fitness activities.")</f>
        <v>The Bank launched a union activity module on its self-developed Expert APP to help employees conveniently organize and participate in workplace fitness activities.</v>
      </c>
      <c r="B6817" s="1" t="str">
        <f ca="1">IFERROR(__xludf.DUMMYFUNCTION("GOOGLETRANSLATE(A6817, ""zh"", ""en"")"),"staff")</f>
        <v>staff</v>
      </c>
      <c r="C6817" s="1" t="str">
        <f ca="1">IFERROR(__xludf.DUMMYFUNCTION("GOOGLETRANSLATE(E6817, ""zh"", ""en"")"),"Qualitative text")</f>
        <v>Qualitative text</v>
      </c>
    </row>
    <row r="6818" spans="1:3" ht="13" x14ac:dyDescent="0.15">
      <c r="A6818" s="1" t="str">
        <f ca="1">IFERROR(__xludf.DUMMYFUNCTION("GOOGLETRANSLATE(A6818, ""zh"", ""en"")"),"By the end of 2022, the Bank had over 300 clubs with 27,000 members and a total of 6,074 events initiated and 19,216 participants.")</f>
        <v>By the end of 2022, the Bank had over 300 clubs with 27,000 members and a total of 6,074 events initiated and 19,216 participants.</v>
      </c>
      <c r="B6818" s="1" t="str">
        <f ca="1">IFERROR(__xludf.DUMMYFUNCTION("GOOGLETRANSLATE(A6818, ""zh"", ""en"")"),"Public welfare and volunteer service")</f>
        <v>Public welfare and volunteer service</v>
      </c>
      <c r="C6818" s="1" t="str">
        <f ca="1">IFERROR(__xludf.DUMMYFUNCTION("GOOGLETRANSLATE(E6818, ""zh"", ""en"")"),"Quantitative Text")</f>
        <v>Quantitative Text</v>
      </c>
    </row>
    <row r="6819" spans="1:3" ht="13" x14ac:dyDescent="0.15">
      <c r="A6819" s="1" t="str">
        <f ca="1">IFERROR(__xludf.DUMMYFUNCTION("GOOGLETRANSLATE(A6819, ""zh"", ""en"")"),"Ningbo Branch embraced the spring with sports and embraced health through tennis activities. Guangzhou Branch held a basketball game and cheerleading performance. 889 focuses on community welfare. The Bank continues to focus on social needs, leveraging it"&amp;"s advantages in resources, manpower, and technology to participate deeply in public welfare, contributing to promoting social equity and improving people's well-being, and helping realize people's aspirations for a better life.")</f>
        <v>Ningbo Branch embraced the spring with sports and embraced health through tennis activities. Guangzhou Branch held a basketball game and cheerleading performance. 889 focuses on community welfare. The Bank continues to focus on social needs, leveraging its advantages in resources, manpower, and technology to participate deeply in public welfare, contributing to promoting social equity and improving people's well-being, and helping realize people's aspirations for a better life.</v>
      </c>
      <c r="B6819" s="1" t="str">
        <f ca="1">IFERROR(__xludf.DUMMYFUNCTION("GOOGLETRANSLATE(A6819, ""zh"", ""en"")"),"Public welfare and volunteer service")</f>
        <v>Public welfare and volunteer service</v>
      </c>
      <c r="C6819" s="1" t="str">
        <f ca="1">IFERROR(__xludf.DUMMYFUNCTION("GOOGLETRANSLATE(E6819, ""zh"", ""en"")"),"Qualitative text")</f>
        <v>Qualitative text</v>
      </c>
    </row>
    <row r="6820" spans="1:3" ht="13" x14ac:dyDescent="0.15">
      <c r="A6820" s="1" t="str">
        <f ca="1">IFERROR(__xludf.DUMMYFUNCTION("GOOGLETRANSLATE(A6820, ""zh"", ""en"")"),"The Bank's total external donations in 2022 amounted to RMB 58.22 million.")</f>
        <v>The Bank's total external donations in 2022 amounted to RMB 58.22 million.</v>
      </c>
      <c r="B6820" s="1" t="str">
        <f ca="1">IFERROR(__xludf.DUMMYFUNCTION("GOOGLETRANSLATE(A6820, ""zh"", ""en"")"),"Public welfare and volunteer service")</f>
        <v>Public welfare and volunteer service</v>
      </c>
      <c r="C6820" s="1" t="str">
        <f ca="1">IFERROR(__xludf.DUMMYFUNCTION("GOOGLETRANSLATE(E6820, ""zh"", ""en"")"),"Quantitative Text")</f>
        <v>Quantitative Text</v>
      </c>
    </row>
    <row r="6821" spans="1:3" ht="13" x14ac:dyDescent="0.15">
      <c r="A6821" s="1" t="str">
        <f ca="1">IFERROR(__xludf.DUMMYFUNCTION("GOOGLETRANSLATE(A6821, ""zh"", ""en"")"),"First, build a public welfare platform. The Ping An Public Welfare Platform, developed, operated and supported by the Bank, is an Internet fundraising information platform for charitable organizations designated by the Ministry of Civil Affairs. It builds"&amp;" a safe and reliable bridge between donors and recipients, bringing together small acts of kindness and great love through convenient public welfare.")</f>
        <v>First, build a public welfare platform. The Ping An Public Welfare Platform, developed, operated and supported by the Bank, is an Internet fundraising information platform for charitable organizations designated by the Ministry of Civil Affairs. It builds a safe and reliable bridge between donors and recipients, bringing together small acts of kindness and great love through convenient public welfare.</v>
      </c>
      <c r="B6821" s="1" t="str">
        <f ca="1">IFERROR(__xludf.DUMMYFUNCTION("GOOGLETRANSLATE(A6821, ""zh"", ""en"")"),"Public welfare and volunteer service")</f>
        <v>Public welfare and volunteer service</v>
      </c>
      <c r="C6821" s="1" t="str">
        <f ca="1">IFERROR(__xludf.DUMMYFUNCTION("GOOGLETRANSLATE(E6821, ""zh"", ""en"")"),"Qualitative text")</f>
        <v>Qualitative text</v>
      </c>
    </row>
    <row r="6822" spans="1:3" ht="13" x14ac:dyDescent="0.15">
      <c r="A6822" s="1" t="str">
        <f ca="1">IFERROR(__xludf.DUMMYFUNCTION("GOOGLETRANSLATE(A6822, ""zh"", ""en"")"),"By the end of 2022, the platform has connected with many public welfare foundations and launched 59 public fundraising projects, raising a total of RMB 5.3976 million to support rural revitalization, green and low-carbon development, women's development, "&amp;"community development, education aid, disaster relief and other public welfare activities.")</f>
        <v>By the end of 2022, the platform has connected with many public welfare foundations and launched 59 public fundraising projects, raising a total of RMB 5.3976 million to support rural revitalization, green and low-carbon development, women's development, community development, education aid, disaster relief and other public welfare activities.</v>
      </c>
      <c r="B6822" s="1" t="str">
        <f ca="1">IFERROR(__xludf.DUMMYFUNCTION("GOOGLETRANSLATE(A6822, ""zh"", ""en"")"),"Public welfare and volunteer service")</f>
        <v>Public welfare and volunteer service</v>
      </c>
      <c r="C6822" s="1" t="str">
        <f ca="1">IFERROR(__xludf.DUMMYFUNCTION("GOOGLETRANSLATE(E6822, ""zh"", ""en"")"),"Quantitative Text")</f>
        <v>Quantitative Text</v>
      </c>
    </row>
    <row r="6823" spans="1:3" ht="13" x14ac:dyDescent="0.15">
      <c r="A6823" s="1" t="str">
        <f ca="1">IFERROR(__xludf.DUMMYFUNCTION("GOOGLETRANSLATE(A6823, ""zh"", ""en"")"),"Ping An Charity Platform and Youth Science and Technology Literacy Program Fundraising Project Page Ping An Charity Platform was launched to support the Luding earthquake charity project, raising nearly 200,000 yuan in three days. In 2022, the Bank contin"&amp;"ued to optimize platform construction, connected to the Ping An Digital Evidence Storage Platform, combined with advanced technologies such as blockchain and big data, and worked with judicial authorities such as notary offices to store relevant informati"&amp;"on such as donation project fundraising details in the charity process on the blockchain.")</f>
        <v>Ping An Charity Platform and Youth Science and Technology Literacy Program Fundraising Project Page Ping An Charity Platform was launched to support the Luding earthquake charity project, raising nearly 200,000 yuan in three days. In 2022, the Bank continued to optimize platform construction, connected to the Ping An Digital Evidence Storage Platform, combined with advanced technologies such as blockchain and big data, and worked with judicial authorities such as notary offices to store relevant information such as donation project fundraising details in the charity process on the blockchain.</v>
      </c>
      <c r="B6823" s="1" t="str">
        <f ca="1">IFERROR(__xludf.DUMMYFUNCTION("GOOGLETRANSLATE(A6823, ""zh"", ""en"")"),"Public welfare and volunteer service")</f>
        <v>Public welfare and volunteer service</v>
      </c>
      <c r="C6823" s="1" t="str">
        <f ca="1">IFERROR(__xludf.DUMMYFUNCTION("GOOGLETRANSLATE(E6823, ""zh"", ""en"")"),"Quantitative Text")</f>
        <v>Quantitative Text</v>
      </c>
    </row>
    <row r="6824" spans="1:3" ht="13" x14ac:dyDescent="0.15">
      <c r="A6824" s="1" t="str">
        <f ca="1">IFERROR(__xludf.DUMMYFUNCTION("GOOGLETRANSLATE(A6824, ""zh"", ""en"")"),"Donors can query and verify donation transactions on the platform and download donation transaction evidence reports to make each donation transaction more secure and transparent.")</f>
        <v>Donors can query and verify donation transactions on the platform and download donation transaction evidence reports to make each donation transaction more secure and transparent.</v>
      </c>
      <c r="B6824" s="1" t="str">
        <f ca="1">IFERROR(__xludf.DUMMYFUNCTION("GOOGLETRANSLATE(A6824, ""zh"", ""en"")"),"Public welfare and volunteer service")</f>
        <v>Public welfare and volunteer service</v>
      </c>
      <c r="C6824" s="1" t="str">
        <f ca="1">IFERROR(__xludf.DUMMYFUNCTION("GOOGLETRANSLATE(E6824, ""zh"", ""en"")"),"Qualitative text")</f>
        <v>Qualitative text</v>
      </c>
    </row>
    <row r="6825" spans="1:3" ht="13" x14ac:dyDescent="0.15">
      <c r="A6825" s="1" t="str">
        <f ca="1">IFERROR(__xludf.DUMMYFUNCTION("GOOGLETRANSLATE(A6825, ""zh"", ""en"")"),"Ping An Private Bank is also the first in the industry to launch Ping An Le Shan, a one-stop charity planning service. This includes online donations on the Ping An Public Welfare Platform, charity consultation, assistance in establishing charitable trust"&amp;"s, and public welfare activities, connecting public welfare projects with large donors.")</f>
        <v>Ping An Private Bank is also the first in the industry to launch Ping An Le Shan, a one-stop charity planning service. This includes online donations on the Ping An Public Welfare Platform, charity consultation, assistance in establishing charitable trusts, and public welfare activities, connecting public welfare projects with large donors.</v>
      </c>
      <c r="B6825" s="1" t="str">
        <f ca="1">IFERROR(__xludf.DUMMYFUNCTION("GOOGLETRANSLATE(A6825, ""zh"", ""en"")"),"Public welfare and volunteer service")</f>
        <v>Public welfare and volunteer service</v>
      </c>
      <c r="C6825" s="1" t="str">
        <f ca="1">IFERROR(__xludf.DUMMYFUNCTION("GOOGLETRANSLATE(E6825, ""zh"", ""en"")"),"Qualitative text")</f>
        <v>Qualitative text</v>
      </c>
    </row>
    <row r="6826" spans="1:3" ht="13" x14ac:dyDescent="0.15">
      <c r="A6826" s="1" t="str">
        <f ca="1">IFERROR(__xludf.DUMMYFUNCTION("GOOGLETRANSLATE(A6826, ""zh"", ""en"")"),"By the end of 2022, the Bank's charitable funds under management exceeded RMB 100 million. It assisted in the establishment of charitable trusts totaling RMB 55.4 million, with nearly 40,000 people participating in the donations and benefiting over 200,00"&amp;"0 people.")</f>
        <v>By the end of 2022, the Bank's charitable funds under management exceeded RMB 100 million. It assisted in the establishment of charitable trusts totaling RMB 55.4 million, with nearly 40,000 people participating in the donations and benefiting over 200,000 people.</v>
      </c>
      <c r="B6826" s="1" t="str">
        <f ca="1">IFERROR(__xludf.DUMMYFUNCTION("GOOGLETRANSLATE(A6826, ""zh"", ""en"")"),"Public welfare and volunteer service")</f>
        <v>Public welfare and volunteer service</v>
      </c>
      <c r="C6826" s="1" t="str">
        <f ca="1">IFERROR(__xludf.DUMMYFUNCTION("GOOGLETRANSLATE(E6826, ""zh"", ""en"")"),"Quantitative Text")</f>
        <v>Quantitative Text</v>
      </c>
    </row>
    <row r="6827" spans="1:3" ht="13" x14ac:dyDescent="0.15">
      <c r="A6827" s="1" t="str">
        <f ca="1">IFERROR(__xludf.DUMMYFUNCTION("GOOGLETRANSLATE(A6827, ""zh"", ""en"")"),"Ping An Private Bank held a charity salon event. The second activity involved deepening rural public welfare. The bank established a public welfare service system for rural revitalization, integrated customer value-added services and public welfare and ch"&amp;"arity channels, and carried out in-depth assistance activities.")</f>
        <v>Ping An Private Bank held a charity salon event. The second activity involved deepening rural public welfare. The bank established a public welfare service system for rural revitalization, integrated customer value-added services and public welfare and charity channels, and carried out in-depth assistance activities.</v>
      </c>
      <c r="B6827" s="1" t="str">
        <f ca="1">IFERROR(__xludf.DUMMYFUNCTION("GOOGLETRANSLATE(A6827, ""zh"", ""en"")"),"Public welfare and volunteer service")</f>
        <v>Public welfare and volunteer service</v>
      </c>
      <c r="C6827" s="1" t="str">
        <f ca="1">IFERROR(__xludf.DUMMYFUNCTION("GOOGLETRANSLATE(E6827, ""zh"", ""en"")"),"Qualitative text")</f>
        <v>Qualitative text</v>
      </c>
    </row>
    <row r="6828" spans="1:3" ht="13" x14ac:dyDescent="0.15">
      <c r="A6828" s="1" t="str">
        <f ca="1">IFERROR(__xludf.DUMMYFUNCTION("GOOGLETRANSLATE(A6828, ""zh"", ""en"")"),"The Bank has established an agricultural assistance mall in Ping An Digital Pocket Mall, converting platform traffic into sales of agricultural products. It has also set up agricultural assistance areas in its business outlets to promote consumption and h"&amp;"elp farmers.")</f>
        <v>The Bank has established an agricultural assistance mall in Ping An Digital Pocket Mall, converting platform traffic into sales of agricultural products. It has also set up agricultural assistance areas in its business outlets to promote consumption and help farmers.</v>
      </c>
      <c r="B6828" s="1" t="str">
        <f ca="1">IFERROR(__xludf.DUMMYFUNCTION("GOOGLETRANSLATE(A6828, ""zh"", ""en"")"),"Rural assistance")</f>
        <v>Rural assistance</v>
      </c>
      <c r="C6828" s="1" t="str">
        <f ca="1">IFERROR(__xludf.DUMMYFUNCTION("GOOGLETRANSLATE(E6828, ""zh"", ""en"")"),"Qualitative text")</f>
        <v>Qualitative text</v>
      </c>
    </row>
    <row r="6829" spans="1:3" ht="13" x14ac:dyDescent="0.15">
      <c r="A6829" s="1" t="str">
        <f ca="1">IFERROR(__xludf.DUMMYFUNCTION("GOOGLETRANSLATE(A6829, ""zh"", ""en"")"),"By the end of 2022, the Bank had assisted in the sales of agricultural products worth RMB 35.61 million, with cumulative sales reaching RMB 156 million.")</f>
        <v>By the end of 2022, the Bank had assisted in the sales of agricultural products worth RMB 35.61 million, with cumulative sales reaching RMB 156 million.</v>
      </c>
      <c r="B6829" s="1" t="str">
        <f ca="1">IFERROR(__xludf.DUMMYFUNCTION("GOOGLETRANSLATE(A6829, ""zh"", ""en"")"),"Rural assistance")</f>
        <v>Rural assistance</v>
      </c>
      <c r="C6829" s="1" t="str">
        <f ca="1">IFERROR(__xludf.DUMMYFUNCTION("GOOGLETRANSLATE(E6829, ""zh"", ""en"")"),"Quantitative Text")</f>
        <v>Quantitative Text</v>
      </c>
    </row>
    <row r="6830" spans="1:3" ht="13" x14ac:dyDescent="0.15">
      <c r="A6830" s="1" t="str">
        <f ca="1">IFERROR(__xludf.DUMMYFUNCTION("GOOGLETRANSLATE(A6830, ""zh"", ""en"")"),"The Bank continued to upgrade the Beautiful Countryside Ping An Qicheng Rural Cultural Tourism Plan and created 16 boutique charity activity routes to witness the development of rural revitalization and experience the magnificent mountains and rivers of t"&amp;"he motherland.")</f>
        <v>The Bank continued to upgrade the Beautiful Countryside Ping An Qicheng Rural Cultural Tourism Plan and created 16 boutique charity activity routes to witness the development of rural revitalization and experience the magnificent mountains and rivers of the motherland.</v>
      </c>
      <c r="B6830" s="1" t="str">
        <f ca="1">IFERROR(__xludf.DUMMYFUNCTION("GOOGLETRANSLATE(A6830, ""zh"", ""en"")"),"Rural assistance")</f>
        <v>Rural assistance</v>
      </c>
      <c r="C6830" s="1" t="str">
        <f ca="1">IFERROR(__xludf.DUMMYFUNCTION("GOOGLETRANSLATE(E6830, ""zh"", ""en"")"),"Qualitative text")</f>
        <v>Qualitative text</v>
      </c>
    </row>
    <row r="6831" spans="1:3" ht="13" x14ac:dyDescent="0.15">
      <c r="A6831" s="1" t="str">
        <f ca="1">IFERROR(__xludf.DUMMYFUNCTION("GOOGLETRANSLATE(A6831, ""zh"", ""en"")"),"90 Adopting a public welfare tree for sand prevention in the Ulanqab Desert, tasting fresh organic milk, experiencing rice harvesting and threshing in the ancient village of Shenyuan in Shaoguan, and experiencing the joys and hardships of tea picking in t"&amp;"he heart of Leigong Mountain in Guizhou. Actively giving back to the community. The Bank continues to focus on education and student aid, helping vulnerable groups in epidemic prevention and disaster relief, and carrying out special community charity acti"&amp;"vities to promote harmonious community development.")</f>
        <v>90 Adopting a public welfare tree for sand prevention in the Ulanqab Desert, tasting fresh organic milk, experiencing rice harvesting and threshing in the ancient village of Shenyuan in Shaoguan, and experiencing the joys and hardships of tea picking in the heart of Leigong Mountain in Guizhou. Actively giving back to the community. The Bank continues to focus on education and student aid, helping vulnerable groups in epidemic prevention and disaster relief, and carrying out special community charity activities to promote harmonious community development.</v>
      </c>
      <c r="B6831" s="1" t="str">
        <f ca="1">IFERROR(__xludf.DUMMYFUNCTION("GOOGLETRANSLATE(A6831, ""zh"", ""en"")"),"Public welfare and volunteer service")</f>
        <v>Public welfare and volunteer service</v>
      </c>
      <c r="C6831" s="1" t="str">
        <f ca="1">IFERROR(__xludf.DUMMYFUNCTION("GOOGLETRANSLATE(E6831, ""zh"", ""en"")"),"Qualitative text")</f>
        <v>Qualitative text</v>
      </c>
    </row>
    <row r="6832" spans="1:3" ht="13" x14ac:dyDescent="0.15">
      <c r="A6832" s="1" t="str">
        <f ca="1">IFERROR(__xludf.DUMMYFUNCTION("GOOGLETRANSLATE(A6832, ""zh"", ""en"")"),"As of the end of 2022, the company has settled a total of 9.29 billion yuan in national student loans, benefiting 887,000 students in 16 provinces, municipalities and autonomous regions including Henan and Guangxi.")</f>
        <v>As of the end of 2022, the company has settled a total of 9.29 billion yuan in national student loans, benefiting 887,000 students in 16 provinces, municipalities and autonomous regions including Henan and Guangxi.</v>
      </c>
      <c r="B6832" s="1" t="str">
        <f ca="1">IFERROR(__xludf.DUMMYFUNCTION("GOOGLETRANSLATE(A6832, ""zh"", ""en"")"),"Public welfare and volunteer service")</f>
        <v>Public welfare and volunteer service</v>
      </c>
      <c r="C6832" s="1" t="str">
        <f ca="1">IFERROR(__xludf.DUMMYFUNCTION("GOOGLETRANSLATE(E6832, ""zh"", ""en"")"),"Quantitative Text")</f>
        <v>Quantitative Text</v>
      </c>
    </row>
    <row r="6833" spans="1:3" ht="13" x14ac:dyDescent="0.15">
      <c r="A6833" s="1" t="str">
        <f ca="1">IFERROR(__xludf.DUMMYFUNCTION("GOOGLETRANSLATE(A6833, ""zh"", ""en"")"),"91 Cases Shenzhen Branch warmly protects children with autism. In early 2022, Shenzhen Branch held the third Spring Festival Charity Walk Online Challenge, combining exercise with charity donations to support special families caring for children with auti"&amp;"sm. The event attracted more than 150,000 participants.")</f>
        <v>91 Cases Shenzhen Branch warmly protects children with autism. In early 2022, Shenzhen Branch held the third Spring Festival Charity Walk Online Challenge, combining exercise with charity donations to support special families caring for children with autism. The event attracted more than 150,000 participants.</v>
      </c>
      <c r="B6833" s="1" t="str">
        <f ca="1">IFERROR(__xludf.DUMMYFUNCTION("GOOGLETRANSLATE(A6833, ""zh"", ""en"")"),"Public welfare and volunteer service")</f>
        <v>Public welfare and volunteer service</v>
      </c>
      <c r="C6833" s="1" t="str">
        <f ca="1">IFERROR(__xludf.DUMMYFUNCTION("GOOGLETRANSLATE(E6833, ""zh"", ""en"")"),"Quantitative Text")</f>
        <v>Quantitative Text</v>
      </c>
    </row>
    <row r="6834" spans="1:3" ht="13" x14ac:dyDescent="0.15">
      <c r="A6834" s="1" t="str">
        <f ca="1">IFERROR(__xludf.DUMMYFUNCTION("GOOGLETRANSLATE(A6834, ""zh"", ""en"")"),"At the same time, the Shenzhen branch has innovatively launched a public welfare method for customers to purchase wealth management products and provide public welfare donations for the Light Up the Stars Project Autism Rehabilitation Tuition Assistance P"&amp;"roject to support the rehabilitation training tuition for autistic children.")</f>
        <v>At the same time, the Shenzhen branch has innovatively launched a public welfare method for customers to purchase wealth management products and provide public welfare donations for the Light Up the Stars Project Autism Rehabilitation Tuition Assistance Project to support the rehabilitation training tuition for autistic children.</v>
      </c>
      <c r="B6834" s="1" t="str">
        <f ca="1">IFERROR(__xludf.DUMMYFUNCTION("GOOGLETRANSLATE(A6834, ""zh"", ""en"")"),"Public welfare and volunteer service")</f>
        <v>Public welfare and volunteer service</v>
      </c>
      <c r="C6834" s="1" t="str">
        <f ca="1">IFERROR(__xludf.DUMMYFUNCTION("GOOGLETRANSLATE(E6834, ""zh"", ""en"")"),"Qualitative text")</f>
        <v>Qualitative text</v>
      </c>
    </row>
    <row r="6835" spans="1:3" ht="13" x14ac:dyDescent="0.15">
      <c r="A6835" s="1" t="str">
        <f ca="1">IFERROR(__xludf.DUMMYFUNCTION("GOOGLETRANSLATE(A6835, ""zh"", ""en"")"),"Over the years, the Bank has carried out traditional volunteer projects such as providing coolness in summer and warmth in winter, and respecting the elderly on the Double Ninth Festival. A total of nearly 2,000 public welfare activities have been held, c"&amp;"aring for approximately 200,000 elderly people and outdoor workers.")</f>
        <v>Over the years, the Bank has carried out traditional volunteer projects such as providing coolness in summer and warmth in winter, and respecting the elderly on the Double Ninth Festival. A total of nearly 2,000 public welfare activities have been held, caring for approximately 200,000 elderly people and outdoor workers.</v>
      </c>
      <c r="B6835" s="1" t="str">
        <f ca="1">IFERROR(__xludf.DUMMYFUNCTION("GOOGLETRANSLATE(A6835, ""zh"", ""en"")"),"Public welfare and volunteer service")</f>
        <v>Public welfare and volunteer service</v>
      </c>
      <c r="C6835" s="1" t="str">
        <f ca="1">IFERROR(__xludf.DUMMYFUNCTION("GOOGLETRANSLATE(E6835, ""zh"", ""en"")"),"Quantitative Text")</f>
        <v>Quantitative Text</v>
      </c>
    </row>
    <row r="6836" spans="1:3" ht="13" x14ac:dyDescent="0.15">
      <c r="A6836" s="1" t="s">
        <v>3</v>
      </c>
      <c r="B6836" s="1" t="str">
        <f ca="1">IFERROR(__xludf.DUMMYFUNCTION("GOOGLETRANSLATE(A6836, ""zh"", ""en"")"),"Public welfare and volunteer service")</f>
        <v>Public welfare and volunteer service</v>
      </c>
      <c r="C6836" s="1" t="str">
        <f ca="1">IFERROR(__xludf.DUMMYFUNCTION("GOOGLETRANSLATE(E6836, ""zh"", ""en"")"),"Qualitative text")</f>
        <v>Qualitative text</v>
      </c>
    </row>
    <row r="6837" spans="1:3" ht="13" x14ac:dyDescent="0.15">
      <c r="A6837" s="1" t="str">
        <f ca="1">IFERROR(__xludf.DUMMYFUNCTION("GOOGLETRANSLATE(A6837, ""zh"", ""en"")"),"Time range: January 1, 2022 to December 31, 2022")</f>
        <v>Time range: January 1, 2022 to December 31, 2022</v>
      </c>
      <c r="B6837" s="1" t="str">
        <f ca="1">IFERROR(__xludf.DUMMYFUNCTION("GOOGLETRANSLATE(A6837, ""zh"", ""en"")"),"irrelevant text")</f>
        <v>irrelevant text</v>
      </c>
      <c r="C6837" s="1" t="str">
        <f ca="1">IFERROR(__xludf.DUMMYFUNCTION("GOOGLETRANSLATE(E6837, ""zh"", ""en"")"),"irrelevant text")</f>
        <v>irrelevant text</v>
      </c>
    </row>
    <row r="6838" spans="1:3" ht="13" x14ac:dyDescent="0.15">
      <c r="A6838" s="1" t="str">
        <f ca="1">IFERROR(__xludf.DUMMYFUNCTION("GOOGLETRANSLATE(A6838, ""zh"", ""en"")"),"To enhance the comparability and forward-looking nature of the report, some content has been extended.")</f>
        <v>To enhance the comparability and forward-looking nature of the report, some content has been extended.</v>
      </c>
      <c r="B6838" s="1" t="str">
        <f ca="1">IFERROR(__xludf.DUMMYFUNCTION("GOOGLETRANSLATE(A6838, ""zh"", ""en"")"),"irrelevant text")</f>
        <v>irrelevant text</v>
      </c>
      <c r="C6838" s="1" t="str">
        <f ca="1">IFERROR(__xludf.DUMMYFUNCTION("GOOGLETRANSLATE(E6838, ""zh"", ""en"")"),"irrelevant text")</f>
        <v>irrelevant text</v>
      </c>
    </row>
    <row r="6839" spans="1:3" ht="13" x14ac:dyDescent="0.15">
      <c r="A6839" s="1" t="str">
        <f ca="1">IFERROR(__xludf.DUMMYFUNCTION("GOOGLETRANSLATE(A6839, ""zh"", ""en"")"),"Organizational scope: Ping An Bank and all its branches, including Ping An Wealth Management Co., Ltd.")</f>
        <v>Organizational scope: Ping An Bank and all its branches, including Ping An Wealth Management Co., Ltd.</v>
      </c>
      <c r="B6839" s="1" t="str">
        <f ca="1">IFERROR(__xludf.DUMMYFUNCTION("GOOGLETRANSLATE(A6839, ""zh"", ""en"")"),"Organizational structure and operations")</f>
        <v>Organizational structure and operations</v>
      </c>
      <c r="C6839" s="1" t="str">
        <f ca="1">IFERROR(__xludf.DUMMYFUNCTION("GOOGLETRANSLATE(E6839, ""zh"", ""en"")"),"Qualitative text")</f>
        <v>Qualitative text</v>
      </c>
    </row>
    <row r="6840" spans="1:3" ht="13" x14ac:dyDescent="0.15">
      <c r="A6840" s="1" t="str">
        <f ca="1">IFERROR(__xludf.DUMMYFUNCTION("GOOGLETRANSLATE(A6840, ""zh"", ""en"")"),"For ease of presentation and reading, in this report, Ping An Bank Co., Ltd. is referred to as Ping An Bank or our Bank. Ping An Insurance Group Co., Ltd. of China is referred to as Ping An Group.")</f>
        <v>For ease of presentation and reading, in this report, Ping An Bank Co., Ltd. is referred to as Ping An Bank or our Bank. Ping An Insurance Group Co., Ltd. of China is referred to as Ping An Group.</v>
      </c>
      <c r="B6840" s="1" t="str">
        <f ca="1">IFERROR(__xludf.DUMMYFUNCTION("GOOGLETRANSLATE(A6840, ""zh"", ""en"")"),"irrelevant text")</f>
        <v>irrelevant text</v>
      </c>
      <c r="C6840" s="1" t="str">
        <f ca="1">IFERROR(__xludf.DUMMYFUNCTION("GOOGLETRANSLATE(E6840, ""zh"", ""en"")"),"irrelevant text")</f>
        <v>irrelevant text</v>
      </c>
    </row>
    <row r="6841" spans="1:3" ht="13" x14ac:dyDescent="0.15">
      <c r="A6841" s="1" t="str">
        <f ca="1">IFERROR(__xludf.DUMMYFUNCTION("GOOGLETRANSLATE(A6841, ""zh"", ""en"")"),"Sources of Information and Data The information and data disclosed in this report are primarily obtained through the following methods: the company's internal data collection system and related statistical reports; excellent sustainable development practi"&amp;"ce cases; qualitative and quantitative information collection tables based on the reporting framework; compiled in accordance with the International Organization for Standardization ISO 26000:2010 Social Responsibility Guidelines; Global Sustainability St"&amp;"andards Board (GSSB) Sustainability Reporting Guidelines; Shenzhen Stock Exchange's Guidelines for Social Responsibility of Listed Companies; Guidelines for Environmental Information Disclosure by Financial Institutions (JRT0227:2021); and reference to th"&amp;"e Task Force on Climate-related Financial Disclosures (TCFD) recommendations for reporting related disclosure recommendations.")</f>
        <v>Sources of Information and Data The information and data disclosed in this report are primarily obtained through the following methods: the company's internal data collection system and related statistical reports; excellent sustainable development practice cases; qualitative and quantitative information collection tables based on the reporting framework; compiled in accordance with the International Organization for Standardization ISO 26000:2010 Social Responsibility Guidelines; Global Sustainability Standards Board (GSSB) Sustainability Reporting Guidelines; Shenzhen Stock Exchange's Guidelines for Social Responsibility of Listed Companies; Guidelines for Environmental Information Disclosure by Financial Institutions (JRT0227:2021); and reference to the Task Force on Climate-related Financial Disclosures (TCFD) recommendations for reporting related disclosure recommendations.</v>
      </c>
      <c r="B6841" s="1" t="str">
        <f ca="1">IFERROR(__xludf.DUMMYFUNCTION("GOOGLETRANSLATE(A6841, ""zh"", ""en"")"),"irrelevant text")</f>
        <v>irrelevant text</v>
      </c>
      <c r="C6841" s="1" t="str">
        <f ca="1">IFERROR(__xludf.DUMMYFUNCTION("GOOGLETRANSLATE(E6841, ""zh"", ""en"")"),"irrelevant text")</f>
        <v>irrelevant text</v>
      </c>
    </row>
    <row r="6842" spans="1:3" ht="13" x14ac:dyDescent="0.15">
      <c r="A6842" s="1" t="str">
        <f ca="1">IFERROR(__xludf.DUMMYFUNCTION("GOOGLETRANSLATE(A6842, ""zh"", ""en"")"),"Reliability Guarantee The company guarantees that the contents of this report do not contain any false records, misleading statements or major omissions")</f>
        <v>Reliability Guarantee The company guarantees that the contents of this report do not contain any false records, misleading statements or major omissions</v>
      </c>
      <c r="B6842" s="1" t="str">
        <f ca="1">IFERROR(__xludf.DUMMYFUNCTION("GOOGLETRANSLATE(A6842, ""zh"", ""en"")"),"irrelevant text")</f>
        <v>irrelevant text</v>
      </c>
      <c r="C6842" s="1" t="str">
        <f ca="1">IFERROR(__xludf.DUMMYFUNCTION("GOOGLETRANSLATE(E6842, ""zh"", ""en"")"),"irrelevant text")</f>
        <v>irrelevant text</v>
      </c>
    </row>
    <row r="6843" spans="1:3" ht="13" x14ac:dyDescent="0.15">
      <c r="A6843" s="1" t="str">
        <f ca="1">IFERROR(__xludf.DUMMYFUNCTION("GOOGLETRANSLATE(A6843, ""zh"", ""en"")"),"102.7 Feedback Form Thank you for taking the time to read this report. We would like to hear your opinions and suggestions to improve the report preparation and enhance Ping An Bank's ability to fulfill its responsibilities. Please feel free to share your"&amp;" advice. Telephone: 075522168695 Email: chenxm001pingan.com.cn Mailing Address: South Tower, Ping An Financial Center, 5023 Yitian Road, Shenzhen, China Postcode: 5180011 For Ping An Bank, your stakeholder category is: Government and regulatory authoritie"&amp;"s Shareholders and investors Customers Partners Employees Environmental protection organizations Community and public media 2. Your overall evaluation of this report is: Good Good Fair Poor Poor 3. What do you think of the quality of the environmental, so"&amp;"cial and governance (ESG) information disclosed in this report? High High Fair Poor Poor 4. What do you think of the structure of this report? Reasonable Fair Reasonable Fair Poor Poor 5. What do you think of the readability of this report? Good Good Fair"&amp;" Poor Poor 6. What other valuable suggestions do you have for report preparation or responsibility fulfillment practices? Thank you for your concern and support for Ping An Bank.")</f>
        <v>102.7 Feedback Form Thank you for taking the time to read this report. We would like to hear your opinions and suggestions to improve the report preparation and enhance Ping An Bank's ability to fulfill its responsibilities. Please feel free to share your advice. Telephone: 075522168695 Email: chenxm001pingan.com.cn Mailing Address: South Tower, Ping An Financial Center, 5023 Yitian Road, Shenzhen, China Postcode: 5180011 For Ping An Bank, your stakeholder category is: Government and regulatory authorities Shareholders and investors Customers Partners Employees Environmental protection organizations Community and public media 2. Your overall evaluation of this report is: Good Good Fair Poor Poor 3. What do you think of the quality of the environmental, social and governance (ESG) information disclosed in this report? High High Fair Poor Poor 4. What do you think of the structure of this report? Reasonable Fair Reasonable Fair Poor Poor 5. What do you think of the readability of this report? Good Good Fair Poor Poor 6. What other valuable suggestions do you have for report preparation or responsibility fulfillment practices? Thank you for your concern and support for Ping An Bank.</v>
      </c>
      <c r="B6843" s="1" t="str">
        <f ca="1">IFERROR(__xludf.DUMMYFUNCTION("GOOGLETRANSLATE(A6843, ""zh"", ""en"")"),"irrelevant text")</f>
        <v>irrelevant text</v>
      </c>
      <c r="C6843" s="1" t="str">
        <f ca="1">IFERROR(__xludf.DUMMYFUNCTION("GOOGLETRANSLATE(E6843, ""zh"", ""en"")"),"irrelevant text")</f>
        <v>irrelevant text</v>
      </c>
    </row>
    <row r="6844" spans="1:3" ht="13" x14ac:dyDescent="0.15">
      <c r="A6844" s="1" t="str">
        <f ca="1">IFERROR(__xludf.DUMMYFUNCTION("GOOGLETRANSLATE(A6844, ""zh"", ""en"")"),"SUSTAINABILITY REPORT Vanke 2022 This is the 15th Sustainability Report released by Vanke Co., Ltd., focusing on Vanke's environmental, social and governance concepts, key measures and achievements in 2022.")</f>
        <v>SUSTAINABILITY REPORT Vanke 2022 This is the 15th Sustainability Report released by Vanke Co., Ltd., focusing on Vanke's environmental, social and governance concepts, key measures and achievements in 2022.</v>
      </c>
      <c r="B6844" s="1" t="str">
        <f ca="1">IFERROR(__xludf.DUMMYFUNCTION("GOOGLETRANSLATE(A6844, ""zh"", ""en"")"),"irrelevant text")</f>
        <v>irrelevant text</v>
      </c>
      <c r="C6844" s="1" t="str">
        <f ca="1">IFERROR(__xludf.DUMMYFUNCTION("GOOGLETRANSLATE(E6844, ""zh"", ""en"")"),"irrelevant text")</f>
        <v>irrelevant text</v>
      </c>
    </row>
    <row r="6845" spans="1:3" ht="13" x14ac:dyDescent="0.15">
      <c r="A6845" s="1" t="str">
        <f ca="1">IFERROR(__xludf.DUMMYFUNCTION("GOOGLETRANSLATE(A6845, ""zh"", ""en"")"),"For ease of description and reading, the term ""Company"" in this report refers to China Vanke Co., Ltd., China Vanke Group, and China Vanke Group. The term ""Group"" refers to China Vanke Co., Ltd. and its subsidiaries.")</f>
        <v>For ease of description and reading, the term "Company" in this report refers to China Vanke Co., Ltd., China Vanke Group, and China Vanke Group. The term "Group" refers to China Vanke Co., Ltd. and its subsidiaries.</v>
      </c>
      <c r="B6845" s="1" t="str">
        <f ca="1">IFERROR(__xludf.DUMMYFUNCTION("GOOGLETRANSLATE(A6845, ""zh"", ""en"")"),"irrelevant text")</f>
        <v>irrelevant text</v>
      </c>
      <c r="C6845" s="1" t="str">
        <f ca="1">IFERROR(__xludf.DUMMYFUNCTION("GOOGLETRANSLATE(E6845, ""zh"", ""en"")"),"irrelevant text")</f>
        <v>irrelevant text</v>
      </c>
    </row>
    <row r="6846" spans="1:3" ht="13" x14ac:dyDescent="0.15">
      <c r="A6846" s="1" t="str">
        <f ca="1">IFERROR(__xludf.DUMMYFUNCTION("GOOGLETRANSLATE(A6846, ""zh"", ""en"")"),"Unless otherwise specified, terms used in this report shall have the same meanings as those defined in the Company’s 2022 Annual Report.")</f>
        <v>Unless otherwise specified, terms used in this report shall have the same meanings as those defined in the Company’s 2022 Annual Report.</v>
      </c>
      <c r="B6846" s="1" t="str">
        <f ca="1">IFERROR(__xludf.DUMMYFUNCTION("GOOGLETRANSLATE(A6846, ""zh"", ""en"")"),"irrelevant text")</f>
        <v>irrelevant text</v>
      </c>
      <c r="C6846" s="1" t="str">
        <f ca="1">IFERROR(__xludf.DUMMYFUNCTION("GOOGLETRANSLATE(E6846, ""zh"", ""en"")"),"irrelevant text")</f>
        <v>irrelevant text</v>
      </c>
    </row>
    <row r="6847" spans="1:3" ht="13" x14ac:dyDescent="0.15">
      <c r="A6847" s="1" t="str">
        <f ca="1">IFERROR(__xludf.DUMMYFUNCTION("GOOGLETRANSLATE(A6847, ""zh"", ""en"")"),"This report is prepared in accordance with the Ten Principles of the United Nations Global Compact, the International Organization for Standardization (ISO) 26000 Guidelines on Social Responsibility (2010), the Global Reporting Initiative (GRI) Standards,"&amp;" the National Standards Guidelines for the Preparation of Social Responsibility Reports (GBT 36001-2015), the SASBS Sustainability Accounting Standards Board, the Real Estate Industry Standard, the Stock Exchange of Hong Kong Limited, Appendix 27 to the H"&amp;"KEX Listing Rules - Environmental, Social and Governance Reporting Guidelines, the ESG Reporting Guidelines, the Task Force on Climate-related Financial Disclosures (TCFD), the Shenzhen Stock Exchange's Guidelines on Self-Regulatory Supervision of Listed "&amp;"Companies No. 1, the Standardized Operations of Main Board Listed Companies, the Chinese Academy of Social Sciences, the China Corporate Social Responsibility Reporting Guidelines (CASCSR 5.0), the Guangdong Real Estate Association, the Guangdong Real Est"&amp;"ate Enterprise Social Responsibility Guidelines. Reporting Principles: This report was prepared in accordance with the four reporting principles of the HKEX's ESG Reporting Guidelines: materiality, quantification, balance, and consistency.")</f>
        <v>This report is prepared in accordance with the Ten Principles of the United Nations Global Compact, the International Organization for Standardization (ISO) 26000 Guidelines on Social Responsibility (2010), the Global Reporting Initiative (GRI) Standards, the National Standards Guidelines for the Preparation of Social Responsibility Reports (GBT 36001-2015), the SASBS Sustainability Accounting Standards Board, the Real Estate Industry Standard, the Stock Exchange of Hong Kong Limited, Appendix 27 to the HKEX Listing Rules - Environmental, Social and Governance Reporting Guidelines, the ESG Reporting Guidelines, the Task Force on Climate-related Financial Disclosures (TCFD), the Shenzhen Stock Exchange's Guidelines on Self-Regulatory Supervision of Listed Companies No. 1, the Standardized Operations of Main Board Listed Companies, the Chinese Academy of Social Sciences, the China Corporate Social Responsibility Reporting Guidelines (CASCSR 5.0), the Guangdong Real Estate Association, the Guangdong Real Estate Enterprise Social Responsibility Guidelines. Reporting Principles: This report was prepared in accordance with the four reporting principles of the HKEX's ESG Reporting Guidelines: materiality, quantification, balance, and consistency.</v>
      </c>
      <c r="B6847" s="1" t="str">
        <f ca="1">IFERROR(__xludf.DUMMYFUNCTION("GOOGLETRANSLATE(A6847, ""zh"", ""en"")"),"irrelevant text")</f>
        <v>irrelevant text</v>
      </c>
      <c r="C6847" s="1" t="str">
        <f ca="1">IFERROR(__xludf.DUMMYFUNCTION("GOOGLETRANSLATE(E6847, ""zh"", ""en"")"),"irrelevant text")</f>
        <v>irrelevant text</v>
      </c>
    </row>
    <row r="6848" spans="1:3" ht="13" x14ac:dyDescent="0.15">
      <c r="A6848" s="1" t="str">
        <f ca="1">IFERROR(__xludf.DUMMYFUNCTION("GOOGLETRANSLATE(A6848, ""zh"", ""en"")"),"About the Scope and Boundary of this Report When determining the scope and boundary of the report, we ensure that this report reflects the ESG impact and performance of the Group.")</f>
        <v>About the Scope and Boundary of this Report When determining the scope and boundary of the report, we ensure that this report reflects the ESG impact and performance of the Group.</v>
      </c>
      <c r="B6848" s="1" t="str">
        <f ca="1">IFERROR(__xludf.DUMMYFUNCTION("GOOGLETRANSLATE(A6848, ""zh"", ""en"")"),"irrelevant text")</f>
        <v>irrelevant text</v>
      </c>
      <c r="C6848" s="1" t="str">
        <f ca="1">IFERROR(__xludf.DUMMYFUNCTION("GOOGLETRANSLATE(E6848, ""zh"", ""en"")"),"irrelevant text")</f>
        <v>irrelevant text</v>
      </c>
    </row>
    <row r="6849" spans="1:3" ht="13" x14ac:dyDescent="0.15">
      <c r="A6849" s="1" t="str">
        <f ca="1">IFERROR(__xludf.DUMMYFUNCTION("GOOGLETRANSLATE(A6849, ""zh"", ""en"")"),"Unless otherwise stated, this report covers the sustainable development performance of the Group’s operations and management businesses during the reporting period from January 1, 2022 to December 31, 2022.")</f>
        <v>Unless otherwise stated, this report covers the sustainable development performance of the Group’s operations and management businesses during the reporting period from January 1, 2022 to December 31, 2022.</v>
      </c>
      <c r="B6849" s="1" t="str">
        <f ca="1">IFERROR(__xludf.DUMMYFUNCTION("GOOGLETRANSLATE(A6849, ""zh"", ""en"")"),"irrelevant text")</f>
        <v>irrelevant text</v>
      </c>
      <c r="C6849" s="1" t="str">
        <f ca="1">IFERROR(__xludf.DUMMYFUNCTION("GOOGLETRANSLATE(E6849, ""zh"", ""en"")"),"irrelevant text")</f>
        <v>irrelevant text</v>
      </c>
    </row>
    <row r="6850" spans="1:3" ht="13" x14ac:dyDescent="0.15">
      <c r="A6850" s="1" t="str">
        <f ca="1">IFERROR(__xludf.DUMMYFUNCTION("GOOGLETRANSLATE(A6850, ""zh"", ""en"")"),"Review and approval of this report. The report has been reviewed and approved by the Board of Directors and does not contain any false records, misleading statements or material omissions.")</f>
        <v>Review and approval of this report. The report has been reviewed and approved by the Board of Directors and does not contain any false records, misleading statements or material omissions.</v>
      </c>
      <c r="B6850" s="1" t="str">
        <f ca="1">IFERROR(__xludf.DUMMYFUNCTION("GOOGLETRANSLATE(A6850, ""zh"", ""en"")"),"irrelevant text")</f>
        <v>irrelevant text</v>
      </c>
      <c r="C6850" s="1" t="str">
        <f ca="1">IFERROR(__xludf.DUMMYFUNCTION("GOOGLETRANSLATE(E6850, ""zh"", ""en"")"),"irrelevant text")</f>
        <v>irrelevant text</v>
      </c>
    </row>
    <row r="6851" spans="1:3" ht="13" x14ac:dyDescent="0.15">
      <c r="A6851" s="1" t="str">
        <f ca="1">IFERROR(__xludf.DUMMYFUNCTION("GOOGLETRANSLATE(A6851, ""zh"", ""en"")"),"Disclaimer: This report contains forward-looking statements, including but not limited to words or phrases such as ""will,"" ""anticipate,"" ""project,"" ""future,"" ""aim,"" ""estimate,"" ""plan,"" ""believe,"" ""potential,"" ""continue,"" ""goal,"" ""in"&amp;"tend,"" ""target,"" ""possible,"" and so on.")</f>
        <v>Disclaimer: This report contains forward-looking statements, including but not limited to words or phrases such as "will," "anticipate," "project," "future," "aim," "estimate," "plan," "believe," "potential," "continue," "goal," "intend," "target," "possible," and so on.</v>
      </c>
      <c r="B6851" s="1" t="str">
        <f ca="1">IFERROR(__xludf.DUMMYFUNCTION("GOOGLETRANSLATE(A6851, ""zh"", ""en"")"),"irrelevant text")</f>
        <v>irrelevant text</v>
      </c>
      <c r="C6851" s="1" t="str">
        <f ca="1">IFERROR(__xludf.DUMMYFUNCTION("GOOGLETRANSLATE(E6851, ""zh"", ""en"")"),"irrelevant text")</f>
        <v>irrelevant text</v>
      </c>
    </row>
    <row r="6852" spans="1:3" ht="13" x14ac:dyDescent="0.15">
      <c r="A6852" s="1" t="str">
        <f ca="1">IFERROR(__xludf.DUMMYFUNCTION("GOOGLETRANSLATE(A6852, ""zh"", ""en"")"),"This report is based on current expectations, assumptions, estimates, and projections, which may be affected by uncertainties and may cause actual results to differ materially. Vanke Group assumes no obligation to update any forward-looking statements in "&amp;"this report, except as required by applicable law.")</f>
        <v>This report is based on current expectations, assumptions, estimates, and projections, which may be affected by uncertainties and may cause actual results to differ materially. Vanke Group assumes no obligation to update any forward-looking statements in this report, except as required by applicable law.</v>
      </c>
      <c r="B6852" s="1" t="str">
        <f ca="1">IFERROR(__xludf.DUMMYFUNCTION("GOOGLETRANSLATE(A6852, ""zh"", ""en"")"),"irrelevant text")</f>
        <v>irrelevant text</v>
      </c>
      <c r="C6852" s="1" t="str">
        <f ca="1">IFERROR(__xludf.DUMMYFUNCTION("GOOGLETRANSLATE(E6852, ""zh"", ""en"")"),"irrelevant text")</f>
        <v>irrelevant text</v>
      </c>
    </row>
    <row r="6853" spans="1:3" ht="13" x14ac:dyDescent="0.15">
      <c r="A6853" s="1" t="str">
        <f ca="1">IFERROR(__xludf.DUMMYFUNCTION("GOOGLETRANSLATE(A6853, ""zh"", ""en"")"),"Vanke Group assumes no responsibility for the consequences of any person's judgment based on the information contained in this report.")</f>
        <v>Vanke Group assumes no responsibility for the consequences of any person's judgment based on the information contained in this report.</v>
      </c>
      <c r="B6853" s="1" t="str">
        <f ca="1">IFERROR(__xludf.DUMMYFUNCTION("GOOGLETRANSLATE(A6853, ""zh"", ""en"")"),"irrelevant text")</f>
        <v>irrelevant text</v>
      </c>
      <c r="C6853" s="1" t="str">
        <f ca="1">IFERROR(__xludf.DUMMYFUNCTION("GOOGLETRANSLATE(E6853, ""zh"", ""en"")"),"irrelevant text")</f>
        <v>irrelevant text</v>
      </c>
    </row>
    <row r="6854" spans="1:3" ht="13" x14ac:dyDescent="0.15">
      <c r="A6854" s="1" t="str">
        <f ca="1">IFERROR(__xludf.DUMMYFUNCTION("GOOGLETRANSLATE(A6854, ""zh"", ""en"")"),"This report includes both Chinese and English versions. If there is any discrepancy between the two versions, please refer to the Chinese version.")</f>
        <v>This report includes both Chinese and English versions. If there is any discrepancy between the two versions, please refer to the Chinese version.</v>
      </c>
      <c r="B6854" s="1" t="str">
        <f ca="1">IFERROR(__xludf.DUMMYFUNCTION("GOOGLETRANSLATE(A6854, ""zh"", ""en"")"),"irrelevant text")</f>
        <v>irrelevant text</v>
      </c>
      <c r="C6854" s="1" t="str">
        <f ca="1">IFERROR(__xludf.DUMMYFUNCTION("GOOGLETRANSLATE(E6854, ""zh"", ""en"")"),"irrelevant text")</f>
        <v>irrelevant text</v>
      </c>
    </row>
    <row r="6855" spans="1:3" ht="13" x14ac:dyDescent="0.15">
      <c r="A6855" s="1" t="str">
        <f ca="1">IFERROR(__xludf.DUMMYFUNCTION("GOOGLETRANSLATE(A6855, ""zh"", ""en"")"),"The electronic version of the report has been uploaded to the Shenzhen Stock Exchange website and the Company's official website www.vanke.com")</f>
        <v>The electronic version of the report has been uploaded to the Shenzhen Stock Exchange website and the Company's official website www.vanke.com</v>
      </c>
      <c r="B6855" s="1" t="str">
        <f ca="1">IFERROR(__xludf.DUMMYFUNCTION("GOOGLETRANSLATE(A6855, ""zh"", ""en"")"),"irrelevant text")</f>
        <v>irrelevant text</v>
      </c>
      <c r="C6855" s="1" t="str">
        <f ca="1">IFERROR(__xludf.DUMMYFUNCTION("GOOGLETRANSLATE(E6855, ""zh"", ""en"")"),"irrelevant text")</f>
        <v>irrelevant text</v>
      </c>
    </row>
    <row r="6856" spans="1:3" ht="13" x14ac:dyDescent="0.15">
      <c r="A6856" s="1" t="str">
        <f ca="1">IFERROR(__xludf.DUMMYFUNCTION("GOOGLETRANSLATE(A6856, ""zh"", ""en"")"),"Feedback If you have any comments or suggestions on Vanke Group's sustainable development performance or this report, please email us at pvkesgvanke.com or call 075525606666")</f>
        <v>Feedback If you have any comments or suggestions on Vanke Group's sustainable development performance or this report, please email us at pvkesgvanke.com or call 075525606666</v>
      </c>
      <c r="B6856" s="1" t="str">
        <f ca="1">IFERROR(__xludf.DUMMYFUNCTION("GOOGLETRANSLATE(A6856, ""zh"", ""en"")"),"irrelevant text")</f>
        <v>irrelevant text</v>
      </c>
      <c r="C6856" s="1" t="str">
        <f ca="1">IFERROR(__xludf.DUMMYFUNCTION("GOOGLETRANSLATE(E6856, ""zh"", ""en"")"),"irrelevant text")</f>
        <v>irrelevant text</v>
      </c>
    </row>
    <row r="6857" spans="1:3" ht="13" x14ac:dyDescent="0.15">
      <c r="A6857" s="1" t="str">
        <f ca="1">IFERROR(__xludf.DUMMYFUNCTION("GOOGLETRANSLATE(A6857, ""zh"", ""en"")"),"In the process of exploring green and low-carbon development, Vanke has created many firsts. Vanke was the first company in the domestic real estate industry to propose the concepts of industrialized green buildings and fully-furnished green development. "&amp;"Shenzhen Vanke City Phase IV is the first residential project in China to receive the three-star green building standard certification. Shenzhen Dameisha Vanke Center is the first office green building project in China to receive LEED Platinum certificati"&amp;"on. The Dameisha Near-Zero Carbon Community was also unveiled as a model for exploring sustainable community development. At the 27th Conference of the Parties to the United Nations Framework Convention on Climate Change, Vanke was the first company in th"&amp;"e global real estate industry to join the WWF Carbon Reduction Pioneer Project.")</f>
        <v>In the process of exploring green and low-carbon development, Vanke has created many firsts. Vanke was the first company in the domestic real estate industry to propose the concepts of industrialized green buildings and fully-furnished green development. Shenzhen Vanke City Phase IV is the first residential project in China to receive the three-star green building standard certification. Shenzhen Dameisha Vanke Center is the first office green building project in China to receive LEED Platinum certification. The Dameisha Near-Zero Carbon Community was also unveiled as a model for exploring sustainable community development. At the 27th Conference of the Parties to the United Nations Framework Convention on Climate Change, Vanke was the first company in the global real estate industry to join the WWF Carbon Reduction Pioneer Project.</v>
      </c>
      <c r="B6857" s="1" t="str">
        <f ca="1">IFERROR(__xludf.DUMMYFUNCTION("GOOGLETRANSLATE(A6857, ""zh"", ""en"")"),"Green Building")</f>
        <v>Green Building</v>
      </c>
      <c r="C6857" s="1" t="str">
        <f ca="1">IFERROR(__xludf.DUMMYFUNCTION("GOOGLETRANSLATE(E6857, ""zh"", ""en"")"),"Quantitative Text")</f>
        <v>Quantitative Text</v>
      </c>
    </row>
    <row r="6858" spans="1:3" ht="13" x14ac:dyDescent="0.15">
      <c r="A6858" s="1" t="str">
        <f ca="1">IFERROR(__xludf.DUMMYFUNCTION("GOOGLETRANSLATE(A6858, ""zh"", ""en"")"),"We uphold long-termism, continuously promote sustainable development, consolidate sound management practices, lead a green and low-carbon environment, and pilot a shared and inclusive society.")</f>
        <v>We uphold long-termism, continuously promote sustainable development, consolidate sound management practices, lead a green and low-carbon environment, and pilot a shared and inclusive society.</v>
      </c>
      <c r="B6858" s="1" t="str">
        <f ca="1">IFERROR(__xludf.DUMMYFUNCTION("GOOGLETRANSLATE(A6858, ""zh"", ""en"")"),"irrelevant text")</f>
        <v>irrelevant text</v>
      </c>
      <c r="C6858" s="1" t="str">
        <f ca="1">IFERROR(__xludf.DUMMYFUNCTION("GOOGLETRANSLATE(E6858, ""zh"", ""en"")"),"irrelevant text")</f>
        <v>irrelevant text</v>
      </c>
    </row>
    <row r="6859" spans="1:3" ht="13" x14ac:dyDescent="0.15">
      <c r="A6859" s="1" t="str">
        <f ca="1">IFERROR(__xludf.DUMMYFUNCTION("GOOGLETRANSLATE(A6859, ""zh"", ""en"")"),"In 2022, we received high recognition in a number of representative sustainability ratings and indices.")</f>
        <v>In 2022, we received high recognition in a number of representative sustainability ratings and indices.</v>
      </c>
      <c r="B6859" s="1" t="str">
        <f ca="1">IFERROR(__xludf.DUMMYFUNCTION("GOOGLETRANSLATE(A6859, ""zh"", ""en"")"),"Sustainable certification")</f>
        <v>Sustainable certification</v>
      </c>
      <c r="C6859" s="1" t="str">
        <f ca="1">IFERROR(__xludf.DUMMYFUNCTION("GOOGLETRANSLATE(E6859, ""zh"", ""en"")"),"Quantitative Text")</f>
        <v>Quantitative Text</v>
      </c>
    </row>
    <row r="6860" spans="1:3" ht="13" x14ac:dyDescent="0.15">
      <c r="A6860" s="1" t="str">
        <f ca="1">IFERROR(__xludf.DUMMYFUNCTION("GOOGLETRANSLATE(A6860, ""zh"", ""en"")"),"In September 2022, the China Association of Public Companies released the 2022 A-share listed companies' ESG best practices. Vanke's ESG case study, as an outstanding green enterprise, became one of the 30 A-share listed companies' ESG best practices, and"&amp;" the only real estate industry case selected. As a result, Vanke was included in the positive list of the China Securities Regulatory Commission's securities and futures market integrity database.")</f>
        <v>In September 2022, the China Association of Public Companies released the 2022 A-share listed companies' ESG best practices. Vanke's ESG case study, as an outstanding green enterprise, became one of the 30 A-share listed companies' ESG best practices, and the only real estate industry case selected. As a result, Vanke was included in the positive list of the China Securities Regulatory Commission's securities and futures market integrity database.</v>
      </c>
      <c r="B6860" s="1" t="str">
        <f ca="1">IFERROR(__xludf.DUMMYFUNCTION("GOOGLETRANSLATE(A6860, ""zh"", ""en"")"),"Sustainable certification")</f>
        <v>Sustainable certification</v>
      </c>
      <c r="C6860" s="1" t="str">
        <f ca="1">IFERROR(__xludf.DUMMYFUNCTION("GOOGLETRANSLATE(E6860, ""zh"", ""en"")"),"Quantitative Text")</f>
        <v>Quantitative Text</v>
      </c>
    </row>
    <row r="6861" spans="1:3" ht="13" x14ac:dyDescent="0.15">
      <c r="A6861" s="1" t="str">
        <f ca="1">IFERROR(__xludf.DUMMYFUNCTION("GOOGLETRANSLATE(A6861, ""zh"", ""en"")"),"The Hang Seng Corporate Sustainability Index continues to include constituents of the Hang Seng ESG50 Index and receives an A rating. It is one of the top 50 companies with the best ESG performance among larger companies listed in Hong Kong and continues "&amp;"to be included in the Hang Seng Corporate Sustainability Benchmark Index. The Hang Seng A-Share Connect Low Carbon Select Index, the Hang Seng A-Share Corporate Sustainability Index, and the CSI ESG Index. The MSCI MSCIE SSG rating received an AA rating a"&amp;"nd ranked first among large real estate companies. It is the only real estate company included in the Shenzhen Component 100 ESG Leading Index and maintains a BBB rating. The S&amp;P Global Sustainability Assessment, Sustainalytics, Morningstar ESG Risk Asses"&amp;"sment, and GRESB Global Real Estate Sustainability Rating System have achieved steady improvement in scores. The risk assessment score continues to decline, performance has improved, and the Green Three Star performance has improved. Vanke was selected as"&amp;" an ESG Best Practice Case Study for A-share listed companies in 2022. Report Summary 05 2022 Sustainability Report. The Hong Kong Corporate Governance Association Journal CGJHKCGIESG is excellent. Cases: Fortune Global 500 No. 178, Forbes China 2022 Chin"&amp;"a ESG50 Best Employer Brand Award TOP 100, Greater Bay Area Listed Companies Green Governance TOP 20, 18th New Fortune Golden Secretary Awards Best ESG Disclosure Award, 14th China Corporate Social Responsibility Annual Conference, 2021 Outstanding Respon"&amp;"sible Enterprise, 2022 Asia's Best Corporate Management Team List, Best ESG BestESG Mainland China TOP 3, 4th New Fortune Best Listed Company Best ESG Practice Award, 2022 China's Best Employers National TOP 100, Hong Kong Corporate Governance Association"&amp;", Fortune New Fortune, Forbes China, MOKA Recruitment, Shenzhen Corporate Governance Research Association, Southern Weekend Institutional Investors, New Fortune Guanghua Rotman Research Center, Zhaopin Recruitment. In 2022, we also received honors and rec"&amp;"ognition from the government, industry organizations, media platforms, and the public, including some of the exhibitions VANKE Vanke 06. 2022 is a year of deep adjustment for the industry and a year full of challenges.")</f>
        <v>The Hang Seng Corporate Sustainability Index continues to include constituents of the Hang Seng ESG50 Index and receives an A rating. It is one of the top 50 companies with the best ESG performance among larger companies listed in Hong Kong and continues to be included in the Hang Seng Corporate Sustainability Benchmark Index. The Hang Seng A-Share Connect Low Carbon Select Index, the Hang Seng A-Share Corporate Sustainability Index, and the CSI ESG Index. The MSCI MSCIE SSG rating received an AA rating and ranked first among large real estate companies. It is the only real estate company included in the Shenzhen Component 100 ESG Leading Index and maintains a BBB rating. The S&amp;P Global Sustainability Assessment, Sustainalytics, Morningstar ESG Risk Assessment, and GRESB Global Real Estate Sustainability Rating System have achieved steady improvement in scores. The risk assessment score continues to decline, performance has improved, and the Green Three Star performance has improved. Vanke was selected as an ESG Best Practice Case Study for A-share listed companies in 2022. Report Summary 05 2022 Sustainability Report. The Hong Kong Corporate Governance Association Journal CGJHKCGIESG is excellent. Cases: Fortune Global 500 No. 178, Forbes China 2022 China ESG50 Best Employer Brand Award TOP 100, Greater Bay Area Listed Companies Green Governance TOP 20, 18th New Fortune Golden Secretary Awards Best ESG Disclosure Award, 14th China Corporate Social Responsibility Annual Conference, 2021 Outstanding Responsible Enterprise, 2022 Asia's Best Corporate Management Team List, Best ESG BestESG Mainland China TOP 3, 4th New Fortune Best Listed Company Best ESG Practice Award, 2022 China's Best Employers National TOP 100, Hong Kong Corporate Governance Association, Fortune New Fortune, Forbes China, MOKA Recruitment, Shenzhen Corporate Governance Research Association, Southern Weekend Institutional Investors, New Fortune Guanghua Rotman Research Center, Zhaopin Recruitment. In 2022, we also received honors and recognition from the government, industry organizations, media platforms, and the public, including some of the exhibitions VANKE Vanke 06. 2022 is a year of deep adjustment for the industry and a year full of challenges.</v>
      </c>
      <c r="B6861" s="1" t="str">
        <f ca="1">IFERROR(__xludf.DUMMYFUNCTION("GOOGLETRANSLATE(A6861, ""zh"", ""en"")"),"Sustainable certification")</f>
        <v>Sustainable certification</v>
      </c>
      <c r="C6861" s="1" t="str">
        <f ca="1">IFERROR(__xludf.DUMMYFUNCTION("GOOGLETRANSLATE(E6861, ""zh"", ""en"")"),"Qualitative text")</f>
        <v>Qualitative text</v>
      </c>
    </row>
    <row r="6862" spans="1:3" ht="13" x14ac:dyDescent="0.15">
      <c r="A6862" s="1" t="str">
        <f ca="1">IFERROR(__xludf.DUMMYFUNCTION("GOOGLETRANSLATE(A6862, ""zh"", ""en"")"),"Vanke has always maintained stable operations, kept pace with the development of the times, and firmly followed the path of giving equal importance to development, operation and service, developing in tandem with cities and growing together with customers"&amp;", charting a new chapter of high-quality development.")</f>
        <v>Vanke has always maintained stable operations, kept pace with the development of the times, and firmly followed the path of giving equal importance to development, operation and service, developing in tandem with cities and growing together with customers, charting a new chapter of high-quality development.</v>
      </c>
      <c r="B6862" s="1" t="str">
        <f ca="1">IFERROR(__xludf.DUMMYFUNCTION("GOOGLETRANSLATE(A6862, ""zh"", ""en"")"),"Customers and Consumers")</f>
        <v>Customers and Consumers</v>
      </c>
      <c r="C6862" s="1" t="str">
        <f ca="1">IFERROR(__xludf.DUMMYFUNCTION("GOOGLETRANSLATE(E6862, ""zh"", ""en"")"),"Qualitative text")</f>
        <v>Qualitative text</v>
      </c>
    </row>
    <row r="6863" spans="1:3" ht="13" x14ac:dyDescent="0.15">
      <c r="A6863" s="1" t="str">
        <f ca="1">IFERROR(__xludf.DUMMYFUNCTION("GOOGLETRANSLATE(A6863, ""zh"", ""en"")"),"The way of environment leads high-quality development. Based on the opportunity of industry transformation and development, we will continue to explore new paths to lead green, low-carbon and high-quality development in 2022.")</f>
        <v>The way of environment leads high-quality development. Based on the opportunity of industry transformation and development, we will continue to explore new paths to lead green, low-carbon and high-quality development in 2022.</v>
      </c>
      <c r="B6863" s="1" t="str">
        <f ca="1">IFERROR(__xludf.DUMMYFUNCTION("GOOGLETRANSLATE(A6863, ""zh"", ""en"")"),"carbon emissions")</f>
        <v>carbon emissions</v>
      </c>
      <c r="C6863" s="1" t="str">
        <f ca="1">IFERROR(__xludf.DUMMYFUNCTION("GOOGLETRANSLATE(E6863, ""zh"", ""en"")"),"Qualitative text")</f>
        <v>Qualitative text</v>
      </c>
    </row>
    <row r="6864" spans="1:3" ht="13" x14ac:dyDescent="0.15">
      <c r="A6864" s="1" t="str">
        <f ca="1">IFERROR(__xludf.DUMMYFUNCTION("GOOGLETRANSLATE(A6864, ""zh"", ""en"")"),"We actively apply net-zero carbon emissions, zero waste management, and biodiversity solutions to build the carbon neutrality experimental zone at Vanke Center in Dameisha, Shenzhen. We also explore co-building a near-zero carbon community with residents "&amp;"and institutions within the Dameisha community, using Vanke Center as a base. We effectively translate green visions into green actions and become a pioneer in carbon neutrality for urban communities.")</f>
        <v>We actively apply net-zero carbon emissions, zero waste management, and biodiversity solutions to build the carbon neutrality experimental zone at Vanke Center in Dameisha, Shenzhen. We also explore co-building a near-zero carbon community with residents and institutions within the Dameisha community, using Vanke Center as a base. We effectively translate green visions into green actions and become a pioneer in carbon neutrality for urban communities.</v>
      </c>
      <c r="B6864" s="1" t="str">
        <f ca="1">IFERROR(__xludf.DUMMYFUNCTION("GOOGLETRANSLATE(A6864, ""zh"", ""en"")"),"carbon emissions")</f>
        <v>carbon emissions</v>
      </c>
      <c r="C6864" s="1" t="str">
        <f ca="1">IFERROR(__xludf.DUMMYFUNCTION("GOOGLETRANSLATE(E6864, ""zh"", ""en"")"),"Qualitative text")</f>
        <v>Qualitative text</v>
      </c>
    </row>
    <row r="6865" spans="1:3" ht="13" x14ac:dyDescent="0.15">
      <c r="A6865" s="1" t="str">
        <f ca="1">IFERROR(__xludf.DUMMYFUNCTION("GOOGLETRANSLATE(A6865, ""zh"", ""en"")"),"We are actively responding to climate change and continuing to deepen climate risk management. We are conducting climate change scenario analysis based on the recommendations of the TCFD framework, systematically and comprehensively analyzing the risks an"&amp;"d opportunities brought about by climate change, improving our climate risk management capabilities and seizing climate opportunities. While actively reducing our own operational energy consumption, we are also optimizing management in multiple areas, suc"&amp;"h as green building, recycling resources, and promoting sustainable lifestyles, and working with all parties to share the responsibility of green development.")</f>
        <v>We are actively responding to climate change and continuing to deepen climate risk management. We are conducting climate change scenario analysis based on the recommendations of the TCFD framework, systematically and comprehensively analyzing the risks and opportunities brought about by climate change, improving our climate risk management capabilities and seizing climate opportunities. While actively reducing our own operational energy consumption, we are also optimizing management in multiple areas, such as green building, recycling resources, and promoting sustainable lifestyles, and working with all parties to share the responsibility of green development.</v>
      </c>
      <c r="B6865" s="1" t="str">
        <f ca="1">IFERROR(__xludf.DUMMYFUNCTION("GOOGLETRANSLATE(A6865, ""zh"", ""en"")"),"Addressing climate change")</f>
        <v>Addressing climate change</v>
      </c>
      <c r="C6865" s="1" t="str">
        <f ca="1">IFERROR(__xludf.DUMMYFUNCTION("GOOGLETRANSLATE(E6865, ""zh"", ""en"")"),"Qualitative text")</f>
        <v>Qualitative text</v>
      </c>
    </row>
    <row r="6866" spans="1:3" ht="13" x14ac:dyDescent="0.15">
      <c r="A6866" s="1" t="str">
        <f ca="1">IFERROR(__xludf.DUMMYFUNCTION("GOOGLETRANSLATE(A6866, ""zh"", ""en"")"),"Working together to create a better society. We uphold a culture of partnership and strive to create an equal, respectful, inclusive, and diverse workplace environment, providing every employee with opportunities for growth and development. In 2022, we wi"&amp;"ll continue to carry out service and professional training, actively identify grassroots strivers, and provide them with training activities, growth space, and development opportunities.")</f>
        <v>Working together to create a better society. We uphold a culture of partnership and strive to create an equal, respectful, inclusive, and diverse workplace environment, providing every employee with opportunities for growth and development. In 2022, we will continue to carry out service and professional training, actively identify grassroots strivers, and provide them with training activities, growth space, and development opportunities.</v>
      </c>
      <c r="B6866" s="1" t="str">
        <f ca="1">IFERROR(__xludf.DUMMYFUNCTION("GOOGLETRANSLATE(A6866, ""zh"", ""en"")"),"staff")</f>
        <v>staff</v>
      </c>
      <c r="C6866" s="1" t="str">
        <f ca="1">IFERROR(__xludf.DUMMYFUNCTION("GOOGLETRANSLATE(E6866, ""zh"", ""en"")"),"Qualitative text")</f>
        <v>Qualitative text</v>
      </c>
    </row>
    <row r="6867" spans="1:3" ht="13" x14ac:dyDescent="0.15">
      <c r="A6867" s="1" t="str">
        <f ca="1">IFERROR(__xludf.DUMMYFUNCTION("GOOGLETRANSLATE(A6867, ""zh"", ""en"")"),"We advocate win-win cooperation and promote the progress and development of the industry through the concept of sustainable development. We have created a comprehensive supplier index (SCI) through the Caizhu platform, introduced multiple high-quality sup"&amp;"pliers, covered more than 400,000 managed products, promoted the transformation of the industrial supply chain, and achieved the upgrading of the industry ecosystem.")</f>
        <v>We advocate win-win cooperation and promote the progress and development of the industry through the concept of sustainable development. We have created a comprehensive supplier index (SCI) through the Caizhu platform, introduced multiple high-quality suppliers, covered more than 400,000 managed products, promoted the transformation of the industrial supply chain, and achieved the upgrading of the industry ecosystem.</v>
      </c>
      <c r="B6867" s="1" t="str">
        <f ca="1">IFERROR(__xludf.DUMMYFUNCTION("GOOGLETRANSLATE(A6867, ""zh"", ""en"")"),"supply chain management")</f>
        <v>supply chain management</v>
      </c>
      <c r="C6867" s="1" t="str">
        <f ca="1">IFERROR(__xludf.DUMMYFUNCTION("GOOGLETRANSLATE(E6867, ""zh"", ""en"")"),"Quantitative Text")</f>
        <v>Quantitative Text</v>
      </c>
    </row>
    <row r="6868" spans="1:3" ht="13" x14ac:dyDescent="0.15">
      <c r="A6868" s="1" t="str">
        <f ca="1">IFERROR(__xludf.DUMMYFUNCTION("GOOGLETRANSLATE(A6868, ""zh"", ""en"")"),"We promote shared development, fully leverage our own resource advantages, share Vanke's development achievements with society, and fulfill our corporate social responsibility through action.")</f>
        <v>We promote shared development, fully leverage our own resource advantages, share Vanke's development achievements with society, and fulfill our corporate social responsibility through action.</v>
      </c>
      <c r="B6868" s="1" t="str">
        <f ca="1">IFERROR(__xludf.DUMMYFUNCTION("GOOGLETRANSLATE(A6868, ""zh"", ""en"")"),"Public welfare and volunteer service")</f>
        <v>Public welfare and volunteer service</v>
      </c>
      <c r="C6868" s="1" t="str">
        <f ca="1">IFERROR(__xludf.DUMMYFUNCTION("GOOGLETRANSLATE(E6868, ""zh"", ""en"")"),"Qualitative text")</f>
        <v>Qualitative text</v>
      </c>
    </row>
    <row r="6869" spans="1:3" ht="13" x14ac:dyDescent="0.15">
      <c r="A6869" s="1" t="str">
        <f ca="1">IFERROR(__xludf.DUMMYFUNCTION("GOOGLETRANSLATE(A6869, ""zh"", ""en"")"),"In 2022, Vanke's ESG performance was widely recognized by domestic and international rating and index agencies.")</f>
        <v>In 2022, Vanke's ESG performance was widely recognized by domestic and international rating and index agencies.</v>
      </c>
      <c r="B6869" s="1" t="str">
        <f ca="1">IFERROR(__xludf.DUMMYFUNCTION("GOOGLETRANSLATE(A6869, ""zh"", ""en"")"),"Sustainable certification")</f>
        <v>Sustainable certification</v>
      </c>
      <c r="C6869" s="1" t="str">
        <f ca="1">IFERROR(__xludf.DUMMYFUNCTION("GOOGLETRANSLATE(E6869, ""zh"", ""en"")"),"Qualitative text")</f>
        <v>Qualitative text</v>
      </c>
    </row>
    <row r="6870" spans="1:3" ht="13" x14ac:dyDescent="0.15">
      <c r="A6870" s="1" t="str">
        <f ca="1">IFERROR(__xludf.DUMMYFUNCTION("GOOGLETRANSLATE(A6870, ""zh"", ""en"")"),"Vanke received an AA ESG rating from the Shenzhen Stock Exchange's National Securities Index, becoming the only real estate company included in the Shenzhen 100 ESG Leading Index.")</f>
        <v>Vanke received an AA ESG rating from the Shenzhen Stock Exchange's National Securities Index, becoming the only real estate company included in the Shenzhen 100 ESG Leading Index.</v>
      </c>
      <c r="B6870" s="1" t="str">
        <f ca="1">IFERROR(__xludf.DUMMYFUNCTION("GOOGLETRANSLATE(A6870, ""zh"", ""en"")"),"Sustainable certification")</f>
        <v>Sustainable certification</v>
      </c>
      <c r="C6870" s="1" t="str">
        <f ca="1">IFERROR(__xludf.DUMMYFUNCTION("GOOGLETRANSLATE(E6870, ""zh"", ""en"")"),"Quantitative Text")</f>
        <v>Quantitative Text</v>
      </c>
    </row>
    <row r="6871" spans="1:3" ht="13" x14ac:dyDescent="0.15">
      <c r="A6871" s="1" t="str">
        <f ca="1">IFERROR(__xludf.DUMMYFUNCTION("GOOGLETRANSLATE(A6871, ""zh"", ""en"")"),"Vanke has been selected for inclusion in the Hang Seng Corporate Sustainability Benchmark Index, the Hang Seng A-Share Corporate Sustainability Index, and the Hang Seng ESG 50 Index, receiving an A rating. It maintains its MSCI ESG rating (MSCIE GBBB) and"&amp;" Morningstar Sustainalytics Low Risk rating.")</f>
        <v>Vanke has been selected for inclusion in the Hang Seng Corporate Sustainability Benchmark Index, the Hang Seng A-Share Corporate Sustainability Index, and the Hang Seng ESG 50 Index, receiving an A rating. It maintains its MSCI ESG rating (MSCIE GBBB) and Morningstar Sustainalytics Low Risk rating.</v>
      </c>
      <c r="B6871" s="1" t="str">
        <f ca="1">IFERROR(__xludf.DUMMYFUNCTION("GOOGLETRANSLATE(A6871, ""zh"", ""en"")"),"Sustainable certification")</f>
        <v>Sustainable certification</v>
      </c>
      <c r="C6871" s="1" t="str">
        <f ca="1">IFERROR(__xludf.DUMMYFUNCTION("GOOGLETRANSLATE(E6871, ""zh"", ""en"")"),"Quantitative Text")</f>
        <v>Quantitative Text</v>
      </c>
    </row>
    <row r="6872" spans="1:3" ht="13" x14ac:dyDescent="0.15">
      <c r="A6872" s="1" t="str">
        <f ca="1">IFERROR(__xludf.DUMMYFUNCTION("GOOGLETRANSLATE(A6872, ""zh"", ""en"")"),"In addition, Vanke was selected into the Forbes China 2022 China ESG50 and other honor lists")</f>
        <v>In addition, Vanke was selected into the Forbes China 2022 China ESG50 and other honor lists</v>
      </c>
      <c r="B6872" s="1" t="str">
        <f ca="1">IFERROR(__xludf.DUMMYFUNCTION("GOOGLETRANSLATE(A6872, ""zh"", ""en"")"),"Sustainable certification")</f>
        <v>Sustainable certification</v>
      </c>
      <c r="C6872" s="1" t="str">
        <f ca="1">IFERROR(__xludf.DUMMYFUNCTION("GOOGLETRANSLATE(E6872, ""zh"", ""en"")"),"Quantitative Text")</f>
        <v>Quantitative Text</v>
      </c>
    </row>
    <row r="6873" spans="1:3" ht="13" x14ac:dyDescent="0.15">
      <c r="A6873" s="1" t="str">
        <f ca="1">IFERROR(__xludf.DUMMYFUNCTION("GOOGLETRANSLATE(A6873, ""zh"", ""en"")"),"Vanke's ESG case study: As an outstanding green enterprise, Vanke was selected as one of the 30 A-share listed companies' ESG best practice cases by the China Association of Public Companies. As a result, Vanke was included in the positive list of the Sec"&amp;"urities and Futures Market Integrity File Database of the China Securities Regulatory Commission.")</f>
        <v>Vanke's ESG case study: As an outstanding green enterprise, Vanke was selected as one of the 30 A-share listed companies' ESG best practice cases by the China Association of Public Companies. As a result, Vanke was included in the positive list of the Securities and Futures Market Integrity File Database of the China Securities Regulatory Commission.</v>
      </c>
      <c r="B6873" s="1" t="str">
        <f ca="1">IFERROR(__xludf.DUMMYFUNCTION("GOOGLETRANSLATE(A6873, ""zh"", ""en"")"),"Sustainable certification")</f>
        <v>Sustainable certification</v>
      </c>
      <c r="C6873" s="1" t="str">
        <f ca="1">IFERROR(__xludf.DUMMYFUNCTION("GOOGLETRANSLATE(E6873, ""zh"", ""en"")"),"Quantitative Text")</f>
        <v>Quantitative Text</v>
      </c>
    </row>
    <row r="6874" spans="1:3" ht="13" x14ac:dyDescent="0.15">
      <c r="A6874" s="1" t="str">
        <f ca="1">IFERROR(__xludf.DUMMYFUNCTION("GOOGLETRANSLATE(A6874, ""zh"", ""en"")"),"Know your shortcomings and strive to move forward, look to the distant mountains and move forward")</f>
        <v>Know your shortcomings and strive to move forward, look to the distant mountains and move forward</v>
      </c>
      <c r="B6874" s="1" t="str">
        <f ca="1">IFERROR(__xludf.DUMMYFUNCTION("GOOGLETRANSLATE(A6874, ""zh"", ""en"")"),"irrelevant text")</f>
        <v>irrelevant text</v>
      </c>
      <c r="C6874" s="1" t="str">
        <f ca="1">IFERROR(__xludf.DUMMYFUNCTION("GOOGLETRANSLATE(E6874, ""zh"", ""en"")"),"irrelevant text")</f>
        <v>irrelevant text</v>
      </c>
    </row>
    <row r="6875" spans="1:3" ht="13" x14ac:dyDescent="0.15">
      <c r="A6875" s="1" t="str">
        <f ca="1">IFERROR(__xludf.DUMMYFUNCTION("GOOGLETRANSLATE(A6875, ""zh"", ""en"")"),"In 2023, Vanke will continue to uphold its mission of dedicating itself to the people's well-being, leading the way with high-quality development, and striving to be a leading enterprise in the new era. It will seize new development opportunities, seek pr"&amp;"ogress while maintaining stability, and adhere to the concept of sustainable development to create a more sustainable economic environment and social value for all stakeholders.")</f>
        <v>In 2023, Vanke will continue to uphold its mission of dedicating itself to the people's well-being, leading the way with high-quality development, and striving to be a leading enterprise in the new era. It will seize new development opportunities, seek progress while maintaining stability, and adhere to the concept of sustainable development to create a more sustainable economic environment and social value for all stakeholders.</v>
      </c>
      <c r="B6875" s="1" t="str">
        <f ca="1">IFERROR(__xludf.DUMMYFUNCTION("GOOGLETRANSLATE(A6875, ""zh"", ""en"")"),"Sustainable certification")</f>
        <v>Sustainable certification</v>
      </c>
      <c r="C6875" s="1" t="str">
        <f ca="1">IFERROR(__xludf.DUMMYFUNCTION("GOOGLETRANSLATE(E6875, ""zh"", ""en"")"),"Qualitative text")</f>
        <v>Qualitative text</v>
      </c>
    </row>
    <row r="6876" spans="1:3" ht="13" x14ac:dyDescent="0.15">
      <c r="A6876" s="1" t="str">
        <f ca="1">IFERROR(__xludf.DUMMYFUNCTION("GOOGLETRANSLATE(A6876, ""zh"", ""en"")"),"Speech Board Statement 07 2022 Sustainability Report Board Statement The Company and the Board of Directors adhere to the China Securities Regulatory Commission's Code of Corporate Governance for Listed Companies and the Hong Kong Stock Exchange's Environ"&amp;"mental, Social and Governance Reporting Guidelines to strengthen the Board's involvement in the Company's environmental, social and governance (ESG) affairs and actively integrate ESG concepts into the Company's business practices.")</f>
        <v>Speech Board Statement 07 2022 Sustainability Report Board Statement The Company and the Board of Directors adhere to the China Securities Regulatory Commission's Code of Corporate Governance for Listed Companies and the Hong Kong Stock Exchange's Environmental, Social and Governance Reporting Guidelines to strengthen the Board's involvement in the Company's environmental, social and governance (ESG) affairs and actively integrate ESG concepts into the Company's business practices.</v>
      </c>
      <c r="B6876" s="1" t="str">
        <f ca="1">IFERROR(__xludf.DUMMYFUNCTION("GOOGLETRANSLATE(A6876, ""zh"", ""en"")"),"Organizational structure and operations")</f>
        <v>Organizational structure and operations</v>
      </c>
      <c r="C6876" s="1" t="str">
        <f ca="1">IFERROR(__xludf.DUMMYFUNCTION("GOOGLETRANSLATE(E6876, ""zh"", ""en"")"),"Qualitative text")</f>
        <v>Qualitative text</v>
      </c>
    </row>
    <row r="6877" spans="1:3" ht="13" x14ac:dyDescent="0.15">
      <c r="A6877" s="1" t="str">
        <f ca="1">IFERROR(__xludf.DUMMYFUNCTION("GOOGLETRANSLATE(A6877, ""zh"", ""en"")"),"In 2019, the company clarified the ESG management system and ESG work responsibilities after review by the board of directors, and will promote the integration of sustainable development-related issues into the company's management in an orderly manner.")</f>
        <v>In 2019, the company clarified the ESG management system and ESG work responsibilities after review by the board of directors, and will promote the integration of sustainable development-related issues into the company's management in an orderly manner.</v>
      </c>
      <c r="B6877" s="1" t="str">
        <f ca="1">IFERROR(__xludf.DUMMYFUNCTION("GOOGLETRANSLATE(A6877, ""zh"", ""en"")"),"Organizational structure and operations")</f>
        <v>Organizational structure and operations</v>
      </c>
      <c r="C6877" s="1" t="str">
        <f ca="1">IFERROR(__xludf.DUMMYFUNCTION("GOOGLETRANSLATE(E6877, ""zh"", ""en"")"),"Qualitative text")</f>
        <v>Qualitative text</v>
      </c>
    </row>
    <row r="6878" spans="1:3" ht="13" x14ac:dyDescent="0.15">
      <c r="A6878" s="1" t="str">
        <f ca="1">IFERROR(__xludf.DUMMYFUNCTION("GOOGLETRANSLATE(A6878, ""zh"", ""en"")"),"As the highest decision-making body of the ESG management system, the Board of Directors is responsible for determining the company's ESG management structure and management strategy, ensuring the establishment of appropriate and effective ESG risk manage"&amp;"ment and internal monitoring systems, listening to discussions on important ESG matters and monitoring progress towards ESG goals, and reviewing and approving the company's annual ESG report.")</f>
        <v>As the highest decision-making body of the ESG management system, the Board of Directors is responsible for determining the company's ESG management structure and management strategy, ensuring the establishment of appropriate and effective ESG risk management and internal monitoring systems, listening to discussions on important ESG matters and monitoring progress towards ESG goals, and reviewing and approving the company's annual ESG report.</v>
      </c>
      <c r="B6878" s="1" t="str">
        <f ca="1">IFERROR(__xludf.DUMMYFUNCTION("GOOGLETRANSLATE(A6878, ""zh"", ""en"")"),"Organizational structure and operations")</f>
        <v>Organizational structure and operations</v>
      </c>
      <c r="C6878" s="1" t="str">
        <f ca="1">IFERROR(__xludf.DUMMYFUNCTION("GOOGLETRANSLATE(E6878, ""zh"", ""en"")"),"Qualitative text")</f>
        <v>Qualitative text</v>
      </c>
    </row>
    <row r="6879" spans="1:3" ht="13" x14ac:dyDescent="0.15">
      <c r="A6879" s="1" t="str">
        <f ca="1">IFERROR(__xludf.DUMMYFUNCTION("GOOGLETRANSLATE(A6879, ""zh"", ""en"")"),"The Company has established an ESG Working Committee, with the Chairman of the Board serving as the Chair of the ESG Working Committee. The ESG Working Committee is responsible for confirming the assessment results of material issues, determining ESG mana"&amp;"gement objectives, policies and implementation paths, and assessing and identifying ESG-related risks and opportunities, among other key ESG management matters.")</f>
        <v>The Company has established an ESG Working Committee, with the Chairman of the Board serving as the Chair of the ESG Working Committee. The ESG Working Committee is responsible for confirming the assessment results of material issues, determining ESG management objectives, policies and implementation paths, and assessing and identifying ESG-related risks and opportunities, among other key ESG management matters.</v>
      </c>
      <c r="B6879" s="1" t="str">
        <f ca="1">IFERROR(__xludf.DUMMYFUNCTION("GOOGLETRANSLATE(A6879, ""zh"", ""en"")"),"Organizational structure and operations")</f>
        <v>Organizational structure and operations</v>
      </c>
      <c r="C6879" s="1" t="str">
        <f ca="1">IFERROR(__xludf.DUMMYFUNCTION("GOOGLETRANSLATE(E6879, ""zh"", ""en"")"),"Qualitative text")</f>
        <v>Qualitative text</v>
      </c>
    </row>
    <row r="6880" spans="1:3" ht="13" x14ac:dyDescent="0.15">
      <c r="A6880" s="1" t="str">
        <f ca="1">IFERROR(__xludf.DUMMYFUNCTION("GOOGLETRANSLATE(A6880, ""zh"", ""en"")"),"The company's ESG management strategies and achievements in products and services, climate change response, and carbon emissions are reviewed and approved by the Board of Directors and published in the company's ESG report.")</f>
        <v>The company's ESG management strategies and achievements in products and services, climate change response, and carbon emissions are reviewed and approved by the Board of Directors and published in the company's ESG report.</v>
      </c>
      <c r="B6880" s="1" t="str">
        <f ca="1">IFERROR(__xludf.DUMMYFUNCTION("GOOGLETRANSLATE(A6880, ""zh"", ""en"")"),"Addressing climate change")</f>
        <v>Addressing climate change</v>
      </c>
      <c r="C6880" s="1" t="str">
        <f ca="1">IFERROR(__xludf.DUMMYFUNCTION("GOOGLETRANSLATE(E6880, ""zh"", ""en"")"),"Qualitative text")</f>
        <v>Qualitative text</v>
      </c>
    </row>
    <row r="6881" spans="1:3" ht="13" x14ac:dyDescent="0.15">
      <c r="A6881" s="1" t="str">
        <f ca="1">IFERROR(__xludf.DUMMYFUNCTION("GOOGLETRANSLATE(A6881, ""zh"", ""en"")"),"The Company has set key ESG targets covering greenhouse gas emissions, waste management, and resource use in accordance with the Hong Kong Stock Exchange's Environmental, Social, and Governance Reporting Guidelines. The Board has reviewed and discussed th"&amp;"e setting and progress of these targets.")</f>
        <v>The Company has set key ESG targets covering greenhouse gas emissions, waste management, and resource use in accordance with the Hong Kong Stock Exchange's Environmental, Social, and Governance Reporting Guidelines. The Board has reviewed and discussed the setting and progress of these targets.</v>
      </c>
      <c r="B6881" s="1" t="str">
        <f ca="1">IFERROR(__xludf.DUMMYFUNCTION("GOOGLETRANSLATE(A6881, ""zh"", ""en"")"),"Sustainable certification")</f>
        <v>Sustainable certification</v>
      </c>
      <c r="C6881" s="1" t="str">
        <f ca="1">IFERROR(__xludf.DUMMYFUNCTION("GOOGLETRANSLATE(E6881, ""zh"", ""en"")"),"Qualitative text")</f>
        <v>Qualitative text</v>
      </c>
    </row>
    <row r="6882" spans="1:3" ht="13" x14ac:dyDescent="0.15">
      <c r="A6882" s="1" t="str">
        <f ca="1">IFERROR(__xludf.DUMMYFUNCTION("GOOGLETRANSLATE(A6882, ""zh"", ""en"")"),"The Company's 2022 Sustainability Report was reviewed and approved by the Board of Directors on March 30, 2023.")</f>
        <v>The Company's 2022 Sustainability Report was reviewed and approved by the Board of Directors on March 30, 2023.</v>
      </c>
      <c r="B6882" s="1" t="str">
        <f ca="1">IFERROR(__xludf.DUMMYFUNCTION("GOOGLETRANSLATE(A6882, ""zh"", ""en"")"),"Sustainable certification")</f>
        <v>Sustainable certification</v>
      </c>
      <c r="C6882" s="1" t="str">
        <f ca="1">IFERROR(__xludf.DUMMYFUNCTION("GOOGLETRANSLATE(E6882, ""zh"", ""en"")"),"Qualitative text")</f>
        <v>Qualitative text</v>
      </c>
    </row>
    <row r="6883" spans="1:3" ht="13" x14ac:dyDescent="0.15">
      <c r="A6883" s="1" t="str">
        <f ca="1">IFERROR(__xludf.DUMMYFUNCTION("GOOGLETRANSLATE(A6883, ""zh"", ""en"")"),"VANKE Vanke 08 About Vanke Company Profile Vanke Co., Ltd. was established in 1984. After more than 30 years of development, it has become a leading urban construction service provider in China.")</f>
        <v>VANKE Vanke 08 About Vanke Company Profile Vanke Co., Ltd. was established in 1984. After more than 30 years of development, it has become a leading urban construction service provider in China.</v>
      </c>
      <c r="B6883" s="1" t="str">
        <f ca="1">IFERROR(__xludf.DUMMYFUNCTION("GOOGLETRANSLATE(A6883, ""zh"", ""en"")"),"irrelevant text")</f>
        <v>irrelevant text</v>
      </c>
      <c r="C6883" s="1" t="str">
        <f ca="1">IFERROR(__xludf.DUMMYFUNCTION("GOOGLETRANSLATE(E6883, ""zh"", ""en"")"),"irrelevant text")</f>
        <v>irrelevant text</v>
      </c>
    </row>
    <row r="6884" spans="1:3" ht="13" x14ac:dyDescent="0.15">
      <c r="A6884" s="1" t="str">
        <f ca="1">IFERROR(__xludf.DUMMYFUNCTION("GOOGLETRANSLATE(A6884, ""zh"", ""en"")"),"The company's business focuses on the three most dynamic economic circles in China and key cities in the central and western regions.")</f>
        <v>The company's business focuses on the three most dynamic economic circles in China and key cities in the central and western regions.</v>
      </c>
      <c r="B6884" s="1" t="str">
        <f ca="1">IFERROR(__xludf.DUMMYFUNCTION("GOOGLETRANSLATE(A6884, ""zh"", ""en"")"),"irrelevant text")</f>
        <v>irrelevant text</v>
      </c>
      <c r="C6884" s="1" t="str">
        <f ca="1">IFERROR(__xludf.DUMMYFUNCTION("GOOGLETRANSLATE(E6884, ""zh"", ""en"")"),"irrelevant text")</f>
        <v>irrelevant text</v>
      </c>
    </row>
    <row r="6885" spans="1:3" ht="13" x14ac:dyDescent="0.15">
      <c r="A6885" s="1" t="str">
        <f ca="1">IFERROR(__xludf.DUMMYFUNCTION("GOOGLETRANSLATE(A6885, ""zh"", ""en"")"),"Vanke has always adhered to the principle of developing in tandem with cities and customers, and through its own efforts, it has made every possible contribution to satisfying people's various needs for a better life.")</f>
        <v>Vanke has always adhered to the principle of developing in tandem with cities and customers, and through its own efforts, it has made every possible contribution to satisfying people's various needs for a better life.</v>
      </c>
      <c r="B6885" s="1" t="str">
        <f ca="1">IFERROR(__xludf.DUMMYFUNCTION("GOOGLETRANSLATE(A6885, ""zh"", ""en"")"),"Customers and Consumers")</f>
        <v>Customers and Consumers</v>
      </c>
      <c r="C6885" s="1" t="str">
        <f ca="1">IFERROR(__xludf.DUMMYFUNCTION("GOOGLETRANSLATE(E6885, ""zh"", ""en"")"),"Qualitative text")</f>
        <v>Qualitative text</v>
      </c>
    </row>
    <row r="6886" spans="1:3" ht="13" x14ac:dyDescent="0.15">
      <c r="A6886" s="1" t="str">
        <f ca="1">IFERROR(__xludf.DUMMYFUNCTION("GOOGLETRANSLATE(A6886, ""zh"", ""en"")"),"Corporate Governance and Governance Structure Vanke complies with the Company Law of the People's Republic of China and other relevant laws and regulations to establish a corporate governance structure with clear responsibilities and checks and balances, "&amp;"and has formulated rules and regulations that meet the company's development requirements.")</f>
        <v>Corporate Governance and Governance Structure Vanke complies with the Company Law of the People's Republic of China and other relevant laws and regulations to establish a corporate governance structure with clear responsibilities and checks and balances, and has formulated rules and regulations that meet the company's development requirements.</v>
      </c>
      <c r="B6886" s="1" t="str">
        <f ca="1">IFERROR(__xludf.DUMMYFUNCTION("GOOGLETRANSLATE(A6886, ""zh"", ""en"")"),"Organizational structure and operations")</f>
        <v>Organizational structure and operations</v>
      </c>
      <c r="C6886" s="1" t="str">
        <f ca="1">IFERROR(__xludf.DUMMYFUNCTION("GOOGLETRANSLATE(E6886, ""zh"", ""en"")"),"Qualitative text")</f>
        <v>Qualitative text</v>
      </c>
    </row>
    <row r="6887" spans="1:3" ht="13" x14ac:dyDescent="0.15">
      <c r="A6887" s="1" t="str">
        <f ca="1">IFERROR(__xludf.DUMMYFUNCTION("GOOGLETRANSLATE(A6887, ""zh"", ""en"")"),"The shareholders' meeting, the board of directors, the board of supervisors and senior management shall exercise their rights and fulfill their obligations in strict accordance with the duties and responsibilities assigned by the company's articles of ass"&amp;"ociation, give full play to the role of the board of directors, professional committees and independent directors, effectively implement and supervise corporate governance, safeguard the interests of shareholders and the company, and ensure the company's "&amp;"sustainable and healthy development in the long term.")</f>
        <v>The shareholders' meeting, the board of directors, the board of supervisors and senior management shall exercise their rights and fulfill their obligations in strict accordance with the duties and responsibilities assigned by the company's articles of association, give full play to the role of the board of directors, professional committees and independent directors, effectively implement and supervise corporate governance, safeguard the interests of shareholders and the company, and ensure the company's sustainable and healthy development in the long term.</v>
      </c>
      <c r="B6887" s="1" t="str">
        <f ca="1">IFERROR(__xludf.DUMMYFUNCTION("GOOGLETRANSLATE(A6887, ""zh"", ""en"")"),"Organizational structure and operations")</f>
        <v>Organizational structure and operations</v>
      </c>
      <c r="C6887" s="1" t="str">
        <f ca="1">IFERROR(__xludf.DUMMYFUNCTION("GOOGLETRANSLATE(E6887, ""zh"", ""en"")"),"Qualitative text")</f>
        <v>Qualitative text</v>
      </c>
    </row>
    <row r="6888" spans="1:3" ht="13" x14ac:dyDescent="0.15">
      <c r="A6888" s="1" t="str">
        <f ca="1">IFERROR(__xludf.DUMMYFUNCTION("GOOGLETRANSLATE(A6888, ""zh"", ""en"")"),"Audit Committee, Remuneration and Nomination Committee, Investment and Decision-making Committee, Group Headquarters, Business Group (BG), Business Unit (BU), Board of Directors, Group Management Team Meeting, EMT, Development and Operations Headquarters,"&amp;" Shareholders' Meeting, BG Southwest Region, BG Northwest Region, BG Shanghai Region, BG Southern Region, BG Central China Region, BG Northeast Region, BG Beijing Region, Business Center, Management Center, Collaboration Center, Organization Center, Super"&amp;"vision Center, BG Vanke Cloud BU, SCPG Commercial BU, Logistics BU, Food BU, Meisha Education BU, Hotels and Resorts BU, Overseas BU, Long-term Rental Apartments, Board of Supervisors, Vanke 09 2022 Sustainability Report, Shareholders' Meeting, enjoys the"&amp;" decision-making power prescribed by laws, regulations and the Articles of Association, and exercises the power to decide on major matters such as the company's operating policies, financing, investment, and profit distribution in accordance with the law.")</f>
        <v>Audit Committee, Remuneration and Nomination Committee, Investment and Decision-making Committee, Group Headquarters, Business Group (BG), Business Unit (BU), Board of Directors, Group Management Team Meeting, EMT, Development and Operations Headquarters, Shareholders' Meeting, BG Southwest Region, BG Northwest Region, BG Shanghai Region, BG Southern Region, BG Central China Region, BG Northeast Region, BG Beijing Region, Business Center, Management Center, Collaboration Center, Organization Center, Supervision Center, BG Vanke Cloud BU, SCPG Commercial BU, Logistics BU, Food BU, Meisha Education BU, Hotels and Resorts BU, Overseas BU, Long-term Rental Apartments, Board of Supervisors, Vanke 09 2022 Sustainability Report, Shareholders' Meeting, enjoys the decision-making power prescribed by laws, regulations and the Articles of Association, and exercises the power to decide on major matters such as the company's operating policies, financing, investment, and profit distribution in accordance with the law.</v>
      </c>
      <c r="B6888" s="1" t="str">
        <f ca="1">IFERROR(__xludf.DUMMYFUNCTION("GOOGLETRANSLATE(A6888, ""zh"", ""en"")"),"Organizational structure and operations")</f>
        <v>Organizational structure and operations</v>
      </c>
      <c r="C6888" s="1" t="str">
        <f ca="1">IFERROR(__xludf.DUMMYFUNCTION("GOOGLETRANSLATE(E6888, ""zh"", ""en"")"),"Qualitative text")</f>
        <v>Qualitative text</v>
      </c>
    </row>
    <row r="6889" spans="1:3" ht="13" x14ac:dyDescent="0.15">
      <c r="A6889" s="1" t="str">
        <f ca="1">IFERROR(__xludf.DUMMYFUNCTION("GOOGLETRANSLATE(A6889, ""zh"", ""en"")"),"The company's board of directors is responsible to the shareholders' meeting and exercises the company's management rights in accordance with the law.")</f>
        <v>The company's board of directors is responsible to the shareholders' meeting and exercises the company's management rights in accordance with the law.</v>
      </c>
      <c r="B6889" s="1" t="str">
        <f ca="1">IFERROR(__xludf.DUMMYFUNCTION("GOOGLETRANSLATE(A6889, ""zh"", ""en"")"),"Shareholder and creditor rights")</f>
        <v>Shareholder and creditor rights</v>
      </c>
      <c r="C6889" s="1" t="str">
        <f ca="1">IFERROR(__xludf.DUMMYFUNCTION("GOOGLETRANSLATE(E6889, ""zh"", ""en"")"),"Qualitative text")</f>
        <v>Qualitative text</v>
      </c>
    </row>
    <row r="6890" spans="1:3" ht="13" x14ac:dyDescent="0.15">
      <c r="A6890" s="1" t="str">
        <f ca="1">IFERROR(__xludf.DUMMYFUNCTION("GOOGLETRANSLATE(A6890, ""zh"", ""en"")"),"The Board of Directors has established three professional committees: Audit Committee, Remuneration and Nomination Committee, Investment and Decision-making Committee")</f>
        <v>The Board of Directors has established three professional committees: Audit Committee, Remuneration and Nomination Committee, Investment and Decision-making Committee</v>
      </c>
      <c r="B6890" s="1" t="str">
        <f ca="1">IFERROR(__xludf.DUMMYFUNCTION("GOOGLETRANSLATE(A6890, ""zh"", ""en"")"),"Organizational structure and operations")</f>
        <v>Organizational structure and operations</v>
      </c>
      <c r="C6890" s="1" t="str">
        <f ca="1">IFERROR(__xludf.DUMMYFUNCTION("GOOGLETRANSLATE(E6890, ""zh"", ""en"")"),"Qualitative text")</f>
        <v>Qualitative text</v>
      </c>
    </row>
    <row r="6891" spans="1:3" ht="13" x14ac:dyDescent="0.15">
      <c r="A6891" s="1" t="str">
        <f ca="1">IFERROR(__xludf.DUMMYFUNCTION("GOOGLETRANSLATE(A6891, ""zh"", ""en"")"),"To ensure that the selection of professional members of each committee is appropriately balanced in terms of skills, experience and diversity of perspectives")</f>
        <v>To ensure that the selection of professional members of each committee is appropriately balanced in terms of skills, experience and diversity of perspectives</v>
      </c>
      <c r="B6891" s="1" t="str">
        <f ca="1">IFERROR(__xludf.DUMMYFUNCTION("GOOGLETRANSLATE(A6891, ""zh"", ""en"")"),"Organizational structure and operations")</f>
        <v>Organizational structure and operations</v>
      </c>
      <c r="C6891" s="1" t="str">
        <f ca="1">IFERROR(__xludf.DUMMYFUNCTION("GOOGLETRANSLATE(E6891, ""zh"", ""en"")"),"Qualitative text")</f>
        <v>Qualitative text</v>
      </c>
    </row>
    <row r="6892" spans="1:3" ht="13" x14ac:dyDescent="0.15">
      <c r="A6892" s="1" t="str">
        <f ca="1">IFERROR(__xludf.DUMMYFUNCTION("GOOGLETRANSLATE(A6892, ""zh"", ""en"")"),"The board of directors currently has 11 directors, including 4 independent directors and 1 female independent director.")</f>
        <v>The board of directors currently has 11 directors, including 4 independent directors and 1 female independent director.</v>
      </c>
      <c r="B6892" s="1" t="str">
        <f ca="1">IFERROR(__xludf.DUMMYFUNCTION("GOOGLETRANSLATE(A6892, ""zh"", ""en"")"),"Organizational structure and operations")</f>
        <v>Organizational structure and operations</v>
      </c>
      <c r="C6892" s="1" t="str">
        <f ca="1">IFERROR(__xludf.DUMMYFUNCTION("GOOGLETRANSLATE(E6892, ""zh"", ""en"")"),"Quantitative Text")</f>
        <v>Quantitative Text</v>
      </c>
    </row>
    <row r="6893" spans="1:3" ht="13" x14ac:dyDescent="0.15">
      <c r="A6893" s="1" t="str">
        <f ca="1">IFERROR(__xludf.DUMMYFUNCTION("GOOGLETRANSLATE(A6893, ""zh"", ""en"")"),"Independent directors serve as conveners of various professional committees and hold a majority in the Audit Committee and the Remuneration and Nomination Committee to better play the role of independent directors.")</f>
        <v>Independent directors serve as conveners of various professional committees and hold a majority in the Audit Committee and the Remuneration and Nomination Committee to better play the role of independent directors.</v>
      </c>
      <c r="B6893" s="1" t="str">
        <f ca="1">IFERROR(__xludf.DUMMYFUNCTION("GOOGLETRANSLATE(A6893, ""zh"", ""en"")"),"Organizational structure and operations")</f>
        <v>Organizational structure and operations</v>
      </c>
      <c r="C6893" s="1" t="str">
        <f ca="1">IFERROR(__xludf.DUMMYFUNCTION("GOOGLETRANSLATE(E6893, ""zh"", ""en"")"),"Qualitative text")</f>
        <v>Qualitative text</v>
      </c>
    </row>
    <row r="6894" spans="1:3" ht="13" x14ac:dyDescent="0.15">
      <c r="A6894" s="1" t="str">
        <f ca="1">IFERROR(__xludf.DUMMYFUNCTION("GOOGLETRANSLATE(A6894, ""zh"", ""en"")"),"The company's Supervisory Board is responsible to the shareholders' meeting and consists of three supervisors, including one female supervisor. The Supervisory Board exercises its powers to inspect the company's finances and supervise directors and senior"&amp;" management in accordance with the law. In addition, it strengthens business supervision of each subsidiary by organizing inspections to safeguard the interests of the company's shareholders and employees.")</f>
        <v>The company's Supervisory Board is responsible to the shareholders' meeting and consists of three supervisors, including one female supervisor. The Supervisory Board exercises its powers to inspect the company's finances and supervise directors and senior management in accordance with the law. In addition, it strengthens business supervision of each subsidiary by organizing inspections to safeguard the interests of the company's shareholders and employees.</v>
      </c>
      <c r="B6894" s="1" t="str">
        <f ca="1">IFERROR(__xludf.DUMMYFUNCTION("GOOGLETRANSLATE(A6894, ""zh"", ""en"")"),"Organizational structure and operations")</f>
        <v>Organizational structure and operations</v>
      </c>
      <c r="C6894" s="1" t="str">
        <f ca="1">IFERROR(__xludf.DUMMYFUNCTION("GOOGLETRANSLATE(E6894, ""zh"", ""en"")"),"Qualitative text")</f>
        <v>Qualitative text</v>
      </c>
    </row>
    <row r="6895" spans="1:3" ht="13" x14ac:dyDescent="0.15">
      <c r="A6895" s="1" t="str">
        <f ca="1">IFERROR(__xludf.DUMMYFUNCTION("GOOGLETRANSLATE(A6895, ""zh"", ""en"")"),"The company's management is responsible for the company's production and operation management, organizing and implementing the board of directors' resolutions, the company's annual plan and investment plan, formulating the company's specific regulations a"&amp;"nd other powers granted by the company's articles of association or the board of directors, etc.")</f>
        <v>The company's management is responsible for the company's production and operation management, organizing and implementing the board of directors' resolutions, the company's annual plan and investment plan, formulating the company's specific regulations and other powers granted by the company's articles of association or the board of directors, etc.</v>
      </c>
      <c r="B6895" s="1" t="str">
        <f ca="1">IFERROR(__xludf.DUMMYFUNCTION("GOOGLETRANSLATE(A6895, ""zh"", ""en"")"),"Organizational structure and operations")</f>
        <v>Organizational structure and operations</v>
      </c>
      <c r="C6895" s="1" t="str">
        <f ca="1">IFERROR(__xludf.DUMMYFUNCTION("GOOGLETRANSLATE(E6895, ""zh"", ""en"")"),"Qualitative text")</f>
        <v>Qualitative text</v>
      </c>
    </row>
    <row r="6896" spans="1:3" ht="13" x14ac:dyDescent="0.15">
      <c r="A6896" s="1" t="str">
        <f ca="1">IFERROR(__xludf.DUMMYFUNCTION("GOOGLETRANSLATE(A6896, ""zh"", ""en"")"),"Two of the company's four senior executives are women")</f>
        <v>Two of the company's four senior executives are women</v>
      </c>
      <c r="B6896" s="1" t="str">
        <f ca="1">IFERROR(__xludf.DUMMYFUNCTION("GOOGLETRANSLATE(A6896, ""zh"", ""en"")"),"Organizational structure and operations")</f>
        <v>Organizational structure and operations</v>
      </c>
      <c r="C6896" s="1" t="str">
        <f ca="1">IFERROR(__xludf.DUMMYFUNCTION("GOOGLETRANSLATE(E6896, ""zh"", ""en"")"),"Quantitative Text")</f>
        <v>Quantitative Text</v>
      </c>
    </row>
    <row r="6897" spans="1:3" ht="13" x14ac:dyDescent="0.15">
      <c r="A6897" s="1" t="str">
        <f ca="1">IFERROR(__xludf.DUMMYFUNCTION("GOOGLETRANSLATE(A6897, ""zh"", ""en"")"),"Corporate Governance Practices: In 2022, the Company will strictly abide by the Company Law of the People's Republic of China, the Securities Law of the People's Republic of China, the Code of Corporate Governance for Listed Companies, the Hong Kong Stock"&amp;" Exchange Main Board Listing Rules, the Corporate Governance Code, and other laws and regulations. The Company will continuously improve its corporate governance structure and standardize its operations based on its actual circumstances.")</f>
        <v>Corporate Governance Practices: In 2022, the Company will strictly abide by the Company Law of the People's Republic of China, the Securities Law of the People's Republic of China, the Code of Corporate Governance for Listed Companies, the Hong Kong Stock Exchange Main Board Listing Rules, the Corporate Governance Code, and other laws and regulations. The Company will continuously improve its corporate governance structure and standardize its operations based on its actual circumstances.</v>
      </c>
      <c r="B6897" s="1" t="str">
        <f ca="1">IFERROR(__xludf.DUMMYFUNCTION("GOOGLETRANSLATE(A6897, ""zh"", ""en"")"),"Organizational structure and operations")</f>
        <v>Organizational structure and operations</v>
      </c>
      <c r="C6897" s="1" t="str">
        <f ca="1">IFERROR(__xludf.DUMMYFUNCTION("GOOGLETRANSLATE(E6897, ""zh"", ""en"")"),"Qualitative text")</f>
        <v>Qualitative text</v>
      </c>
    </row>
    <row r="6898" spans="1:3" ht="13" x14ac:dyDescent="0.15">
      <c r="A6898" s="1" t="str">
        <f ca="1">IFERROR(__xludf.DUMMYFUNCTION("GOOGLETRANSLATE(A6898, ""zh"", ""en"")"),"During the reporting period, two shareholders' meetings were held to amend and issue the company's articles of association to further improve corporate governance.")</f>
        <v>During the reporting period, two shareholders' meetings were held to amend and issue the company's articles of association to further improve corporate governance.</v>
      </c>
      <c r="B6898" s="1" t="str">
        <f ca="1">IFERROR(__xludf.DUMMYFUNCTION("GOOGLETRANSLATE(A6898, ""zh"", ""en"")"),"Organizational structure and operations")</f>
        <v>Organizational structure and operations</v>
      </c>
      <c r="C6898" s="1" t="str">
        <f ca="1">IFERROR(__xludf.DUMMYFUNCTION("GOOGLETRANSLATE(E6898, ""zh"", ""en"")"),"Quantitative Text")</f>
        <v>Quantitative Text</v>
      </c>
    </row>
    <row r="6899" spans="1:3" ht="13" x14ac:dyDescent="0.15">
      <c r="A6899" s="1" t="str">
        <f ca="1">IFERROR(__xludf.DUMMYFUNCTION("GOOGLETRANSLATE(A6899, ""zh"", ""en"")"),"VANKE Vanke has 10 independent non-executive directors, 4 executive directors, and 1 employee representative director. Non-executive directors: 4 with Master's degrees, 8 with Doctorates, 2 with Bachelor's degrees or less, 1 with less than 5 years of educ"&amp;"ation, 5 with 5-10 years of education, 4 with more than 10 years of education, 2 males, 10 females, 1 aged 40-49, 1 aged 50-59, 7 aged 60-69, 1 aged 70-79, and 2 aged 70-79. The Company actively implements a policy on diversity of board members, formulate"&amp;"s and updates the implementation rules of the Remuneration and Nomination Committee of the Board of Directors, and clarifies that the Remuneration and Nomination Committee fully considers board diversity requirements when reviewing the structure and compo"&amp;"sition of the Board, evaluating the selection criteria and procedures for directors and senior management, including but not limited to gender, ethnicity, language, cultural background, educational background, industry experience, and professional experie"&amp;"nce.")</f>
        <v>VANKE Vanke has 10 independent non-executive directors, 4 executive directors, and 1 employee representative director. Non-executive directors: 4 with Master's degrees, 8 with Doctorates, 2 with Bachelor's degrees or less, 1 with less than 5 years of education, 5 with 5-10 years of education, 4 with more than 10 years of education, 2 males, 10 females, 1 aged 40-49, 1 aged 50-59, 7 aged 60-69, 1 aged 70-79, and 2 aged 70-79. The Company actively implements a policy on diversity of board members, formulates and updates the implementation rules of the Remuneration and Nomination Committee of the Board of Directors, and clarifies that the Remuneration and Nomination Committee fully considers board diversity requirements when reviewing the structure and composition of the Board, evaluating the selection criteria and procedures for directors and senior management, including but not limited to gender, ethnicity, language, cultural background, educational background, industry experience, and professional experience.</v>
      </c>
      <c r="B6899" s="1" t="str">
        <f ca="1">IFERROR(__xludf.DUMMYFUNCTION("GOOGLETRANSLATE(A6899, ""zh"", ""en"")"),"Organizational structure and operations")</f>
        <v>Organizational structure and operations</v>
      </c>
      <c r="C6899" s="1" t="str">
        <f ca="1">IFERROR(__xludf.DUMMYFUNCTION("GOOGLETRANSLATE(E6899, ""zh"", ""en"")"),"Qualitative text")</f>
        <v>Qualitative text</v>
      </c>
    </row>
    <row r="6900" spans="1:3" ht="13" x14ac:dyDescent="0.15">
      <c r="A6900" s="1" t="str">
        <f ca="1">IFERROR(__xludf.DUMMYFUNCTION("GOOGLETRANSLATE(A6900, ""zh"", ""en"")"),"At the same time, the Company takes into account the Company's business model and development plan and comprehensively considers the contributions that candidates for Board membership can bring to the Board in terms of qualifications, skills, experience, "&amp;"independence, and gender diversity.")</f>
        <v>At the same time, the Company takes into account the Company's business model and development plan and comprehensively considers the contributions that candidates for Board membership can bring to the Board in terms of qualifications, skills, experience, independence, and gender diversity.</v>
      </c>
      <c r="B6900" s="1" t="str">
        <f ca="1">IFERROR(__xludf.DUMMYFUNCTION("GOOGLETRANSLATE(A6900, ""zh"", ""en"")"),"Organizational structure and operations")</f>
        <v>Organizational structure and operations</v>
      </c>
      <c r="C6900" s="1" t="str">
        <f ca="1">IFERROR(__xludf.DUMMYFUNCTION("GOOGLETRANSLATE(E6900, ""zh"", ""en"")"),"Qualitative text")</f>
        <v>Qualitative text</v>
      </c>
    </row>
    <row r="6901" spans="1:3" ht="13" x14ac:dyDescent="0.15">
      <c r="A6901" s="1" t="str">
        <f ca="1">IFERROR(__xludf.DUMMYFUNCTION("GOOGLETRANSLATE(A6901, ""zh"", ""en"")"),"The current board members all have extensive industry experience and possess professional capabilities in various fields such as financial management, corporate governance, and finance.")</f>
        <v>The current board members all have extensive industry experience and possess professional capabilities in various fields such as financial management, corporate governance, and finance.</v>
      </c>
      <c r="B6901" s="1" t="str">
        <f ca="1">IFERROR(__xludf.DUMMYFUNCTION("GOOGLETRANSLATE(A6901, ""zh"", ""en"")"),"Organizational structure and operations")</f>
        <v>Organizational structure and operations</v>
      </c>
      <c r="C6901" s="1" t="str">
        <f ca="1">IFERROR(__xludf.DUMMYFUNCTION("GOOGLETRANSLATE(E6901, ""zh"", ""en"")"),"Qualitative text")</f>
        <v>Qualitative text</v>
      </c>
    </row>
    <row r="6902" spans="1:3" ht="13" x14ac:dyDescent="0.15">
      <c r="A6902" s="1" t="str">
        <f ca="1">IFERROR(__xludf.DUMMYFUNCTION("GOOGLETRANSLATE(A6902, ""zh"", ""en"")"),"In March 2023, Vanke added a new chapter on board diversity policy to the implementation rules of the Board's Remuneration and Nomination Committee to further clarify the principles and requirements for board diversity. Appointment Position 43410582171121"&amp;"42 Education Background Age Service Term Gender About Vanke 11 2022 Sustainability Report Business Layout The company is strategically positioned as an urban construction service provider. In the fields of real estate development, property services, logis"&amp;"tics and warehousing services, leasing, residential, commercial development and operations, the company actively provides customers with diversified products and services for a better life, developing in tandem with the city.")</f>
        <v>In March 2023, Vanke added a new chapter on board diversity policy to the implementation rules of the Board's Remuneration and Nomination Committee to further clarify the principles and requirements for board diversity. Appointment Position 4341058217112142 Education Background Age Service Term Gender About Vanke 11 2022 Sustainability Report Business Layout The company is strategically positioned as an urban construction service provider. In the fields of real estate development, property services, logistics and warehousing services, leasing, residential, commercial development and operations, the company actively provides customers with diversified products and services for a better life, developing in tandem with the city.</v>
      </c>
      <c r="B6902" s="1" t="str">
        <f ca="1">IFERROR(__xludf.DUMMYFUNCTION("GOOGLETRANSLATE(A6902, ""zh"", ""en"")"),"Organizational structure and operations")</f>
        <v>Organizational structure and operations</v>
      </c>
      <c r="C6902" s="1" t="str">
        <f ca="1">IFERROR(__xludf.DUMMYFUNCTION("GOOGLETRANSLATE(E6902, ""zh"", ""en"")"),"Qualitative text")</f>
        <v>Qualitative text</v>
      </c>
    </row>
    <row r="6903" spans="1:3" ht="13" x14ac:dyDescent="0.15">
      <c r="A6903" s="1" t="str">
        <f ca="1">IFERROR(__xludf.DUMMYFUNCTION("GOOGLETRANSLATE(A6903, ""zh"", ""en"")"),"For 32 years, Vanke Cloud has always adhered to its original intention of providing good services to customers, allowing more users to experience the beauty of property services.")</f>
        <v>For 32 years, Vanke Cloud has always adhered to its original intention of providing good services to customers, allowing more users to experience the beauty of property services.</v>
      </c>
      <c r="B6903" s="1" t="str">
        <f ca="1">IFERROR(__xludf.DUMMYFUNCTION("GOOGLETRANSLATE(A6903, ""zh"", ""en"")"),"Customers and Consumers")</f>
        <v>Customers and Consumers</v>
      </c>
      <c r="C6903" s="1" t="str">
        <f ca="1">IFERROR(__xludf.DUMMYFUNCTION("GOOGLETRANSLATE(E6903, ""zh"", ""en"")"),"Qualitative text")</f>
        <v>Qualitative text</v>
      </c>
    </row>
    <row r="6904" spans="1:3" ht="13" x14ac:dyDescent="0.15">
      <c r="A6904" s="1" t="str">
        <f ca="1">IFERROR(__xludf.DUMMYFUNCTION("GOOGLETRANSLATE(A6904, ""zh"", ""en"")"),"Relying on its brand advantage and service quality, Vanke Cloud has expanded its business scope beyond property management and has become a leading service provider driven by the collaborative growth model of community businesses and urban space business "&amp;"systems. It provides services to a wide range of properties such as residential communities, workplaces, and public buildings, as well as a broad customer base covering property owners, businesses, and other institutional customers.")</f>
        <v>Relying on its brand advantage and service quality, Vanke Cloud has expanded its business scope beyond property management and has become a leading service provider driven by the collaborative growth model of community businesses and urban space business systems. It provides services to a wide range of properties such as residential communities, workplaces, and public buildings, as well as a broad customer base covering property owners, businesses, and other institutional customers.</v>
      </c>
      <c r="B6904" s="1" t="str">
        <f ca="1">IFERROR(__xludf.DUMMYFUNCTION("GOOGLETRANSLATE(A6904, ""zh"", ""en"")"),"Customers and Consumers")</f>
        <v>Customers and Consumers</v>
      </c>
      <c r="C6904" s="1" t="str">
        <f ca="1">IFERROR(__xludf.DUMMYFUNCTION("GOOGLETRANSLATE(E6904, ""zh"", ""en"")"),"Qualitative text")</f>
        <v>Qualitative text</v>
      </c>
    </row>
    <row r="6905" spans="1:3" ht="13" x14ac:dyDescent="0.15">
      <c r="A6905" s="1" t="str">
        <f ca="1">IFERROR(__xludf.DUMMYFUNCTION("GOOGLETRANSLATE(A6905, ""zh"", ""en"")"),"Leveraging its R&amp;D investment, Vanke Cloud has developed AIoT and BPaaS solutions designed to digitize workflows, mobilize resources, and improve the efficiency of the spaces it serves.")</f>
        <v>Leveraging its R&amp;D investment, Vanke Cloud has developed AIoT and BPaaS solutions designed to digitize workflows, mobilize resources, and improve the efficiency of the spaces it serves.</v>
      </c>
      <c r="B6905" s="1" t="str">
        <f ca="1">IFERROR(__xludf.DUMMYFUNCTION("GOOGLETRANSLATE(A6905, ""zh"", ""en"")"),"Technological innovation")</f>
        <v>Technological innovation</v>
      </c>
      <c r="C6905" s="1" t="str">
        <f ca="1">IFERROR(__xludf.DUMMYFUNCTION("GOOGLETRANSLATE(E6905, ""zh"", ""en"")"),"Qualitative text")</f>
        <v>Qualitative text</v>
      </c>
    </row>
    <row r="6906" spans="1:3" ht="13" x14ac:dyDescent="0.15">
      <c r="A6906" s="1" t="str">
        <f ca="1">IFERROR(__xludf.DUMMYFUNCTION("GOOGLETRANSLATE(A6906, ""zh"", ""en"")"),"For more information on Vanke Cloud's annual ESG performance, please refer to Vanke Cloud's 2022 Annual ESG Report.")</f>
        <v>For more information on Vanke Cloud's annual ESG performance, please refer to Vanke Cloud's 2022 Annual ESG Report.</v>
      </c>
      <c r="B6906" s="1" t="str">
        <f ca="1">IFERROR(__xludf.DUMMYFUNCTION("GOOGLETRANSLATE(A6906, ""zh"", ""en"")"),"irrelevant text")</f>
        <v>irrelevant text</v>
      </c>
      <c r="C6906" s="1" t="str">
        <f ca="1">IFERROR(__xludf.DUMMYFUNCTION("GOOGLETRANSLATE(E6906, ""zh"", ""en"")"),"irrelevant text")</f>
        <v>irrelevant text</v>
      </c>
    </row>
    <row r="6907" spans="1:3" ht="13" x14ac:dyDescent="0.15">
      <c r="A6907" s="1" t="str">
        <f ca="1">IFERROR(__xludf.DUMMYFUNCTION("GOOGLETRANSLATE(A6907, ""zh"", ""en"")"),"Hangzhou Gucui Yinxiu VANKE Vanke 120Wanwei Logistics is Vanke's logistics warehousing service and integrated supply chain solution platform, dedicated to providing enterprises with high-standard, diversified, multi-temperature zone integrated logistics s"&amp;"ervices")</f>
        <v>Hangzhou Gucui Yinxiu VANKE Vanke 120Wanwei Logistics is Vanke's logistics warehousing service and integrated supply chain solution platform, dedicated to providing enterprises with high-standard, diversified, multi-temperature zone integrated logistics services</v>
      </c>
      <c r="B6907" s="1" t="str">
        <f ca="1">IFERROR(__xludf.DUMMYFUNCTION("GOOGLETRANSLATE(A6907, ""zh"", ""en"")"),"supply chain management")</f>
        <v>supply chain management</v>
      </c>
      <c r="C6907" s="1" t="str">
        <f ca="1">IFERROR(__xludf.DUMMYFUNCTION("GOOGLETRANSLATE(E6907, ""zh"", ""en"")"),"Qualitative text")</f>
        <v>Qualitative text</v>
      </c>
    </row>
    <row r="6908" spans="1:3" ht="13" x14ac:dyDescent="0.15">
      <c r="A6908" s="1" t="str">
        <f ca="1">IFERROR(__xludf.DUMMYFUNCTION("GOOGLETRANSLATE(A6908, ""zh"", ""en"")"),"In 2015, Vanway Logistics started to develop a nationwide warehousing network. Currently, its comprehensive strength ranks first in the industry and its cold chain warehousing scale ranks first in the country.")</f>
        <v>In 2015, Vanway Logistics started to develop a nationwide warehousing network. Currently, its comprehensive strength ranks first in the industry and its cold chain warehousing scale ranks first in the country.</v>
      </c>
      <c r="B6908" s="1" t="str">
        <f ca="1">IFERROR(__xludf.DUMMYFUNCTION("GOOGLETRANSLATE(A6908, ""zh"", ""en"")"),"supply chain management")</f>
        <v>supply chain management</v>
      </c>
      <c r="C6908" s="1" t="str">
        <f ca="1">IFERROR(__xludf.DUMMYFUNCTION("GOOGLETRANSLATE(E6908, ""zh"", ""en"")"),"Quantitative Text")</f>
        <v>Quantitative Text</v>
      </c>
    </row>
    <row r="6909" spans="1:3" ht="13" x14ac:dyDescent="0.15">
      <c r="A6909" s="1" t="str">
        <f ca="1">IFERROR(__xludf.DUMMYFUNCTION("GOOGLETRANSLATE(A6909, ""zh"", ""en"")"),"In 2022, Wanwei Logistics will lead the park's smart carbon neutrality concept based on technology empowerment and realize systematic and intelligent management in multiple dimensions such as safety, quality, efficiency and energy consumption.")</f>
        <v>In 2022, Wanwei Logistics will lead the park's smart carbon neutrality concept based on technology empowerment and realize systematic and intelligent management in multiple dimensions such as safety, quality, efficiency and energy consumption.</v>
      </c>
      <c r="B6909" s="1" t="str">
        <f ca="1">IFERROR(__xludf.DUMMYFUNCTION("GOOGLETRANSLATE(A6909, ""zh"", ""en"")"),"carbon emissions")</f>
        <v>carbon emissions</v>
      </c>
      <c r="C6909" s="1" t="str">
        <f ca="1">IFERROR(__xludf.DUMMYFUNCTION("GOOGLETRANSLATE(E6909, ""zh"", ""en"")"),"Qualitative text")</f>
        <v>Qualitative text</v>
      </c>
    </row>
    <row r="6910" spans="1:3" ht="13" x14ac:dyDescent="0.15">
      <c r="A6910" s="1" t="str">
        <f ca="1">IFERROR(__xludf.DUMMYFUNCTION("GOOGLETRANSLATE(A6910, ""zh"", ""en"")"),"Multiple Wanwei Logistics parks have obtained LEED Platinum and Green Warehouse Three-Star certifications. In 2022, Wanwei Logistics added 4.1069 million square meters of green building certifications.")</f>
        <v>Multiple Wanwei Logistics parks have obtained LEED Platinum and Green Warehouse Three-Star certifications. In 2022, Wanwei Logistics added 4.1069 million square meters of green building certifications.</v>
      </c>
      <c r="B6910" s="1" t="str">
        <f ca="1">IFERROR(__xludf.DUMMYFUNCTION("GOOGLETRANSLATE(A6910, ""zh"", ""en"")"),"Green Building")</f>
        <v>Green Building</v>
      </c>
      <c r="C6910" s="1" t="str">
        <f ca="1">IFERROR(__xludf.DUMMYFUNCTION("GOOGLETRANSLATE(E6910, ""zh"", ""en"")"),"Quantitative Text")</f>
        <v>Quantitative Text</v>
      </c>
    </row>
    <row r="6911" spans="1:3" ht="13" x14ac:dyDescent="0.15">
      <c r="A6911" s="1" t="str">
        <f ca="1">IFERROR(__xludf.DUMMYFUNCTION("GOOGLETRANSLATE(A6911, ""zh"", ""en"")"),"Wanwei Logistics released a white paper on near-zero carbon smart logistics, committed to improving energy conservation and consumption reduction during park operations, and promoting 100% green warehouse certification for all newly built cold storage fac"&amp;"ilities.")</f>
        <v>Wanwei Logistics released a white paper on near-zero carbon smart logistics, committed to improving energy conservation and consumption reduction during park operations, and promoting 100% green warehouse certification for all newly built cold storage facilities.</v>
      </c>
      <c r="B6911" s="1" t="str">
        <f ca="1">IFERROR(__xludf.DUMMYFUNCTION("GOOGLETRANSLATE(A6911, ""zh"", ""en"")"),"carbon emissions")</f>
        <v>carbon emissions</v>
      </c>
      <c r="C6911" s="1" t="str">
        <f ca="1">IFERROR(__xludf.DUMMYFUNCTION("GOOGLETRANSLATE(E6911, ""zh"", ""en"")"),"Quantitative Text")</f>
        <v>Quantitative Text</v>
      </c>
    </row>
    <row r="6912" spans="1:3" ht="13" x14ac:dyDescent="0.15">
      <c r="A6912" s="1" t="str">
        <f ca="1">IFERROR(__xludf.DUMMYFUNCTION("GOOGLETRANSLATE(A6912, ""zh"", ""en"")"),"The park actively responded to the dual carbon goals and construction standards and achieved the green three-star LEED platinum design requirements.")</f>
        <v>The park actively responded to the dual carbon goals and construction standards and achieved the green three-star LEED platinum design requirements.</v>
      </c>
      <c r="B6912" s="1" t="str">
        <f ca="1">IFERROR(__xludf.DUMMYFUNCTION("GOOGLETRANSLATE(A6912, ""zh"", ""en"")"),"Green Building")</f>
        <v>Green Building</v>
      </c>
      <c r="C6912" s="1" t="str">
        <f ca="1">IFERROR(__xludf.DUMMYFUNCTION("GOOGLETRANSLATE(E6912, ""zh"", ""en"")"),"Qualitative text")</f>
        <v>Qualitative text</v>
      </c>
    </row>
    <row r="6913" spans="1:3" ht="13" x14ac:dyDescent="0.15">
      <c r="A6913" s="1" t="str">
        <f ca="1">IFERROR(__xludf.DUMMYFUNCTION("GOOGLETRANSLATE(A6913, ""zh"", ""en"")"),"Relying on Wanwei Smart Park Platform, the park realizes all-round smart management")</f>
        <v>Relying on Wanwei Smart Park Platform, the park realizes all-round smart management</v>
      </c>
      <c r="B6913" s="1" t="str">
        <f ca="1">IFERROR(__xludf.DUMMYFUNCTION("GOOGLETRANSLATE(A6913, ""zh"", ""en"")"),"irrelevant text")</f>
        <v>irrelevant text</v>
      </c>
      <c r="C6913" s="1" t="str">
        <f ca="1">IFERROR(__xludf.DUMMYFUNCTION("GOOGLETRANSLATE(E6913, ""zh"", ""en"")"),"irrelevant text")</f>
        <v>irrelevant text</v>
      </c>
    </row>
    <row r="6914" spans="1:3" ht="13" x14ac:dyDescent="0.15">
      <c r="A6914" s="1" t="str">
        <f ca="1">IFERROR(__xludf.DUMMYFUNCTION("GOOGLETRANSLATE(A6914, ""zh"", ""en"")"),"Case Study: Vanwei Tianjin Dongjiang Port Cold Chain Park: A Benchmark Port Commodity Logistics and Warehousing Park. As of December 31, 2022, the total leasable gross floor area of ​​logistics and warehousing projects opened is 9.64 million square meters"&amp;". Smart temperature control, smart fire protection, smart security, smart work order system, data center, monitoring management, scheduling and decision-making, digital platform, digital gateway, unmanned solution, intelligent energy saving, smart refrige"&amp;"ration, ensuring cargo safety, full visual tracking, precise and efficient operation, green and environmental protection, and all-round smart management. Vanwei Tianjin Dongjiang Port Cold Chain Park: Near-Zero Carbon Smart Logistics White Paper, Vanwei L"&amp;"ogistics, About Vanke 13, 2022 Sustainability Report. ParkU, Vanke's long-term rental apartment brand, is the largest centralized apartment provider in China, providing one-stop living solutions for urban youth. In response to the diverse living and worki"&amp;"ng needs of young customers, ParkU creates convenient, secure, healthy, vibrant, high-quality living spaces and creative and fashionable lifestyles.")</f>
        <v>Case Study: Vanwei Tianjin Dongjiang Port Cold Chain Park: A Benchmark Port Commodity Logistics and Warehousing Park. As of December 31, 2022, the total leasable gross floor area of ​​logistics and warehousing projects opened is 9.64 million square meters. Smart temperature control, smart fire protection, smart security, smart work order system, data center, monitoring management, scheduling and decision-making, digital platform, digital gateway, unmanned solution, intelligent energy saving, smart refrigeration, ensuring cargo safety, full visual tracking, precise and efficient operation, green and environmental protection, and all-round smart management. Vanwei Tianjin Dongjiang Port Cold Chain Park: Near-Zero Carbon Smart Logistics White Paper, Vanwei Logistics, About Vanke 13, 2022 Sustainability Report. ParkU, Vanke's long-term rental apartment brand, is the largest centralized apartment provider in China, providing one-stop living solutions for urban youth. In response to the diverse living and working needs of young customers, ParkU creates convenient, secure, healthy, vibrant, high-quality living spaces and creative and fashionable lifestyles.</v>
      </c>
      <c r="B6914" s="1" t="str">
        <f ca="1">IFERROR(__xludf.DUMMYFUNCTION("GOOGLETRANSLATE(A6914, ""zh"", ""en"")"),"Green Building")</f>
        <v>Green Building</v>
      </c>
      <c r="C6914" s="1" t="str">
        <f ca="1">IFERROR(__xludf.DUMMYFUNCTION("GOOGLETRANSLATE(E6914, ""zh"", ""en"")"),"Qualitative text")</f>
        <v>Qualitative text</v>
      </c>
    </row>
    <row r="6915" spans="1:3" ht="13" x14ac:dyDescent="0.15">
      <c r="A6915" s="1" t="str">
        <f ca="1">IFERROR(__xludf.DUMMYFUNCTION("GOOGLETRANSLATE(A6915, ""zh"", ""en"")"),"The Vanke Parkview Block 28 project in Shunyi, Beijing, will be launched in November 2022. This project actively connects with the pilot program for housing security for graduating university students. It features four functional areas: a shared leisure a"&amp;"rea, a book bar and reading area, a shared reception area, and a leisure and entertainment area, fully meeting the functional and comfortable living needs of young people.")</f>
        <v>The Vanke Parkview Block 28 project in Shunyi, Beijing, will be launched in November 2022. This project actively connects with the pilot program for housing security for graduating university students. It features four functional areas: a shared leisure area, a book bar and reading area, a shared reception area, and a leisure and entertainment area, fully meeting the functional and comfortable living needs of young people.</v>
      </c>
      <c r="B6915" s="1" t="str">
        <f ca="1">IFERROR(__xludf.DUMMYFUNCTION("GOOGLETRANSLATE(A6915, ""zh"", ""en"")"),"Promoting employment")</f>
        <v>Promoting employment</v>
      </c>
      <c r="C6915" s="1" t="str">
        <f ca="1">IFERROR(__xludf.DUMMYFUNCTION("GOOGLETRANSLATE(E6915, ""zh"", ""en"")"),"Qualitative text")</f>
        <v>Qualitative text</v>
      </c>
    </row>
    <row r="6916" spans="1:3" ht="13" x14ac:dyDescent="0.15">
      <c r="A6916" s="1" t="str">
        <f ca="1">IFERROR(__xludf.DUMMYFUNCTION("GOOGLETRANSLATE(A6916, ""zh"", ""en"")"),"SCPG is the Group's professional commercial property development and operation platform.")</f>
        <v>SCPG is the Group's professional commercial property development and operation platform.</v>
      </c>
      <c r="B6916" s="1" t="str">
        <f ca="1">IFERROR(__xludf.DUMMYFUNCTION("GOOGLETRANSLATE(A6916, ""zh"", ""en"")"),"irrelevant text")</f>
        <v>irrelevant text</v>
      </c>
      <c r="C6916" s="1" t="str">
        <f ca="1">IFERROR(__xludf.DUMMYFUNCTION("GOOGLETRANSLATE(E6916, ""zh"", ""en"")"),"irrelevant text")</f>
        <v>irrelevant text</v>
      </c>
    </row>
    <row r="6917" spans="1:3" ht="13" x14ac:dyDescent="0.15">
      <c r="A6917" s="1" t="str">
        <f ca="1">IFERROR(__xludf.DUMMYFUNCTION("GOOGLETRANSLATE(A6917, ""zh"", ""en"")"),"SCPG focuses on shopping center investment, development and operation with an international perspective, covering the entire value chain of commercial real estate.")</f>
        <v>SCPG focuses on shopping center investment, development and operation with an international perspective, covering the entire value chain of commercial real estate.</v>
      </c>
      <c r="B6917" s="1" t="str">
        <f ca="1">IFERROR(__xludf.DUMMYFUNCTION("GOOGLETRANSLATE(A6917, ""zh"", ""en"")"),"irrelevant text")</f>
        <v>irrelevant text</v>
      </c>
      <c r="C6917" s="1" t="str">
        <f ca="1">IFERROR(__xludf.DUMMYFUNCTION("GOOGLETRANSLATE(E6917, ""zh"", ""en"")"),"irrelevant text")</f>
        <v>irrelevant text</v>
      </c>
    </row>
    <row r="6918" spans="1:3" ht="13" x14ac:dyDescent="0.15">
      <c r="A6918" s="1" t="str">
        <f ca="1">IFERROR(__xludf.DUMMYFUNCTION("GOOGLETRANSLATE(A6918, ""zh"", ""en"")"),"SCPG upholds the philosophy of green ecology and customer-centricity, continuously creating real value for consumers and merchants, providing quality experience for the public's better life, bravely shouldering the mission of green and low-carbon innovati"&amp;"on, and contributing to the promotion of urban construction and consumption upgrades.")</f>
        <v>SCPG upholds the philosophy of green ecology and customer-centricity, continuously creating real value for consumers and merchants, providing quality experience for the public's better life, bravely shouldering the mission of green and low-carbon innovation, and contributing to the promotion of urban construction and consumption upgrades.</v>
      </c>
      <c r="B6918" s="1" t="str">
        <f ca="1">IFERROR(__xludf.DUMMYFUNCTION("GOOGLETRANSLATE(A6918, ""zh"", ""en"")"),"Customers and Consumers")</f>
        <v>Customers and Consumers</v>
      </c>
      <c r="C6918" s="1" t="str">
        <f ca="1">IFERROR(__xludf.DUMMYFUNCTION("GOOGLETRANSLATE(E6918, ""zh"", ""en"")"),"Qualitative text")</f>
        <v>Qualitative text</v>
      </c>
    </row>
    <row r="6919" spans="1:3" ht="13" x14ac:dyDescent="0.15">
      <c r="A6919" s="1" t="str">
        <f ca="1">IFERROR(__xludf.DUMMYFUNCTION("GOOGLETRANSLATE(A6919, ""zh"", ""en"")"),"Shanghai Nanxiang Impression City MEGA actively promotes green shopping mall operations by applying building automation systems and energy regeneration systems to optimize energy use and reduce energy consumption.")</f>
        <v>Shanghai Nanxiang Impression City MEGA actively promotes green shopping mall operations by applying building automation systems and energy regeneration systems to optimize energy use and reduce energy consumption.</v>
      </c>
      <c r="B6919" s="1" t="str">
        <f ca="1">IFERROR(__xludf.DUMMYFUNCTION("GOOGLETRANSLATE(A6919, ""zh"", ""en"")"),"Energy and resource consumption")</f>
        <v>Energy and resource consumption</v>
      </c>
      <c r="C6919" s="1" t="str">
        <f ca="1">IFERROR(__xludf.DUMMYFUNCTION("GOOGLETRANSLATE(E6919, ""zh"", ""en"")"),"Qualitative text")</f>
        <v>Qualitative text</v>
      </c>
    </row>
    <row r="6920" spans="1:3" ht="13" x14ac:dyDescent="0.15">
      <c r="A6920" s="1" t="str">
        <f ca="1">IFERROR(__xludf.DUMMYFUNCTION("GOOGLETRANSLATE(A6920, ""zh"", ""en"")"),"The mall actively implements waste sorting, formulates environmentally friendly procurement policies, advocates paperless office and improves waste management capabilities.")</f>
        <v>The mall actively implements waste sorting, formulates environmentally friendly procurement policies, advocates paperless office and improves waste management capabilities.</v>
      </c>
      <c r="B6920" s="1" t="str">
        <f ca="1">IFERROR(__xludf.DUMMYFUNCTION("GOOGLETRANSLATE(A6920, ""zh"", ""en"")"),"Waste Management")</f>
        <v>Waste Management</v>
      </c>
      <c r="C6920" s="1" t="str">
        <f ca="1">IFERROR(__xludf.DUMMYFUNCTION("GOOGLETRANSLATE(E6920, ""zh"", ""en"")"),"Qualitative text")</f>
        <v>Qualitative text</v>
      </c>
    </row>
    <row r="6921" spans="1:3" ht="13" x14ac:dyDescent="0.15">
      <c r="A6921" s="1" t="str">
        <f ca="1">IFERROR(__xludf.DUMMYFUNCTION("GOOGLETRANSLATE(A6921, ""zh"", ""en"")"),"In May 2022, Shanghai Nanxiang Impression City MEGA actively responded to the first Shanghai Green Consumption Season event, adhering to the concept of sustainable development and green environmental protection to create a harmonious and symbiotic commerc"&amp;"ial space.")</f>
        <v>In May 2022, Shanghai Nanxiang Impression City MEGA actively responded to the first Shanghai Green Consumption Season event, adhering to the concept of sustainable development and green environmental protection to create a harmonious and symbiotic commercial space.</v>
      </c>
      <c r="B6921" s="1" t="str">
        <f ca="1">IFERROR(__xludf.DUMMYFUNCTION("GOOGLETRANSLATE(A6921, ""zh"", ""en"")"),"Customers and Consumers")</f>
        <v>Customers and Consumers</v>
      </c>
      <c r="C6921" s="1" t="str">
        <f ca="1">IFERROR(__xludf.DUMMYFUNCTION("GOOGLETRANSLATE(E6921, ""zh"", ""en"")"),"Qualitative text")</f>
        <v>Qualitative text</v>
      </c>
    </row>
    <row r="6922" spans="1:3" ht="13" x14ac:dyDescent="0.15">
      <c r="A6922" s="1" t="str">
        <f ca="1">IFERROR(__xludf.DUMMYFUNCTION("GOOGLETRANSLATE(A6922, ""zh"", ""en"")"),"Vanke's ice and snow resort business is an important part of its hotel and resort business and is currently China's largest mountain and ski resort management group.")</f>
        <v>Vanke's ice and snow resort business is an important part of its hotel and resort business and is currently China's largest mountain and ski resort management group.</v>
      </c>
      <c r="B6922" s="1" t="str">
        <f ca="1">IFERROR(__xludf.DUMMYFUNCTION("GOOGLETRANSLATE(A6922, ""zh"", ""en"")"),"Organizational structure and operations")</f>
        <v>Organizational structure and operations</v>
      </c>
      <c r="C6922" s="1" t="str">
        <f ca="1">IFERROR(__xludf.DUMMYFUNCTION("GOOGLETRANSLATE(E6922, ""zh"", ""en"")"),"Qualitative text")</f>
        <v>Qualitative text</v>
      </c>
    </row>
    <row r="6923" spans="1:3" ht="13" x14ac:dyDescent="0.15">
      <c r="A6923" s="1" t="str">
        <f ca="1">IFERROR(__xludf.DUMMYFUNCTION("GOOGLETRANSLATE(A6923, ""zh"", ""en"")"),"In response to the country's policy support for vocational education, Shanghai Pudong Vanke High School has launched the IBCP curriculum in business and art to provide students with diverse academic development channels. It has also obtained official cert"&amp;"ification from the International Baccalaureate Organization (IBO) Vocational Education Program (IBCP), becoming the first non-foreign student school in China to offer the full IB curriculum.")</f>
        <v>In response to the country's policy support for vocational education, Shanghai Pudong Vanke High School has launched the IBCP curriculum in business and art to provide students with diverse academic development channels. It has also obtained official certification from the International Baccalaureate Organization (IBO) Vocational Education Program (IBCP), becoming the first non-foreign student school in China to offer the full IB curriculum.</v>
      </c>
      <c r="B6923" s="1" t="str">
        <f ca="1">IFERROR(__xludf.DUMMYFUNCTION("GOOGLETRANSLATE(A6923, ""zh"", ""en"")"),"Promoting employment")</f>
        <v>Promoting employment</v>
      </c>
      <c r="C6923" s="1" t="str">
        <f ca="1">IFERROR(__xludf.DUMMYFUNCTION("GOOGLETRANSLATE(E6923, ""zh"", ""en"")"),"Quantitative Text")</f>
        <v>Quantitative Text</v>
      </c>
    </row>
    <row r="6924" spans="1:3" ht="13" x14ac:dyDescent="0.15">
      <c r="A6924" s="1" t="str">
        <f ca="1">IFERROR(__xludf.DUMMYFUNCTION("GOOGLETRANSLATE(A6924, ""zh"", ""en"")"),"Vanke has established distinctive brands such as Meisha Education and Deyingle Education, actively exploring various educational models to cultivate future leaders with outstanding academic ability, international vision and passion.")</f>
        <v>Vanke has established distinctive brands such as Meisha Education and Deyingle Education, actively exploring various educational models to cultivate future leaders with outstanding academic ability, international vision and passion.</v>
      </c>
      <c r="B6924" s="1" t="str">
        <f ca="1">IFERROR(__xludf.DUMMYFUNCTION("GOOGLETRANSLATE(A6924, ""zh"", ""en"")"),"Promoting employment")</f>
        <v>Promoting employment</v>
      </c>
      <c r="C6924" s="1" t="str">
        <f ca="1">IFERROR(__xludf.DUMMYFUNCTION("GOOGLETRANSLATE(E6924, ""zh"", ""en"")"),"Qualitative text")</f>
        <v>Qualitative text</v>
      </c>
    </row>
    <row r="6925" spans="1:3" ht="13" x14ac:dyDescent="0.15">
      <c r="A6925" s="1" t="str">
        <f ca="1">IFERROR(__xludf.DUMMYFUNCTION("GOOGLETRANSLATE(A6925, ""zh"", ""en"")"),"Meisha Education has expanded to 10 cities including Shenzhen, Guangzhou, Shanghai, Nanning, and Xiamen. Its business covers K12 full-time schools, preschool education, outdoor education, and curriculum development. Currently, it has 9 full-time schools a"&amp;"nd 18 kindergartens, providing 20,000 places.")</f>
        <v>Meisha Education has expanded to 10 cities including Shenzhen, Guangzhou, Shanghai, Nanning, and Xiamen. Its business covers K12 full-time schools, preschool education, outdoor education, and curriculum development. Currently, it has 9 full-time schools and 18 kindergartens, providing 20,000 places.</v>
      </c>
      <c r="B6925" s="1" t="str">
        <f ca="1">IFERROR(__xludf.DUMMYFUNCTION("GOOGLETRANSLATE(A6925, ""zh"", ""en"")"),"Promoting employment")</f>
        <v>Promoting employment</v>
      </c>
      <c r="C6925" s="1" t="str">
        <f ca="1">IFERROR(__xludf.DUMMYFUNCTION("GOOGLETRANSLATE(E6925, ""zh"", ""en"")"),"Quantitative Text")</f>
        <v>Quantitative Text</v>
      </c>
    </row>
    <row r="6926" spans="1:3" ht="13" x14ac:dyDescent="0.15">
      <c r="A6926" s="1" t="str">
        <f ca="1">IFERROR(__xludf.DUMMYFUNCTION("GOOGLETRANSLATE(A6926, ""zh"", ""en"")"),"Vanke Meisha Academy, a subsidiary of the school, has been listed in the Hurun China Top 100 International Schools for five consecutive years since its establishment seven years ago. In 2022, it ranked 16th in the overall list and ranked among the top 10 "&amp;"private international schools in Shenzhen.")</f>
        <v>Vanke Meisha Academy, a subsidiary of the school, has been listed in the Hurun China Top 100 International Schools for five consecutive years since its establishment seven years ago. In 2022, it ranked 16th in the overall list and ranked among the top 10 private international schools in Shenzhen.</v>
      </c>
      <c r="B6926" s="1" t="str">
        <f ca="1">IFERROR(__xludf.DUMMYFUNCTION("GOOGLETRANSLATE(A6926, ""zh"", ""en"")"),"Public welfare and volunteer service")</f>
        <v>Public welfare and volunteer service</v>
      </c>
      <c r="C6926" s="1" t="str">
        <f ca="1">IFERROR(__xludf.DUMMYFUNCTION("GOOGLETRANSLATE(E6926, ""zh"", ""en"")"),"Quantitative Text")</f>
        <v>Quantitative Text</v>
      </c>
    </row>
    <row r="6927" spans="1:3" ht="13" x14ac:dyDescent="0.15">
      <c r="A6927" s="1" t="str">
        <f ca="1">IFERROR(__xludf.DUMMYFUNCTION("GOOGLETRANSLATE(A6927, ""zh"", ""en"")"),"Meisha Academy students have received admission letters from Ivy League schools for two consecutive years, and the number of students admitted to the top 10 universities in the world and the United States has reached a new high every year.")</f>
        <v>Meisha Academy students have received admission letters from Ivy League schools for two consecutive years, and the number of students admitted to the top 10 universities in the world and the United States has reached a new high every year.</v>
      </c>
      <c r="B6927" s="1" t="str">
        <f ca="1">IFERROR(__xludf.DUMMYFUNCTION("GOOGLETRANSLATE(A6927, ""zh"", ""en"")"),"Promoting employment")</f>
        <v>Promoting employment</v>
      </c>
      <c r="C6927" s="1" t="str">
        <f ca="1">IFERROR(__xludf.DUMMYFUNCTION("GOOGLETRANSLATE(E6927, ""zh"", ""en"")"),"Quantitative Text")</f>
        <v>Quantitative Text</v>
      </c>
    </row>
    <row r="6928" spans="1:3" ht="13" x14ac:dyDescent="0.15">
      <c r="A6928" s="1" t="str">
        <f ca="1">IFERROR(__xludf.DUMMYFUNCTION("GOOGLETRANSLATE(A6928, ""zh"", ""en"")"),"Education and Sports Federation Cup 2022 National City Fun Run, Vanke Meisha Education Children's Day Special, About Vanke 17, 2022 Sustainability Report, Vanke has been gradually expanding its overseas business since 2012. Currently, Vanke Overseas Inves"&amp;"tment Holdings Co., Ltd. (stock code 01036.HK) is established in Hong Kong, China. The company has also entered the United States, Singapore, the United Kingdom, and other countries, engaging in real estate investment, development, and asset management in"&amp;" many major international cities.")</f>
        <v>Education and Sports Federation Cup 2022 National City Fun Run, Vanke Meisha Education Children's Day Special, About Vanke 17, 2022 Sustainability Report, Vanke has been gradually expanding its overseas business since 2012. Currently, Vanke Overseas Investment Holdings Co., Ltd. (stock code 01036.HK) is established in Hong Kong, China. The company has also entered the United States, Singapore, the United Kingdom, and other countries, engaging in real estate investment, development, and asset management in many major international cities.</v>
      </c>
      <c r="B6928" s="1" t="str">
        <f ca="1">IFERROR(__xludf.DUMMYFUNCTION("GOOGLETRANSLATE(A6928, ""zh"", ""en"")"),"Sustainable certification")</f>
        <v>Sustainable certification</v>
      </c>
      <c r="C6928" s="1" t="str">
        <f ca="1">IFERROR(__xludf.DUMMYFUNCTION("GOOGLETRANSLATE(E6928, ""zh"", ""en"")"),"Qualitative text")</f>
        <v>Qualitative text</v>
      </c>
    </row>
    <row r="6929" spans="1:3" ht="13" x14ac:dyDescent="0.15">
      <c r="A6929" s="1" t="str">
        <f ca="1">IFERROR(__xludf.DUMMYFUNCTION("GOOGLETRANSLATE(A6929, ""zh"", ""en"")"),"Vanke's overseas food business is committed to providing the public with safe and healthy daily meals at affordable prices. With pig farming as the foundation of the Food BU, the business is exploring long-term, sustainable farming and production models t"&amp;"hat align with contemporary trends, driving more farmers towards shared prosperity and contributing to rural revitalization.")</f>
        <v>Vanke's overseas food business is committed to providing the public with safe and healthy daily meals at affordable prices. With pig farming as the foundation of the Food BU, the business is exploring long-term, sustainable farming and production models that align with contemporary trends, driving more farmers towards shared prosperity and contributing to rural revitalization.</v>
      </c>
      <c r="B6929" s="1" t="str">
        <f ca="1">IFERROR(__xludf.DUMMYFUNCTION("GOOGLETRANSLATE(A6929, ""zh"", ""en"")"),"Rural assistance")</f>
        <v>Rural assistance</v>
      </c>
      <c r="C6929" s="1" t="str">
        <f ca="1">IFERROR(__xludf.DUMMYFUNCTION("GOOGLETRANSLATE(E6929, ""zh"", ""en"")"),"Qualitative text")</f>
        <v>Qualitative text</v>
      </c>
    </row>
    <row r="6930" spans="1:3" ht="13" x14ac:dyDescent="0.15">
      <c r="A6930" s="1" t="str">
        <f ca="1">IFERROR(__xludf.DUMMYFUNCTION("GOOGLETRANSLATE(A6930, ""zh"", ""en"")"),"Vanke's 18th annual special project, Vanke Laizhou Field, showcased its near-zero carbon community initiative, including the Dameisha Vanke Center Carbon Neutral Experimental Zone. Vanke is implementing net-zero carbon emissions, zero waste, and biodivers"&amp;"ity solutions in a pilot carbon-neutral community at the Dameisha Vanke Center in Shenzhen. Through the Dameisha Vanke Center Carbon Neutral Community, Vanke conveys its commitment to nature and society to the public.")</f>
        <v>Vanke's 18th annual special project, Vanke Laizhou Field, showcased its near-zero carbon community initiative, including the Dameisha Vanke Center Carbon Neutral Experimental Zone. Vanke is implementing net-zero carbon emissions, zero waste, and biodiversity solutions in a pilot carbon-neutral community at the Dameisha Vanke Center in Shenzhen. Through the Dameisha Vanke Center Carbon Neutral Community, Vanke conveys its commitment to nature and society to the public.</v>
      </c>
      <c r="B6930" s="1" t="str">
        <f ca="1">IFERROR(__xludf.DUMMYFUNCTION("GOOGLETRANSLATE(A6930, ""zh"", ""en"")"),"carbon emissions")</f>
        <v>carbon emissions</v>
      </c>
      <c r="C6930" s="1" t="str">
        <f ca="1">IFERROR(__xludf.DUMMYFUNCTION("GOOGLETRANSLATE(E6930, ""zh"", ""en"")"),"Qualitative text")</f>
        <v>Qualitative text</v>
      </c>
    </row>
    <row r="6931" spans="1:3" ht="13" x14ac:dyDescent="0.15">
      <c r="A6931" s="1" t="str">
        <f ca="1">IFERROR(__xludf.DUMMYFUNCTION("GOOGLETRANSLATE(A6931, ""zh"", ""en"")"),"Dameisha Vanke Center is located in the pleasant Dameisha community in eastern Shenzhen, which is the headquarters of Vanke Group.")</f>
        <v>Dameisha Vanke Center is located in the pleasant Dameisha community in eastern Shenzhen, which is the headquarters of Vanke Group.</v>
      </c>
      <c r="B6931" s="1" t="str">
        <f ca="1">IFERROR(__xludf.DUMMYFUNCTION("GOOGLETRANSLATE(A6931, ""zh"", ""en"")"),"Organizational structure and operations")</f>
        <v>Organizational structure and operations</v>
      </c>
      <c r="C6931" s="1" t="str">
        <f ca="1">IFERROR(__xludf.DUMMYFUNCTION("GOOGLETRANSLATE(E6931, ""zh"", ""en"")"),"Qualitative text")</f>
        <v>Qualitative text</v>
      </c>
    </row>
    <row r="6932" spans="1:3" ht="13" x14ac:dyDescent="0.15">
      <c r="A6932" s="1" t="str">
        <f ca="1">IFERROR(__xludf.DUMMYFUNCTION("GOOGLETRANSLATE(A6932, ""zh"", ""en"")"),"The Dameisha Vanke Center is planned to be transformed into an international carbon-neutral experimental park through a four-year renovation. Phase one of the project officially debuted in October 2022.")</f>
        <v>The Dameisha Vanke Center is planned to be transformed into an international carbon-neutral experimental park through a four-year renovation. Phase one of the project officially debuted in October 2022.</v>
      </c>
      <c r="B6932" s="1" t="str">
        <f ca="1">IFERROR(__xludf.DUMMYFUNCTION("GOOGLETRANSLATE(A6932, ""zh"", ""en"")"),"carbon emissions")</f>
        <v>carbon emissions</v>
      </c>
      <c r="C6932" s="1" t="str">
        <f ca="1">IFERROR(__xludf.DUMMYFUNCTION("GOOGLETRANSLATE(E6932, ""zh"", ""en"")"),"Qualitative text")</f>
        <v>Qualitative text</v>
      </c>
    </row>
    <row r="6933" spans="1:3" ht="13" x14ac:dyDescent="0.15">
      <c r="A6933" s="1" t="str">
        <f ca="1">IFERROR(__xludf.DUMMYFUNCTION("GOOGLETRANSLATE(A6933, ""zh"", ""en"")"),"In January 2022, Dameisha Community was selected as one of the first pilot projects in Shenzhen's near-zero carbon emission zone. Dameisha Vanke Center's carbon-neutral community case and Vanke's green principles practice, as the only real estate industry"&amp;" low-carbon transformation case, were selected for the Green Finance Working Group's white paper on recommendations for accelerating the global transition to a low-carbon economy.")</f>
        <v>In January 2022, Dameisha Community was selected as one of the first pilot projects in Shenzhen's near-zero carbon emission zone. Dameisha Vanke Center's carbon-neutral community case and Vanke's green principles practice, as the only real estate industry low-carbon transformation case, were selected for the Green Finance Working Group's white paper on recommendations for accelerating the global transition to a low-carbon economy.</v>
      </c>
      <c r="B6933" s="1" t="str">
        <f ca="1">IFERROR(__xludf.DUMMYFUNCTION("GOOGLETRANSLATE(A6933, ""zh"", ""en"")"),"carbon emissions")</f>
        <v>carbon emissions</v>
      </c>
      <c r="C6933" s="1" t="str">
        <f ca="1">IFERROR(__xludf.DUMMYFUNCTION("GOOGLETRANSLATE(E6933, ""zh"", ""en"")"),"Qualitative text")</f>
        <v>Qualitative text</v>
      </c>
    </row>
    <row r="6934" spans="1:3" ht="13" x14ac:dyDescent="0.15">
      <c r="A6934" s="1" t="str">
        <f ca="1">IFERROR(__xludf.DUMMYFUNCTION("GOOGLETRANSLATE(A6934, ""zh"", ""en"")"),"In addition, the Dameisha Vanke Center Carbon Neutral Community, as a major project in Shenzhen's response to climate change during the 14th Five-Year Plan period, has been included in the Shenzhen 14th Five-Year Plan Carbon Neutral Demonstration Project")</f>
        <v>In addition, the Dameisha Vanke Center Carbon Neutral Community, as a major project in Shenzhen's response to climate change during the 14th Five-Year Plan period, has been included in the Shenzhen 14th Five-Year Plan Carbon Neutral Demonstration Project</v>
      </c>
      <c r="B6934" s="1" t="str">
        <f ca="1">IFERROR(__xludf.DUMMYFUNCTION("GOOGLETRANSLATE(A6934, ""zh"", ""en"")"),"Addressing climate change")</f>
        <v>Addressing climate change</v>
      </c>
      <c r="C6934" s="1" t="str">
        <f ca="1">IFERROR(__xludf.DUMMYFUNCTION("GOOGLETRANSLATE(E6934, ""zh"", ""en"")"),"Qualitative text")</f>
        <v>Qualitative text</v>
      </c>
    </row>
    <row r="6935" spans="1:3" ht="13" x14ac:dyDescent="0.15">
      <c r="A6935" s="1" t="str">
        <f ca="1">IFERROR(__xludf.DUMMYFUNCTION("GOOGLETRANSLATE(A6935, ""zh"", ""en"")"),"Annual Feature 19: 2022 Sustainability Report: Future-oriented Microgrid Exploration and Practice. Dameisha Vanke Center achieved an overall energy saving rate of 85% through the deep integration of three key technologies: renewable energy, green building"&amp;", and digital energy. The renewable energy ratio was increased to 85%, and 100% green electricity was achieved during the operation period.")</f>
        <v>Annual Feature 19: 2022 Sustainability Report: Future-oriented Microgrid Exploration and Practice. Dameisha Vanke Center achieved an overall energy saving rate of 85% through the deep integration of three key technologies: renewable energy, green building, and digital energy. The renewable energy ratio was increased to 85%, and 100% green electricity was achieved during the operation period.</v>
      </c>
      <c r="B6935" s="1" t="str">
        <f ca="1">IFERROR(__xludf.DUMMYFUNCTION("GOOGLETRANSLATE(A6935, ""zh"", ""en"")"),"Green Building")</f>
        <v>Green Building</v>
      </c>
      <c r="C6935" s="1" t="str">
        <f ca="1">IFERROR(__xludf.DUMMYFUNCTION("GOOGLETRANSLATE(E6935, ""zh"", ""en"")"),"Quantitative Text")</f>
        <v>Quantitative Text</v>
      </c>
    </row>
    <row r="6936" spans="1:3" ht="13" x14ac:dyDescent="0.15">
      <c r="A6936" s="1" t="str">
        <f ca="1">IFERROR(__xludf.DUMMYFUNCTION("GOOGLETRANSLATE(A6936, ""zh"", ""en"")"),"The Dameisha Vanke Center uses a model to predict the building's load power consumption and renewable energy generation over the next 24 hours. The algorithm then applies a multi-objective strategy to the load scheduling, achieving peak-shaving and valley"&amp;"-filling of the daily electricity curve, increasing the renewable energy absorption rate and reducing operational carbon emissions.")</f>
        <v>The Dameisha Vanke Center uses a model to predict the building's load power consumption and renewable energy generation over the next 24 hours. The algorithm then applies a multi-objective strategy to the load scheduling, achieving peak-shaving and valley-filling of the daily electricity curve, increasing the renewable energy absorption rate and reducing operational carbon emissions.</v>
      </c>
      <c r="B6936" s="1" t="str">
        <f ca="1">IFERROR(__xludf.DUMMYFUNCTION("GOOGLETRANSLATE(A6936, ""zh"", ""en"")"),"Energy and resource consumption")</f>
        <v>Energy and resource consumption</v>
      </c>
      <c r="C6936" s="1" t="str">
        <f ca="1">IFERROR(__xludf.DUMMYFUNCTION("GOOGLETRANSLATE(E6936, ""zh"", ""en"")"),"Qualitative text")</f>
        <v>Qualitative text</v>
      </c>
    </row>
    <row r="6937" spans="1:3" ht="13" x14ac:dyDescent="0.15">
      <c r="A6937" s="1" t="str">
        <f ca="1">IFERROR(__xludf.DUMMYFUNCTION("GOOGLETRANSLATE(A6937, ""zh"", ""en"")"),"Microgrid and Virtual Power Plant Practices: Microgrid Data Dashboard. Designed energy consumption per unit area: 66 kWh/m². Shenzhen: 91.8 kWh/m². Average for commercial and office buildings in 2019. Upgraded smart lighting systems, created efficient air"&amp;" conditioning rooms, established energy efficiency management systems, and improved energy efficiency.")</f>
        <v>Microgrid and Virtual Power Plant Practices: Microgrid Data Dashboard. Designed energy consumption per unit area: 66 kWh/m². Shenzhen: 91.8 kWh/m². Average for commercial and office buildings in 2019. Upgraded smart lighting systems, created efficient air conditioning rooms, established energy efficiency management systems, and improved energy efficiency.</v>
      </c>
      <c r="B6937" s="1" t="str">
        <f ca="1">IFERROR(__xludf.DUMMYFUNCTION("GOOGLETRANSLATE(A6937, ""zh"", ""en"")"),"Energy and resource consumption")</f>
        <v>Energy and resource consumption</v>
      </c>
      <c r="C6937" s="1" t="str">
        <f ca="1">IFERROR(__xludf.DUMMYFUNCTION("GOOGLETRANSLATE(E6937, ""zh"", ""en"")"),"Quantitative Text")</f>
        <v>Quantitative Text</v>
      </c>
    </row>
    <row r="6938" spans="1:3" ht="13" x14ac:dyDescent="0.15">
      <c r="A6938" s="1" t="str">
        <f ca="1">IFERROR(__xludf.DUMMYFUNCTION("GOOGLETRANSLATE(A6938, ""zh"", ""en"")"),"Deploy photovoltaic power generation, distributed energy storage, and smart charging piles to increase photovoltaic absorption rate and increase the proportion of green energy.")</f>
        <v>Deploy photovoltaic power generation, distributed energy storage, and smart charging piles to increase photovoltaic absorption rate and increase the proportion of green energy.</v>
      </c>
      <c r="B6938" s="1" t="str">
        <f ca="1">IFERROR(__xludf.DUMMYFUNCTION("GOOGLETRANSLATE(A6938, ""zh"", ""en"")"),"Energy and resource consumption")</f>
        <v>Energy and resource consumption</v>
      </c>
      <c r="C6938" s="1" t="str">
        <f ca="1">IFERROR(__xludf.DUMMYFUNCTION("GOOGLETRANSLATE(E6938, ""zh"", ""en"")"),"Qualitative text")</f>
        <v>Qualitative text</v>
      </c>
    </row>
    <row r="6939" spans="1:3" ht="13" x14ac:dyDescent="0.15">
      <c r="A6939" s="1" t="str">
        <f ca="1">IFERROR(__xludf.DUMMYFUNCTION("GOOGLETRANSLATE(A6939, ""zh"", ""en"")"),"Near-zero energy building indicators: 25.0820% energy saving rate, 85.3860% comprehensive energy saving rate, and 752.2tCO2e carbon emission reduction rate compared to the base year. Data after cost saving and open source transformation: VANKE Vanke 20 Ze"&amp;"ro Waste and Resource Recycling Community. Vanke has been exploring the path of zero waste management since 2005. The zero waste concept has been deeply integrated into Vanke's daily operations and management.")</f>
        <v>Near-zero energy building indicators: 25.0820% energy saving rate, 85.3860% comprehensive energy saving rate, and 752.2tCO2e carbon emission reduction rate compared to the base year. Data after cost saving and open source transformation: VANKE Vanke 20 Zero Waste and Resource Recycling Community. Vanke has been exploring the path of zero waste management since 2005. The zero waste concept has been deeply integrated into Vanke's daily operations and management.</v>
      </c>
      <c r="B6939" s="1" t="str">
        <f ca="1">IFERROR(__xludf.DUMMYFUNCTION("GOOGLETRANSLATE(A6939, ""zh"", ""en"")"),"Waste Management")</f>
        <v>Waste Management</v>
      </c>
      <c r="C6939" s="1" t="str">
        <f ca="1">IFERROR(__xludf.DUMMYFUNCTION("GOOGLETRANSLATE(E6939, ""zh"", ""en"")"),"Quantitative Text")</f>
        <v>Quantitative Text</v>
      </c>
    </row>
    <row r="6940" spans="1:3" ht="13" x14ac:dyDescent="0.15">
      <c r="A6940" s="1" t="str">
        <f ca="1">IFERROR(__xludf.DUMMYFUNCTION("GOOGLETRANSLATE(A6940, ""zh"", ""en"")"),"Dameisha Vanke Center is committed to building a zero-waste and resource-recycling community. By revising waste management systems, redesigning waste collection containers, advocating source reduction and implementing the reuse of office and kitchen waste"&amp;", we aim to minimize harmless solid waste and improve resource efficiency.")</f>
        <v>Dameisha Vanke Center is committed to building a zero-waste and resource-recycling community. By revising waste management systems, redesigning waste collection containers, advocating source reduction and implementing the reuse of office and kitchen waste, we aim to minimize harmless solid waste and improve resource efficiency.</v>
      </c>
      <c r="B6940" s="1" t="str">
        <f ca="1">IFERROR(__xludf.DUMMYFUNCTION("GOOGLETRANSLATE(A6940, ""zh"", ""en"")"),"Waste Management")</f>
        <v>Waste Management</v>
      </c>
      <c r="C6940" s="1" t="str">
        <f ca="1">IFERROR(__xludf.DUMMYFUNCTION("GOOGLETRANSLATE(E6940, ""zh"", ""en"")"),"Qualitative text")</f>
        <v>Qualitative text</v>
      </c>
    </row>
    <row r="6941" spans="1:3" ht="13" x14ac:dyDescent="0.15">
      <c r="A6941" s="1" t="str">
        <f ca="1">IFERROR(__xludf.DUMMYFUNCTION("GOOGLETRANSLATE(A6941, ""zh"", ""en"")"),"80% of the materials used to rebuild the ecological roof garden come from recycled waste within the park.")</f>
        <v>80% of the materials used to rebuild the ecological roof garden come from recycled waste within the park.</v>
      </c>
      <c r="B6941" s="1" t="str">
        <f ca="1">IFERROR(__xludf.DUMMYFUNCTION("GOOGLETRANSLATE(A6941, ""zh"", ""en"")"),"Waste Management")</f>
        <v>Waste Management</v>
      </c>
      <c r="C6941" s="1" t="str">
        <f ca="1">IFERROR(__xludf.DUMMYFUNCTION("GOOGLETRANSLATE(E6941, ""zh"", ""en"")"),"Quantitative Text")</f>
        <v>Quantitative Text</v>
      </c>
    </row>
    <row r="6942" spans="1:3" ht="13" x14ac:dyDescent="0.15">
      <c r="A6942" s="1" t="str">
        <f ca="1">IFERROR(__xludf.DUMMYFUNCTION("GOOGLETRANSLATE(A6942, ""zh"", ""en"")"),"Exploring an organic recycling system based on biological treatment, and using black soldier flies to achieve 100% resource recycling of kitchen waste in the park")</f>
        <v>Exploring an organic recycling system based on biological treatment, and using black soldier flies to achieve 100% resource recycling of kitchen waste in the park</v>
      </c>
      <c r="B6942" s="1" t="str">
        <f ca="1">IFERROR(__xludf.DUMMYFUNCTION("GOOGLETRANSLATE(A6942, ""zh"", ""en"")"),"Waste Management")</f>
        <v>Waste Management</v>
      </c>
      <c r="C6942" s="1" t="str">
        <f ca="1">IFERROR(__xludf.DUMMYFUNCTION("GOOGLETRANSLATE(E6942, ""zh"", ""en"")"),"Qualitative text")</f>
        <v>Qualitative text</v>
      </c>
    </row>
    <row r="6943" spans="1:3" ht="13" x14ac:dyDescent="0.15">
      <c r="A6943" s="1" t="str">
        <f ca="1">IFERROR(__xludf.DUMMYFUNCTION("GOOGLETRANSLATE(A6943, ""zh"", ""en"")"),"Overview of the park's material flow cycle. More than just an ecological garden, the rooftop ecological garden at Dameisha Vanke Center is South China's largest distributed photovoltaic power station, integrating it with a garden.")</f>
        <v>Overview of the park's material flow cycle. More than just an ecological garden, the rooftop ecological garden at Dameisha Vanke Center is South China's largest distributed photovoltaic power station, integrating it with a garden.</v>
      </c>
      <c r="B6943" s="1" t="str">
        <f ca="1">IFERROR(__xludf.DUMMYFUNCTION("GOOGLETRANSLATE(A6943, ""zh"", ""en"")"),"Green Building")</f>
        <v>Green Building</v>
      </c>
      <c r="C6943" s="1" t="str">
        <f ca="1">IFERROR(__xludf.DUMMYFUNCTION("GOOGLETRANSLATE(E6943, ""zh"", ""en"")"),"Qualitative text")</f>
        <v>Qualitative text</v>
      </c>
    </row>
    <row r="6944" spans="1:3" ht="13" x14ac:dyDescent="0.15">
      <c r="A6944" s="1" t="str">
        <f ca="1">IFERROR(__xludf.DUMMYFUNCTION("GOOGLETRANSLATE(A6944, ""zh"", ""en"")"),"Vanke has always adhered to the concept of low maintenance and self-growth and is committed to the renovation and maintenance of roof gardens.")</f>
        <v>Vanke has always adhered to the concept of low maintenance and self-growth and is committed to the renovation and maintenance of roof gardens.</v>
      </c>
      <c r="B6944" s="1" t="str">
        <f ca="1">IFERROR(__xludf.DUMMYFUNCTION("GOOGLETRANSLATE(A6944, ""zh"", ""en"")"),"Green Building")</f>
        <v>Green Building</v>
      </c>
      <c r="C6944" s="1" t="str">
        <f ca="1">IFERROR(__xludf.DUMMYFUNCTION("GOOGLETRANSLATE(E6944, ""zh"", ""en"")"),"Qualitative text")</f>
        <v>Qualitative text</v>
      </c>
    </row>
    <row r="6945" spans="1:3" ht="13" x14ac:dyDescent="0.15">
      <c r="A6945" s="1" t="str">
        <f ca="1">IFERROR(__xludf.DUMMYFUNCTION("GOOGLETRANSLATE(A6945, ""zh"", ""en"")"),"In 2022, we carried out invasive plant removal and soil improvement work, added approximately 28 nectar-producing plant protein plants, primarily native plants, added four bird water supply points, and transformed discarded rooftop rocks into insect gabio"&amp;"ns and islands. These small yet beautiful features aim to create an ecological rooftop landscape with flowers all year round, thereby improving microclimate regulation, biological self-circulation, species diversity, rainwater storage, and other comprehen"&amp;"sive indicators of green building sustainable development.")</f>
        <v>In 2022, we carried out invasive plant removal and soil improvement work, added approximately 28 nectar-producing plant protein plants, primarily native plants, added four bird water supply points, and transformed discarded rooftop rocks into insect gabions and islands. These small yet beautiful features aim to create an ecological rooftop landscape with flowers all year round, thereby improving microclimate regulation, biological self-circulation, species diversity, rainwater storage, and other comprehensive indicators of green building sustainable development.</v>
      </c>
      <c r="B6945" s="1" t="str">
        <f ca="1">IFERROR(__xludf.DUMMYFUNCTION("GOOGLETRANSLATE(A6945, ""zh"", ""en"")"),"Green Building")</f>
        <v>Green Building</v>
      </c>
      <c r="C6945" s="1" t="str">
        <f ca="1">IFERROR(__xludf.DUMMYFUNCTION("GOOGLETRANSLATE(E6945, ""zh"", ""en"")"),"Quantitative Text")</f>
        <v>Quantitative Text</v>
      </c>
    </row>
    <row r="6946" spans="1:3" ht="13" x14ac:dyDescent="0.15">
      <c r="A6946" s="1" t="str">
        <f ca="1">IFERROR(__xludf.DUMMYFUNCTION("GOOGLETRANSLATE(A6946, ""zh"", ""en"")"),"Annual Feature 21 2022 Sustainability Report Dameisha Near-Zero Carbon Community: Building a Better Life Together - A Zero-Carbon Model The Near-Zero Carbon Community is a systematic project and an innovative exploration to promote the transformation of c"&amp;"ommunity construction towards green carbon reduction and build a beautiful green lifestyle.")</f>
        <v>Annual Feature 21 2022 Sustainability Report Dameisha Near-Zero Carbon Community: Building a Better Life Together - A Zero-Carbon Model The Near-Zero Carbon Community is a systematic project and an innovative exploration to promote the transformation of community construction towards green carbon reduction and build a beautiful green lifestyle.</v>
      </c>
      <c r="B6946" s="1" t="str">
        <f ca="1">IFERROR(__xludf.DUMMYFUNCTION("GOOGLETRANSLATE(A6946, ""zh"", ""en"")"),"carbon emissions")</f>
        <v>carbon emissions</v>
      </c>
      <c r="C6946" s="1" t="str">
        <f ca="1">IFERROR(__xludf.DUMMYFUNCTION("GOOGLETRANSLATE(E6946, ""zh"", ""en"")"),"Qualitative text")</f>
        <v>Qualitative text</v>
      </c>
    </row>
    <row r="6947" spans="1:3" ht="13" x14ac:dyDescent="0.15">
      <c r="A6947" s="1" t="str">
        <f ca="1">IFERROR(__xludf.DUMMYFUNCTION("GOOGLETRANSLATE(A6947, ""zh"", ""en"")"),"Taking Dameisha Vanke Center as a sample, Vanke Charity Foundation combines different living scenarios within the community with residents and organizations within the community to explore the construction of a near-zero carbon community.")</f>
        <v>Taking Dameisha Vanke Center as a sample, Vanke Charity Foundation combines different living scenarios within the community with residents and organizations within the community to explore the construction of a near-zero carbon community.</v>
      </c>
      <c r="B6947" s="1" t="str">
        <f ca="1">IFERROR(__xludf.DUMMYFUNCTION("GOOGLETRANSLATE(A6947, ""zh"", ""en"")"),"carbon emissions")</f>
        <v>carbon emissions</v>
      </c>
      <c r="C6947" s="1" t="str">
        <f ca="1">IFERROR(__xludf.DUMMYFUNCTION("GOOGLETRANSLATE(E6947, ""zh"", ""en"")"),"Qualitative text")</f>
        <v>Qualitative text</v>
      </c>
    </row>
    <row r="6948" spans="1:3" ht="13" x14ac:dyDescent="0.15">
      <c r="A6948" s="1" t="str">
        <f ca="1">IFERROR(__xludf.DUMMYFUNCTION("GOOGLETRANSLATE(A6948, ""zh"", ""en"")"),"Vanke Foundation and Guangzhou Academy of Fine Arts launched the ""Youth Lighting Up Dameisha Near-Zero Carbon Community"" innovation campaign. Focusing on three themes: sustainable tourism, reducing food waste, and local resource utilization of organic w"&amp;"aste, the campaign conducted research and design, resulting in nine innovative sustainable tourism solutions for the Dameisha community. Through engaging gamified learning, diverse perspectives, and co-creation, the campaign empowered young people, encour"&amp;"aged them to realize social value, and promoted low-carbon and environmentally friendly behaviors within the community.")</f>
        <v>Vanke Foundation and Guangzhou Academy of Fine Arts launched the "Youth Lighting Up Dameisha Near-Zero Carbon Community" innovation campaign. Focusing on three themes: sustainable tourism, reducing food waste, and local resource utilization of organic waste, the campaign conducted research and design, resulting in nine innovative sustainable tourism solutions for the Dameisha community. Through engaging gamified learning, diverse perspectives, and co-creation, the campaign empowered young people, encouraged them to realize social value, and promoted low-carbon and environmentally friendly behaviors within the community.</v>
      </c>
      <c r="B6948" s="1" t="str">
        <f ca="1">IFERROR(__xludf.DUMMYFUNCTION("GOOGLETRANSLATE(A6948, ""zh"", ""en"")"),"Waste Management")</f>
        <v>Waste Management</v>
      </c>
      <c r="C6948" s="1" t="str">
        <f ca="1">IFERROR(__xludf.DUMMYFUNCTION("GOOGLETRANSLATE(E6948, ""zh"", ""en"")"),"Qualitative text")</f>
        <v>Qualitative text</v>
      </c>
    </row>
    <row r="6949" spans="1:3" ht="13" x14ac:dyDescent="0.15">
      <c r="A6949" s="1" t="str">
        <f ca="1">IFERROR(__xludf.DUMMYFUNCTION("GOOGLETRANSLATE(A6949, ""zh"", ""en"")"),"Among them, the Dameisha Near-Zero Carbon Community Exploration Toolkit was nominated for the China Service Design Outstanding Case Award")</f>
        <v>Among them, the Dameisha Near-Zero Carbon Community Exploration Toolkit was nominated for the China Service Design Outstanding Case Award</v>
      </c>
      <c r="B6949" s="1" t="str">
        <f ca="1">IFERROR(__xludf.DUMMYFUNCTION("GOOGLETRANSLATE(A6949, ""zh"", ""en"")"),"carbon emissions")</f>
        <v>carbon emissions</v>
      </c>
      <c r="C6949" s="1" t="str">
        <f ca="1">IFERROR(__xludf.DUMMYFUNCTION("GOOGLETRANSLATE(E6949, ""zh"", ""en"")"),"Qualitative text")</f>
        <v>Qualitative text</v>
      </c>
    </row>
    <row r="6950" spans="1:3" ht="13" x14ac:dyDescent="0.15">
      <c r="A6950" s="1" t="str">
        <f ca="1">IFERROR(__xludf.DUMMYFUNCTION("GOOGLETRANSLATE(A6950, ""zh"", ""en"")"),"Case Study: Youth Illuminate Dameisha's Near-Zero Carbon Community Innovation Initiative. Dameisha Near-Zero Carbon Community Exploration Toolkit. To strengthen public awareness and participation in Meisha's carbon-neutral community development, Vanke Fou"&amp;"ndation launched the TAN Midsummer themed event on May 21st. Through a series of online and offline activities and interactions, including hiking along the seaside boardwalk, observing nature, and surveying and observing nearshore organisms, the event lev"&amp;"eraged multiple resources to understand Meisha's local biodiversity, promote ecological restoration, and facilitate the local recycling of organic matter, practicing actionable low-carbon living, activating local and related publicity networks, showcasing"&amp;" the charm of Meisha's carbon-neutral community, and allowing the public to understand the progress and direction of Meisha's carbon-neutral community development.")</f>
        <v>Case Study: Youth Illuminate Dameisha's Near-Zero Carbon Community Innovation Initiative. Dameisha Near-Zero Carbon Community Exploration Toolkit. To strengthen public awareness and participation in Meisha's carbon-neutral community development, Vanke Foundation launched the TAN Midsummer themed event on May 21st. Through a series of online and offline activities and interactions, including hiking along the seaside boardwalk, observing nature, and surveying and observing nearshore organisms, the event leveraged multiple resources to understand Meisha's local biodiversity, promote ecological restoration, and facilitate the local recycling of organic matter, practicing actionable low-carbon living, activating local and related publicity networks, showcasing the charm of Meisha's carbon-neutral community, and allowing the public to understand the progress and direction of Meisha's carbon-neutral community development.</v>
      </c>
      <c r="B6950" s="1" t="str">
        <f ca="1">IFERROR(__xludf.DUMMYFUNCTION("GOOGLETRANSLATE(A6950, ""zh"", ""en"")"),"carbon emissions")</f>
        <v>carbon emissions</v>
      </c>
      <c r="C6950" s="1" t="str">
        <f ca="1">IFERROR(__xludf.DUMMYFUNCTION("GOOGLETRANSLATE(E6950, ""zh"", ""en"")"),"Qualitative text")</f>
        <v>Qualitative text</v>
      </c>
    </row>
    <row r="6951" spans="1:3" ht="13" x14ac:dyDescent="0.15">
      <c r="A6951" s="1" t="str">
        <f ca="1">IFERROR(__xludf.DUMMYFUNCTION("GOOGLETRANSLATE(A6951, ""zh"", ""en"")"),"Case Study: TAN Midsummer at Mimeisha, TAN Midsummer at Mimeisha Poster, VANKE Vanke 22: Supporting Rural Revitalization in the Shaoguan-Ruyuan Multi-Town Rural Revitalization Demonstration Belt. In 2022, Vanke will continue to support rural revitalizatio"&amp;"n in ethnic minority areas within Guangdong Province. Following up on the Multi-Town Rural Revitalization Demonstration Belt project in Ruyuan Yao Autonomous County, Shaoguan City, the project has built a beautiful Yao-Ke folk custom channel on one side o"&amp;"f the Ru-Gui Highway, renovated a large Yao village, and leveraged its geographical advantages to create eight must-see scenic spots along the Suxi River, driving tourism development along the route.")</f>
        <v>Case Study: TAN Midsummer at Mimeisha, TAN Midsummer at Mimeisha Poster, VANKE Vanke 22: Supporting Rural Revitalization in the Shaoguan-Ruyuan Multi-Town Rural Revitalization Demonstration Belt. In 2022, Vanke will continue to support rural revitalization in ethnic minority areas within Guangdong Province. Following up on the Multi-Town Rural Revitalization Demonstration Belt project in Ruyuan Yao Autonomous County, Shaoguan City, the project has built a beautiful Yao-Ke folk custom channel on one side of the Ru-Gui Highway, renovated a large Yao village, and leveraged its geographical advantages to create eight must-see scenic spots along the Suxi River, driving tourism development along the route.</v>
      </c>
      <c r="B6951" s="1" t="str">
        <f ca="1">IFERROR(__xludf.DUMMYFUNCTION("GOOGLETRANSLATE(A6951, ""zh"", ""en"")"),"Rural assistance")</f>
        <v>Rural assistance</v>
      </c>
      <c r="C6951" s="1" t="str">
        <f ca="1">IFERROR(__xludf.DUMMYFUNCTION("GOOGLETRANSLATE(E6951, ""zh"", ""en"")"),"Qualitative text")</f>
        <v>Qualitative text</v>
      </c>
    </row>
    <row r="6952" spans="1:3" ht="13" x14ac:dyDescent="0.15">
      <c r="A6952" s="1" t="str">
        <f ca="1">IFERROR(__xludf.DUMMYFUNCTION("GOOGLETRANSLATE(A6952, ""zh"", ""en"")"),"The construction of convenient and tourist infrastructure, the most beautiful Yaoke folk customs channel, includes the construction of greenway stations and the portal image of the beginning and end of Rugui Highway.")</f>
        <v>The construction of convenient and tourist infrastructure, the most beautiful Yaoke folk customs channel, includes the construction of greenway stations and the portal image of the beginning and end of Rugui Highway.</v>
      </c>
      <c r="B6952" s="1" t="str">
        <f ca="1">IFERROR(__xludf.DUMMYFUNCTION("GOOGLETRANSLATE(A6952, ""zh"", ""en"")"),"Public welfare and volunteer service")</f>
        <v>Public welfare and volunteer service</v>
      </c>
      <c r="C6952" s="1" t="str">
        <f ca="1">IFERROR(__xludf.DUMMYFUNCTION("GOOGLETRANSLATE(E6952, ""zh"", ""en"")"),"Qualitative text")</f>
        <v>Qualitative text</v>
      </c>
    </row>
    <row r="6953" spans="1:3" ht="13" x14ac:dyDescent="0.15">
      <c r="A6953" s="1" t="str">
        <f ca="1">IFERROR(__xludf.DUMMYFUNCTION("GOOGLETRANSLATE(A6953, ""zh"", ""en"")"),"The greenway construction transforms the expressway into a slow lane, providing villagers with a safe sidewalk and tourists with a leisurely stroll. The station serves as both a public activity center for the village, selling and displaying agricultural p"&amp;"roducts, and is a convenient stop for tourists. Guided tours allow tourists to learn about surrounding attractions. The Rugui Highway is marked with portal signs at both ends, with art installations featuring different characteristics placed in different "&amp;"themed areas, creating multiple popular check-in spots.")</f>
        <v>The greenway construction transforms the expressway into a slow lane, providing villagers with a safe sidewalk and tourists with a leisurely stroll. The station serves as both a public activity center for the village, selling and displaying agricultural products, and is a convenient stop for tourists. Guided tours allow tourists to learn about surrounding attractions. The Rugui Highway is marked with portal signs at both ends, with art installations featuring different characteristics placed in different themed areas, creating multiple popular check-in spots.</v>
      </c>
      <c r="B6953" s="1" t="str">
        <f ca="1">IFERROR(__xludf.DUMMYFUNCTION("GOOGLETRANSLATE(A6953, ""zh"", ""en"")"),"Rural assistance")</f>
        <v>Rural assistance</v>
      </c>
      <c r="C6953" s="1" t="str">
        <f ca="1">IFERROR(__xludf.DUMMYFUNCTION("GOOGLETRANSLATE(E6953, ""zh"", ""en"")"),"Qualitative text")</f>
        <v>Qualitative text</v>
      </c>
    </row>
    <row r="6954" spans="1:3" ht="13" x14ac:dyDescent="0.15">
      <c r="A6954" s="1" t="str">
        <f ca="1">IFERROR(__xludf.DUMMYFUNCTION("GOOGLETRANSLATE(A6954, ""zh"", ""en"")"),"Greenway Planning Schematic, Greenway Demonstration Belt, Yaoke Square, Annual Feature 23, 2022 Sustainable Development Report, Demonstration Village Construction, Bibei Yao Village Theme Area and Bibei's Eight Scenic Spots, NOW Current Situation, EFFECT,"&amp;" Renovation Results. Bibei Village is an original Yao village. Vanke has carried out micro-renovations on the Yao village while preserving the original village's style. They have extracted Yao architectural elements, built a new Guoshan Yao Cultural Exhib"&amp;"ition Hall and a Village Center, improved boutique B&amp;Bs, and featured Yao cuisine experience halls and other tourism facilities. Simultaneously, rural infrastructure has been improved, including power expansion, network signal improvement, and drinking wa"&amp;"ter network expansion. The village entrance square has been renovated to create a rural public space.")</f>
        <v>Greenway Planning Schematic, Greenway Demonstration Belt, Yaoke Square, Annual Feature 23, 2022 Sustainable Development Report, Demonstration Village Construction, Bibei Yao Village Theme Area and Bibei's Eight Scenic Spots, NOW Current Situation, EFFECT, Renovation Results. Bibei Village is an original Yao village. Vanke has carried out micro-renovations on the Yao village while preserving the original village's style. They have extracted Yao architectural elements, built a new Guoshan Yao Cultural Exhibition Hall and a Village Center, improved boutique B&amp;Bs, and featured Yao cuisine experience halls and other tourism facilities. Simultaneously, rural infrastructure has been improved, including power expansion, network signal improvement, and drinking water network expansion. The village entrance square has been renovated to create a rural public space.</v>
      </c>
      <c r="B6954" s="1" t="str">
        <f ca="1">IFERROR(__xludf.DUMMYFUNCTION("GOOGLETRANSLATE(A6954, ""zh"", ""en"")"),"Rural assistance")</f>
        <v>Rural assistance</v>
      </c>
      <c r="C6954" s="1" t="str">
        <f ca="1">IFERROR(__xludf.DUMMYFUNCTION("GOOGLETRANSLATE(E6954, ""zh"", ""en"")"),"Qualitative text")</f>
        <v>Qualitative text</v>
      </c>
    </row>
    <row r="6955" spans="1:3" ht="13" x14ac:dyDescent="0.15">
      <c r="A6955" s="1" t="str">
        <f ca="1">IFERROR(__xludf.DUMMYFUNCTION("GOOGLETRANSLATE(A6955, ""zh"", ""en"")"),"In addition, along the Stream Tracing River that runs through the Yao Village theme area, Vanke has set up multiple rest and viewing spots along the way, forming eight must-see scenic spots to attract tourists to stop and further enhance the travel experi"&amp;"ence.")</f>
        <v>In addition, along the Stream Tracing River that runs through the Yao Village theme area, Vanke has set up multiple rest and viewing spots along the way, forming eight must-see scenic spots to attract tourists to stop and further enhance the travel experience.</v>
      </c>
      <c r="B6955" s="1" t="str">
        <f ca="1">IFERROR(__xludf.DUMMYFUNCTION("GOOGLETRANSLATE(A6955, ""zh"", ""en"")"),"Public welfare and volunteer service")</f>
        <v>Public welfare and volunteer service</v>
      </c>
      <c r="C6955" s="1" t="str">
        <f ca="1">IFERROR(__xludf.DUMMYFUNCTION("GOOGLETRANSLATE(E6955, ""zh"", ""en"")"),"Qualitative text")</f>
        <v>Qualitative text</v>
      </c>
    </row>
    <row r="6956" spans="1:3" ht="13" x14ac:dyDescent="0.15">
      <c r="A6956" s="1" t="str">
        <f ca="1">IFERROR(__xludf.DUMMYFUNCTION("GOOGLETRANSLATE(A6956, ""zh"", ""en"")"),"Renderings of the renovation of Shanshang Yao Village. Comparison of the renovation of Shanshang Yao Village before and after. VANKE Vanke 24 Education Revitalization Vanke Guixin Rural Education Support. The Vanke Guixin Rural Education Support Project w"&amp;"as launched in 2016 to focus on and support the professional development, physical and mental health, and professional awareness of rural teachers. It also promotes rural education through the donation of teaching facilities and related teaching practice "&amp;"support.")</f>
        <v>Renderings of the renovation of Shanshang Yao Village. Comparison of the renovation of Shanshang Yao Village before and after. VANKE Vanke 24 Education Revitalization Vanke Guixin Rural Education Support. The Vanke Guixin Rural Education Support Project was launched in 2016 to focus on and support the professional development, physical and mental health, and professional awareness of rural teachers. It also promotes rural education through the donation of teaching facilities and related teaching practice support.</v>
      </c>
      <c r="B6956" s="1" t="str">
        <f ca="1">IFERROR(__xludf.DUMMYFUNCTION("GOOGLETRANSLATE(A6956, ""zh"", ""en"")"),"Rural assistance")</f>
        <v>Rural assistance</v>
      </c>
      <c r="C6956" s="1" t="str">
        <f ca="1">IFERROR(__xludf.DUMMYFUNCTION("GOOGLETRANSLATE(E6956, ""zh"", ""en"")"),"Qualitative text")</f>
        <v>Qualitative text</v>
      </c>
    </row>
    <row r="6957" spans="1:3" ht="13" x14ac:dyDescent="0.15">
      <c r="A6957" s="1" t="str">
        <f ca="1">IFERROR(__xludf.DUMMYFUNCTION("GOOGLETRANSLATE(A6957, ""zh"", ""en"")"),"Over the past six years, Vanke has invested a total of RMB 15.38 million in Zhenfeng County, Guizhou Province, directly benefiting over 128,000 rural teachers and students.")</f>
        <v>Over the past six years, Vanke has invested a total of RMB 15.38 million in Zhenfeng County, Guizhou Province, directly benefiting over 128,000 rural teachers and students.</v>
      </c>
      <c r="B6957" s="1" t="str">
        <f ca="1">IFERROR(__xludf.DUMMYFUNCTION("GOOGLETRANSLATE(A6957, ""zh"", ""en"")"),"Rural assistance")</f>
        <v>Rural assistance</v>
      </c>
      <c r="C6957" s="1" t="str">
        <f ca="1">IFERROR(__xludf.DUMMYFUNCTION("GOOGLETRANSLATE(E6957, ""zh"", ""en"")"),"Quantitative Text")</f>
        <v>Quantitative Text</v>
      </c>
    </row>
    <row r="6958" spans="1:3" ht="13" x14ac:dyDescent="0.15">
      <c r="A6958" s="1" t="str">
        <f ca="1">IFERROR(__xludf.DUMMYFUNCTION("GOOGLETRANSLATE(A6958, ""zh"", ""en"")"),"In 2022, Vanke launched the County Rural Education Support Project based on its support for rural teachers. Over a four-year period from 2022 to 2025, the project aims to improve the county's rural education environment and fully stimulate the vitality of"&amp;" rural education in Yongshun County, Hunan Province through a series of projects such as the Guixin Bookstore, Guixin Science Classes, and Guixin Rural Teacher Support.")</f>
        <v>In 2022, Vanke launched the County Rural Education Support Project based on its support for rural teachers. Over a four-year period from 2022 to 2025, the project aims to improve the county's rural education environment and fully stimulate the vitality of rural education in Yongshun County, Hunan Province through a series of projects such as the Guixin Bookstore, Guixin Science Classes, and Guixin Rural Teacher Support.</v>
      </c>
      <c r="B6958" s="1" t="str">
        <f ca="1">IFERROR(__xludf.DUMMYFUNCTION("GOOGLETRANSLATE(A6958, ""zh"", ""en"")"),"Rural assistance")</f>
        <v>Rural assistance</v>
      </c>
      <c r="C6958" s="1" t="str">
        <f ca="1">IFERROR(__xludf.DUMMYFUNCTION("GOOGLETRANSLATE(E6958, ""zh"", ""en"")"),"Qualitative text")</f>
        <v>Qualitative text</v>
      </c>
    </row>
    <row r="6959" spans="1:3" ht="13" x14ac:dyDescent="0.15">
      <c r="A6959" s="1" t="str">
        <f ca="1">IFERROR(__xludf.DUMMYFUNCTION("GOOGLETRANSLATE(A6959, ""zh"", ""en"")"),"Supporting Rural Education: By the end of 2022, Vanke and Guixin have built 40 bookstores in Yongshun County, donated a total of 124,340 books, donated over 1,000 science experiment kits to 28 schools, provided 178 teacher training sessions, and provided "&amp;"health care funds or scholarships to 73 teachers or their children. A total of 73,447 rural teachers and students have benefited, donating RMB 120 million to external organizations. Supporting Zundao School Education: Vanke participated in post-disaster r"&amp;"econstruction efforts in Zundao, Sichuan in 2008. Zundao School, the first permanent building delivered in the disaster area, meets the earthquake resistance standard of magnitude 9.")</f>
        <v>Supporting Rural Education: By the end of 2022, Vanke and Guixin have built 40 bookstores in Yongshun County, donated a total of 124,340 books, donated over 1,000 science experiment kits to 28 schools, provided 178 teacher training sessions, and provided health care funds or scholarships to 73 teachers or their children. A total of 73,447 rural teachers and students have benefited, donating RMB 120 million to external organizations. Supporting Zundao School Education: Vanke participated in post-disaster reconstruction efforts in Zundao, Sichuan in 2008. Zundao School, the first permanent building delivered in the disaster area, meets the earthquake resistance standard of magnitude 9.</v>
      </c>
      <c r="B6959" s="1" t="str">
        <f ca="1">IFERROR(__xludf.DUMMYFUNCTION("GOOGLETRANSLATE(A6959, ""zh"", ""en"")"),"Rural assistance")</f>
        <v>Rural assistance</v>
      </c>
      <c r="C6959" s="1" t="str">
        <f ca="1">IFERROR(__xludf.DUMMYFUNCTION("GOOGLETRANSLATE(E6959, ""zh"", ""en"")"),"Quantitative Text")</f>
        <v>Quantitative Text</v>
      </c>
    </row>
    <row r="6960" spans="1:3" ht="13" x14ac:dyDescent="0.15">
      <c r="A6960" s="1" t="str">
        <f ca="1">IFERROR(__xludf.DUMMYFUNCTION("GOOGLETRANSLATE(A6960, ""zh"", ""en"")"),"In 2022, in the context of school system adjustments, Vanke introduced the OKR management method to the school, iterating the existing reward system to stimulate the vitality of the management team and teaching staff, and gradually build a model rural sch"&amp;"ool.")</f>
        <v>In 2022, in the context of school system adjustments, Vanke introduced the OKR management method to the school, iterating the existing reward system to stimulate the vitality of the management team and teaching staff, and gradually build a model rural school.</v>
      </c>
      <c r="B6960" s="1" t="str">
        <f ca="1">IFERROR(__xludf.DUMMYFUNCTION("GOOGLETRANSLATE(A6960, ""zh"", ""en"")"),"Promoting employment")</f>
        <v>Promoting employment</v>
      </c>
      <c r="C6960" s="1" t="str">
        <f ca="1">IFERROR(__xludf.DUMMYFUNCTION("GOOGLETRANSLATE(E6960, ""zh"", ""en"")"),"Qualitative text")</f>
        <v>Qualitative text</v>
      </c>
    </row>
    <row r="6961" spans="1:3" ht="13" x14ac:dyDescent="0.15">
      <c r="A6961" s="1" t="str">
        <f ca="1">IFERROR(__xludf.DUMMYFUNCTION("GOOGLETRANSLATE(A6961, ""zh"", ""en"")"),"Guixin Rural Education Support Event, Zundao School Education Support Event, Annual Feature 25, 2022 Sustainability Report, Shantou Education Infrastructure Development, Vanke responds to the National Rural Revitalization Strategy and supports Shenzhen's "&amp;"targeted assistance to Shantou. Funds pledged from the 2021 and 2022 provincial and municipal 630 Poverty Alleviation Day events will be combined to support education infrastructure development in Shantou. Specifically, nine public town center kindergarte"&amp;"ns will be donated in Shantou's Chenghai, Chaoyang, Chaonan, and Haojiang districts.")</f>
        <v>Guixin Rural Education Support Event, Zundao School Education Support Event, Annual Feature 25, 2022 Sustainability Report, Shantou Education Infrastructure Development, Vanke responds to the National Rural Revitalization Strategy and supports Shenzhen's targeted assistance to Shantou. Funds pledged from the 2021 and 2022 provincial and municipal 630 Poverty Alleviation Day events will be combined to support education infrastructure development in Shantou. Specifically, nine public town center kindergartens will be donated in Shantou's Chenghai, Chaoyang, Chaonan, and Haojiang districts.</v>
      </c>
      <c r="B6961" s="1" t="str">
        <f ca="1">IFERROR(__xludf.DUMMYFUNCTION("GOOGLETRANSLATE(A6961, ""zh"", ""en"")"),"Rural assistance")</f>
        <v>Rural assistance</v>
      </c>
      <c r="C6961" s="1" t="str">
        <f ca="1">IFERROR(__xludf.DUMMYFUNCTION("GOOGLETRANSLATE(E6961, ""zh"", ""en"")"),"Quantitative Text")</f>
        <v>Quantitative Text</v>
      </c>
    </row>
    <row r="6962" spans="1:3" ht="13" x14ac:dyDescent="0.15">
      <c r="A6962" s="1" t="str">
        <f ca="1">IFERROR(__xludf.DUMMYFUNCTION("GOOGLETRANSLATE(A6962, ""zh"", ""en"")"),"Blue Envelope Communication Ambassador Activity Sharing: Blue Envelope Communication Ambassadors support the development of Shantou's educational infrastructure. By the end of 2022, 368 employee volunteers had been paired one-on-one with rural children. A"&amp;" total of 4,065 letters were exchanged throughout the year, totaling approximately 2 million words. Vanke will use a total of 120 million yuan in pledged donations to donate to build nine public town center kindergartens, scheduled for completion and oper"&amp;"ation in the fall of 2023. Employee volunteers serve as communication ambassadors for rural children. In 2021, Vanke launched the Blue Envelope Communication Ambassadors group-level volunteer action project, primarily through long-term correspondence to a"&amp;"ccompany and encourage children's growth, focusing on the confusion and psychological needs of children during their growth process.")</f>
        <v>Blue Envelope Communication Ambassador Activity Sharing: Blue Envelope Communication Ambassadors support the development of Shantou's educational infrastructure. By the end of 2022, 368 employee volunteers had been paired one-on-one with rural children. A total of 4,065 letters were exchanged throughout the year, totaling approximately 2 million words. Vanke will use a total of 120 million yuan in pledged donations to donate to build nine public town center kindergartens, scheduled for completion and operation in the fall of 2023. Employee volunteers serve as communication ambassadors for rural children. In 2021, Vanke launched the Blue Envelope Communication Ambassadors group-level volunteer action project, primarily through long-term correspondence to accompany and encourage children's growth, focusing on the confusion and psychological needs of children during their growth process.</v>
      </c>
      <c r="B6962" s="1" t="str">
        <f ca="1">IFERROR(__xludf.DUMMYFUNCTION("GOOGLETRANSLATE(A6962, ""zh"", ""en"")"),"Public welfare and volunteer service")</f>
        <v>Public welfare and volunteer service</v>
      </c>
      <c r="C6962" s="1" t="str">
        <f ca="1">IFERROR(__xludf.DUMMYFUNCTION("GOOGLETRANSLATE(E6962, ""zh"", ""en"")"),"Quantitative Text")</f>
        <v>Quantitative Text</v>
      </c>
    </row>
    <row r="6963" spans="1:3" ht="13" x14ac:dyDescent="0.15">
      <c r="A6963" s="1" t="str">
        <f ca="1">IFERROR(__xludf.DUMMYFUNCTION("GOOGLETRANSLATE(A6963, ""zh"", ""en"")"),"In 2022, we launched three Blue Envelope Communication Ambassador volunteer activities, with 368 employee volunteers paired one-on-one with rural children from the Sichuan Zundao School, the Guizhou Zhenfeng County No. 7 Primary School, and the Guizhou Zh"&amp;"enfeng County No. 10 Primary School, to guide their healthy and happy growth.")</f>
        <v>In 2022, we launched three Blue Envelope Communication Ambassador volunteer activities, with 368 employee volunteers paired one-on-one with rural children from the Sichuan Zundao School, the Guizhou Zhenfeng County No. 7 Primary School, and the Guizhou Zhenfeng County No. 10 Primary School, to guide their healthy and happy growth.</v>
      </c>
      <c r="B6963" s="1" t="str">
        <f ca="1">IFERROR(__xludf.DUMMYFUNCTION("GOOGLETRANSLATE(A6963, ""zh"", ""en"")"),"Public welfare and volunteer service")</f>
        <v>Public welfare and volunteer service</v>
      </c>
      <c r="C6963" s="1" t="str">
        <f ca="1">IFERROR(__xludf.DUMMYFUNCTION("GOOGLETRANSLATE(E6963, ""zh"", ""en"")"),"Quantitative Text")</f>
        <v>Quantitative Text</v>
      </c>
    </row>
    <row r="6964" spans="1:3" ht="13" x14ac:dyDescent="0.15">
      <c r="A6964" s="1" t="str">
        <f ca="1">IFERROR(__xludf.DUMMYFUNCTION("GOOGLETRANSLATE(A6964, ""zh"", ""en"")"),"VANKE Vanke 26 Sustainable Landscapes Xiankeng Village 13570233759zhiqiang.chengreencitycenter.org Beautiful Village Xiankeng Village, Kanghe Town, Dongyuan County, Heyuan City, Guangdong Province. Vanke also promotes the sustainable development of rural "&amp;"environment, culture, and communities by focusing on industrial empowerment, exploring local culture, and cultivating rural customs. It also initiates waste sorting and sustainable management projects in rural areas, explores business-society partnership "&amp;"models, and actively supports the construction of beautiful new villages that are ecologically livable.")</f>
        <v>VANKE Vanke 26 Sustainable Landscapes Xiankeng Village 13570233759zhiqiang.chengreencitycenter.org Beautiful Village Xiankeng Village, Kanghe Town, Dongyuan County, Heyuan City, Guangdong Province. Vanke also promotes the sustainable development of rural environment, culture, and communities by focusing on industrial empowerment, exploring local culture, and cultivating rural customs. It also initiates waste sorting and sustainable management projects in rural areas, explores business-society partnership models, and actively supports the construction of beautiful new villages that are ecologically livable.</v>
      </c>
      <c r="B6964" s="1" t="str">
        <f ca="1">IFERROR(__xludf.DUMMYFUNCTION("GOOGLETRANSLATE(A6964, ""zh"", ""en"")"),"Rural assistance")</f>
        <v>Rural assistance</v>
      </c>
      <c r="C6964" s="1" t="str">
        <f ca="1">IFERROR(__xludf.DUMMYFUNCTION("GOOGLETRANSLATE(E6964, ""zh"", ""en"")"),"Qualitative text")</f>
        <v>Qualitative text</v>
      </c>
    </row>
    <row r="6965" spans="1:3" ht="13" x14ac:dyDescent="0.15">
      <c r="A6965" s="1" t="str">
        <f ca="1">IFERROR(__xludf.DUMMYFUNCTION("GOOGLETRANSLATE(A6965, ""zh"", ""en"")"),"Vanke's Vibrant Villages Project focuses on sustainable community waste management, rural cultural development, and community self-organizing capacity building. It has selected Xiankeng Village in Dongyuan Town, Heyuan City, Guangdong Province, and Xiapu "&amp;"Village in Lufeng City as pilot projects to further explore and empower local resources, making good use of community space and cultural resources to continuously respond to the diverse development needs of local communities in an environmentally friendly"&amp;" manner. While effectively supporting the smooth transition of relevant villages from poverty alleviation to rural revitalization, it has gradually explored a business-community cooperation model where corporate hardware takes the lead and social services"&amp;" follow.")</f>
        <v>Vanke's Vibrant Villages Project focuses on sustainable community waste management, rural cultural development, and community self-organizing capacity building. It has selected Xiankeng Village in Dongyuan Town, Heyuan City, Guangdong Province, and Xiapu Village in Lufeng City as pilot projects to further explore and empower local resources, making good use of community space and cultural resources to continuously respond to the diverse development needs of local communities in an environmentally friendly manner. While effectively supporting the smooth transition of relevant villages from poverty alleviation to rural revitalization, it has gradually explored a business-community cooperation model where corporate hardware takes the lead and social services follow.</v>
      </c>
      <c r="B6965" s="1" t="str">
        <f ca="1">IFERROR(__xludf.DUMMYFUNCTION("GOOGLETRANSLATE(A6965, ""zh"", ""en"")"),"Waste Management")</f>
        <v>Waste Management</v>
      </c>
      <c r="C6965" s="1" t="str">
        <f ca="1">IFERROR(__xludf.DUMMYFUNCTION("GOOGLETRANSLATE(E6965, ""zh"", ""en"")"),"Qualitative text")</f>
        <v>Qualitative text</v>
      </c>
    </row>
    <row r="6966" spans="1:3" ht="13" x14ac:dyDescent="0.15">
      <c r="A6966" s="1" t="str">
        <f ca="1">IFERROR(__xludf.DUMMYFUNCTION("GOOGLETRANSLATE(A6966, ""zh"", ""en"")"),"The story of the Xiapu Women's Charity Service Team and ""Between Mountains and Seas, Believing in the Power of Sustainability"" were showcased at the United Nations Climate Change Conference (COP27) in Sharm el-Sheikh, Egypt. The Xiankeng Village Rural R"&amp;"evitalization Action Story and the Exploration of Sustainable Development in Rural Communities in Xiankeng Village were published in full on the Southern Platform.")</f>
        <v>The story of the Xiapu Women's Charity Service Team and "Between Mountains and Seas, Believing in the Power of Sustainability" were showcased at the United Nations Climate Change Conference (COP27) in Sharm el-Sheikh, Egypt. The Xiankeng Village Rural Revitalization Action Story and the Exploration of Sustainable Development in Rural Communities in Xiankeng Village were published in full on the Southern Platform.</v>
      </c>
      <c r="B6966" s="1" t="str">
        <f ca="1">IFERROR(__xludf.DUMMYFUNCTION("GOOGLETRANSLATE(A6966, ""zh"", ""en"")"),"Addressing climate change")</f>
        <v>Addressing climate change</v>
      </c>
      <c r="C6966" s="1" t="str">
        <f ca="1">IFERROR(__xludf.DUMMYFUNCTION("GOOGLETRANSLATE(E6966, ""zh"", ""en"")"),"Qualitative text")</f>
        <v>Qualitative text</v>
      </c>
    </row>
    <row r="6967" spans="1:3" ht="13" x14ac:dyDescent="0.15">
      <c r="A6967" s="1" t="str">
        <f ca="1">IFERROR(__xludf.DUMMYFUNCTION("GOOGLETRANSLATE(A6967, ""zh"", ""en"")"),"Xiankeng Village's Sustainable Landscape and Vitality; Xiankeng Plan Annual Feature 27; 2022 Sustainability Report; Jiulong Town Sustainable Waste Management Project; Jiulong Town Sustainable Waste Management Project; Vanke's Jiulong Town Sustainable Wast"&amp;"e Management Project focuses on two key areas: the community and the school. Through the development of environmental education spaces, the discovery and cultivation of local resources, and environmental education activities, Vanke collaborates with schoo"&amp;"ls and communities to promote sustainable waste management.")</f>
        <v>Xiankeng Village's Sustainable Landscape and Vitality; Xiankeng Plan Annual Feature 27; 2022 Sustainability Report; Jiulong Town Sustainable Waste Management Project; Jiulong Town Sustainable Waste Management Project; Vanke's Jiulong Town Sustainable Waste Management Project focuses on two key areas: the community and the school. Through the development of environmental education spaces, the discovery and cultivation of local resources, and environmental education activities, Vanke collaborates with schools and communities to promote sustainable waste management.</v>
      </c>
      <c r="B6967" s="1" t="str">
        <f ca="1">IFERROR(__xludf.DUMMYFUNCTION("GOOGLETRANSLATE(A6967, ""zh"", ""en"")"),"Waste Management")</f>
        <v>Waste Management</v>
      </c>
      <c r="C6967" s="1" t="str">
        <f ca="1">IFERROR(__xludf.DUMMYFUNCTION("GOOGLETRANSLATE(E6967, ""zh"", ""en"")"),"Qualitative text")</f>
        <v>Qualitative text</v>
      </c>
    </row>
    <row r="6968" spans="1:3" ht="13" x14ac:dyDescent="0.15">
      <c r="A6968" s="1" t="str">
        <f ca="1">IFERROR(__xludf.DUMMYFUNCTION("GOOGLETRANSLATE(A6968, ""zh"", ""en"")"),"By the end of 2022, the project will have built a multifunctional environmental education base and a team of garbage sorting instructors to provide environmental education to local youth and community residents, and effectively connect with community scho"&amp;"ols and judicial departments and other public institutions to support the base's daily operations.")</f>
        <v>By the end of 2022, the project will have built a multifunctional environmental education base and a team of garbage sorting instructors to provide environmental education to local youth and community residents, and effectively connect with community schools and judicial departments and other public institutions to support the base's daily operations.</v>
      </c>
      <c r="B6968" s="1" t="str">
        <f ca="1">IFERROR(__xludf.DUMMYFUNCTION("GOOGLETRANSLATE(A6968, ""zh"", ""en"")"),"Waste Management")</f>
        <v>Waste Management</v>
      </c>
      <c r="C6968" s="1" t="str">
        <f ca="1">IFERROR(__xludf.DUMMYFUNCTION("GOOGLETRANSLATE(E6968, ""zh"", ""en"")"),"Qualitative text")</f>
        <v>Qualitative text</v>
      </c>
    </row>
    <row r="6969" spans="1:3" ht="13" x14ac:dyDescent="0.15">
      <c r="A6969" s="1" t="str">
        <f ca="1">IFERROR(__xludf.DUMMYFUNCTION("GOOGLETRANSLATE(A6969, ""zh"", ""en"")"),"The pilot communities have processed a total of 113.15 tons of food waste for resource recovery. VANKE Vanke 28 Operational Practices Our Strategy Sustainable Development Management Compliance Operations Good Products and Good Services Operational Practic"&amp;"es 29 2022 Sustainability Report VANKE Vanke 30 Our Strategic Philosophy Adhering to our mission of creating real and long-term value for the broadest range of stakeholders, Vanke is committed to a path of sustainable long-term development, integrating th"&amp;"e concept of sustainable development into the entire process of the company's operations, management, product development, and service provision.")</f>
        <v>The pilot communities have processed a total of 113.15 tons of food waste for resource recovery. VANKE Vanke 28 Operational Practices Our Strategy Sustainable Development Management Compliance Operations Good Products and Good Services Operational Practices 29 2022 Sustainability Report VANKE Vanke 30 Our Strategic Philosophy Adhering to our mission of creating real and long-term value for the broadest range of stakeholders, Vanke is committed to a path of sustainable long-term development, integrating the concept of sustainable development into the entire process of the company's operations, management, product development, and service provision.</v>
      </c>
      <c r="B6969" s="1" t="str">
        <f ca="1">IFERROR(__xludf.DUMMYFUNCTION("GOOGLETRANSLATE(A6969, ""zh"", ""en"")"),"Waste Management")</f>
        <v>Waste Management</v>
      </c>
      <c r="C6969" s="1" t="str">
        <f ca="1">IFERROR(__xludf.DUMMYFUNCTION("GOOGLETRANSLATE(E6969, ""zh"", ""en"")"),"Quantitative Text")</f>
        <v>Quantitative Text</v>
      </c>
    </row>
    <row r="6970" spans="1:3" ht="13" x14ac:dyDescent="0.15">
      <c r="A6970" s="1" t="str">
        <f ca="1">IFERROR(__xludf.DUMMYFUNCTION("GOOGLETRANSLATE(A6970, ""zh"", ""en"")"),"We practice compliance governance, attach importance to business ethics management and construction, and achieve Vanke's quality with good products and services")</f>
        <v>We practice compliance governance, attach importance to business ethics management and construction, and achieve Vanke's quality with good products and services</v>
      </c>
      <c r="B6970" s="1" t="str">
        <f ca="1">IFERROR(__xludf.DUMMYFUNCTION("GOOGLETRANSLATE(A6970, ""zh"", ""en"")"),"Product quality")</f>
        <v>Product quality</v>
      </c>
      <c r="C6970" s="1" t="str">
        <f ca="1">IFERROR(__xludf.DUMMYFUNCTION("GOOGLETRANSLATE(E6970, ""zh"", ""en"")"),"Qualitative text")</f>
        <v>Qualitative text</v>
      </c>
    </row>
    <row r="6971" spans="1:3" ht="13" x14ac:dyDescent="0.15">
      <c r="A6971" s="1" t="str">
        <f ca="1">IFERROR(__xludf.DUMMYFUNCTION("GOOGLETRANSLATE(A6971, ""zh"", ""en"")"),"Goals and Progress Customer Satisfaction Customer Service SCPG will continue to optimize barrier-free facilities and customer experience in the future")</f>
        <v>Goals and Progress Customer Satisfaction Customer Service SCPG will continue to optimize barrier-free facilities and customer experience in the future</v>
      </c>
      <c r="B6971" s="1" t="str">
        <f ca="1">IFERROR(__xludf.DUMMYFUNCTION("GOOGLETRANSLATE(A6971, ""zh"", ""en"")"),"Customers and Consumers")</f>
        <v>Customers and Consumers</v>
      </c>
      <c r="C6971" s="1" t="str">
        <f ca="1">IFERROR(__xludf.DUMMYFUNCTION("GOOGLETRANSLATE(E6971, ""zh"", ""en"")"),"Qualitative text")</f>
        <v>Qualitative text</v>
      </c>
    </row>
    <row r="6972" spans="1:3" ht="13" x14ac:dyDescent="0.15">
      <c r="A6972" s="1" t="str">
        <f ca="1">IFERROR(__xludf.DUMMYFUNCTION("GOOGLETRANSLATE(A6972, ""zh"", ""en"")"),"The overall customer satisfaction score in 2022 was 91.24 points")</f>
        <v>The overall customer satisfaction score in 2022 was 91.24 points</v>
      </c>
      <c r="B6972" s="1" t="str">
        <f ca="1">IFERROR(__xludf.DUMMYFUNCTION("GOOGLETRANSLATE(A6972, ""zh"", ""en"")"),"Customers and Consumers")</f>
        <v>Customers and Consumers</v>
      </c>
      <c r="C6972" s="1" t="str">
        <f ca="1">IFERROR(__xludf.DUMMYFUNCTION("GOOGLETRANSLATE(E6972, ""zh"", ""en"")"),"Quantitative Text")</f>
        <v>Quantitative Text</v>
      </c>
    </row>
    <row r="6973" spans="1:3" ht="13" x14ac:dyDescent="0.15">
      <c r="A6973" s="1" t="str">
        <f ca="1">IFERROR(__xludf.DUMMYFUNCTION("GOOGLETRANSLATE(A6973, ""zh"", ""en"")"),"Parkview strives to maintain an overall customer satisfaction score of 90 points or above")</f>
        <v>Parkview strives to maintain an overall customer satisfaction score of 90 points or above</v>
      </c>
      <c r="B6973" s="1" t="str">
        <f ca="1">IFERROR(__xludf.DUMMYFUNCTION("GOOGLETRANSLATE(A6973, ""zh"", ""en"")"),"Customers and Consumers")</f>
        <v>Customers and Consumers</v>
      </c>
      <c r="C6973" s="1" t="str">
        <f ca="1">IFERROR(__xludf.DUMMYFUNCTION("GOOGLETRANSLATE(E6973, ""zh"", ""en"")"),"Quantitative Text")</f>
        <v>Quantitative Text</v>
      </c>
    </row>
    <row r="6974" spans="1:3" ht="13" x14ac:dyDescent="0.15">
      <c r="A6974" s="1" t="str">
        <f ca="1">IFERROR(__xludf.DUMMYFUNCTION("GOOGLETRANSLATE(A6974, ""zh"", ""en"")"),"Logistics customer satisfaction will continue to remain above 95% with 2021 as the base year")</f>
        <v>Logistics customer satisfaction will continue to remain above 95% with 2021 as the base year</v>
      </c>
      <c r="B6974" s="1" t="str">
        <f ca="1">IFERROR(__xludf.DUMMYFUNCTION("GOOGLETRANSLATE(A6974, ""zh"", ""en"")"),"Customers and Consumers")</f>
        <v>Customers and Consumers</v>
      </c>
      <c r="C6974" s="1" t="str">
        <f ca="1">IFERROR(__xludf.DUMMYFUNCTION("GOOGLETRANSLATE(E6974, ""zh"", ""en"")"),"Quantitative Text")</f>
        <v>Quantitative Text</v>
      </c>
    </row>
    <row r="6975" spans="1:3" ht="13" x14ac:dyDescent="0.15">
      <c r="A6975" s="1" t="str">
        <f ca="1">IFERROR(__xludf.DUMMYFUNCTION("GOOGLETRANSLATE(A6975, ""zh"", ""en"")"),"Continuously improve external barrier-free access and internal barrier-free facilities to provide diversified quality services")</f>
        <v>Continuously improve external barrier-free access and internal barrier-free facilities to provide diversified quality services</v>
      </c>
      <c r="B6975" s="1" t="str">
        <f ca="1">IFERROR(__xludf.DUMMYFUNCTION("GOOGLETRANSLATE(A6975, ""zh"", ""en"")"),"irrelevant text")</f>
        <v>irrelevant text</v>
      </c>
      <c r="C6975" s="1" t="str">
        <f ca="1">IFERROR(__xludf.DUMMYFUNCTION("GOOGLETRANSLATE(E6975, ""zh"", ""en"")"),"irrelevant text")</f>
        <v>irrelevant text</v>
      </c>
    </row>
    <row r="6976" spans="1:3" ht="13" x14ac:dyDescent="0.15">
      <c r="A6976" s="1" t="str">
        <f ca="1">IFERROR(__xludf.DUMMYFUNCTION("GOOGLETRANSLATE(A6976, ""zh"", ""en"")"),"Target Progress 100100100 We are committed to providing customers with good products and services. In 2023, the company will continue to deepen the AI ​​automatic early warning platform and gradually connect it to various businesses to achieve automatic i"&amp;"dentification and early disposal of risk issues, promote problem resolution and enhance customer experience.")</f>
        <v>Target Progress 100100100 We are committed to providing customers with good products and services. In 2023, the company will continue to deepen the AI ​​automatic early warning platform and gradually connect it to various businesses to achieve automatic identification and early disposal of risk issues, promote problem resolution and enhance customer experience.</v>
      </c>
      <c r="B6976" s="1" t="str">
        <f ca="1">IFERROR(__xludf.DUMMYFUNCTION("GOOGLETRANSLATE(A6976, ""zh"", ""en"")"),"Customers and Consumers")</f>
        <v>Customers and Consumers</v>
      </c>
      <c r="C6976" s="1" t="str">
        <f ca="1">IFERROR(__xludf.DUMMYFUNCTION("GOOGLETRANSLATE(E6976, ""zh"", ""en"")"),"Qualitative text")</f>
        <v>Qualitative text</v>
      </c>
    </row>
    <row r="6977" spans="1:3" ht="13" x14ac:dyDescent="0.15">
      <c r="A6977" s="1" t="str">
        <f ca="1">IFERROR(__xludf.DUMMYFUNCTION("GOOGLETRANSLATE(A6977, ""zh"", ""en"")"),"Business Philosophy 31 2022 Sustainability Report Sustainable Development Management Vanke has been actively practicing the concept of sustainable development and continuously optimizing ESG management. We regularly review the Group's ESG performance, for"&amp;"mulate relevant ESG strategies and policies, conduct research on specific ESG issues, and gradually enhance our ESG management capabilities and practices.")</f>
        <v>Business Philosophy 31 2022 Sustainability Report Sustainable Development Management Vanke has been actively practicing the concept of sustainable development and continuously optimizing ESG management. We regularly review the Group's ESG performance, formulate relevant ESG strategies and policies, conduct research on specific ESG issues, and gradually enhance our ESG management capabilities and practices.</v>
      </c>
      <c r="B6977" s="1" t="str">
        <f ca="1">IFERROR(__xludf.DUMMYFUNCTION("GOOGLETRANSLATE(A6977, ""zh"", ""en"")"),"Sustainable certification")</f>
        <v>Sustainable certification</v>
      </c>
      <c r="C6977" s="1" t="str">
        <f ca="1">IFERROR(__xludf.DUMMYFUNCTION("GOOGLETRANSLATE(E6977, ""zh"", ""en"")"),"Qualitative text")</f>
        <v>Qualitative text</v>
      </c>
    </row>
    <row r="6978" spans="1:3" ht="13" x14ac:dyDescent="0.15">
      <c r="A6978" s="1" t="str">
        <f ca="1">IFERROR(__xludf.DUMMYFUNCTION("GOOGLETRANSLATE(A6978, ""zh"", ""en"")"),"Corporate philosophy and strategic positioning: Vanke is strategically positioned as an urban construction service provider. In the fields of real estate development, property services, logistics and warehousing services, leasing, residential, commercial "&amp;"development and operations, Vanke actively provides customers with diversified products and services for a better life and develops in tandem with the city.")</f>
        <v>Corporate philosophy and strategic positioning: Vanke is strategically positioned as an urban construction service provider. In the fields of real estate development, property services, logistics and warehousing services, leasing, residential, commercial development and operations, Vanke actively provides customers with diversified products and services for a better life and develops in tandem with the city.</v>
      </c>
      <c r="B6978" s="1" t="str">
        <f ca="1">IFERROR(__xludf.DUMMYFUNCTION("GOOGLETRANSLATE(A6978, ""zh"", ""en"")"),"Customers and Consumers")</f>
        <v>Customers and Consumers</v>
      </c>
      <c r="C6978" s="1" t="str">
        <f ca="1">IFERROR(__xludf.DUMMYFUNCTION("GOOGLETRANSLATE(E6978, ""zh"", ""en"")"),"Qualitative text")</f>
        <v>Qualitative text</v>
      </c>
    </row>
    <row r="6979" spans="1:3" ht="13" x14ac:dyDescent="0.15">
      <c r="A6979" s="1" t="str">
        <f ca="1">IFERROR(__xludf.DUMMYFUNCTION("GOOGLETRANSLATE(A6979, ""zh"", ""en"")"),"The great way is of course the humanistic spirit, market principles, partnership, striving, consensus, co-creation, co-sharing and sharing. Create more long-term real value for the vast majority of stakeholders. Take the people's better life as our own re"&amp;"sponsibility, lead the way with high-quality development, and be a good enterprise and urban construction service provider in the great new era. Core values, business mission, business vision and strategic positioning VANKE Vanke 32 Sustainable Developmen"&amp;"t Governance Vanke has established an ESG management system, set up an ESG governance structure from the board of directors to the ESG executive team, clarified the responsibilities and division of labor of each management level, and effectively promoted "&amp;"Vanke Group's ESG governance work.")</f>
        <v>The great way is of course the humanistic spirit, market principles, partnership, striving, consensus, co-creation, co-sharing and sharing. Create more long-term real value for the vast majority of stakeholders. Take the people's better life as our own responsibility, lead the way with high-quality development, and be a good enterprise and urban construction service provider in the great new era. Core values, business mission, business vision and strategic positioning VANKE Vanke 32 Sustainable Development Governance Vanke has established an ESG management system, set up an ESG governance structure from the board of directors to the ESG executive team, clarified the responsibilities and division of labor of each management level, and effectively promoted Vanke Group's ESG governance work.</v>
      </c>
      <c r="B6979" s="1" t="str">
        <f ca="1">IFERROR(__xludf.DUMMYFUNCTION("GOOGLETRANSLATE(A6979, ""zh"", ""en"")"),"Organizational structure and operations")</f>
        <v>Organizational structure and operations</v>
      </c>
      <c r="C6979" s="1" t="str">
        <f ca="1">IFERROR(__xludf.DUMMYFUNCTION("GOOGLETRANSLATE(E6979, ""zh"", ""en"")"),"Qualitative text")</f>
        <v>Qualitative text</v>
      </c>
    </row>
    <row r="6980" spans="1:3" ht="13" x14ac:dyDescent="0.15">
      <c r="A6980" s="1" t="str">
        <f ca="1">IFERROR(__xludf.DUMMYFUNCTION("GOOGLETRANSLATE(A6980, ""zh"", ""en"")"),"Governance Structure and Responsibilities Organization Role Composition Responsibilities Board of Directors Decision-making Body Board Members 1. Determine the company's ESG management structure and management strategy 2. Ensure the establishment of appro"&amp;"priate and effective ESG risk management and internal monitoring systems 3. Listen to discussions on important ESG issues and monitor progress towards ESG goals 4. Review and approve the company's ESG annual report")</f>
        <v>Governance Structure and Responsibilities Organization Role Composition Responsibilities Board of Directors Decision-making Body Board Members 1. Determine the company's ESG management structure and management strategy 2. Ensure the establishment of appropriate and effective ESG risk management and internal monitoring systems 3. Listen to discussions on important ESG issues and monitor progress towards ESG goals 4. Review and approve the company's ESG annual report</v>
      </c>
      <c r="B6980" s="1" t="str">
        <f ca="1">IFERROR(__xludf.DUMMYFUNCTION("GOOGLETRANSLATE(A6980, ""zh"", ""en"")"),"Organizational structure and operations")</f>
        <v>Organizational structure and operations</v>
      </c>
      <c r="C6980" s="1" t="str">
        <f ca="1">IFERROR(__xludf.DUMMYFUNCTION("GOOGLETRANSLATE(E6980, ""zh"", ""en"")"),"Qualitative text")</f>
        <v>Qualitative text</v>
      </c>
    </row>
    <row r="6981" spans="1:3" ht="13" x14ac:dyDescent="0.15">
      <c r="A6981" s="1" t="str">
        <f ca="1">IFERROR(__xludf.DUMMYFUNCTION("GOOGLETRANSLATE(A6981, ""zh"", ""en"")"),"The ESG Working Committee is managed by the Board of Directors. The Chairman of the Board of Directors serves as the Director and the Secretary of the Board of Directors serves as the Deputy Director.")</f>
        <v>The ESG Working Committee is managed by the Board of Directors. The Chairman of the Board of Directors serves as the Director and the Secretary of the Board of Directors serves as the Deputy Director.</v>
      </c>
      <c r="B6981" s="1" t="str">
        <f ca="1">IFERROR(__xludf.DUMMYFUNCTION("GOOGLETRANSLATE(A6981, ""zh"", ""en"")"),"Organizational structure and operations")</f>
        <v>Organizational structure and operations</v>
      </c>
      <c r="C6981" s="1" t="str">
        <f ca="1">IFERROR(__xludf.DUMMYFUNCTION("GOOGLETRANSLATE(E6981, ""zh"", ""en"")"),"Qualitative text")</f>
        <v>Qualitative text</v>
      </c>
    </row>
    <row r="6982" spans="1:3" ht="13" x14ac:dyDescent="0.15">
      <c r="A6982" s="1" t="str">
        <f ca="1">IFERROR(__xludf.DUMMYFUNCTION("GOOGLETRANSLATE(A6982, ""zh"", ""en"")"),"Other members include those responsible for relevant functions and the BGBU. 1. Confirm the results of internal and external materiality assessments. 2. Determine ESG management objectives, policies, and implementation paths. 3. Confirm the assessed and i"&amp;"dentified ESG-related risks and opportunities. 4. Determine ESG-related management systems and work processes. 5. Determine the ESG work plan and evaluate the completion of the work. 6. Conduct a preliminary review of the ESG report and submit it to the c"&amp;"ompany's board of directors for review. 7. Manage other ESG-related matters of the company.")</f>
        <v>Other members include those responsible for relevant functions and the BGBU. 1. Confirm the results of internal and external materiality assessments. 2. Determine ESG management objectives, policies, and implementation paths. 3. Confirm the assessed and identified ESG-related risks and opportunities. 4. Determine ESG-related management systems and work processes. 5. Determine the ESG work plan and evaluate the completion of the work. 6. Conduct a preliminary review of the ESG report and submit it to the company's board of directors for review. 7. Manage other ESG-related matters of the company.</v>
      </c>
      <c r="B6982" s="1" t="str">
        <f ca="1">IFERROR(__xludf.DUMMYFUNCTION("GOOGLETRANSLATE(A6982, ""zh"", ""en"")"),"Organizational structure and operations")</f>
        <v>Organizational structure and operations</v>
      </c>
      <c r="C6982" s="1" t="str">
        <f ca="1">IFERROR(__xludf.DUMMYFUNCTION("GOOGLETRANSLATE(E6982, ""zh"", ""en"")"),"Qualitative text")</f>
        <v>Qualitative text</v>
      </c>
    </row>
    <row r="6983" spans="1:3" ht="13" x14ac:dyDescent="0.15">
      <c r="A6983" s="1" t="str">
        <f ca="1">IFERROR(__xludf.DUMMYFUNCTION("GOOGLETRANSLATE(A6983, ""zh"", ""en"")"),"The ESG Implementation Team is composed of ESG liaisons from relevant functions and the BGBU. Specific members are designated by the heads of relevant functions and the BGBU. 1. Conduct internal and external materiality assessments. 2. Prepare the company"&amp;"'s annual ESG report. 3. Evaluate and identify ESG-related risks and opportunities. 4. Assess the gap between the company's ESG work and the standards and best practices of advanced peers in the two exchanges. Develop improvement plans and promote their i"&amp;"mplementation. 5. Implement annual work content according to ESG management objectives. 6. Implement resolutions of the ESG Working Committee and other tasks assigned by it.")</f>
        <v>The ESG Implementation Team is composed of ESG liaisons from relevant functions and the BGBU. Specific members are designated by the heads of relevant functions and the BGBU. 1. Conduct internal and external materiality assessments. 2. Prepare the company's annual ESG report. 3. Evaluate and identify ESG-related risks and opportunities. 4. Assess the gap between the company's ESG work and the standards and best practices of advanced peers in the two exchanges. Develop improvement plans and promote their implementation. 5. Implement annual work content according to ESG management objectives. 6. Implement resolutions of the ESG Working Committee and other tasks assigned by it.</v>
      </c>
      <c r="B6983" s="1" t="str">
        <f ca="1">IFERROR(__xludf.DUMMYFUNCTION("GOOGLETRANSLATE(A6983, ""zh"", ""en"")"),"Organizational structure and operations")</f>
        <v>Organizational structure and operations</v>
      </c>
      <c r="C6983" s="1" t="str">
        <f ca="1">IFERROR(__xludf.DUMMYFUNCTION("GOOGLETRANSLATE(E6983, ""zh"", ""en"")"),"Qualitative text")</f>
        <v>Qualitative text</v>
      </c>
    </row>
    <row r="6984" spans="1:3" ht="13" x14ac:dyDescent="0.15">
      <c r="A6984" s="1" t="str">
        <f ca="1">IFERROR(__xludf.DUMMYFUNCTION("GOOGLETRANSLATE(A6984, ""zh"", ""en"")"),"Operations management promotes the concept of sustainable development to employees and works with them to create a low-carbon, environmentally friendly, diverse and inclusive workplace. In 2022, we will conduct two sustainable development-related training"&amp;" sessions for headquarters and business unit management staff and other relevant personnel. The training topics cover sustainable development trends, share important topics, management, and data management, etc., to enhance employee participation and awar"&amp;"eness of sustainable development.")</f>
        <v>Operations management promotes the concept of sustainable development to employees and works with them to create a low-carbon, environmentally friendly, diverse and inclusive workplace. In 2022, we will conduct two sustainable development-related training sessions for headquarters and business unit management staff and other relevant personnel. The training topics cover sustainable development trends, share important topics, management, and data management, etc., to enhance employee participation and awareness of sustainable development.</v>
      </c>
      <c r="B6984" s="1" t="str">
        <f ca="1">IFERROR(__xludf.DUMMYFUNCTION("GOOGLETRANSLATE(A6984, ""zh"", ""en"")"),"staff")</f>
        <v>staff</v>
      </c>
      <c r="C6984" s="1" t="str">
        <f ca="1">IFERROR(__xludf.DUMMYFUNCTION("GOOGLETRANSLATE(E6984, ""zh"", ""en"")"),"Qualitative text")</f>
        <v>Qualitative text</v>
      </c>
    </row>
    <row r="6985" spans="1:3" ht="13" x14ac:dyDescent="0.15">
      <c r="A6985" s="1" t="str">
        <f ca="1">IFERROR(__xludf.DUMMYFUNCTION("GOOGLETRANSLATE(A6985, ""zh"", ""en"")"),"Employee engagement to integrate sustainability-related risks, such as climate risks, into enterprise risk management")</f>
        <v>Employee engagement to integrate sustainability-related risks, such as climate risks, into enterprise risk management</v>
      </c>
      <c r="B6985" s="1" t="str">
        <f ca="1">IFERROR(__xludf.DUMMYFUNCTION("GOOGLETRANSLATE(A6985, ""zh"", ""en"")"),"Addressing climate change")</f>
        <v>Addressing climate change</v>
      </c>
      <c r="C6985" s="1" t="str">
        <f ca="1">IFERROR(__xludf.DUMMYFUNCTION("GOOGLETRANSLATE(E6985, ""zh"", ""en"")"),"Qualitative text")</f>
        <v>Qualitative text</v>
      </c>
    </row>
    <row r="6986" spans="1:3" ht="13" x14ac:dyDescent="0.15">
      <c r="A6986" s="1" t="str">
        <f ca="1">IFERROR(__xludf.DUMMYFUNCTION("GOOGLETRANSLATE(A6986, ""zh"", ""en"")"),"Risk management communicates with stakeholders such as government, shareholders, customers, and non-profit organizations through various means to respond to their expectations and requirements.")</f>
        <v>Risk management communicates with stakeholders such as government, shareholders, customers, and non-profit organizations through various means to respond to their expectations and requirements.</v>
      </c>
      <c r="B6986" s="1" t="str">
        <f ca="1">IFERROR(__xludf.DUMMYFUNCTION("GOOGLETRANSLATE(A6986, ""zh"", ""en"")"),"Information Disclosure and Investor Communication")</f>
        <v>Information Disclosure and Investor Communication</v>
      </c>
      <c r="C6986" s="1" t="str">
        <f ca="1">IFERROR(__xludf.DUMMYFUNCTION("GOOGLETRANSLATE(E6986, ""zh"", ""en"")"),"Qualitative text")</f>
        <v>Qualitative text</v>
      </c>
    </row>
    <row r="6987" spans="1:3" ht="13" x14ac:dyDescent="0.15">
      <c r="A6987" s="1" t="str">
        <f ca="1">IFERROR(__xludf.DUMMYFUNCTION("GOOGLETRANSLATE(A6987, ""zh"", ""en"")"),"Release of the annual sustainability report actively responds to the concerns of various stakeholders and comprehensively showcases Vanke's annual sustainability performance")</f>
        <v>Release of the annual sustainability report actively responds to the concerns of various stakeholders and comprehensively showcases Vanke's annual sustainability performance</v>
      </c>
      <c r="B6987" s="1" t="str">
        <f ca="1">IFERROR(__xludf.DUMMYFUNCTION("GOOGLETRANSLATE(A6987, ""zh"", ""en"")"),"irrelevant text")</f>
        <v>irrelevant text</v>
      </c>
      <c r="C6987" s="1" t="str">
        <f ca="1">IFERROR(__xludf.DUMMYFUNCTION("GOOGLETRANSLATE(E6987, ""zh"", ""en"")"),"irrelevant text")</f>
        <v>irrelevant text</v>
      </c>
    </row>
    <row r="6988" spans="1:3" ht="13" x14ac:dyDescent="0.15">
      <c r="A6988" s="1" t="str">
        <f ca="1">IFERROR(__xludf.DUMMYFUNCTION("GOOGLETRANSLATE(A6988, ""zh"", ""en"")"),"Stakeholder Communication Sustainable Development Concept Goal Review Practice Adjustment VANKE Vanke 34 Public Welfare Strategy Vanke Public Welfare Foundation was established in 2008. It was initiated by Vanke Co., Ltd. and approved by the Ministry of C"&amp;"ivil Affairs and the State Council. It is a national non-public fundraising foundation under the supervision of the Ministry of Civil Affairs. It was recognized as a charitable organization in 2017 and was rated as a 4A national social organization by the"&amp;" Ministry of Civil Affairs at the end of 2021.")</f>
        <v>Stakeholder Communication Sustainable Development Concept Goal Review Practice Adjustment VANKE Vanke 34 Public Welfare Strategy Vanke Public Welfare Foundation was established in 2008. It was initiated by Vanke Co., Ltd. and approved by the Ministry of Civil Affairs and the State Council. It is a national non-public fundraising foundation under the supervision of the Ministry of Civil Affairs. It was recognized as a charitable organization in 2017 and was rated as a 4A national social organization by the Ministry of Civil Affairs at the end of 2021.</v>
      </c>
      <c r="B6988" s="1" t="str">
        <f ca="1">IFERROR(__xludf.DUMMYFUNCTION("GOOGLETRANSLATE(A6988, ""zh"", ""en"")"),"Public welfare and volunteer service")</f>
        <v>Public welfare and volunteer service</v>
      </c>
      <c r="C6988" s="1" t="str">
        <f ca="1">IFERROR(__xludf.DUMMYFUNCTION("GOOGLETRANSLATE(E6988, ""zh"", ""en"")"),"Quantitative Text")</f>
        <v>Quantitative Text</v>
      </c>
    </row>
    <row r="6989" spans="1:3" ht="13" x14ac:dyDescent="0.15">
      <c r="A6989" s="1" t="str">
        <f ca="1">IFERROR(__xludf.DUMMYFUNCTION("GOOGLETRANSLATE(A6989, ""zh"", ""en"")"),"The Vanke Foundation's 2018-2022 Strategic Plan, released in 2018, outlines its philanthropic initiatives from four perspectives: research support, network building, capacity building, and policy advocacy.")</f>
        <v>The Vanke Foundation's 2018-2022 Strategic Plan, released in 2018, outlines its philanthropic initiatives from four perspectives: research support, network building, capacity building, and policy advocacy.</v>
      </c>
      <c r="B6989" s="1" t="str">
        <f ca="1">IFERROR(__xludf.DUMMYFUNCTION("GOOGLETRANSLATE(A6989, ""zh"", ""en"")"),"Public welfare and volunteer service")</f>
        <v>Public welfare and volunteer service</v>
      </c>
      <c r="C6989" s="1" t="str">
        <f ca="1">IFERROR(__xludf.DUMMYFUNCTION("GOOGLETRANSLATE(E6989, ""zh"", ""en"")"),"Qualitative text")</f>
        <v>Qualitative text</v>
      </c>
    </row>
    <row r="6990" spans="1:3" ht="13" x14ac:dyDescent="0.15">
      <c r="A6990" s="1" t="str">
        <f ca="1">IFERROR(__xludf.DUMMYFUNCTION("GOOGLETRANSLATE(A6990, ""zh"", ""en"")"),"In 2022, the Vanke Foundation will continue to strengthen its efforts in environmental protection and community development. On the basis of continuously improving community waste management and adhering to biodiversity protection, it will actively respon"&amp;"d to the national carbon peak and carbon neutrality policies, innovatively lead and propose actions and initiatives to address climate change, and leverage the power of social organizations to actively help the country achieve its dual carbon goals.")</f>
        <v>In 2022, the Vanke Foundation will continue to strengthen its efforts in environmental protection and community development. On the basis of continuously improving community waste management and adhering to biodiversity protection, it will actively respond to the national carbon peak and carbon neutrality policies, innovatively lead and propose actions and initiatives to address climate change, and leverage the power of social organizations to actively help the country achieve its dual carbon goals.</v>
      </c>
      <c r="B6990" s="1" t="str">
        <f ca="1">IFERROR(__xludf.DUMMYFUNCTION("GOOGLETRANSLATE(A6990, ""zh"", ""en"")"),"Addressing climate change")</f>
        <v>Addressing climate change</v>
      </c>
      <c r="C6990" s="1" t="str">
        <f ca="1">IFERROR(__xludf.DUMMYFUNCTION("GOOGLETRANSLATE(E6990, ""zh"", ""en"")"),"Qualitative text")</f>
        <v>Qualitative text</v>
      </c>
    </row>
    <row r="6991" spans="1:3" ht="13" x14ac:dyDescent="0.15">
      <c r="A6991" s="1" t="str">
        <f ca="1">IFERROR(__xludf.DUMMYFUNCTION("GOOGLETRANSLATE(A6991, ""zh"", ""en"")"),"In 2022, the total expenditure of Vanke Charity Foundation on charitable activities was RMB 72,825,980.99. The investment areas included community waste management, green environmental protection, disaster relief, education development, targeted poverty a"&amp;"lleviation, and children's health.")</f>
        <v>In 2022, the total expenditure of Vanke Charity Foundation on charitable activities was RMB 72,825,980.99. The investment areas included community waste management, green environmental protection, disaster relief, education development, targeted poverty alleviation, and children's health.</v>
      </c>
      <c r="B6991" s="1" t="str">
        <f ca="1">IFERROR(__xludf.DUMMYFUNCTION("GOOGLETRANSLATE(A6991, ""zh"", ""en"")"),"Public welfare and volunteer service")</f>
        <v>Public welfare and volunteer service</v>
      </c>
      <c r="C6991" s="1" t="str">
        <f ca="1">IFERROR(__xludf.DUMMYFUNCTION("GOOGLETRANSLATE(E6991, ""zh"", ""en"")"),"Quantitative Text")</f>
        <v>Quantitative Text</v>
      </c>
    </row>
    <row r="6992" spans="1:3" ht="13" x14ac:dyDescent="0.15">
      <c r="A6992" s="1" t="str">
        <f ca="1">IFERROR(__xludf.DUMMYFUNCTION("GOOGLETRANSLATE(A6992, ""zh"", ""en"")"),"During the reporting period, Vanke Foundation launched 19 employee volunteer activities, attracting 10,557 participants and accumulating 108,750 hours of volunteer service. Focus areas: environmental protection and community development. Focus directions "&amp;"and topics: leading the value chain. Design and manage flagship projects around the value chain. Future-oriented, pioneering sustainable communities, sustainable community environment, building a strong public welfare ecological community. Focus direction"&amp;"s: core topics: flagship project establishment, entry point research, pilot projects, empowerment and advocacy. In February 2023, Vanke Foundation released a new five-year strategic plan, which will focus on three key strategic modules: pioneering explora"&amp;"tion and promotion of carbon-neutral communities, breaking through bottlenecks in community waste management, and telling China's climate story. Explore sustainable communities, contribute to a better urban life, and tell China's climate story well.")</f>
        <v>During the reporting period, Vanke Foundation launched 19 employee volunteer activities, attracting 10,557 participants and accumulating 108,750 hours of volunteer service. Focus areas: environmental protection and community development. Focus directions and topics: leading the value chain. Design and manage flagship projects around the value chain. Future-oriented, pioneering sustainable communities, sustainable community environment, building a strong public welfare ecological community. Focus directions: core topics: flagship project establishment, entry point research, pilot projects, empowerment and advocacy. In February 2023, Vanke Foundation released a new five-year strategic plan, which will focus on three key strategic modules: pioneering exploration and promotion of carbon-neutral communities, breaking through bottlenecks in community waste management, and telling China's climate story. Explore sustainable communities, contribute to a better urban life, and tell China's climate story well.</v>
      </c>
      <c r="B6992" s="1" t="str">
        <f ca="1">IFERROR(__xludf.DUMMYFUNCTION("GOOGLETRANSLATE(A6992, ""zh"", ""en"")"),"Public welfare and volunteer service")</f>
        <v>Public welfare and volunteer service</v>
      </c>
      <c r="C6992" s="1" t="str">
        <f ca="1">IFERROR(__xludf.DUMMYFUNCTION("GOOGLETRANSLATE(E6992, ""zh"", ""en"")"),"Quantitative Text")</f>
        <v>Quantitative Text</v>
      </c>
    </row>
    <row r="6993" spans="1:3" ht="13" x14ac:dyDescent="0.15">
      <c r="A6993" s="1" t="str">
        <f ca="1">IFERROR(__xludf.DUMMYFUNCTION("GOOGLETRANSLATE(A6993, ""zh"", ""en"")"),"Philanthropy Strategy Progress: In 2022, Vanke Charity Foundation will carry out zero-waste philanthropy activities and community sustainable development empowerment actions across two major scenarios and platforms. These activities aim to strengthen publ"&amp;"ic awareness of the zero-waste concept in cities and specific scenarios, and cultivate relevant institutions and talent to support community sustainable development.")</f>
        <v>Philanthropy Strategy Progress: In 2022, Vanke Charity Foundation will carry out zero-waste philanthropy activities and community sustainable development empowerment actions across two major scenarios and platforms. These activities aim to strengthen public awareness of the zero-waste concept in cities and specific scenarios, and cultivate relevant institutions and talent to support community sustainable development.</v>
      </c>
      <c r="B6993" s="1" t="str">
        <f ca="1">IFERROR(__xludf.DUMMYFUNCTION("GOOGLETRANSLATE(A6993, ""zh"", ""en"")"),"Public welfare and volunteer service")</f>
        <v>Public welfare and volunteer service</v>
      </c>
      <c r="C6993" s="1" t="str">
        <f ca="1">IFERROR(__xludf.DUMMYFUNCTION("GOOGLETRANSLATE(E6993, ""zh"", ""en"")"),"Qualitative text")</f>
        <v>Qualitative text</v>
      </c>
    </row>
    <row r="6994" spans="1:3" ht="13" x14ac:dyDescent="0.15">
      <c r="A6994" s="1" t="str">
        <f ca="1">IFERROR(__xludf.DUMMYFUNCTION("GOOGLETRANSLATE(A6994, ""zh"", ""en"")"),"Business Philosophy 35 2022 Sustainability Report Urban Scenarios: 0 Zero Waste Schools, 0 Zero Waste Offices, 0 Zero Waste Communities. A special promotional plan for the Zero Waste School Construction Guidelines was launched. A total of 166 applications"&amp;" were received from 23 provinces and cities for the 2022 Zero Waste School Construction Guidelines promotion. Eleven schools from nine provinces, autonomous regions, and municipalities nationwide conducted practical activities totaling an average of over "&amp;"130 class hours. The Zero Waste School Construction Guidelines have been applied to over 10 schools and institutions, including Meisha Outdoor Education and Shenzhen Dandelion Campus.")</f>
        <v>Business Philosophy 35 2022 Sustainability Report Urban Scenarios: 0 Zero Waste Schools, 0 Zero Waste Offices, 0 Zero Waste Communities. A special promotional plan for the Zero Waste School Construction Guidelines was launched. A total of 166 applications were received from 23 provinces and cities for the 2022 Zero Waste School Construction Guidelines promotion. Eleven schools from nine provinces, autonomous regions, and municipalities nationwide conducted practical activities totaling an average of over 130 class hours. The Zero Waste School Construction Guidelines have been applied to over 10 schools and institutions, including Meisha Outdoor Education and Shenzhen Dandelion Campus.</v>
      </c>
      <c r="B6994" s="1" t="str">
        <f ca="1">IFERROR(__xludf.DUMMYFUNCTION("GOOGLETRANSLATE(A6994, ""zh"", ""en"")"),"Waste Management")</f>
        <v>Waste Management</v>
      </c>
      <c r="C6994" s="1" t="str">
        <f ca="1">IFERROR(__xludf.DUMMYFUNCTION("GOOGLETRANSLATE(E6994, ""zh"", ""en"")"),"Quantitative Text")</f>
        <v>Quantitative Text</v>
      </c>
    </row>
    <row r="6995" spans="1:3" ht="13" x14ac:dyDescent="0.15">
      <c r="A6995" s="1" t="str">
        <f ca="1">IFERROR(__xludf.DUMMYFUNCTION("GOOGLETRANSLATE(A6995, ""zh"", ""en"")"),"Launching the Waste-Free Campus Campaign in Chongqing in 2022. Over 450 schools participated in the 2022 Chongqing Waste-Free Campus Campaign. Based on practical student activities in teacher training courses, 33 pilot schools were selected and their achi"&amp;"evements showcased through an online Waste-Free Campus Carnival, which attracted over 1.08 million viewers in real time.")</f>
        <v>Launching the Waste-Free Campus Campaign in Chongqing in 2022. Over 450 schools participated in the 2022 Chongqing Waste-Free Campus Campaign. Based on practical student activities in teacher training courses, 33 pilot schools were selected and their achievements showcased through an online Waste-Free Campus Carnival, which attracted over 1.08 million viewers in real time.</v>
      </c>
      <c r="B6995" s="1" t="str">
        <f ca="1">IFERROR(__xludf.DUMMYFUNCTION("GOOGLETRANSLATE(A6995, ""zh"", ""en"")"),"Waste Management")</f>
        <v>Waste Management</v>
      </c>
      <c r="C6995" s="1" t="str">
        <f ca="1">IFERROR(__xludf.DUMMYFUNCTION("GOOGLETRANSLATE(E6995, ""zh"", ""en"")"),"Quantitative Text")</f>
        <v>Quantitative Text</v>
      </c>
    </row>
    <row r="6996" spans="1:3" ht="13" x14ac:dyDescent="0.15">
      <c r="A6996" s="1" t="str">
        <f ca="1">IFERROR(__xludf.DUMMYFUNCTION("GOOGLETRANSLATE(A6996, ""zh"", ""en"")"),"Deepen Zero Waste Office: In 2022, Vanke Group will continue to deepen its environmental protection concept and launch zero waste office initiatives. We will upgrade classified trash cans and centralized waste disposal points at Vanke's urban offices and "&amp;"parks, and continue to carry out Vanke's zero waste environmental protection activities.")</f>
        <v>Deepen Zero Waste Office: In 2022, Vanke Group will continue to deepen its environmental protection concept and launch zero waste office initiatives. We will upgrade classified trash cans and centralized waste disposal points at Vanke's urban offices and parks, and continue to carry out Vanke's zero waste environmental protection activities.</v>
      </c>
      <c r="B6996" s="1" t="str">
        <f ca="1">IFERROR(__xludf.DUMMYFUNCTION("GOOGLETRANSLATE(A6996, ""zh"", ""en"")"),"Waste Management")</f>
        <v>Waste Management</v>
      </c>
      <c r="C6996" s="1" t="str">
        <f ca="1">IFERROR(__xludf.DUMMYFUNCTION("GOOGLETRANSLATE(E6996, ""zh"", ""en"")"),"Qualitative text")</f>
        <v>Qualitative text</v>
      </c>
    </row>
    <row r="6997" spans="1:3" ht="13" x14ac:dyDescent="0.15">
      <c r="A6997" s="1" t="str">
        <f ca="1">IFERROR(__xludf.DUMMYFUNCTION("GOOGLETRANSLATE(A6997, ""zh"", ""en"")"),"The zero waste achievements were fully recognized by the Shenzhen Municipal Urban Management Bureau and were awarded the title of Shenzhen's 2022 Green Unit for Domestic Waste Classification")</f>
        <v>The zero waste achievements were fully recognized by the Shenzhen Municipal Urban Management Bureau and were awarded the title of Shenzhen's 2022 Green Unit for Domestic Waste Classification</v>
      </c>
      <c r="B6997" s="1" t="str">
        <f ca="1">IFERROR(__xludf.DUMMYFUNCTION("GOOGLETRANSLATE(A6997, ""zh"", ""en"")"),"Waste Management")</f>
        <v>Waste Management</v>
      </c>
      <c r="C6997" s="1" t="str">
        <f ca="1">IFERROR(__xludf.DUMMYFUNCTION("GOOGLETRANSLATE(E6997, ""zh"", ""en"")"),"Quantitative Text")</f>
        <v>Quantitative Text</v>
      </c>
    </row>
    <row r="6998" spans="1:3" ht="13" x14ac:dyDescent="0.15">
      <c r="A6998" s="1" t="str">
        <f ca="1">IFERROR(__xludf.DUMMYFUNCTION("GOOGLETRANSLATE(A6998, ""zh"", ""en"")"),"Promote the Zero Waste Plan and provide technical support and operational guidance to companies nationwide to implement zero waste in their office environments.")</f>
        <v>Promote the Zero Waste Plan and provide technical support and operational guidance to companies nationwide to implement zero waste in their office environments.</v>
      </c>
      <c r="B6998" s="1" t="str">
        <f ca="1">IFERROR(__xludf.DUMMYFUNCTION("GOOGLETRANSLATE(A6998, ""zh"", ""en"")"),"Waste Management")</f>
        <v>Waste Management</v>
      </c>
      <c r="C6998" s="1" t="str">
        <f ca="1">IFERROR(__xludf.DUMMYFUNCTION("GOOGLETRANSLATE(E6998, ""zh"", ""en"")"),"Qualitative text")</f>
        <v>Qualitative text</v>
      </c>
    </row>
    <row r="6999" spans="1:3" ht="13" x14ac:dyDescent="0.15">
      <c r="A6999" s="1" t="str">
        <f ca="1">IFERROR(__xludf.DUMMYFUNCTION("GOOGLETRANSLATE(A6999, ""zh"", ""en"")"),"In 2022, we recruited 21 joint promotion partners, attracted more than 300 companies to participate, and successfully held 9 special lectures with a total of more than 2,500 participants.")</f>
        <v>In 2022, we recruited 21 joint promotion partners, attracted more than 300 companies to participate, and successfully held 9 special lectures with a total of more than 2,500 participants.</v>
      </c>
      <c r="B6999" s="1" t="str">
        <f ca="1">IFERROR(__xludf.DUMMYFUNCTION("GOOGLETRANSLATE(A6999, ""zh"", ""en"")"),"Public welfare and volunteer service")</f>
        <v>Public welfare and volunteer service</v>
      </c>
      <c r="C6999" s="1" t="str">
        <f ca="1">IFERROR(__xludf.DUMMYFUNCTION("GOOGLETRANSLATE(E6999, ""zh"", ""en"")"),"Quantitative Text")</f>
        <v>Quantitative Text</v>
      </c>
    </row>
    <row r="7000" spans="1:3" ht="13" x14ac:dyDescent="0.15">
      <c r="A7000" s="1" t="str">
        <f ca="1">IFERROR(__xludf.DUMMYFUNCTION("GOOGLETRANSLATE(A7000, ""zh"", ""en"")"),"The project to expand participation coverage, with Beijing and Shenzhen as the core, covers 90 urban communities in seven cities across China and more than 180,000 urban households.")</f>
        <v>The project to expand participation coverage, with Beijing and Shenzhen as the core, covers 90 urban communities in seven cities across China and more than 180,000 urban households.</v>
      </c>
      <c r="B7000" s="1" t="str">
        <f ca="1">IFERROR(__xludf.DUMMYFUNCTION("GOOGLETRANSLATE(A7000, ""zh"", ""en"")"),"Public welfare and volunteer service")</f>
        <v>Public welfare and volunteer service</v>
      </c>
      <c r="C7000" s="1" t="str">
        <f ca="1">IFERROR(__xludf.DUMMYFUNCTION("GOOGLETRANSLATE(E7000, ""zh"", ""en"")"),"Quantitative Text")</f>
        <v>Quantitative Text</v>
      </c>
    </row>
    <row r="7001" spans="1:3" ht="13" x14ac:dyDescent="0.15">
      <c r="A7001" s="1" t="str">
        <f ca="1">IFERROR(__xludf.DUMMYFUNCTION("GOOGLETRANSLATE(A7001, ""zh"", ""en"")"),"Green Housekeeping Courses Green Housekeeping Courses have been launched on the online school of Ayi Lai Le, China's largest online housekeeping company, and will be open to 380,000 registered housekeepers.")</f>
        <v>Green Housekeeping Courses Green Housekeeping Courses have been launched on the online school of Ayi Lai Le, China's largest online housekeeping company, and will be open to 380,000 registered housekeepers.</v>
      </c>
      <c r="B7001" s="1" t="str">
        <f ca="1">IFERROR(__xludf.DUMMYFUNCTION("GOOGLETRANSLATE(A7001, ""zh"", ""en"")"),"Promoting employment")</f>
        <v>Promoting employment</v>
      </c>
      <c r="C7001" s="1" t="str">
        <f ca="1">IFERROR(__xludf.DUMMYFUNCTION("GOOGLETRANSLATE(E7001, ""zh"", ""en"")"),"Quantitative Text")</f>
        <v>Quantitative Text</v>
      </c>
    </row>
    <row r="7002" spans="1:3" ht="13" x14ac:dyDescent="0.15">
      <c r="A7002" s="1" t="str">
        <f ca="1">IFERROR(__xludf.DUMMYFUNCTION("GOOGLETRANSLATE(A7002, ""zh"", ""en"")"),"The Green Housekeeping Online Roundtable Forum, Waste Reduction, Green Housekeeping Achievements Release and Roundtable Forum were broadcasted via the Phoenix Live Streaming Platform with over 100,000 online views.")</f>
        <v>The Green Housekeeping Online Roundtable Forum, Waste Reduction, Green Housekeeping Achievements Release and Roundtable Forum were broadcasted via the Phoenix Live Streaming Platform with over 100,000 online views.</v>
      </c>
      <c r="B7002" s="1" t="str">
        <f ca="1">IFERROR(__xludf.DUMMYFUNCTION("GOOGLETRANSLATE(A7002, ""zh"", ""en"")"),"Waste Management")</f>
        <v>Waste Management</v>
      </c>
      <c r="C7002" s="1" t="str">
        <f ca="1">IFERROR(__xludf.DUMMYFUNCTION("GOOGLETRANSLATE(E7002, ""zh"", ""en"")"),"Quantitative Text")</f>
        <v>Quantitative Text</v>
      </c>
    </row>
    <row r="7003" spans="1:3" ht="13" x14ac:dyDescent="0.15">
      <c r="A7003" s="1" t="str">
        <f ca="1">IFERROR(__xludf.DUMMYFUNCTION("GOOGLETRANSLATE(A7003, ""zh"", ""en"")"),"VANKE 36 special scenarios strengthen the basic work of waste sorting. Together with the Palace Museum, it continues to carry out green waste composting work, processing a total of 28 tons of green waste in 2022.")</f>
        <v>VANKE 36 special scenarios strengthen the basic work of waste sorting. Together with the Palace Museum, it continues to carry out green waste composting work, processing a total of 28 tons of green waste in 2022.</v>
      </c>
      <c r="B7003" s="1" t="str">
        <f ca="1">IFERROR(__xludf.DUMMYFUNCTION("GOOGLETRANSLATE(A7003, ""zh"", ""en"")"),"Waste Management")</f>
        <v>Waste Management</v>
      </c>
      <c r="C7003" s="1" t="str">
        <f ca="1">IFERROR(__xludf.DUMMYFUNCTION("GOOGLETRANSLATE(E7003, ""zh"", ""en"")"),"Quantitative Text")</f>
        <v>Quantitative Text</v>
      </c>
    </row>
    <row r="7004" spans="1:3" ht="13" x14ac:dyDescent="0.15">
      <c r="A7004" s="1" t="str">
        <f ca="1">IFERROR(__xludf.DUMMYFUNCTION("GOOGLETRANSLATE(A7004, ""zh"", ""en"")"),"We continue to advocate for zero waste awareness among the public. We have combined calligraphy culture, Forbidden City tours, and dining culture to launch a trash can ancient Chinese character identification check-in event. We also held the Forbidden Cit"&amp;"y Zero Waste Public Experience Biweekly event and the second Forbidden City Zero Waste Dining Culture Week, deepening the public's understanding of the zero waste concept through unique online and offline activities.")</f>
        <v>We continue to advocate for zero waste awareness among the public. We have combined calligraphy culture, Forbidden City tours, and dining culture to launch a trash can ancient Chinese character identification check-in event. We also held the Forbidden City Zero Waste Public Experience Biweekly event and the second Forbidden City Zero Waste Dining Culture Week, deepening the public's understanding of the zero waste concept through unique online and offline activities.</v>
      </c>
      <c r="B7004" s="1" t="str">
        <f ca="1">IFERROR(__xludf.DUMMYFUNCTION("GOOGLETRANSLATE(A7004, ""zh"", ""en"")"),"Waste Management")</f>
        <v>Waste Management</v>
      </c>
      <c r="C7004" s="1" t="str">
        <f ca="1">IFERROR(__xludf.DUMMYFUNCTION("GOOGLETRANSLATE(E7004, ""zh"", ""en"")"),"Qualitative text")</f>
        <v>Qualitative text</v>
      </c>
    </row>
    <row r="7005" spans="1:3" ht="13" x14ac:dyDescent="0.15">
      <c r="A7005" s="1" t="str">
        <f ca="1">IFERROR(__xludf.DUMMYFUNCTION("GOOGLETRANSLATE(A7005, ""zh"", ""en"")"),"At the same time, the Palace Museum's zero waste special webpage was launched on the Palace Museum's official website in mid-2022.")</f>
        <v>At the same time, the Palace Museum's zero waste special webpage was launched on the Palace Museum's official website in mid-2022.</v>
      </c>
      <c r="B7005" s="1" t="str">
        <f ca="1">IFERROR(__xludf.DUMMYFUNCTION("GOOGLETRANSLATE(A7005, ""zh"", ""en"")"),"Waste Management")</f>
        <v>Waste Management</v>
      </c>
      <c r="C7005" s="1" t="str">
        <f ca="1">IFERROR(__xludf.DUMMYFUNCTION("GOOGLETRANSLATE(E7005, ""zh"", ""en"")"),"Qualitative text")</f>
        <v>Qualitative text</v>
      </c>
    </row>
    <row r="7006" spans="1:3" ht="13" x14ac:dyDescent="0.15">
      <c r="A7006" s="1" t="str">
        <f ca="1">IFERROR(__xludf.DUMMYFUNCTION("GOOGLETRANSLATE(A7006, ""zh"", ""en"")"),"Promote exchanges within and outside the industry and tell China's story. 2022 projects actively participate in external exchanges. Video promotional videos are played in the COP27 China Corner. Project brochures and the Palace Museum's zero-waste and env"&amp;"ironmentally friendly cultural and creative products are displayed.")</f>
        <v>Promote exchanges within and outside the industry and tell China's story. 2022 projects actively participate in external exchanges. Video promotional videos are played in the COP27 China Corner. Project brochures and the Palace Museum's zero-waste and environmentally friendly cultural and creative products are displayed.</v>
      </c>
      <c r="B7006" s="1" t="str">
        <f ca="1">IFERROR(__xludf.DUMMYFUNCTION("GOOGLETRANSLATE(A7006, ""zh"", ""en"")"),"Addressing climate change")</f>
        <v>Addressing climate change</v>
      </c>
      <c r="C7006" s="1" t="str">
        <f ca="1">IFERROR(__xludf.DUMMYFUNCTION("GOOGLETRANSLATE(E7006, ""zh"", ""en"")"),"Qualitative text")</f>
        <v>Qualitative text</v>
      </c>
    </row>
    <row r="7007" spans="1:3" ht="13" x14ac:dyDescent="0.15">
      <c r="A7007" s="1" t="str">
        <f ca="1">IFERROR(__xludf.DUMMYFUNCTION("GOOGLETRANSLATE(A7007, ""zh"", ""en"")"),"The Palace Museum's zero-waste cultural and creative products were also exhibited at the Shenzhen Charity Innovation Space")</f>
        <v>The Palace Museum's zero-waste cultural and creative products were also exhibited at the Shenzhen Charity Innovation Space</v>
      </c>
      <c r="B7007" s="1" t="str">
        <f ca="1">IFERROR(__xludf.DUMMYFUNCTION("GOOGLETRANSLATE(A7007, ""zh"", ""en"")"),"Waste Management")</f>
        <v>Waste Management</v>
      </c>
      <c r="C7007" s="1" t="str">
        <f ca="1">IFERROR(__xludf.DUMMYFUNCTION("GOOGLETRANSLATE(E7007, ""zh"", ""en"")"),"Qualitative text")</f>
        <v>Qualitative text</v>
      </c>
    </row>
    <row r="7008" spans="1:3" ht="13" x14ac:dyDescent="0.15">
      <c r="A7008" s="1" t="str">
        <f ca="1">IFERROR(__xludf.DUMMYFUNCTION("GOOGLETRANSLATE(A7008, ""zh"", ""en"")"),"The Forbidden City's Zero Waste and Island Zero Waste Action pilot project has established five on-site organic waste resource recovery demonstration sites based on four specific scenarios: villages, families, public attractions, and homestays on the pilo"&amp;"t islands. A total of nearly 20 tons of organic waste has been processed on-site.")</f>
        <v>The Forbidden City's Zero Waste and Island Zero Waste Action pilot project has established five on-site organic waste resource recovery demonstration sites based on four specific scenarios: villages, families, public attractions, and homestays on the pilot islands. A total of nearly 20 tons of organic waste has been processed on-site.</v>
      </c>
      <c r="B7008" s="1" t="str">
        <f ca="1">IFERROR(__xludf.DUMMYFUNCTION("GOOGLETRANSLATE(A7008, ""zh"", ""en"")"),"Waste Management")</f>
        <v>Waste Management</v>
      </c>
      <c r="C7008" s="1" t="str">
        <f ca="1">IFERROR(__xludf.DUMMYFUNCTION("GOOGLETRANSLATE(E7008, ""zh"", ""en"")"),"Quantitative Text")</f>
        <v>Quantitative Text</v>
      </c>
    </row>
    <row r="7009" spans="1:3" ht="13" x14ac:dyDescent="0.15">
      <c r="A7009" s="1" t="str">
        <f ca="1">IFERROR(__xludf.DUMMYFUNCTION("GOOGLETRANSLATE(A7009, ""zh"", ""en"")"),"Island Zero Waste Activities, Forbidden City Zero Waste Activities Management Strategies, 372022 Sustainability Report, Empowerment Platform, Star Partner Program, Sustainable Community Building Sharing Session, Planet Partner Program, Sustainable Communi"&amp;"ty Construction Bulletin Board, Planet Partner Program Cultivates Start-up Social Organizations with Potential for Sustainable Community Development. A total of 22 organizations supported have formed the Planet Partner Network, distributed across 13 provi"&amp;"nces, municipalities, and autonomous regions nationwide.")</f>
        <v>Island Zero Waste Activities, Forbidden City Zero Waste Activities Management Strategies, 372022 Sustainability Report, Empowerment Platform, Star Partner Program, Sustainable Community Building Sharing Session, Planet Partner Program, Sustainable Community Construction Bulletin Board, Planet Partner Program Cultivates Start-up Social Organizations with Potential for Sustainable Community Development. A total of 22 organizations supported have formed the Planet Partner Network, distributed across 13 provinces, municipalities, and autonomous regions nationwide.</v>
      </c>
      <c r="B7009" s="1" t="str">
        <f ca="1">IFERROR(__xludf.DUMMYFUNCTION("GOOGLETRANSLATE(A7009, ""zh"", ""en"")"),"Waste Management")</f>
        <v>Waste Management</v>
      </c>
      <c r="C7009" s="1" t="str">
        <f ca="1">IFERROR(__xludf.DUMMYFUNCTION("GOOGLETRANSLATE(E7009, ""zh"", ""en"")"),"Quantitative Text")</f>
        <v>Quantitative Text</v>
      </c>
    </row>
    <row r="7010" spans="1:3" ht="13" x14ac:dyDescent="0.15">
      <c r="A7010" s="1" t="str">
        <f ca="1">IFERROR(__xludf.DUMMYFUNCTION("GOOGLETRANSLATE(A7010, ""zh"", ""en"")"),"Planet Partners currently directly serves over 18 communities and over 20,000 people, accompanying and supporting 34 social organizations.")</f>
        <v>Planet Partners currently directly serves over 18 communities and over 20,000 people, accompanying and supporting 34 social organizations.</v>
      </c>
      <c r="B7010" s="1" t="str">
        <f ca="1">IFERROR(__xludf.DUMMYFUNCTION("GOOGLETRANSLATE(A7010, ""zh"", ""en"")"),"Public welfare and volunteer service")</f>
        <v>Public welfare and volunteer service</v>
      </c>
      <c r="C7010" s="1" t="str">
        <f ca="1">IFERROR(__xludf.DUMMYFUNCTION("GOOGLETRANSLATE(E7010, ""zh"", ""en"")"),"Quantitative Text")</f>
        <v>Quantitative Text</v>
      </c>
    </row>
    <row r="7011" spans="1:3" ht="13" x14ac:dyDescent="0.15">
      <c r="A7011" s="1" t="str">
        <f ca="1">IFERROR(__xludf.DUMMYFUNCTION("GOOGLETRANSLATE(A7011, ""zh"", ""en"")"),"The project provided a total of 156 hours of coaching to Planet students and partners, providing support in business model organization, governance, project implementation, etc.")</f>
        <v>The project provided a total of 156 hours of coaching to Planet students and partners, providing support in business model organization, governance, project implementation, etc.</v>
      </c>
      <c r="B7011" s="1" t="str">
        <f ca="1">IFERROR(__xludf.DUMMYFUNCTION("GOOGLETRANSLATE(A7011, ""zh"", ""en"")"),"Organizational structure and operations")</f>
        <v>Organizational structure and operations</v>
      </c>
      <c r="C7011" s="1" t="str">
        <f ca="1">IFERROR(__xludf.DUMMYFUNCTION("GOOGLETRANSLATE(E7011, ""zh"", ""en"")"),"Quantitative Text")</f>
        <v>Quantitative Text</v>
      </c>
    </row>
    <row r="7012" spans="1:3" ht="13" x14ac:dyDescent="0.15">
      <c r="A7012" s="1" t="str">
        <f ca="1">IFERROR(__xludf.DUMMYFUNCTION("GOOGLETRANSLATE(A7012, ""zh"", ""en"")"),"The Stellar Partner Network currently directly serves over 100 communities, directly serving over 570,000 people and accompanying and supporting 356 social organizations.")</f>
        <v>The Stellar Partner Network currently directly serves over 100 communities, directly serving over 570,000 people and accompanying and supporting 356 social organizations.</v>
      </c>
      <c r="B7012" s="1" t="str">
        <f ca="1">IFERROR(__xludf.DUMMYFUNCTION("GOOGLETRANSLATE(A7012, ""zh"", ""en"")"),"Public welfare and volunteer service")</f>
        <v>Public welfare and volunteer service</v>
      </c>
      <c r="C7012" s="1" t="str">
        <f ca="1">IFERROR(__xludf.DUMMYFUNCTION("GOOGLETRANSLATE(E7012, ""zh"", ""en"")"),"Quantitative Text")</f>
        <v>Quantitative Text</v>
      </c>
    </row>
    <row r="7013" spans="1:3" ht="13" x14ac:dyDescent="0.15">
      <c r="A7013" s="1" t="str">
        <f ca="1">IFERROR(__xludf.DUMMYFUNCTION("GOOGLETRANSLATE(A7013, ""zh"", ""en"")"),"Different partners in the Stellar Partner Network provide support in areas such as community empowerment training and technical waste management.")</f>
        <v>Different partners in the Stellar Partner Network provide support in areas such as community empowerment training and technical waste management.</v>
      </c>
      <c r="B7013" s="1" t="str">
        <f ca="1">IFERROR(__xludf.DUMMYFUNCTION("GOOGLETRANSLATE(A7013, ""zh"", ""en"")"),"Waste Management")</f>
        <v>Waste Management</v>
      </c>
      <c r="C7013" s="1" t="str">
        <f ca="1">IFERROR(__xludf.DUMMYFUNCTION("GOOGLETRANSLATE(E7013, ""zh"", ""en"")"),"Qualitative text")</f>
        <v>Qualitative text</v>
      </c>
    </row>
    <row r="7014" spans="1:3" ht="13" x14ac:dyDescent="0.15">
      <c r="A7014" s="1" t="str">
        <f ca="1">IFERROR(__xludf.DUMMYFUNCTION("GOOGLETRANSLATE(A7014, ""zh"", ""en"")"),"The project's empowerment system has been referenced and used by many industry empowerment projects such as the Jincao Tongxing Green Edge Project, Ginkgo Partner Project, and Linglong Project.")</f>
        <v>The project's empowerment system has been referenced and used by many industry empowerment projects such as the Jincao Tongxing Green Edge Project, Ginkgo Partner Project, and Linglong Project.</v>
      </c>
      <c r="B7014" s="1" t="str">
        <f ca="1">IFERROR(__xludf.DUMMYFUNCTION("GOOGLETRANSLATE(A7014, ""zh"", ""en"")"),"Public welfare and volunteer service")</f>
        <v>Public welfare and volunteer service</v>
      </c>
      <c r="C7014" s="1" t="str">
        <f ca="1">IFERROR(__xludf.DUMMYFUNCTION("GOOGLETRANSLATE(E7014, ""zh"", ""en"")"),"Qualitative text")</f>
        <v>Qualitative text</v>
      </c>
    </row>
    <row r="7015" spans="1:3" ht="13" x14ac:dyDescent="0.15">
      <c r="A7015" s="1" t="str">
        <f ca="1">IFERROR(__xludf.DUMMYFUNCTION("GOOGLETRANSLATE(A7015, ""zh"", ""en"")"),"The training session was broadcast live simultaneously on multiple offline and online platforms, with a total of more than 202,000 participants")</f>
        <v>The training session was broadcast live simultaneously on multiple offline and online platforms, with a total of more than 202,000 participants</v>
      </c>
      <c r="B7015" s="1" t="str">
        <f ca="1">IFERROR(__xludf.DUMMYFUNCTION("GOOGLETRANSLATE(A7015, ""zh"", ""en"")"),"staff")</f>
        <v>staff</v>
      </c>
      <c r="C7015" s="1" t="str">
        <f ca="1">IFERROR(__xludf.DUMMYFUNCTION("GOOGLETRANSLATE(E7015, ""zh"", ""en"")"),"Quantitative Text")</f>
        <v>Quantitative Text</v>
      </c>
    </row>
    <row r="7016" spans="1:3" ht="13" x14ac:dyDescent="0.15">
      <c r="A7016" s="1" t="str">
        <f ca="1">IFERROR(__xludf.DUMMYFUNCTION("GOOGLETRANSLATE(A7016, ""zh"", ""en"")"),"The project produced and published three sets of quick-read documents and ten in-depth interpretation documents to help Chinese social organizations quickly understand relevant content, strengthen their business operations and develop connections.")</f>
        <v>The project produced and published three sets of quick-read documents and ten in-depth interpretation documents to help Chinese social organizations quickly understand relevant content, strengthen their business operations and develop connections.</v>
      </c>
      <c r="B7016" s="1" t="str">
        <f ca="1">IFERROR(__xludf.DUMMYFUNCTION("GOOGLETRANSLATE(A7016, ""zh"", ""en"")"),"Public welfare and volunteer service")</f>
        <v>Public welfare and volunteer service</v>
      </c>
      <c r="C7016" s="1" t="str">
        <f ca="1">IFERROR(__xludf.DUMMYFUNCTION("GOOGLETRANSLATE(E7016, ""zh"", ""en"")"),"Quantitative Text")</f>
        <v>Quantitative Text</v>
      </c>
    </row>
    <row r="7017" spans="1:3" ht="13" x14ac:dyDescent="0.15">
      <c r="A7017" s="1" t="str">
        <f ca="1">IFERROR(__xludf.DUMMYFUNCTION("GOOGLETRANSLATE(A7017, ""zh"", ""en"")"),"All 10 Xirang scholars of the VANKE 38 Think Tank Platform's Xirang Scholars Support Program have completed their research and produced reports. Their research covers diverse topics including waste management in urban, rural, and ethnic minority areas, fo"&amp;"od waste, beach waste, textile recycling, social organization participation, waste sorting, and composting.")</f>
        <v>All 10 Xirang scholars of the VANKE 38 Think Tank Platform's Xirang Scholars Support Program have completed their research and produced reports. Their research covers diverse topics including waste management in urban, rural, and ethnic minority areas, food waste, beach waste, textile recycling, social organization participation, waste sorting, and composting.</v>
      </c>
      <c r="B7017" s="1" t="str">
        <f ca="1">IFERROR(__xludf.DUMMYFUNCTION("GOOGLETRANSLATE(A7017, ""zh"", ""en"")"),"Waste Management")</f>
        <v>Waste Management</v>
      </c>
      <c r="C7017" s="1" t="str">
        <f ca="1">IFERROR(__xludf.DUMMYFUNCTION("GOOGLETRANSLATE(E7017, ""zh"", ""en"")"),"Quantitative Text")</f>
        <v>Quantitative Text</v>
      </c>
    </row>
    <row r="7018" spans="1:3" ht="13" x14ac:dyDescent="0.15">
      <c r="A7018" s="1" t="str">
        <f ca="1">IFERROR(__xludf.DUMMYFUNCTION("GOOGLETRANSLATE(A7018, ""zh"", ""en"")"),"Big data helps garbage sorting. We will continue to maintain and optimize the construction of urban garbage map data and information. We will expand the scope of casual garbage sorting. We will conduct dynamic evaluations of 100 cities and promote communi"&amp;"ty garbage sorting. We will encourage enterprises and qualified communities to carry out responsible recycling and kitchen waste resource utilization.")</f>
        <v>Big data helps garbage sorting. We will continue to maintain and optimize the construction of urban garbage map data and information. We will expand the scope of casual garbage sorting. We will conduct dynamic evaluations of 100 cities and promote community garbage sorting. We will encourage enterprises and qualified communities to carry out responsible recycling and kitchen waste resource utilization.</v>
      </c>
      <c r="B7018" s="1" t="str">
        <f ca="1">IFERROR(__xludf.DUMMYFUNCTION("GOOGLETRANSLATE(A7018, ""zh"", ""en"")"),"Waste Management")</f>
        <v>Waste Management</v>
      </c>
      <c r="C7018" s="1" t="str">
        <f ca="1">IFERROR(__xludf.DUMMYFUNCTION("GOOGLETRANSLATE(E7018, ""zh"", ""en"")"),"Qualitative text")</f>
        <v>Qualitative text</v>
      </c>
    </row>
    <row r="7019" spans="1:3" ht="13" x14ac:dyDescent="0.15">
      <c r="A7019" s="1" t="str">
        <f ca="1">IFERROR(__xludf.DUMMYFUNCTION("GOOGLETRANSLATE(A7019, ""zh"", ""en"")"),"The number of garbage snapshots nationwide exceeded 83,622, lighting up 47,197 communities and covering a total of 337 cities.")</f>
        <v>The number of garbage snapshots nationwide exceeded 83,622, lighting up 47,197 communities and covering a total of 337 cities.</v>
      </c>
      <c r="B7019" s="1" t="str">
        <f ca="1">IFERROR(__xludf.DUMMYFUNCTION("GOOGLETRANSLATE(A7019, ""zh"", ""en"")"),"Waste Management")</f>
        <v>Waste Management</v>
      </c>
      <c r="C7019" s="1" t="str">
        <f ca="1">IFERROR(__xludf.DUMMYFUNCTION("GOOGLETRANSLATE(E7019, ""zh"", ""en"")"),"Quantitative Text")</f>
        <v>Quantitative Text</v>
      </c>
    </row>
    <row r="7020" spans="1:3" ht="13" x14ac:dyDescent="0.15">
      <c r="A7020" s="1" t="str">
        <f ca="1">IFERROR(__xludf.DUMMYFUNCTION("GOOGLETRANSLATE(A7020, ""zh"", ""en"")"),"Garbage maps have become a tool for cities such as Qingdao and Suzhou to conduct community waste classification surveys.")</f>
        <v>Garbage maps have become a tool for cities such as Qingdao and Suzhou to conduct community waste classification surveys.</v>
      </c>
      <c r="B7020" s="1" t="str">
        <f ca="1">IFERROR(__xludf.DUMMYFUNCTION("GOOGLETRANSLATE(A7020, ""zh"", ""en"")"),"Waste Management")</f>
        <v>Waste Management</v>
      </c>
      <c r="C7020" s="1" t="str">
        <f ca="1">IFERROR(__xludf.DUMMYFUNCTION("GOOGLETRANSLATE(E7020, ""zh"", ""en"")"),"Qualitative text")</f>
        <v>Qualitative text</v>
      </c>
    </row>
    <row r="7021" spans="1:3" ht="13" x14ac:dyDescent="0.15">
      <c r="A7021" s="1" t="str">
        <f ca="1">IFERROR(__xludf.DUMMYFUNCTION("GOOGLETRANSLATE(A7021, ""zh"", ""en"")"),"The project to promote policy research and public policy advocacy capacity building for social organizations has helped 20 social organizations improve their policy understanding and advocacy capabilities through offline workshops and online support.")</f>
        <v>The project to promote policy research and public policy advocacy capacity building for social organizations has helped 20 social organizations improve their policy understanding and advocacy capabilities through offline workshops and online support.</v>
      </c>
      <c r="B7021" s="1" t="str">
        <f ca="1">IFERROR(__xludf.DUMMYFUNCTION("GOOGLETRANSLATE(A7021, ""zh"", ""en"")"),"Public welfare and volunteer service")</f>
        <v>Public welfare and volunteer service</v>
      </c>
      <c r="C7021" s="1" t="str">
        <f ca="1">IFERROR(__xludf.DUMMYFUNCTION("GOOGLETRANSLATE(E7021, ""zh"", ""en"")"),"Quantitative Text")</f>
        <v>Quantitative Text</v>
      </c>
    </row>
    <row r="7022" spans="1:3" ht="13" x14ac:dyDescent="0.15">
      <c r="A7022" s="1" t="str">
        <f ca="1">IFERROR(__xludf.DUMMYFUNCTION("GOOGLETRANSLATE(A7022, ""zh"", ""en"")"),"Helping social organizations in the solid waste sector learn and use carbon accounting tools by carrying out carbon emission reduction calculation capacity building projects for social organizations in the solid waste sector")</f>
        <v>Helping social organizations in the solid waste sector learn and use carbon accounting tools by carrying out carbon emission reduction calculation capacity building projects for social organizations in the solid waste sector</v>
      </c>
      <c r="B7022" s="1" t="str">
        <f ca="1">IFERROR(__xludf.DUMMYFUNCTION("GOOGLETRANSLATE(A7022, ""zh"", ""en"")"),"Waste Management")</f>
        <v>Waste Management</v>
      </c>
      <c r="C7022" s="1" t="str">
        <f ca="1">IFERROR(__xludf.DUMMYFUNCTION("GOOGLETRANSLATE(E7022, ""zh"", ""en"")"),"Qualitative text")</f>
        <v>Qualitative text</v>
      </c>
    </row>
    <row r="7023" spans="1:3" ht="13" x14ac:dyDescent="0.15">
      <c r="A7023" s="1" t="str">
        <f ca="1">IFERROR(__xludf.DUMMYFUNCTION("GOOGLETRANSLATE(A7023, ""zh"", ""en"")"),"Compilation of a handbook on capacity building for public policy advocacy by social organizations")</f>
        <v>Compilation of a handbook on capacity building for public policy advocacy by social organizations</v>
      </c>
      <c r="B7023" s="1" t="str">
        <f ca="1">IFERROR(__xludf.DUMMYFUNCTION("GOOGLETRANSLATE(A7023, ""zh"", ""en"")"),"irrelevant text")</f>
        <v>irrelevant text</v>
      </c>
      <c r="C7023" s="1" t="str">
        <f ca="1">IFERROR(__xludf.DUMMYFUNCTION("GOOGLETRANSLATE(E7023, ""zh"", ""en"")"),"irrelevant text")</f>
        <v>irrelevant text</v>
      </c>
    </row>
    <row r="7024" spans="1:3" ht="13" x14ac:dyDescent="0.15">
      <c r="A7024" s="1" t="str">
        <f ca="1">IFERROR(__xludf.DUMMYFUNCTION("GOOGLETRANSLATE(A7024, ""zh"", ""en"")"),"Public advocacy work: Dandelion volunteer lecturers, community waste sorting in-depth cultivation special action, 3 empowerment training sessions in 2022, funded project partners to carry out more than 150 waste reduction and sorting activities")</f>
        <v>Public advocacy work: Dandelion volunteer lecturers, community waste sorting in-depth cultivation special action, 3 empowerment training sessions in 2022, funded project partners to carry out more than 150 waste reduction and sorting activities</v>
      </c>
      <c r="B7024" s="1" t="str">
        <f ca="1">IFERROR(__xludf.DUMMYFUNCTION("GOOGLETRANSLATE(A7024, ""zh"", ""en"")"),"Waste Management")</f>
        <v>Waste Management</v>
      </c>
      <c r="C7024" s="1" t="str">
        <f ca="1">IFERROR(__xludf.DUMMYFUNCTION("GOOGLETRANSLATE(E7024, ""zh"", ""en"")"),"Quantitative Text")</f>
        <v>Quantitative Text</v>
      </c>
    </row>
    <row r="7025" spans="1:3" ht="13" x14ac:dyDescent="0.15">
      <c r="A7025" s="1" t="str">
        <f ca="1">IFERROR(__xludf.DUMMYFUNCTION("GOOGLETRANSLATE(A7025, ""zh"", ""en"")"),"We carried out a variety of themes and exchange activities, including resource recycling, zero waste practices, environmental protection education, etc. A total of 1,428 people directly participated in the learning, and the impact was felt by 42,052 peopl"&amp;"e.")</f>
        <v>We carried out a variety of themes and exchange activities, including resource recycling, zero waste practices, environmental protection education, etc. A total of 1,428 people directly participated in the learning, and the impact was felt by 42,052 people.</v>
      </c>
      <c r="B7025" s="1" t="str">
        <f ca="1">IFERROR(__xludf.DUMMYFUNCTION("GOOGLETRANSLATE(A7025, ""zh"", ""en"")"),"Public welfare and volunteer service")</f>
        <v>Public welfare and volunteer service</v>
      </c>
      <c r="C7025" s="1" t="str">
        <f ca="1">IFERROR(__xludf.DUMMYFUNCTION("GOOGLETRANSLATE(E7025, ""zh"", ""en"")"),"Quantitative Text")</f>
        <v>Quantitative Text</v>
      </c>
    </row>
    <row r="7026" spans="1:3" ht="13" x14ac:dyDescent="0.15">
      <c r="A7026" s="1" t="str">
        <f ca="1">IFERROR(__xludf.DUMMYFUNCTION("GOOGLETRANSLATE(A7026, ""zh"", ""en"")"),"2022 Work Project Content Management Philosophy 39 2022 Sustainability Report Stakeholders Vanke Response Expectations and Requirements Stakeholder Communication We have always insisted on building a diversified communication mechanism to establish close "&amp;"ties with stakeholders and communicate and cooperate with stakeholders through more channels and methods.")</f>
        <v>2022 Work Project Content Management Philosophy 39 2022 Sustainability Report Stakeholders Vanke Response Expectations and Requirements Stakeholder Communication We have always insisted on building a diversified communication mechanism to establish close ties with stakeholders and communicate and cooperate with stakeholders through more channels and methods.</v>
      </c>
      <c r="B7026" s="1" t="str">
        <f ca="1">IFERROR(__xludf.DUMMYFUNCTION("GOOGLETRANSLATE(A7026, ""zh"", ""en"")"),"Information Disclosure and Investor Communication")</f>
        <v>Information Disclosure and Investor Communication</v>
      </c>
      <c r="C7026" s="1" t="str">
        <f ca="1">IFERROR(__xludf.DUMMYFUNCTION("GOOGLETRANSLATE(E7026, ""zh"", ""en"")"),"Qualitative text")</f>
        <v>Qualitative text</v>
      </c>
    </row>
    <row r="7027" spans="1:3" ht="13" x14ac:dyDescent="0.15">
      <c r="A7027" s="1" t="str">
        <f ca="1">IFERROR(__xludf.DUMMYFUNCTION("GOOGLETRANSLATE(A7027, ""zh"", ""en"")"),"Disclosure standards analysis comprehensively refers to GRI standards, guidelines for climate-related financial disclosures, TCFD, the Hong Kong Stock Exchange's ESG reporting guidelines, and SASB real estate industry standards to grasp the latest sustain"&amp;"able development management standards and information disclosure requirements.")</f>
        <v>Disclosure standards analysis comprehensively refers to GRI standards, guidelines for climate-related financial disclosures, TCFD, the Hong Kong Stock Exchange's ESG reporting guidelines, and SASB real estate industry standards to grasp the latest sustainable development management standards and information disclosure requirements.</v>
      </c>
      <c r="B7027" s="1" t="str">
        <f ca="1">IFERROR(__xludf.DUMMYFUNCTION("GOOGLETRANSLATE(A7027, ""zh"", ""en"")"),"irrelevant text")</f>
        <v>irrelevant text</v>
      </c>
      <c r="C7027" s="1" t="str">
        <f ca="1">IFERROR(__xludf.DUMMYFUNCTION("GOOGLETRANSLATE(E7027, ""zh"", ""en"")"),"irrelevant text")</f>
        <v>irrelevant text</v>
      </c>
    </row>
    <row r="7028" spans="1:3" ht="13" x14ac:dyDescent="0.15">
      <c r="A7028" s="1" t="str">
        <f ca="1">IFERROR(__xludf.DUMMYFUNCTION("GOOGLETRANSLATE(A7028, ""zh"", ""en"")"),"Summarize the assessment requirements of capital market ESG ratings and indices and update the capital market rating topic database")</f>
        <v>Summarize the assessment requirements of capital market ESG ratings and indices and update the capital market rating topic database</v>
      </c>
      <c r="B7028" s="1" t="str">
        <f ca="1">IFERROR(__xludf.DUMMYFUNCTION("GOOGLETRANSLATE(A7028, ""zh"", ""en"")"),"irrelevant text")</f>
        <v>irrelevant text</v>
      </c>
      <c r="C7028" s="1" t="str">
        <f ca="1">IFERROR(__xludf.DUMMYFUNCTION("GOOGLETRANSLATE(E7028, ""zh"", ""en"")"),"irrelevant text")</f>
        <v>irrelevant text</v>
      </c>
    </row>
    <row r="7029" spans="1:3" ht="13" x14ac:dyDescent="0.15">
      <c r="A7029" s="1" t="str">
        <f ca="1">IFERROR(__xludf.DUMMYFUNCTION("GOOGLETRANSLATE(A7029, ""zh"", ""en"")"),"Benchmarking analysis: Benchmarking against outstanding sustainability-related disclosures by domestic and international peers to identify and prioritize key industry concerns.")</f>
        <v>Benchmarking analysis: Benchmarking against outstanding sustainability-related disclosures by domestic and international peers to identify and prioritize key industry concerns.</v>
      </c>
      <c r="B7029" s="1" t="str">
        <f ca="1">IFERROR(__xludf.DUMMYFUNCTION("GOOGLETRANSLATE(A7029, ""zh"", ""en"")"),"irrelevant text")</f>
        <v>irrelevant text</v>
      </c>
      <c r="C7029" s="1" t="str">
        <f ca="1">IFERROR(__xludf.DUMMYFUNCTION("GOOGLETRANSLATE(E7029, ""zh"", ""en"")"),"irrelevant text")</f>
        <v>irrelevant text</v>
      </c>
    </row>
    <row r="7030" spans="1:3" ht="13" x14ac:dyDescent="0.15">
      <c r="A7030" s="1" t="str">
        <f ca="1">IFERROR(__xludf.DUMMYFUNCTION("GOOGLETRANSLATE(A7030, ""zh"", ""en"")"),"We regularly conduct research activities with a wide range of stakeholders to fully understand and collect the views of various parties, including the government, shareholders, employees, and customers, as well as their opinions on Vanke's sustainable dev"&amp;"elopment. We identify important sustainable development issues.")</f>
        <v>We regularly conduct research activities with a wide range of stakeholders to fully understand and collect the views of various parties, including the government, shareholders, employees, and customers, as well as their opinions on Vanke's sustainable development. We identify important sustainable development issues.</v>
      </c>
      <c r="B7030" s="1" t="str">
        <f ca="1">IFERROR(__xludf.DUMMYFUNCTION("GOOGLETRANSLATE(A7030, ""zh"", ""en"")"),"Information Disclosure and Investor Communication")</f>
        <v>Information Disclosure and Investor Communication</v>
      </c>
      <c r="C7030" s="1" t="str">
        <f ca="1">IFERROR(__xludf.DUMMYFUNCTION("GOOGLETRANSLATE(E7030, ""zh"", ""en"")"),"Qualitative text")</f>
        <v>Qualitative text</v>
      </c>
    </row>
    <row r="7031" spans="1:3" ht="13" x14ac:dyDescent="0.15">
      <c r="A7031" s="1" t="str">
        <f ca="1">IFERROR(__xludf.DUMMYFUNCTION("GOOGLETRANSLATE(A7031, ""zh"", ""en"")"),"During the assessment process, we conduct stakeholder communication. Based on the assessment results and in combination with our daily contacts and communications with stakeholders, we conduct online and offline interviews or telephone conferences to unde"&amp;"rstand the core concerns of stakeholders and promote the assessment and review of major issues of the year.")</f>
        <v>During the assessment process, we conduct stakeholder communication. Based on the assessment results and in combination with our daily contacts and communications with stakeholders, we conduct online and offline interviews or telephone conferences to understand the core concerns of stakeholders and promote the assessment and review of major issues of the year.</v>
      </c>
      <c r="B7031" s="1" t="str">
        <f ca="1">IFERROR(__xludf.DUMMYFUNCTION("GOOGLETRANSLATE(A7031, ""zh"", ""en"")"),"irrelevant text")</f>
        <v>irrelevant text</v>
      </c>
      <c r="C7031" s="1" t="str">
        <f ca="1">IFERROR(__xludf.DUMMYFUNCTION("GOOGLETRANSLATE(E7031, ""zh"", ""en"")"),"irrelevant text")</f>
        <v>irrelevant text</v>
      </c>
    </row>
    <row r="7032" spans="1:3" ht="13" x14ac:dyDescent="0.15">
      <c r="A7032" s="1" t="str">
        <f ca="1">IFERROR(__xludf.DUMMYFUNCTION("GOOGLETRANSLATE(A7032, ""zh"", ""en"")"),"Materiality analysis and review: We comprehensively consider the opinions of corporate management and stakeholder requirements, rank and analyze the materiality of identified ESG issues, and review the screening and analysis results through both internal "&amp;"management and external experts.")</f>
        <v>Materiality analysis and review: We comprehensively consider the opinions of corporate management and stakeholder requirements, rank and analyze the materiality of identified ESG issues, and review the screening and analysis results through both internal management and external experts.</v>
      </c>
      <c r="B7032" s="1" t="str">
        <f ca="1">IFERROR(__xludf.DUMMYFUNCTION("GOOGLETRANSLATE(A7032, ""zh"", ""en"")"),"irrelevant text")</f>
        <v>irrelevant text</v>
      </c>
      <c r="C7032" s="1" t="str">
        <f ca="1">IFERROR(__xludf.DUMMYFUNCTION("GOOGLETRANSLATE(E7032, ""zh"", ""en"")"),"irrelevant text")</f>
        <v>irrelevant text</v>
      </c>
    </row>
    <row r="7033" spans="1:3" ht="13" x14ac:dyDescent="0.15">
      <c r="A7033" s="1" t="str">
        <f ca="1">IFERROR(__xludf.DUMMYFUNCTION("GOOGLETRANSLATE(A7033, ""zh"", ""en"")"),"Response and disclosure of material issues: Develop and implement action plans for material issues, present them to the board of directors, obtain their confirmation, and provide key responses and disclosures in the report.")</f>
        <v>Response and disclosure of material issues: Develop and implement action plans for material issues, present them to the board of directors, obtain their confirmation, and provide key responses and disclosures in the report.</v>
      </c>
      <c r="B7033" s="1" t="str">
        <f ca="1">IFERROR(__xludf.DUMMYFUNCTION("GOOGLETRANSLATE(A7033, ""zh"", ""en"")"),"irrelevant text")</f>
        <v>irrelevant text</v>
      </c>
      <c r="C7033" s="1" t="str">
        <f ca="1">IFERROR(__xludf.DUMMYFUNCTION("GOOGLETRANSLATE(E7033, ""zh"", ""en"")"),"irrelevant text")</f>
        <v>irrelevant text</v>
      </c>
    </row>
    <row r="7034" spans="1:3" ht="13" x14ac:dyDescent="0.15">
      <c r="A7034" s="1" t="str">
        <f ca="1">IFERROR(__xludf.DUMMYFUNCTION("GOOGLETRANSLATE(A7034, ""zh"", ""en"")"),"No compromise on life safety. No ambiguity in quality standards. No bribery. No self-seeking. No leaking of secrets. Vanke's 16 bottom-line principles. No concealment, no omission, no late reporting. I am not a company spokesperson. Data is authentic and "&amp;"not falsified. No false promises to customers. No private use of official seals. No private establishment of slush funds. No private collection of customer funds. No unauthorized external guarantees. No unauthorized external loans. No unauthorized externa"&amp;"l investments. 16. Strengthening Integrity Management. Vanke has established an effective integrity management structure. Vanke's Audit Committee is responsible for reviewing the company's internal controls, coordinating communication, supervision, and ve"&amp;"rification of internal and external audits, and inspecting and evaluating the company's risk management system.")</f>
        <v>No compromise on life safety. No ambiguity in quality standards. No bribery. No self-seeking. No leaking of secrets. Vanke's 16 bottom-line principles. No concealment, no omission, no late reporting. I am not a company spokesperson. Data is authentic and not falsified. No false promises to customers. No private use of official seals. No private establishment of slush funds. No private collection of customer funds. No unauthorized external guarantees. No unauthorized external loans. No unauthorized external investments. 16. Strengthening Integrity Management. Vanke has established an effective integrity management structure. Vanke's Audit Committee is responsible for reviewing the company's internal controls, coordinating communication, supervision, and verification of internal and external audits, and inspecting and evaluating the company's risk management system.</v>
      </c>
      <c r="B7034" s="1" t="str">
        <f ca="1">IFERROR(__xludf.DUMMYFUNCTION("GOOGLETRANSLATE(A7034, ""zh"", ""en"")"),"Anti-corruption and anti-money laundering")</f>
        <v>Anti-corruption and anti-money laundering</v>
      </c>
      <c r="C7034" s="1" t="str">
        <f ca="1">IFERROR(__xludf.DUMMYFUNCTION("GOOGLETRANSLATE(E7034, ""zh"", ""en"")"),"Qualitative text")</f>
        <v>Qualitative text</v>
      </c>
    </row>
    <row r="7035" spans="1:3" ht="13" x14ac:dyDescent="0.15">
      <c r="A7035" s="1" t="str">
        <f ca="1">IFERROR(__xludf.DUMMYFUNCTION("GOOGLETRANSLATE(A7035, ""zh"", ""en"")"),"The supervisory and auditing functions are directly responsible for the integrity management of the Group. A three-in-one integrity supervision line consisting of the Group headquarters, various business groups, various business units and front-line compa"&amp;"nies is established. It plays an active role in the management of auditing, supervision, investigation and investigation of integrity risks.")</f>
        <v>The supervisory and auditing functions are directly responsible for the integrity management of the Group. A three-in-one integrity supervision line consisting of the Group headquarters, various business groups, various business units and front-line companies is established. It plays an active role in the management of auditing, supervision, investigation and investigation of integrity risks.</v>
      </c>
      <c r="B7035" s="1" t="str">
        <f ca="1">IFERROR(__xludf.DUMMYFUNCTION("GOOGLETRANSLATE(A7035, ""zh"", ""en"")"),"Audit work")</f>
        <v>Audit work</v>
      </c>
      <c r="C7035" s="1" t="str">
        <f ca="1">IFERROR(__xludf.DUMMYFUNCTION("GOOGLETRANSLATE(E7035, ""zh"", ""en"")"),"Qualitative text")</f>
        <v>Qualitative text</v>
      </c>
    </row>
    <row r="7036" spans="1:3" ht="13" x14ac:dyDescent="0.15">
      <c r="A7036" s="1" t="str">
        <f ca="1">IFERROR(__xludf.DUMMYFUNCTION("GOOGLETRANSLATE(A7036, ""zh"", ""en"")"),"In 2022, Vanke's sunshine cooperation agreement signing rate reached 100%. To prevent and control corruption risks, Vanke headquarters' various business groups and business units will lead regular special audits and supervision of operational projects to "&amp;"promptly identify corruption risks, conduct key inspections of organizational culture, team atmosphere, supplier relationships, and other aspects, and promote the company's sunshine culture.")</f>
        <v>In 2022, Vanke's sunshine cooperation agreement signing rate reached 100%. To prevent and control corruption risks, Vanke headquarters' various business groups and business units will lead regular special audits and supervision of operational projects to promptly identify corruption risks, conduct key inspections of organizational culture, team atmosphere, supplier relationships, and other aspects, and promote the company's sunshine culture.</v>
      </c>
      <c r="B7036" s="1" t="str">
        <f ca="1">IFERROR(__xludf.DUMMYFUNCTION("GOOGLETRANSLATE(A7036, ""zh"", ""en"")"),"Anti-corruption and anti-money laundering")</f>
        <v>Anti-corruption and anti-money laundering</v>
      </c>
      <c r="C7036" s="1" t="str">
        <f ca="1">IFERROR(__xludf.DUMMYFUNCTION("GOOGLETRANSLATE(E7036, ""zh"", ""en"")"),"Quantitative Text")</f>
        <v>Quantitative Text</v>
      </c>
    </row>
    <row r="7037" spans="1:3" ht="13" x14ac:dyDescent="0.15">
      <c r="A7037" s="1" t="str">
        <f ca="1">IFERROR(__xludf.DUMMYFUNCTION("GOOGLETRANSLATE(A7037, ""zh"", ""en"")"),"Vanke invites all employees and partners to evaluate the company's integrity environment. Based on the evaluation results, a letter of integrity risk warning is prepared and sent to the front-line management team for proactive integrity risk prevention ma"&amp;"nagement.")</f>
        <v>Vanke invites all employees and partners to evaluate the company's integrity environment. Based on the evaluation results, a letter of integrity risk warning is prepared and sent to the front-line management team for proactive integrity risk prevention management.</v>
      </c>
      <c r="B7037" s="1" t="str">
        <f ca="1">IFERROR(__xludf.DUMMYFUNCTION("GOOGLETRANSLATE(A7037, ""zh"", ""en"")"),"Anti-corruption and anti-money laundering")</f>
        <v>Anti-corruption and anti-money laundering</v>
      </c>
      <c r="C7037" s="1" t="str">
        <f ca="1">IFERROR(__xludf.DUMMYFUNCTION("GOOGLETRANSLATE(E7037, ""zh"", ""en"")"),"Qualitative text")</f>
        <v>Qualitative text</v>
      </c>
    </row>
    <row r="7038" spans="1:3" ht="13" x14ac:dyDescent="0.15">
      <c r="A7038" s="1" t="str">
        <f ca="1">IFERROR(__xludf.DUMMYFUNCTION("GOOGLETRANSLATE(A7038, ""zh"", ""en"")"),"Focusing on the construction of integrity and internal anti-fraud investigation organizations, Vanke has carried out special inspections of violations of regulations and disciplines by key personnel in key areas, strictly adhering to the red line and bott"&amp;"om line.")</f>
        <v>Focusing on the construction of integrity and internal anti-fraud investigation organizations, Vanke has carried out special inspections of violations of regulations and disciplines by key personnel in key areas, strictly adhering to the red line and bottom line.</v>
      </c>
      <c r="B7038" s="1" t="str">
        <f ca="1">IFERROR(__xludf.DUMMYFUNCTION("GOOGLETRANSLATE(A7038, ""zh"", ""en"")"),"Anti-corruption and anti-money laundering")</f>
        <v>Anti-corruption and anti-money laundering</v>
      </c>
      <c r="C7038" s="1" t="str">
        <f ca="1">IFERROR(__xludf.DUMMYFUNCTION("GOOGLETRANSLATE(E7038, ""zh"", ""en"")"),"Qualitative text")</f>
        <v>Qualitative text</v>
      </c>
    </row>
    <row r="7039" spans="1:3" ht="13" x14ac:dyDescent="0.15">
      <c r="A7039" s="1" t="str">
        <f ca="1">IFERROR(__xludf.DUMMYFUNCTION("GOOGLETRANSLATE(A7039, ""zh"", ""en"")"),"In 2022, we conducted 12 comprehensive audits and 126 special audits across all business lines of the Group, and carried out 146 integrity monitoring projects, including 13 risk inspections in key risk areas such as marketing, finance, cost, and procureme"&amp;"nt.")</f>
        <v>In 2022, we conducted 12 comprehensive audits and 126 special audits across all business lines of the Group, and carried out 146 integrity monitoring projects, including 13 risk inspections in key risk areas such as marketing, finance, cost, and procurement.</v>
      </c>
      <c r="B7039" s="1" t="str">
        <f ca="1">IFERROR(__xludf.DUMMYFUNCTION("GOOGLETRANSLATE(A7039, ""zh"", ""en"")"),"Audit work")</f>
        <v>Audit work</v>
      </c>
      <c r="C7039" s="1" t="str">
        <f ca="1">IFERROR(__xludf.DUMMYFUNCTION("GOOGLETRANSLATE(E7039, ""zh"", ""en"")"),"Quantitative Text")</f>
        <v>Quantitative Text</v>
      </c>
    </row>
    <row r="7040" spans="1:3" ht="13" x14ac:dyDescent="0.15">
      <c r="A7040" s="1" t="str">
        <f ca="1">IFERROR(__xludf.DUMMYFUNCTION("GOOGLETRANSLATE(A7040, ""zh"", ""en"")"),"Vanke has established a system of transparency, including employee red line requirements, integrity risk warning letters, employee job code of conduct, transparency cooperation agreements, and reporting principles, to strengthen the foundation of corporat"&amp;"e business ethics management.")</f>
        <v>Vanke has established a system of transparency, including employee red line requirements, integrity risk warning letters, employee job code of conduct, transparency cooperation agreements, and reporting principles, to strengthen the foundation of corporate business ethics management.</v>
      </c>
      <c r="B7040" s="1" t="str">
        <f ca="1">IFERROR(__xludf.DUMMYFUNCTION("GOOGLETRANSLATE(A7040, ""zh"", ""en"")"),"Reporting System")</f>
        <v>Reporting System</v>
      </c>
      <c r="C7040" s="1" t="str">
        <f ca="1">IFERROR(__xludf.DUMMYFUNCTION("GOOGLETRANSLATE(E7040, ""zh"", ""en"")"),"Qualitative text")</f>
        <v>Qualitative text</v>
      </c>
    </row>
    <row r="7041" spans="1:3" ht="13" x14ac:dyDescent="0.15">
      <c r="A7041" s="1" t="str">
        <f ca="1">IFERROR(__xludf.DUMMYFUNCTION("GOOGLETRANSLATE(A7041, ""zh"", ""en"")"),"In 2022, we updated the Sunshine Cooperation Agreement to include standard model clauses on anti-commercial bribery, expanding the management dimension of the Sunshine Cooperation Agreement.")</f>
        <v>In 2022, we updated the Sunshine Cooperation Agreement to include standard model clauses on anti-commercial bribery, expanding the management dimension of the Sunshine Cooperation Agreement.</v>
      </c>
      <c r="B7041" s="1" t="str">
        <f ca="1">IFERROR(__xludf.DUMMYFUNCTION("GOOGLETRANSLATE(A7041, ""zh"", ""en"")"),"Anti-corruption and anti-money laundering")</f>
        <v>Anti-corruption and anti-money laundering</v>
      </c>
      <c r="C7041" s="1" t="str">
        <f ca="1">IFERROR(__xludf.DUMMYFUNCTION("GOOGLETRANSLATE(E7041, ""zh"", ""en"")"),"Qualitative text")</f>
        <v>Qualitative text</v>
      </c>
    </row>
    <row r="7042" spans="1:3" ht="13" x14ac:dyDescent="0.15">
      <c r="A7042" s="1" t="str">
        <f ca="1">IFERROR(__xludf.DUMMYFUNCTION("GOOGLETRANSLATE(A7042, ""zh"", ""en"")"),"We have also updated Vanke Group's 16 bottom-line principles and are promoting them to all employees through email training and annual conference presentations.")</f>
        <v>We have also updated Vanke Group's 16 bottom-line principles and are promoting them to all employees through email training and annual conference presentations.</v>
      </c>
      <c r="B7042" s="1" t="str">
        <f ca="1">IFERROR(__xludf.DUMMYFUNCTION("GOOGLETRANSLATE(A7042, ""zh"", ""en"")"),"staff")</f>
        <v>staff</v>
      </c>
      <c r="C7042" s="1" t="str">
        <f ca="1">IFERROR(__xludf.DUMMYFUNCTION("GOOGLETRANSLATE(E7042, ""zh"", ""en"")"),"Qualitative text")</f>
        <v>Qualitative text</v>
      </c>
    </row>
    <row r="7043" spans="1:3" ht="13" x14ac:dyDescent="0.15">
      <c r="A7043" s="1" t="str">
        <f ca="1">IFERROR(__xludf.DUMMYFUNCTION("GOOGLETRANSLATE(A7043, ""zh"", ""en"")"),"Business Philosophy 43 2022 Sustainability Report Cultivating a Culture of Integrity Vanke prioritizes the cultivation of a culture of integrity. We conduct annual integrity education for board members and all employees, striving to deeply embed this cult"&amp;"ure in every employee.")</f>
        <v>Business Philosophy 43 2022 Sustainability Report Cultivating a Culture of Integrity Vanke prioritizes the cultivation of a culture of integrity. We conduct annual integrity education for board members and all employees, striving to deeply embed this culture in every employee.</v>
      </c>
      <c r="B7043" s="1" t="str">
        <f ca="1">IFERROR(__xludf.DUMMYFUNCTION("GOOGLETRANSLATE(A7043, ""zh"", ""en"")"),"Anti-corruption and anti-money laundering")</f>
        <v>Anti-corruption and anti-money laundering</v>
      </c>
      <c r="C7043" s="1" t="str">
        <f ca="1">IFERROR(__xludf.DUMMYFUNCTION("GOOGLETRANSLATE(E7043, ""zh"", ""en"")"),"Qualitative text")</f>
        <v>Qualitative text</v>
      </c>
    </row>
    <row r="7044" spans="1:3" ht="13" x14ac:dyDescent="0.15">
      <c r="A7044" s="1" t="str">
        <f ca="1">IFERROR(__xludf.DUMMYFUNCTION("GOOGLETRANSLATE(A7044, ""zh"", ""en"")"),"Public reporting channels include Vanke's fraud reporting website 5198.vanke.com, the 5198 reporting email address, and the Lianzheng Vanke WeChat official account.")</f>
        <v>Public reporting channels include Vanke's fraud reporting website 5198.vanke.com, the 5198 reporting email address, and the Lianzheng Vanke WeChat official account.</v>
      </c>
      <c r="B7044" s="1" t="str">
        <f ca="1">IFERROR(__xludf.DUMMYFUNCTION("GOOGLETRANSLATE(A7044, ""zh"", ""en"")"),"Reporting System")</f>
        <v>Reporting System</v>
      </c>
      <c r="C7044" s="1" t="str">
        <f ca="1">IFERROR(__xludf.DUMMYFUNCTION("GOOGLETRANSLATE(E7044, ""zh"", ""en"")"),"Qualitative text")</f>
        <v>Qualitative text</v>
      </c>
    </row>
    <row r="7045" spans="1:3" ht="13" x14ac:dyDescent="0.15">
      <c r="A7045" s="1" t="str">
        <f ca="1">IFERROR(__xludf.DUMMYFUNCTION("GOOGLETRANSLATE(A7045, ""zh"", ""en"")"),"Suppliers, contractors and other partners can report any potential violations to the group through public reporting channels")</f>
        <v>Suppliers, contractors and other partners can report any potential violations to the group through public reporting channels</v>
      </c>
      <c r="B7045" s="1" t="str">
        <f ca="1">IFERROR(__xludf.DUMMYFUNCTION("GOOGLETRANSLATE(A7045, ""zh"", ""en"")"),"Reporting System")</f>
        <v>Reporting System</v>
      </c>
      <c r="C7045" s="1" t="str">
        <f ca="1">IFERROR(__xludf.DUMMYFUNCTION("GOOGLETRANSLATE(E7045, ""zh"", ""en"")"),"Qualitative text")</f>
        <v>Qualitative text</v>
      </c>
    </row>
    <row r="7046" spans="1:3" ht="13" x14ac:dyDescent="0.15">
      <c r="A7046" s="1" t="str">
        <f ca="1">IFERROR(__xludf.DUMMYFUNCTION("GOOGLETRANSLATE(A7046, ""zh"", ""en"")"),"Information confidentiality management: Establish regulations on whistleblower information protection. Commit to strictly control the scope of knowledge of whistleblowing information within the company within the scope permitted by law. Strictly keep conf"&amp;"idential the materials involved in the investigation process and require the investigated unit and the reported person not to retaliate against the whistleblower. Once discovered, serious action will be taken.")</f>
        <v>Information confidentiality management: Establish regulations on whistleblower information protection. Commit to strictly control the scope of knowledge of whistleblowing information within the company within the scope permitted by law. Strictly keep confidential the materials involved in the investigation process and require the investigated unit and the reported person not to retaliate against the whistleblower. Once discovered, serious action will be taken.</v>
      </c>
      <c r="B7046" s="1" t="str">
        <f ca="1">IFERROR(__xludf.DUMMYFUNCTION("GOOGLETRANSLATE(A7046, ""zh"", ""en"")"),"Reporting System")</f>
        <v>Reporting System</v>
      </c>
      <c r="C7046" s="1" t="str">
        <f ca="1">IFERROR(__xludf.DUMMYFUNCTION("GOOGLETRANSLATE(E7046, ""zh"", ""en"")"),"Qualitative text")</f>
        <v>Qualitative text</v>
      </c>
    </row>
    <row r="7047" spans="1:3" ht="13" x14ac:dyDescent="0.15">
      <c r="A7047" s="1" t="str">
        <f ca="1">IFERROR(__xludf.DUMMYFUNCTION("GOOGLETRANSLATE(A7047, ""zh"", ""en"")"),"Strict process management: After receiving a confirmed report, the company's supervisory and auditing department will set up an investigation team based on research and analysis, conduct an investigation, issue a preliminary investigation report, provide "&amp;"feedback to the reporter and solicit opinions from the investigated party, issue a formal investigation report, and notify the handling process. Strictly handle fraud and corruption reports through seven processing procedures.")</f>
        <v>Strict process management: After receiving a confirmed report, the company's supervisory and auditing department will set up an investigation team based on research and analysis, conduct an investigation, issue a preliminary investigation report, provide feedback to the reporter and solicit opinions from the investigated party, issue a formal investigation report, and notify the handling process. Strictly handle fraud and corruption reports through seven processing procedures.</v>
      </c>
      <c r="B7047" s="1" t="str">
        <f ca="1">IFERROR(__xludf.DUMMYFUNCTION("GOOGLETRANSLATE(A7047, ""zh"", ""en"")"),"Reporting System")</f>
        <v>Reporting System</v>
      </c>
      <c r="C7047" s="1" t="str">
        <f ca="1">IFERROR(__xludf.DUMMYFUNCTION("GOOGLETRANSLATE(E7047, ""zh"", ""en"")"),"Qualitative text")</f>
        <v>Qualitative text</v>
      </c>
    </row>
    <row r="7048" spans="1:3" ht="13" x14ac:dyDescent="0.15">
      <c r="A7048" s="1" t="str">
        <f ca="1">IFERROR(__xludf.DUMMYFUNCTION("GOOGLETRANSLATE(A7048, ""zh"", ""en"")"),"Dedicated personnel are assigned to receive and process collected reporting information. We adhere to the principle of confidentiality, real-name priority, and reward for verification. We accept complaints and reports against Vanke employees or units for "&amp;"acts that violate professional ethics, such as corruption, fraud, and deception.")</f>
        <v>Dedicated personnel are assigned to receive and process collected reporting information. We adhere to the principle of confidentiality, real-name priority, and reward for verification. We accept complaints and reports against Vanke employees or units for acts that violate professional ethics, such as corruption, fraud, and deception.</v>
      </c>
      <c r="B7048" s="1" t="str">
        <f ca="1">IFERROR(__xludf.DUMMYFUNCTION("GOOGLETRANSLATE(A7048, ""zh"", ""en"")"),"Reporting System")</f>
        <v>Reporting System</v>
      </c>
      <c r="C7048" s="1" t="str">
        <f ca="1">IFERROR(__xludf.DUMMYFUNCTION("GOOGLETRANSLATE(E7048, ""zh"", ""en"")"),"Qualitative text")</f>
        <v>Qualitative text</v>
      </c>
    </row>
    <row r="7049" spans="1:3" ht="13" x14ac:dyDescent="0.15">
      <c r="A7049" s="1" t="str">
        <f ca="1">IFERROR(__xludf.DUMMYFUNCTION("GOOGLETRANSLATE(A7049, ""zh"", ""en"")"),"To actively improve integrity management and effectively identify integrity risks, we collect internal and external reports and conduct internal screening to identify relevant clues, and the Supervision Center conducts independent investigations.")</f>
        <v>To actively improve integrity management and effectively identify integrity risks, we collect internal and external reports and conduct internal screening to identify relevant clues, and the Supervision Center conducts independent investigations.</v>
      </c>
      <c r="B7049" s="1" t="str">
        <f ca="1">IFERROR(__xludf.DUMMYFUNCTION("GOOGLETRANSLATE(A7049, ""zh"", ""en"")"),"Reporting System")</f>
        <v>Reporting System</v>
      </c>
      <c r="C7049" s="1" t="str">
        <f ca="1">IFERROR(__xludf.DUMMYFUNCTION("GOOGLETRANSLATE(E7049, ""zh"", ""en"")"),"Qualitative text")</f>
        <v>Qualitative text</v>
      </c>
    </row>
    <row r="7050" spans="1:3" ht="13" x14ac:dyDescent="0.15">
      <c r="A7050" s="1" t="str">
        <f ca="1">IFERROR(__xludf.DUMMYFUNCTION("GOOGLETRANSLATE(A7050, ""zh"", ""en"")"),"Case Study: Specialized regular training for all employees on the reform of the decoration management mechanism. We conduct red line training for all employees, including members of the company's board of directors, every year and regulate the job behavio"&amp;"r of all employees in the company.")</f>
        <v>Case Study: Specialized regular training for all employees on the reform of the decoration management mechanism. We conduct red line training for all employees, including members of the company's board of directors, every year and regulate the job behavior of all employees in the company.</v>
      </c>
      <c r="B7050" s="1" t="str">
        <f ca="1">IFERROR(__xludf.DUMMYFUNCTION("GOOGLETRANSLATE(A7050, ""zh"", ""en"")"),"staff")</f>
        <v>staff</v>
      </c>
      <c r="C7050" s="1" t="str">
        <f ca="1">IFERROR(__xludf.DUMMYFUNCTION("GOOGLETRANSLATE(E7050, ""zh"", ""en"")"),"Qualitative text")</f>
        <v>Qualitative text</v>
      </c>
    </row>
    <row r="7051" spans="1:3" ht="13" x14ac:dyDescent="0.15">
      <c r="A7051" s="1" t="str">
        <f ca="1">IFERROR(__xludf.DUMMYFUNCTION("GOOGLETRANSLATE(A7051, ""zh"", ""en"")"),"We regularly carry out integrity promotion activities, such as setting up a dedicated integrity website, posting a series of integrity posters, launching integrity lectures, and publishing integrity files and warning cases for all employees to promote int"&amp;"egrity laws and regulations and internal company regulations.")</f>
        <v>We regularly carry out integrity promotion activities, such as setting up a dedicated integrity website, posting a series of integrity posters, launching integrity lectures, and publishing integrity files and warning cases for all employees to promote integrity laws and regulations and internal company regulations.</v>
      </c>
      <c r="B7051" s="1" t="str">
        <f ca="1">IFERROR(__xludf.DUMMYFUNCTION("GOOGLETRANSLATE(A7051, ""zh"", ""en"")"),"Anti-corruption and anti-money laundering")</f>
        <v>Anti-corruption and anti-money laundering</v>
      </c>
      <c r="C7051" s="1" t="str">
        <f ca="1">IFERROR(__xludf.DUMMYFUNCTION("GOOGLETRANSLATE(E7051, ""zh"", ""en"")"),"Qualitative text")</f>
        <v>Qualitative text</v>
      </c>
    </row>
    <row r="7052" spans="1:3" ht="13" x14ac:dyDescent="0.15">
      <c r="A7052" s="1" t="str">
        <f ca="1">IFERROR(__xludf.DUMMYFUNCTION("GOOGLETRANSLATE(A7052, ""zh"", ""en"")"),"VANKE 44 promotes integrity among partners. Vanke, in conjunction with several well-known companies, has established a corporate anti-fraud alliance, advocating for member companies to uphold integrity and refrain from bribery. The alliance shares a black"&amp;"list to increase the social cost of dishonest individuals and organizations.")</f>
        <v>VANKE 44 promotes integrity among partners. Vanke, in conjunction with several well-known companies, has established a corporate anti-fraud alliance, advocating for member companies to uphold integrity and refrain from bribery. The alliance shares a blacklist to increase the social cost of dishonest individuals and organizations.</v>
      </c>
      <c r="B7052" s="1" t="str">
        <f ca="1">IFERROR(__xludf.DUMMYFUNCTION("GOOGLETRANSLATE(A7052, ""zh"", ""en"")"),"Anti-corruption and anti-money laundering")</f>
        <v>Anti-corruption and anti-money laundering</v>
      </c>
      <c r="C7052" s="1" t="str">
        <f ca="1">IFERROR(__xludf.DUMMYFUNCTION("GOOGLETRANSLATE(E7052, ""zh"", ""en"")"),"Qualitative text")</f>
        <v>Qualitative text</v>
      </c>
    </row>
    <row r="7053" spans="1:3" ht="13" x14ac:dyDescent="0.15">
      <c r="A7053" s="1" t="str">
        <f ca="1">IFERROR(__xludf.DUMMYFUNCTION("GOOGLETRANSLATE(A7053, ""zh"", ""en"")"),"Currently, the Corporate Anti-Fraud Alliance has 716 members, including more than 20 Fortune 500 companies and more than 110 Chinese Fortune 500 companies. It has become the most influential corporate anti-fraud public welfare mutual aid organization in C"&amp;"hina, helping to build an honest society.")</f>
        <v>Currently, the Corporate Anti-Fraud Alliance has 716 members, including more than 20 Fortune 500 companies and more than 110 Chinese Fortune 500 companies. It has become the most influential corporate anti-fraud public welfare mutual aid organization in China, helping to build an honest society.</v>
      </c>
      <c r="B7053" s="1" t="str">
        <f ca="1">IFERROR(__xludf.DUMMYFUNCTION("GOOGLETRANSLATE(A7053, ""zh"", ""en"")"),"Anti-corruption and anti-money laundering")</f>
        <v>Anti-corruption and anti-money laundering</v>
      </c>
      <c r="C7053" s="1" t="str">
        <f ca="1">IFERROR(__xludf.DUMMYFUNCTION("GOOGLETRANSLATE(E7053, ""zh"", ""en"")"),"Quantitative Text")</f>
        <v>Quantitative Text</v>
      </c>
    </row>
    <row r="7054" spans="1:3" ht="13" x14ac:dyDescent="0.15">
      <c r="A7054" s="1" t="str">
        <f ca="1">IFERROR(__xludf.DUMMYFUNCTION("GOOGLETRANSLATE(A7054, ""zh"", ""en"")"),"In 2022, the number of cases in which Vanke was identified as a participant in anti-competitive behavior was zero, and the number of cases of antitrust violations was zero. Risk management has built a solid foundation. Vanke has formulated the Vanke Enter"&amp;"prise Co., Ltd. Internal Control Management System and the Vanke Enterprise Co., Ltd. Risk Management Manual, which clearly define the company's objectives and principles for internal control and risk management, the organizational system and division of "&amp;"responsibilities, risk identification, risk assessment, risk response, risk management, monitoring, and supervision.")</f>
        <v>In 2022, the number of cases in which Vanke was identified as a participant in anti-competitive behavior was zero, and the number of cases of antitrust violations was zero. Risk management has built a solid foundation. Vanke has formulated the Vanke Enterprise Co., Ltd. Internal Control Management System and the Vanke Enterprise Co., Ltd. Risk Management Manual, which clearly define the company's objectives and principles for internal control and risk management, the organizational system and division of responsibilities, risk identification, risk assessment, risk response, risk management, monitoring, and supervision.</v>
      </c>
      <c r="B7054" s="1" t="str">
        <f ca="1">IFERROR(__xludf.DUMMYFUNCTION("GOOGLETRANSLATE(A7054, ""zh"", ""en"")"),"Anti-unfair competition")</f>
        <v>Anti-unfair competition</v>
      </c>
      <c r="C7054" s="1" t="str">
        <f ca="1">IFERROR(__xludf.DUMMYFUNCTION("GOOGLETRANSLATE(E7054, ""zh"", ""en"")"),"Quantitative Text")</f>
        <v>Quantitative Text</v>
      </c>
    </row>
    <row r="7055" spans="1:3" ht="13" x14ac:dyDescent="0.15">
      <c r="A7055" s="1" t="str">
        <f ca="1">IFERROR(__xludf.DUMMYFUNCTION("GOOGLETRANSLATE(A7055, ""zh"", ""en"")"),"Improve the structure. The company continues to improve and strengthen risk identification, monitoring and prevention functions at the board and internal management levels. Check and evaluate whether the risk management system established by the company i"&amp;"s operating effectively. The headquarters is responsible for risk identification and prevention at the company level and gradually establishes risk management functional departments in the front-line companies of each business group and business unit to c"&amp;"arry out risk identification and assessment work.")</f>
        <v>Improve the structure. The company continues to improve and strengthen risk identification, monitoring and prevention functions at the board and internal management levels. Check and evaluate whether the risk management system established by the company is operating effectively. The headquarters is responsible for risk identification and prevention at the company level and gradually establishes risk management functional departments in the front-line companies of each business group and business unit to carry out risk identification and assessment work.</v>
      </c>
      <c r="B7055" s="1" t="str">
        <f ca="1">IFERROR(__xludf.DUMMYFUNCTION("GOOGLETRANSLATE(A7055, ""zh"", ""en"")"),"Organizational structure and operations")</f>
        <v>Organizational structure and operations</v>
      </c>
      <c r="C7055" s="1" t="str">
        <f ca="1">IFERROR(__xludf.DUMMYFUNCTION("GOOGLETRANSLATE(E7055, ""zh"", ""en"")"),"Qualitative text")</f>
        <v>Qualitative text</v>
      </c>
    </row>
    <row r="7056" spans="1:3" ht="13" x14ac:dyDescent="0.15">
      <c r="A7056" s="1" t="str">
        <f ca="1">IFERROR(__xludf.DUMMYFUNCTION("GOOGLETRANSLATE(A7056, ""zh"", ""en"")"),"Optimizing management Vanke has established three lines of defense consisting of business departments, functional departments and internal supervision departments to implement comprehensive risk management")</f>
        <v>Optimizing management Vanke has established three lines of defense consisting of business departments, functional departments and internal supervision departments to implement comprehensive risk management</v>
      </c>
      <c r="B7056" s="1" t="str">
        <f ca="1">IFERROR(__xludf.DUMMYFUNCTION("GOOGLETRANSLATE(A7056, ""zh"", ""en"")"),"Organizational structure and operations")</f>
        <v>Organizational structure and operations</v>
      </c>
      <c r="C7056" s="1" t="str">
        <f ca="1">IFERROR(__xludf.DUMMYFUNCTION("GOOGLETRANSLATE(E7056, ""zh"", ""en"")"),"Qualitative text")</f>
        <v>Qualitative text</v>
      </c>
    </row>
    <row r="7057" spans="1:3" ht="13" x14ac:dyDescent="0.15">
      <c r="A7057" s="1" t="str">
        <f ca="1">IFERROR(__xludf.DUMMYFUNCTION("GOOGLETRANSLATE(A7057, ""zh"", ""en"")"),"For more details on internal control and risk management, please refer to Vanke Co., Ltd.'s 2022 Annual Report.")</f>
        <v>For more details on internal control and risk management, please refer to Vanke Co., Ltd.'s 2022 Annual Report.</v>
      </c>
      <c r="B7057" s="1" t="str">
        <f ca="1">IFERROR(__xludf.DUMMYFUNCTION("GOOGLETRANSLATE(A7057, ""zh"", ""en"")"),"irrelevant text")</f>
        <v>irrelevant text</v>
      </c>
      <c r="C7057" s="1" t="str">
        <f ca="1">IFERROR(__xludf.DUMMYFUNCTION("GOOGLETRANSLATE(E7057, ""zh"", ""en"")"),"irrelevant text")</f>
        <v>irrelevant text</v>
      </c>
    </row>
    <row r="7058" spans="1:3" ht="13" x14ac:dyDescent="0.15">
      <c r="A7058" s="1" t="str">
        <f ca="1">IFERROR(__xludf.DUMMYFUNCTION("GOOGLETRANSLATE(A7058, ""zh"", ""en"")"),"Empowering training Vanke continues to strengthen risk management training to further consolidate risk management awareness")</f>
        <v>Empowering training Vanke continues to strengthen risk management training to further consolidate risk management awareness</v>
      </c>
      <c r="B7058" s="1" t="str">
        <f ca="1">IFERROR(__xludf.DUMMYFUNCTION("GOOGLETRANSLATE(A7058, ""zh"", ""en"")"),"Organizational structure and operations")</f>
        <v>Organizational structure and operations</v>
      </c>
      <c r="C7058" s="1" t="str">
        <f ca="1">IFERROR(__xludf.DUMMYFUNCTION("GOOGLETRANSLATE(E7058, ""zh"", ""en"")"),"Qualitative text")</f>
        <v>Qualitative text</v>
      </c>
    </row>
    <row r="7059" spans="1:3" ht="13" x14ac:dyDescent="0.15">
      <c r="A7059" s="1" t="str">
        <f ca="1">IFERROR(__xludf.DUMMYFUNCTION("GOOGLETRANSLATE(A7059, ""zh"", ""en"")"),"At the same time, we integrate risk management content into daily training, appropriately incorporate risk management-related content and publicity into various trainings at headquarters and front-line companies, and further strengthen employees' risk man"&amp;"agement awareness.")</f>
        <v>At the same time, we integrate risk management content into daily training, appropriately incorporate risk management-related content and publicity into various trainings at headquarters and front-line companies, and further strengthen employees' risk management awareness.</v>
      </c>
      <c r="B7059" s="1" t="str">
        <f ca="1">IFERROR(__xludf.DUMMYFUNCTION("GOOGLETRANSLATE(A7059, ""zh"", ""en"")"),"staff")</f>
        <v>staff</v>
      </c>
      <c r="C7059" s="1" t="str">
        <f ca="1">IFERROR(__xludf.DUMMYFUNCTION("GOOGLETRANSLATE(E7059, ""zh"", ""en"")"),"Qualitative text")</f>
        <v>Qualitative text</v>
      </c>
    </row>
    <row r="7060" spans="1:3" ht="13" x14ac:dyDescent="0.15">
      <c r="A7060" s="1" t="str">
        <f ca="1">IFERROR(__xludf.DUMMYFUNCTION("GOOGLETRANSLATE(A7060, ""zh"", ""en"")"),"We have made the ""Sunshine Illuminating System"" Vanke employee red line requirements a compulsory course for new employees. We have also had all new employees sign a Vanke company statement to enhance their awareness of professional red lines such as br"&amp;"ibery, embezzlement, economic fraud, conflicts of interest, fraud, deception, concealment, and information leakage.")</f>
        <v>We have made the "Sunshine Illuminating System" Vanke employee red line requirements a compulsory course for new employees. We have also had all new employees sign a Vanke company statement to enhance their awareness of professional red lines such as bribery, embezzlement, economic fraud, conflicts of interest, fraud, deception, concealment, and information leakage.</v>
      </c>
      <c r="B7060" s="1" t="str">
        <f ca="1">IFERROR(__xludf.DUMMYFUNCTION("GOOGLETRANSLATE(A7060, ""zh"", ""en"")"),"Anti-corruption and anti-money laundering")</f>
        <v>Anti-corruption and anti-money laundering</v>
      </c>
      <c r="C7060" s="1" t="str">
        <f ca="1">IFERROR(__xludf.DUMMYFUNCTION("GOOGLETRANSLATE(E7060, ""zh"", ""en"")"),"Qualitative text")</f>
        <v>Qualitative text</v>
      </c>
    </row>
    <row r="7061" spans="1:3" ht="13" x14ac:dyDescent="0.15">
      <c r="A7061" s="1" t="str">
        <f ca="1">IFERROR(__xludf.DUMMYFUNCTION("GOOGLETRANSLATE(A7061, ""zh"", ""en"")"),"In 2022, the company, excluding Vanke Cloud BG, held 74 training sessions for new employees, covering 1,982 new employees. Vanke Cloud BG provided training for 25,500 new employees.")</f>
        <v>In 2022, the company, excluding Vanke Cloud BG, held 74 training sessions for new employees, covering 1,982 new employees. Vanke Cloud BG provided training for 25,500 new employees.</v>
      </c>
      <c r="B7061" s="1" t="str">
        <f ca="1">IFERROR(__xludf.DUMMYFUNCTION("GOOGLETRANSLATE(A7061, ""zh"", ""en"")"),"staff")</f>
        <v>staff</v>
      </c>
      <c r="C7061" s="1" t="str">
        <f ca="1">IFERROR(__xludf.DUMMYFUNCTION("GOOGLETRANSLATE(E7061, ""zh"", ""en"")"),"Quantitative Text")</f>
        <v>Quantitative Text</v>
      </c>
    </row>
    <row r="7062" spans="1:3" ht="13" x14ac:dyDescent="0.15">
      <c r="A7062" s="1" t="str">
        <f ca="1">IFERROR(__xludf.DUMMYFUNCTION("GOOGLETRANSLATE(A7062, ""zh"", ""en"")"),"We focus on strengthening the awareness of integrity among senior management. In 2022, all directors, supervisors and senior management participated in the special training for directors, supervisors and senior management organized by the regulatory autho"&amp;"rities. We continued to study regulatory laws and regulations and strengthened our awareness of diligence, loyalty and integrity in performing our duties.")</f>
        <v>We focus on strengthening the awareness of integrity among senior management. In 2022, all directors, supervisors and senior management participated in the special training for directors, supervisors and senior management organized by the regulatory authorities. We continued to study regulatory laws and regulations and strengthened our awareness of diligence, loyalty and integrity in performing our duties.</v>
      </c>
      <c r="B7062" s="1" t="str">
        <f ca="1">IFERROR(__xludf.DUMMYFUNCTION("GOOGLETRANSLATE(A7062, ""zh"", ""en"")"),"Anti-corruption and anti-money laundering")</f>
        <v>Anti-corruption and anti-money laundering</v>
      </c>
      <c r="C7062" s="1" t="str">
        <f ca="1">IFERROR(__xludf.DUMMYFUNCTION("GOOGLETRANSLATE(E7062, ""zh"", ""en"")"),"Quantitative Text")</f>
        <v>Quantitative Text</v>
      </c>
    </row>
    <row r="7063" spans="1:3" ht="13" x14ac:dyDescent="0.15">
      <c r="A7063" s="1" t="str">
        <f ca="1">IFERROR(__xludf.DUMMYFUNCTION("GOOGLETRANSLATE(A7063, ""zh"", ""en"")"),"Onboarding, integrity training, executive training, business philosophy 45 2022 Sustainability Report, information security and privacy protection. Vanke strictly adheres to the Cybersecurity Law of the People's Republic of China, the Data Security Law of"&amp;" the People's Republic of China, the Personal Information Protection Law of the People's Republic of China, and other regulations. Vanke Group has formulated information security inspection and audit management regulations, personal information compliance"&amp;" management guidelines, personal information security incident emergency plans, and other systems to provide management standards for Vanke's implementation of information security and privacy protection.")</f>
        <v>Onboarding, integrity training, executive training, business philosophy 45 2022 Sustainability Report, information security and privacy protection. Vanke strictly adheres to the Cybersecurity Law of the People's Republic of China, the Data Security Law of the People's Republic of China, the Personal Information Protection Law of the People's Republic of China, and other regulations. Vanke Group has formulated information security inspection and audit management regulations, personal information compliance management guidelines, personal information security incident emergency plans, and other systems to provide management standards for Vanke's implementation of information security and privacy protection.</v>
      </c>
      <c r="B7063" s="1" t="str">
        <f ca="1">IFERROR(__xludf.DUMMYFUNCTION("GOOGLETRANSLATE(A7063, ""zh"", ""en"")"),"Data security")</f>
        <v>Data security</v>
      </c>
      <c r="C7063" s="1" t="str">
        <f ca="1">IFERROR(__xludf.DUMMYFUNCTION("GOOGLETRANSLATE(E7063, ""zh"", ""en"")"),"Qualitative text")</f>
        <v>Qualitative text</v>
      </c>
    </row>
    <row r="7064" spans="1:3" ht="13" x14ac:dyDescent="0.15">
      <c r="A7064" s="1" t="str">
        <f ca="1">IFERROR(__xludf.DUMMYFUNCTION("GOOGLETRANSLATE(A7064, ""zh"", ""en"")"),"In 2022, Vanke became a member of the Guangdong Internet Association, a subsidiary of the Guangdong Provincial Communications Administration, and actively participated in the formulation of group standards for information security technology application a"&amp;"nd management.")</f>
        <v>In 2022, Vanke became a member of the Guangdong Internet Association, a subsidiary of the Guangdong Provincial Communications Administration, and actively participated in the formulation of group standards for information security technology application and management.</v>
      </c>
      <c r="B7064" s="1" t="str">
        <f ca="1">IFERROR(__xludf.DUMMYFUNCTION("GOOGLETRANSLATE(A7064, ""zh"", ""en"")"),"Data security")</f>
        <v>Data security</v>
      </c>
      <c r="C7064" s="1" t="str">
        <f ca="1">IFERROR(__xludf.DUMMYFUNCTION("GOOGLETRANSLATE(E7064, ""zh"", ""en"")"),"Qualitative text")</f>
        <v>Qualitative text</v>
      </c>
    </row>
    <row r="7065" spans="1:3" ht="13" x14ac:dyDescent="0.15">
      <c r="A7065" s="1" t="str">
        <f ca="1">IFERROR(__xludf.DUMMYFUNCTION("GOOGLETRANSLATE(A7065, ""zh"", ""en"")"),"Information Security and Compliance Management: Vanke established a data security and personal information security compliance team through the Dragon Head-raising Plan. The two-level compliance team consists of a group-level compliance team and a BGBU-le"&amp;"vel compliance team, responsible for the group's data security and personal information security compliance management.")</f>
        <v>Information Security and Compliance Management: Vanke established a data security and personal information security compliance team through the Dragon Head-raising Plan. The two-level compliance team consists of a group-level compliance team and a BGBU-level compliance team, responsible for the group's data security and personal information security compliance management.</v>
      </c>
      <c r="B7065" s="1" t="str">
        <f ca="1">IFERROR(__xludf.DUMMYFUNCTION("GOOGLETRANSLATE(A7065, ""zh"", ""en"")"),"Data security")</f>
        <v>Data security</v>
      </c>
      <c r="C7065" s="1" t="str">
        <f ca="1">IFERROR(__xludf.DUMMYFUNCTION("GOOGLETRANSLATE(E7065, ""zh"", ""en"")"),"Qualitative text")</f>
        <v>Qualitative text</v>
      </c>
    </row>
    <row r="7066" spans="1:3" ht="13" x14ac:dyDescent="0.15">
      <c r="A7066" s="1" t="str">
        <f ca="1">IFERROR(__xludf.DUMMYFUNCTION("GOOGLETRANSLATE(A7066, ""zh"", ""en"")"),"In 2022, we have taken a series of measures to strengthen information security and privacy protection around cloud security management mechanisms and management processes.")</f>
        <v>In 2022, we have taken a series of measures to strengthen information security and privacy protection around cloud security management mechanisms and management processes.</v>
      </c>
      <c r="B7066" s="1" t="str">
        <f ca="1">IFERROR(__xludf.DUMMYFUNCTION("GOOGLETRANSLATE(A7066, ""zh"", ""en"")"),"Data security")</f>
        <v>Data security</v>
      </c>
      <c r="C7066" s="1" t="str">
        <f ca="1">IFERROR(__xludf.DUMMYFUNCTION("GOOGLETRANSLATE(E7066, ""zh"", ""en"")"),"Qualitative text")</f>
        <v>Qualitative text</v>
      </c>
    </row>
    <row r="7067" spans="1:3" ht="13" x14ac:dyDescent="0.15">
      <c r="A7067" s="1" t="str">
        <f ca="1">IFERROR(__xludf.DUMMYFUNCTION("GOOGLETRANSLATE(A7067, ""zh"", ""en"")"),"In addition, we require all personnel, including employees, partners, and suppliers, to sign confidentiality agreements and confirm the implementation of confidentiality agreements through regular and special audits.")</f>
        <v>In addition, we require all personnel, including employees, partners, and suppliers, to sign confidentiality agreements and confirm the implementation of confidentiality agreements through regular and special audits.</v>
      </c>
      <c r="B7067" s="1" t="str">
        <f ca="1">IFERROR(__xludf.DUMMYFUNCTION("GOOGLETRANSLATE(A7067, ""zh"", ""en"")"),"Data security")</f>
        <v>Data security</v>
      </c>
      <c r="C7067" s="1" t="str">
        <f ca="1">IFERROR(__xludf.DUMMYFUNCTION("GOOGLETRANSLATE(E7067, ""zh"", ""en"")"),"Qualitative text")</f>
        <v>Qualitative text</v>
      </c>
    </row>
    <row r="7068" spans="1:3" ht="13" x14ac:dyDescent="0.15">
      <c r="A7068" s="1" t="str">
        <f ca="1">IFERROR(__xludf.DUMMYFUNCTION("GOOGLETRANSLATE(A7068, ""zh"", ""en"")"),"The confidentiality agreement signing rate among employees and partners will reach 100% in 2022")</f>
        <v>The confidentiality agreement signing rate among employees and partners will reach 100% in 2022</v>
      </c>
      <c r="B7068" s="1" t="str">
        <f ca="1">IFERROR(__xludf.DUMMYFUNCTION("GOOGLETRANSLATE(A7068, ""zh"", ""en"")"),"Data security")</f>
        <v>Data security</v>
      </c>
      <c r="C7068" s="1" t="str">
        <f ca="1">IFERROR(__xludf.DUMMYFUNCTION("GOOGLETRANSLATE(E7068, ""zh"", ""en"")"),"Quantitative Text")</f>
        <v>Quantitative Text</v>
      </c>
    </row>
    <row r="7069" spans="1:3" ht="13" x14ac:dyDescent="0.15">
      <c r="A7069" s="1" t="str">
        <f ca="1">IFERROR(__xludf.DUMMYFUNCTION("GOOGLETRANSLATE(A7069, ""zh"", ""en"")"),"Build a cloud security system from the IaaS, PaaS, and SaaS layers respectively, connect security processes and tools, build a cloud network attack exposure surface security detection and response mechanism through a cloud security asset mapping platform,"&amp;" protect cloud application systems and data security through a cloud access security broker (CASB), combine standards and technical means to achieve closed-loop risk management by building a cloud configuration risk management mechanism, improve cloud sec"&amp;"urity management, improve data security and personal information compliance systems, carry out personnel compliance awareness and professional skills training, carry out special work on data security and personal information compliance, strengthen the sec"&amp;"urity technology protection system, establish a batch export application approval and encryption mechanism for user personal information, regularly implement the compliance assessment and application approval process for newly launched personal informatio"&amp;"n-related systems, implement App compliance detection and rectification mechanisms, carry out PIA self-assessment of the impact of personal information on each system, optimize management mechanisms, and strengthen management processes. Vanke has establis"&amp;"hed a default privacy protection mechanism (PbD) throughout the entire life cycle. In 2022, the management mechanism will expand its scope of application to implement six business scenarios including the Parkview App, the Easy Room Selection Mini Program,"&amp;" the Hotel and Vacation Mini Program, the Vanke Cloud Living Here App, the Yinli Commercial Yinxiangxing Mini Program, and the Meisha Education App.")</f>
        <v>Build a cloud security system from the IaaS, PaaS, and SaaS layers respectively, connect security processes and tools, build a cloud network attack exposure surface security detection and response mechanism through a cloud security asset mapping platform, protect cloud application systems and data security through a cloud access security broker (CASB), combine standards and technical means to achieve closed-loop risk management by building a cloud configuration risk management mechanism, improve cloud security management, improve data security and personal information compliance systems, carry out personnel compliance awareness and professional skills training, carry out special work on data security and personal information compliance, strengthen the security technology protection system, establish a batch export application approval and encryption mechanism for user personal information, regularly implement the compliance assessment and application approval process for newly launched personal information-related systems, implement App compliance detection and rectification mechanisms, carry out PIA self-assessment of the impact of personal information on each system, optimize management mechanisms, and strengthen management processes. Vanke has established a default privacy protection mechanism (PbD) throughout the entire life cycle. In 2022, the management mechanism will expand its scope of application to implement six business scenarios including the Parkview App, the Easy Room Selection Mini Program, the Hotel and Vacation Mini Program, the Vanke Cloud Living Here App, the Yinli Commercial Yinxiangxing Mini Program, and the Meisha Education App.</v>
      </c>
      <c r="B7069" s="1" t="str">
        <f ca="1">IFERROR(__xludf.DUMMYFUNCTION("GOOGLETRANSLATE(A7069, ""zh"", ""en"")"),"Data security")</f>
        <v>Data security</v>
      </c>
      <c r="C7069" s="1" t="str">
        <f ca="1">IFERROR(__xludf.DUMMYFUNCTION("GOOGLETRANSLATE(E7069, ""zh"", ""en"")"),"Qualitative text")</f>
        <v>Qualitative text</v>
      </c>
    </row>
    <row r="7070" spans="1:3" ht="13" x14ac:dyDescent="0.15">
      <c r="A7070" s="1" t="str">
        <f ca="1">IFERROR(__xludf.DUMMYFUNCTION("GOOGLETRANSLATE(A7070, ""zh"", ""en"")"),"VANKE Vanke 46 Information Security Inspection To improve the group's network security defense level and test the group's existing internal security defense monitoring capabilities, we use a red-blue confrontation approach to conduct in-depth attack and d"&amp;"efense drills around the group's internal and external network assets. At the same time, we promote the implementation of information security self-inspections by each BG and BU every quarter through Operation Woodpecker.")</f>
        <v>VANKE Vanke 46 Information Security Inspection To improve the group's network security defense level and test the group's existing internal security defense monitoring capabilities, we use a red-blue confrontation approach to conduct in-depth attack and defense drills around the group's internal and external network assets. At the same time, we promote the implementation of information security self-inspections by each BG and BU every quarter through Operation Woodpecker.</v>
      </c>
      <c r="B7070" s="1" t="str">
        <f ca="1">IFERROR(__xludf.DUMMYFUNCTION("GOOGLETRANSLATE(A7070, ""zh"", ""en"")"),"Data security")</f>
        <v>Data security</v>
      </c>
      <c r="C7070" s="1" t="str">
        <f ca="1">IFERROR(__xludf.DUMMYFUNCTION("GOOGLETRANSLATE(E7070, ""zh"", ""en"")"),"Qualitative text")</f>
        <v>Qualitative text</v>
      </c>
    </row>
    <row r="7071" spans="1:3" ht="13" x14ac:dyDescent="0.15">
      <c r="A7071" s="1" t="str">
        <f ca="1">IFERROR(__xludf.DUMMYFUNCTION("GOOGLETRANSLATE(A7071, ""zh"", ""en"")"),"We strictly abide by the laws and regulations on data security and personal information, conduct timely self-inspections and self-corrections on compliance risks at sales sites, shopping malls, project sites, and other locations, sort out existing and pot"&amp;"ential risks in the Group's data and personal information compliance, and promote rectification. We enhance the compliance awareness of partners in each business department and protect the personal privacy of our customers.")</f>
        <v>We strictly abide by the laws and regulations on data security and personal information, conduct timely self-inspections and self-corrections on compliance risks at sales sites, shopping malls, project sites, and other locations, sort out existing and potential risks in the Group's data and personal information compliance, and promote rectification. We enhance the compliance awareness of partners in each business department and protect the personal privacy of our customers.</v>
      </c>
      <c r="B7071" s="1" t="str">
        <f ca="1">IFERROR(__xludf.DUMMYFUNCTION("GOOGLETRANSLATE(A7071, ""zh"", ""en"")"),"Data security")</f>
        <v>Data security</v>
      </c>
      <c r="C7071" s="1" t="str">
        <f ca="1">IFERROR(__xludf.DUMMYFUNCTION("GOOGLETRANSLATE(E7071, ""zh"", ""en"")"),"Qualitative text")</f>
        <v>Qualitative text</v>
      </c>
    </row>
    <row r="7072" spans="1:3" ht="13" x14ac:dyDescent="0.15">
      <c r="A7072" s="1" t="str">
        <f ca="1">IFERROR(__xludf.DUMMYFUNCTION("GOOGLETRANSLATE(A7072, ""zh"", ""en"")"),"In 2022, Vanke conducted a multi-dimensional audit process including external audits, internal audits, and on-site audits on information security and customer privacy protection.")</f>
        <v>In 2022, Vanke conducted a multi-dimensional audit process including external audits, internal audits, and on-site audits on information security and customer privacy protection.</v>
      </c>
      <c r="B7072" s="1" t="str">
        <f ca="1">IFERROR(__xludf.DUMMYFUNCTION("GOOGLETRANSLATE(A7072, ""zh"", ""en"")"),"Data security")</f>
        <v>Data security</v>
      </c>
      <c r="C7072" s="1" t="str">
        <f ca="1">IFERROR(__xludf.DUMMYFUNCTION("GOOGLETRANSLATE(E7072, ""zh"", ""en"")"),"Qualitative text")</f>
        <v>Qualitative text</v>
      </c>
    </row>
    <row r="7073" spans="1:3" ht="13" x14ac:dyDescent="0.15">
      <c r="A7073" s="1" t="str">
        <f ca="1">IFERROR(__xludf.DUMMYFUNCTION("GOOGLETRANSLATE(A7073, ""zh"", ""en"")"),"In 2022, we will continue to optimize the system functions through our self-developed audit and inspection system, realize the automation, digitization and process of audit and inspection of each BG and BU, establish 58 audit items covering more than 126 "&amp;"front-line business units, and implement information security emergency response. Vanke Group has formulated a personal information security incident emergency plan, established an effective security protection and emergency response mechanism, clarified "&amp;"data security management, including data classification and grading, data lifecycle management, data security incident response and other requirements, and clarified the personal information security incident monitoring and early warning mechanism and eme"&amp;"rgency response process to improve the incident emergency response capabilities and protect the interests of personal information subjects.")</f>
        <v>In 2022, we will continue to optimize the system functions through our self-developed audit and inspection system, realize the automation, digitization and process of audit and inspection of each BG and BU, establish 58 audit items covering more than 126 front-line business units, and implement information security emergency response. Vanke Group has formulated a personal information security incident emergency plan, established an effective security protection and emergency response mechanism, clarified data security management, including data classification and grading, data lifecycle management, data security incident response and other requirements, and clarified the personal information security incident monitoring and early warning mechanism and emergency response process to improve the incident emergency response capabilities and protect the interests of personal information subjects.</v>
      </c>
      <c r="B7073" s="1" t="str">
        <f ca="1">IFERROR(__xludf.DUMMYFUNCTION("GOOGLETRANSLATE(A7073, ""zh"", ""en"")"),"Data security")</f>
        <v>Data security</v>
      </c>
      <c r="C7073" s="1" t="str">
        <f ca="1">IFERROR(__xludf.DUMMYFUNCTION("GOOGLETRANSLATE(E7073, ""zh"", ""en"")"),"Qualitative text")</f>
        <v>Qualitative text</v>
      </c>
    </row>
    <row r="7074" spans="1:3" ht="13" x14ac:dyDescent="0.15">
      <c r="A7074" s="1" t="str">
        <f ca="1">IFERROR(__xludf.DUMMYFUNCTION("GOOGLETRANSLATE(A7074, ""zh"", ""en"")"),"When an information security incident occurs targeting an individual, we will take measures such as closing ports, temporarily shutting down related systems, suspending personnel authorization, and suspending third-party data cooperation.")</f>
        <v>When an information security incident occurs targeting an individual, we will take measures such as closing ports, temporarily shutting down related systems, suspending personnel authorization, and suspending third-party data cooperation.</v>
      </c>
      <c r="B7074" s="1" t="str">
        <f ca="1">IFERROR(__xludf.DUMMYFUNCTION("GOOGLETRANSLATE(A7074, ""zh"", ""en"")"),"Data security")</f>
        <v>Data security</v>
      </c>
      <c r="C7074" s="1" t="str">
        <f ca="1">IFERROR(__xludf.DUMMYFUNCTION("GOOGLETRANSLATE(E7074, ""zh"", ""en"")"),"Qualitative text")</f>
        <v>Qualitative text</v>
      </c>
    </row>
    <row r="7075" spans="1:3" ht="13" x14ac:dyDescent="0.15">
      <c r="A7075" s="1" t="str">
        <f ca="1">IFERROR(__xludf.DUMMYFUNCTION("GOOGLETRANSLATE(A7075, ""zh"", ""en"")"),"In the event of a large-scale personal information leak, we will promptly inform affected users of methods to mitigate harm and prevent secondary incidents in accordance with laws, regulations, regulatory requirements, and the terms of Vanke Group's priva"&amp;"cy policy, and take necessary remedial measures.")</f>
        <v>In the event of a large-scale personal information leak, we will promptly inform affected users of methods to mitigate harm and prevent secondary incidents in accordance with laws, regulations, regulatory requirements, and the terms of Vanke Group's privacy policy, and take necessary remedial measures.</v>
      </c>
      <c r="B7075" s="1" t="str">
        <f ca="1">IFERROR(__xludf.DUMMYFUNCTION("GOOGLETRANSLATE(A7075, ""zh"", ""en"")"),"Data security")</f>
        <v>Data security</v>
      </c>
      <c r="C7075" s="1" t="str">
        <f ca="1">IFERROR(__xludf.DUMMYFUNCTION("GOOGLETRANSLATE(E7075, ""zh"", ""en"")"),"Qualitative text")</f>
        <v>Qualitative text</v>
      </c>
    </row>
    <row r="7076" spans="1:3" ht="13" x14ac:dyDescent="0.15">
      <c r="A7076" s="1" t="str">
        <f ca="1">IFERROR(__xludf.DUMMYFUNCTION("GOOGLETRANSLATE(A7076, ""zh"", ""en"")"),"Vanke did not experience any major information security incidents in 2022")</f>
        <v>Vanke did not experience any major information security incidents in 2022</v>
      </c>
      <c r="B7076" s="1" t="str">
        <f ca="1">IFERROR(__xludf.DUMMYFUNCTION("GOOGLETRANSLATE(A7076, ""zh"", ""en"")"),"Data security")</f>
        <v>Data security</v>
      </c>
      <c r="C7076" s="1" t="str">
        <f ca="1">IFERROR(__xludf.DUMMYFUNCTION("GOOGLETRANSLATE(E7076, ""zh"", ""en"")"),"Quantitative Text")</f>
        <v>Quantitative Text</v>
      </c>
    </row>
    <row r="7077" spans="1:3" ht="13" x14ac:dyDescent="0.15">
      <c r="A7077" s="1" t="str">
        <f ca="1">IFERROR(__xludf.DUMMYFUNCTION("GOOGLETRANSLATE(A7077, ""zh"", ""en"")"),"Information security certification and information security training We strengthen information security and privacy protection training for all employees through thematic courses, training exams, and security culture promotion.")</f>
        <v>Information security certification and information security training We strengthen information security and privacy protection training for all employees through thematic courses, training exams, and security culture promotion.</v>
      </c>
      <c r="B7077" s="1" t="str">
        <f ca="1">IFERROR(__xludf.DUMMYFUNCTION("GOOGLETRANSLATE(A7077, ""zh"", ""en"")"),"Data security")</f>
        <v>Data security</v>
      </c>
      <c r="C7077" s="1" t="str">
        <f ca="1">IFERROR(__xludf.DUMMYFUNCTION("GOOGLETRANSLATE(E7077, ""zh"", ""en"")"),"Qualitative text")</f>
        <v>Qualitative text</v>
      </c>
    </row>
    <row r="7078" spans="1:3" ht="13" x14ac:dyDescent="0.15">
      <c r="A7078" s="1" t="str">
        <f ca="1">IFERROR(__xludf.DUMMYFUNCTION("GOOGLETRANSLATE(A7078, ""zh"", ""en"")"),"In 2022, we launched an information security and compliance certification exam for all employees, achieving a 100% pass rate for in-service employees. We also sent phishing test emails to all employees to strengthen their security prevention skills. We he"&amp;"ld an on-site Information Security Experience Day event to enhance employees' awareness of security risks and protection awareness. We organized a group information security competition to increase participation in security awareness training.")</f>
        <v>In 2022, we launched an information security and compliance certification exam for all employees, achieving a 100% pass rate for in-service employees. We also sent phishing test emails to all employees to strengthen their security prevention skills. We held an on-site Information Security Experience Day event to enhance employees' awareness of security risks and protection awareness. We organized a group information security competition to increase participation in security awareness training.</v>
      </c>
      <c r="B7078" s="1" t="str">
        <f ca="1">IFERROR(__xludf.DUMMYFUNCTION("GOOGLETRANSLATE(A7078, ""zh"", ""en"")"),"Data security")</f>
        <v>Data security</v>
      </c>
      <c r="C7078" s="1" t="str">
        <f ca="1">IFERROR(__xludf.DUMMYFUNCTION("GOOGLETRANSLATE(E7078, ""zh"", ""en"")"),"Quantitative Text")</f>
        <v>Quantitative Text</v>
      </c>
    </row>
    <row r="7079" spans="1:3" ht="13" x14ac:dyDescent="0.15">
      <c r="A7079" s="1" t="str">
        <f ca="1">IFERROR(__xludf.DUMMYFUNCTION("GOOGLETRANSLATE(A7079, ""zh"", ""en"")"),"Vanke Cloud Hotel and Resort BU both obtained ISO27001 Information Security Management System Certification")</f>
        <v>Vanke Cloud Hotel and Resort BU both obtained ISO27001 Information Security Management System Certification</v>
      </c>
      <c r="B7079" s="1" t="str">
        <f ca="1">IFERROR(__xludf.DUMMYFUNCTION("GOOGLETRANSLATE(A7079, ""zh"", ""en"")"),"Data security")</f>
        <v>Data security</v>
      </c>
      <c r="C7079" s="1" t="str">
        <f ca="1">IFERROR(__xludf.DUMMYFUNCTION("GOOGLETRANSLATE(E7079, ""zh"", ""en"")"),"Qualitative text")</f>
        <v>Qualitative text</v>
      </c>
    </row>
    <row r="7080" spans="1:3" ht="13" x14ac:dyDescent="0.15">
      <c r="A7080" s="1" t="str">
        <f ca="1">IFERROR(__xludf.DUMMYFUNCTION("GOOGLETRANSLATE(A7080, ""zh"", ""en"")"),"Wanyi Technology completes ISO27001 information security management system certification and 2022 annual certification audit to effectively ensure information security")</f>
        <v>Wanyi Technology completes ISO27001 information security management system certification and 2022 annual certification audit to effectively ensure information security</v>
      </c>
      <c r="B7080" s="1" t="str">
        <f ca="1">IFERROR(__xludf.DUMMYFUNCTION("GOOGLETRANSLATE(A7080, ""zh"", ""en"")"),"Data security")</f>
        <v>Data security</v>
      </c>
      <c r="C7080" s="1" t="str">
        <f ca="1">IFERROR(__xludf.DUMMYFUNCTION("GOOGLETRANSLATE(E7080, ""zh"", ""en"")"),"Qualitative text")</f>
        <v>Qualitative text</v>
      </c>
    </row>
    <row r="7081" spans="1:3" ht="13" x14ac:dyDescent="0.15">
      <c r="A7081" s="1" t="str">
        <f ca="1">IFERROR(__xludf.DUMMYFUNCTION("GOOGLETRANSLATE(A7081, ""zh"", ""en"")"),"Wanyi Technology currently has 8 important business systems that have passed the national level protection assessment and certification, of which 4 systems have passed the second-level level protection certification and 4 systems have passed the third-lev"&amp;"el level protection certification.")</f>
        <v>Wanyi Technology currently has 8 important business systems that have passed the national level protection assessment and certification, of which 4 systems have passed the second-level level protection certification and 4 systems have passed the third-level level protection certification.</v>
      </c>
      <c r="B7081" s="1" t="str">
        <f ca="1">IFERROR(__xludf.DUMMYFUNCTION("GOOGLETRANSLATE(A7081, ""zh"", ""en"")"),"Data security")</f>
        <v>Data security</v>
      </c>
      <c r="C7081" s="1" t="str">
        <f ca="1">IFERROR(__xludf.DUMMYFUNCTION("GOOGLETRANSLATE(E7081, ""zh"", ""en"")"),"Quantitative Text")</f>
        <v>Quantitative Text</v>
      </c>
    </row>
    <row r="7082" spans="1:3" ht="13" x14ac:dyDescent="0.15">
      <c r="A7082" s="1" t="str">
        <f ca="1">IFERROR(__xludf.DUMMYFUNCTION("GOOGLETRANSLATE(A7082, ""zh"", ""en"")"),"ISO27001 Certification, National Grade Protection Assessment, Certification, Business Philosophy 47, 2022 Sustainability Report, Intellectual Property Protection. Vanke strictly abides by the Trademark Law of the People's Republic of China, the Copyright "&amp;"Law of the People's Republic of China, the Patent Law of the People's Republic of China, and other laws and regulations, and takes legal measures to manage and protect Vanke's patents, copyrights, trademarks, and other intellectual property rights.")</f>
        <v>ISO27001 Certification, National Grade Protection Assessment, Certification, Business Philosophy 47, 2022 Sustainability Report, Intellectual Property Protection. Vanke strictly abides by the Trademark Law of the People's Republic of China, the Copyright Law of the People's Republic of China, the Patent Law of the People's Republic of China, and other laws and regulations, and takes legal measures to manage and protect Vanke's patents, copyrights, trademarks, and other intellectual property rights.</v>
      </c>
      <c r="B7082" s="1" t="str">
        <f ca="1">IFERROR(__xludf.DUMMYFUNCTION("GOOGLETRANSLATE(A7082, ""zh"", ""en"")"),"Intellectual Property Protection")</f>
        <v>Intellectual Property Protection</v>
      </c>
      <c r="C7082" s="1" t="str">
        <f ca="1">IFERROR(__xludf.DUMMYFUNCTION("GOOGLETRANSLATE(E7082, ""zh"", ""en"")"),"Qualitative text")</f>
        <v>Qualitative text</v>
      </c>
    </row>
    <row r="7083" spans="1:3" ht="13" x14ac:dyDescent="0.15">
      <c r="A7083" s="1" t="str">
        <f ca="1">IFERROR(__xludf.DUMMYFUNCTION("GOOGLETRANSLATE(A7083, ""zh"", ""en"")"),"We attach great importance to protecting our intellectual property rights and implement the relevant requirements of intellectual property laws and regulations. We safeguard our legitimate rights and interests through patent applications, trademark regist"&amp;"rations, litigation and rights protection.")</f>
        <v>We attach great importance to protecting our intellectual property rights and implement the relevant requirements of intellectual property laws and regulations. We safeguard our legitimate rights and interests through patent applications, trademark registrations, litigation and rights protection.</v>
      </c>
      <c r="B7083" s="1" t="str">
        <f ca="1">IFERROR(__xludf.DUMMYFUNCTION("GOOGLETRANSLATE(A7083, ""zh"", ""en"")"),"Intellectual Property Protection")</f>
        <v>Intellectual Property Protection</v>
      </c>
      <c r="C7083" s="1" t="str">
        <f ca="1">IFERROR(__xludf.DUMMYFUNCTION("GOOGLETRANSLATE(E7083, ""zh"", ""en"")"),"Qualitative text")</f>
        <v>Qualitative text</v>
      </c>
    </row>
    <row r="7084" spans="1:3" ht="13" x14ac:dyDescent="0.15">
      <c r="A7084" s="1" t="str">
        <f ca="1">IFERROR(__xludf.DUMMYFUNCTION("GOOGLETRANSLATE(A7084, ""zh"", ""en"")"),"Respect the intellectual property rights of others. We respect the intellectual property rights of others, encourage and protect fair competition, prevent and strictly prohibit any form of infringement, and strive to protect the legitimate rights and inte"&amp;"rests of others from infringement.")</f>
        <v>Respect the intellectual property rights of others. We respect the intellectual property rights of others, encourage and protect fair competition, prevent and strictly prohibit any form of infringement, and strive to protect the legitimate rights and interests of others from infringement.</v>
      </c>
      <c r="B7084" s="1" t="str">
        <f ca="1">IFERROR(__xludf.DUMMYFUNCTION("GOOGLETRANSLATE(A7084, ""zh"", ""en"")"),"Intellectual Property Protection")</f>
        <v>Intellectual Property Protection</v>
      </c>
      <c r="C7084" s="1" t="str">
        <f ca="1">IFERROR(__xludf.DUMMYFUNCTION("GOOGLETRANSLATE(E7084, ""zh"", ""en"")"),"Qualitative text")</f>
        <v>Qualitative text</v>
      </c>
    </row>
    <row r="7085" spans="1:3" ht="13" x14ac:dyDescent="0.15">
      <c r="A7085" s="1" t="str">
        <f ca="1">IFERROR(__xludf.DUMMYFUNCTION("GOOGLETRANSLATE(A7085, ""zh"", ""en"")"),"The number of newly obtained patents in 2022 is classified as follows: Design patents, invention patents, utility models, total Green building 0011 Environmental restoration 0505 Science and technology 1958077 Property management 311317 Total 22744100 The"&amp;" cumulative number of patents obtained is classified as follows: Design patents, invention patents, utility models, total Green building 041822 Prefabricated industrialization 7113452 Environmental restoration 012820 Science and technology 3911230181 Prop"&amp;"erty management 11181544 Total 57157105319 As of December 2022, there are still 564 patents under application, covering green building, prefabricated and industrialized science and technology, property management, etc.")</f>
        <v>The number of newly obtained patents in 2022 is classified as follows: Design patents, invention patents, utility models, total Green building 0011 Environmental restoration 0505 Science and technology 1958077 Property management 311317 Total 22744100 The cumulative number of patents obtained is classified as follows: Design patents, invention patents, utility models, total Green building 041822 Prefabricated industrialization 7113452 Environmental restoration 012820 Science and technology 3911230181 Property management 11181544 Total 57157105319 As of December 2022, there are still 564 patents under application, covering green building, prefabricated and industrialized science and technology, property management, etc.</v>
      </c>
      <c r="B7085" s="1" t="str">
        <f ca="1">IFERROR(__xludf.DUMMYFUNCTION("GOOGLETRANSLATE(A7085, ""zh"", ""en"")"),"Intellectual Property Protection")</f>
        <v>Intellectual Property Protection</v>
      </c>
      <c r="C7085" s="1" t="str">
        <f ca="1">IFERROR(__xludf.DUMMYFUNCTION("GOOGLETRANSLATE(E7085, ""zh"", ""en"")"),"Quantitative Text")</f>
        <v>Quantitative Text</v>
      </c>
    </row>
    <row r="7086" spans="1:3" ht="13" x14ac:dyDescent="0.15">
      <c r="A7086" s="1" t="str">
        <f ca="1">IFERROR(__xludf.DUMMYFUNCTION("GOOGLETRANSLATE(A7086, ""zh"", ""en"")"),"VANKE 48 module value proposition and technical points. Action Air focuses on the research and development and manufacturing of air replacement products, such as the full promotion of fresh air systems. Fresh air systems that can filter outdoor air PM2.5 "&amp;"and discharge indoor formaldehyde and other harmful gases have the ability to actively purify the air.")</f>
        <v>VANKE 48 module value proposition and technical points. Action Air focuses on the research and development and manufacturing of air replacement products, such as the full promotion of fresh air systems. Fresh air systems that can filter outdoor air PM2.5 and discharge indoor formaldehyde and other harmful gases have the ability to actively purify the air.</v>
      </c>
      <c r="B7086" s="1" t="str">
        <f ca="1">IFERROR(__xludf.DUMMYFUNCTION("GOOGLETRANSLATE(A7086, ""zh"", ""en"")"),"Green Building")</f>
        <v>Green Building</v>
      </c>
      <c r="C7086" s="1" t="str">
        <f ca="1">IFERROR(__xludf.DUMMYFUNCTION("GOOGLETRANSLATE(E7086, ""zh"", ""en"")"),"Qualitative text")</f>
        <v>Qualitative text</v>
      </c>
    </row>
    <row r="7087" spans="1:3" ht="13" x14ac:dyDescent="0.15">
      <c r="A7087" s="1" t="str">
        <f ca="1">IFERROR(__xludf.DUMMYFUNCTION("GOOGLETRANSLATE(A7087, ""zh"", ""en"")"),"Provide cleaner water, more sanitary and safer drainage, and put forward requirements on ensuring water supply quality, improving water purification equipment, drainage system safety, kitchen and bathroom functional design, etc.")</f>
        <v>Provide cleaner water, more sanitary and safer drainage, and put forward requirements on ensuring water supply quality, improving water purification equipment, drainage system safety, kitchen and bathroom functional design, etc.</v>
      </c>
      <c r="B7087" s="1" t="str">
        <f ca="1">IFERROR(__xludf.DUMMYFUNCTION("GOOGLETRANSLATE(A7087, ""zh"", ""en"")"),"Water resources")</f>
        <v>Water resources</v>
      </c>
      <c r="C7087" s="1" t="str">
        <f ca="1">IFERROR(__xludf.DUMMYFUNCTION("GOOGLETRANSLATE(E7087, ""zh"", ""en"")"),"Qualitative text")</f>
        <v>Qualitative text</v>
      </c>
    </row>
    <row r="7088" spans="1:3" ht="13" x14ac:dyDescent="0.15">
      <c r="A7088" s="1" t="str">
        <f ca="1">IFERROR(__xludf.DUMMYFUNCTION("GOOGLETRANSLATE(A7088, ""zh"", ""en"")"),"Providing a quieter indoor space and a peaceful life undisturbed by noise, iteratively upgrading the sound insulation performance of building components, optimizing equipment and pipes, and conducting noise acceptance monitoring, promoting the application"&amp;" of water-based sound insulation coatings, and enabling silent mode in busy areas.")</f>
        <v>Providing a quieter indoor space and a peaceful life undisturbed by noise, iteratively upgrading the sound insulation performance of building components, optimizing equipment and pipes, and conducting noise acceptance monitoring, promoting the application of water-based sound insulation coatings, and enabling silent mode in busy areas.</v>
      </c>
      <c r="B7088" s="1" t="str">
        <f ca="1">IFERROR(__xludf.DUMMYFUNCTION("GOOGLETRANSLATE(A7088, ""zh"", ""en"")"),"Green Building")</f>
        <v>Green Building</v>
      </c>
      <c r="C7088" s="1" t="str">
        <f ca="1">IFERROR(__xludf.DUMMYFUNCTION("GOOGLETRANSLATE(E7088, ""zh"", ""en"")"),"Qualitative text")</f>
        <v>Qualitative text</v>
      </c>
    </row>
    <row r="7089" spans="1:3" ht="13" x14ac:dyDescent="0.15">
      <c r="A7089" s="1" t="str">
        <f ca="1">IFERROR(__xludf.DUMMYFUNCTION("GOOGLETRANSLATE(A7089, ""zh"", ""en"")"),"Sports is committed to solving the pain points of customers' insufficient sports venues and incomplete sports facilities. We provide customers with a richer, all-age and all-weather fitness space, and provide design guidelines such as healthy running trac"&amp;"ks and children's activity areas, and apply them to projects.")</f>
        <v>Sports is committed to solving the pain points of customers' insufficient sports venues and incomplete sports facilities. We provide customers with a richer, all-age and all-weather fitness space, and provide design guidelines such as healthy running tracks and children's activity areas, and apply them to projects.</v>
      </c>
      <c r="B7089" s="1" t="str">
        <f ca="1">IFERROR(__xludf.DUMMYFUNCTION("GOOGLETRANSLATE(A7089, ""zh"", ""en"")"),"Customers and Consumers")</f>
        <v>Customers and Consumers</v>
      </c>
      <c r="C7089" s="1" t="str">
        <f ca="1">IFERROR(__xludf.DUMMYFUNCTION("GOOGLETRANSLATE(E7089, ""zh"", ""en"")"),"Qualitative text")</f>
        <v>Qualitative text</v>
      </c>
    </row>
    <row r="7090" spans="1:3" ht="13" x14ac:dyDescent="0.15">
      <c r="A7090" s="1" t="str">
        <f ca="1">IFERROR(__xludf.DUMMYFUNCTION("GOOGLETRANSLATE(A7090, ""zh"", ""en"")"),"Based on the residential attributes of its residential products, Vanke takes quality, health and performance as the core, implements full life cycle management of project quality, and delivers high-quality products to customers.")</f>
        <v>Based on the residential attributes of its residential products, Vanke takes quality, health and performance as the core, implements full life cycle management of project quality, and delivers high-quality products to customers.</v>
      </c>
      <c r="B7090" s="1" t="str">
        <f ca="1">IFERROR(__xludf.DUMMYFUNCTION("GOOGLETRANSLATE(A7090, ""zh"", ""en"")"),"Product quality")</f>
        <v>Product quality</v>
      </c>
      <c r="C7090" s="1" t="str">
        <f ca="1">IFERROR(__xludf.DUMMYFUNCTION("GOOGLETRANSLATE(E7090, ""zh"", ""en"")"),"Qualitative text")</f>
        <v>Qualitative text</v>
      </c>
    </row>
    <row r="7091" spans="1:3" ht="13" x14ac:dyDescent="0.15">
      <c r="A7091" s="1" t="str">
        <f ca="1">IFERROR(__xludf.DUMMYFUNCTION("GOOGLETRANSLATE(A7091, ""zh"", ""en"")"),"We have developed a safety and quality inspection management system for Vanke Group's ongoing projects. The quality inspection system consists of a safety inspection system, a quality inspection system, and a delivery inspection system to ensure the quali"&amp;"ty and safety of Vanke's residential products. We have developed a comprehensive inspection and review work manual, conducting comprehensive online and offline inspections of all projects on a quarterly basis, covering all stages of the entire project lif"&amp;"ecycle, from project acquisition, delivery, and operation and maintenance.")</f>
        <v>We have developed a safety and quality inspection management system for Vanke Group's ongoing projects. The quality inspection system consists of a safety inspection system, a quality inspection system, and a delivery inspection system to ensure the quality and safety of Vanke's residential products. We have developed a comprehensive inspection and review work manual, conducting comprehensive online and offline inspections of all projects on a quarterly basis, covering all stages of the entire project lifecycle, from project acquisition, delivery, and operation and maintenance.</v>
      </c>
      <c r="B7091" s="1" t="str">
        <f ca="1">IFERROR(__xludf.DUMMYFUNCTION("GOOGLETRANSLATE(A7091, ""zh"", ""en"")"),"Product quality")</f>
        <v>Product quality</v>
      </c>
      <c r="C7091" s="1" t="str">
        <f ca="1">IFERROR(__xludf.DUMMYFUNCTION("GOOGLETRANSLATE(E7091, ""zh"", ""en"")"),"Qualitative text")</f>
        <v>Qualitative text</v>
      </c>
    </row>
    <row r="7092" spans="1:3" ht="13" x14ac:dyDescent="0.15">
      <c r="A7092" s="1" t="str">
        <f ca="1">IFERROR(__xludf.DUMMYFUNCTION("GOOGLETRANSLATE(A7092, ""zh"", ""en"")"),"At the same time, we actively invite internal and external experts from various professional ports to regularly organize training on product quality and safety within the group based on actual cases to enhance the professional capabilities of corporate em"&amp;"ployees.")</f>
        <v>At the same time, we actively invite internal and external experts from various professional ports to regularly organize training on product quality and safety within the group based on actual cases to enhance the professional capabilities of corporate employees.</v>
      </c>
      <c r="B7092" s="1" t="str">
        <f ca="1">IFERROR(__xludf.DUMMYFUNCTION("GOOGLETRANSLATE(A7092, ""zh"", ""en"")"),"Product quality")</f>
        <v>Product quality</v>
      </c>
      <c r="C7092" s="1" t="str">
        <f ca="1">IFERROR(__xludf.DUMMYFUNCTION("GOOGLETRANSLATE(E7092, ""zh"", ""en"")"),"Qualitative text")</f>
        <v>Qualitative text</v>
      </c>
    </row>
    <row r="7093" spans="1:3" ht="13" x14ac:dyDescent="0.15">
      <c r="A7093" s="1" t="str">
        <f ca="1">IFERROR(__xludf.DUMMYFUNCTION("GOOGLETRANSLATE(A7093, ""zh"", ""en"")"),"Design returns to a healthy living environment. Vanke, based on national standards and referencing international standards such as WELL, focuses on hardware to ensure customer commitment and actual implementation. It formulates the Vanke Group Healthy Res"&amp;"idential Area Evaluation Standard, Vanke Group Healthy Residential Area Project Star Rating and Management Method, and Vanke Group Healthy Residential Area Evaluation Standard Operation Guide.")</f>
        <v>Design returns to a healthy living environment. Vanke, based on national standards and referencing international standards such as WELL, focuses on hardware to ensure customer commitment and actual implementation. It formulates the Vanke Group Healthy Residential Area Evaluation Standard, Vanke Group Healthy Residential Area Project Star Rating and Management Method, and Vanke Group Healthy Residential Area Evaluation Standard Operation Guide.</v>
      </c>
      <c r="B7093" s="1" t="str">
        <f ca="1">IFERROR(__xludf.DUMMYFUNCTION("GOOGLETRANSLATE(A7093, ""zh"", ""en"")"),"Green Building")</f>
        <v>Green Building</v>
      </c>
      <c r="C7093" s="1" t="str">
        <f ca="1">IFERROR(__xludf.DUMMYFUNCTION("GOOGLETRANSLATE(E7093, ""zh"", ""en"")"),"Qualitative text")</f>
        <v>Qualitative text</v>
      </c>
    </row>
    <row r="7094" spans="1:3" ht="13" x14ac:dyDescent="0.15">
      <c r="A7094" s="1" t="str">
        <f ca="1">IFERROR(__xludf.DUMMYFUNCTION("GOOGLETRANSLATE(A7094, ""zh"", ""en"")"),"The Principles of Good Product Management 49 2022 Sustainability Report Module Value Proposition and Technical Key Points Implementing a Spirit of Action: Creating a Green and Picturesque Park Landscape Throughout the Years Focusing on People, Transitioni"&amp;"ng from Spatial Design to Scene Design Strives to Create More Relaxing Exchange Venues and Friendly Neighborly Interaction Spaces")</f>
        <v>The Principles of Good Product Management 49 2022 Sustainability Report Module Value Proposition and Technical Key Points Implementing a Spirit of Action: Creating a Green and Picturesque Park Landscape Throughout the Years Focusing on People, Transitioning from Spatial Design to Scene Design Strives to Create More Relaxing Exchange Venues and Friendly Neighborly Interaction Spaces</v>
      </c>
      <c r="B7094" s="1" t="str">
        <f ca="1">IFERROR(__xludf.DUMMYFUNCTION("GOOGLETRANSLATE(A7094, ""zh"", ""en"")"),"Green Building")</f>
        <v>Green Building</v>
      </c>
      <c r="C7094" s="1" t="str">
        <f ca="1">IFERROR(__xludf.DUMMYFUNCTION("GOOGLETRANSLATE(E7094, ""zh"", ""en"")"),"Qualitative text")</f>
        <v>Qualitative text</v>
      </c>
    </row>
    <row r="7095" spans="1:3" ht="13" x14ac:dyDescent="0.15">
      <c r="A7095" s="1" t="str">
        <f ca="1">IFERROR(__xludf.DUMMYFUNCTION("GOOGLETRANSLATE(A7095, ""zh"", ""en"")"),"The material provides better insulation, safety, durability, lightness and high strength, promoting the development of new material products and FRP materials with stronger durability and thermal insulation.")</f>
        <v>The material provides better insulation, safety, durability, lightness and high strength, promoting the development of new material products and FRP materials with stronger durability and thermal insulation.</v>
      </c>
      <c r="B7095" s="1" t="str">
        <f ca="1">IFERROR(__xludf.DUMMYFUNCTION("GOOGLETRANSLATE(A7095, ""zh"", ""en"")"),"Technological innovation")</f>
        <v>Technological innovation</v>
      </c>
      <c r="C7095" s="1" t="str">
        <f ca="1">IFERROR(__xludf.DUMMYFUNCTION("GOOGLETRANSLATE(E7095, ""zh"", ""en"")"),"Qualitative text")</f>
        <v>Qualitative text</v>
      </c>
    </row>
    <row r="7096" spans="1:3" ht="13" x14ac:dyDescent="0.15">
      <c r="A7096" s="1" t="str">
        <f ca="1">IFERROR(__xludf.DUMMYFUNCTION("GOOGLETRANSLATE(A7096, ""zh"", ""en"")"),"Community access provides multi-space and multi-dimensional design guidelines and methods to help customers create barrier-free, contactless, more hygienic, safer, more convenient and more comfortable community access and logistics systems. We also conduc"&amp;"t research on emergency protection, contactless access, and community comfort.")</f>
        <v>Community access provides multi-space and multi-dimensional design guidelines and methods to help customers create barrier-free, contactless, more hygienic, safer, more convenient and more comfortable community access and logistics systems. We also conduct research on emergency protection, contactless access, and community comfort.</v>
      </c>
      <c r="B7096" s="1" t="str">
        <f ca="1">IFERROR(__xludf.DUMMYFUNCTION("GOOGLETRANSLATE(A7096, ""zh"", ""en"")"),"Customers and Consumers")</f>
        <v>Customers and Consumers</v>
      </c>
      <c r="C7096" s="1" t="str">
        <f ca="1">IFERROR(__xludf.DUMMYFUNCTION("GOOGLETRANSLATE(E7096, ""zh"", ""en"")"),"Qualitative text")</f>
        <v>Qualitative text</v>
      </c>
    </row>
    <row r="7097" spans="1:3" ht="13" x14ac:dyDescent="0.15">
      <c r="A7097" s="1" t="str">
        <f ca="1">IFERROR(__xludf.DUMMYFUNCTION("GOOGLETRANSLATE(A7097, ""zh"", ""en"")"),"Intelligentization realizes the integrated intelligent control of home appliances, provides more convenient operation and visual environmental data, builds an integrated smart home platform, and achieves higher health standards with the help of black tech"&amp;"nology innovation.")</f>
        <v>Intelligentization realizes the integrated intelligent control of home appliances, provides more convenient operation and visual environmental data, builds an integrated smart home platform, and achieves higher health standards with the help of black technology innovation.</v>
      </c>
      <c r="B7097" s="1" t="str">
        <f ca="1">IFERROR(__xludf.DUMMYFUNCTION("GOOGLETRANSLATE(A7097, ""zh"", ""en"")"),"Technological innovation")</f>
        <v>Technological innovation</v>
      </c>
      <c r="C7097" s="1" t="str">
        <f ca="1">IFERROR(__xludf.DUMMYFUNCTION("GOOGLETRANSLATE(E7097, ""zh"", ""en"")"),"Qualitative text")</f>
        <v>Qualitative text</v>
      </c>
    </row>
    <row r="7098" spans="1:3" ht="13" x14ac:dyDescent="0.15">
      <c r="A7098" s="1" t="str">
        <f ca="1">IFERROR(__xludf.DUMMYFUNCTION("GOOGLETRANSLATE(A7098, ""zh"", ""en"")"),"Property operations and services create a safer and healthier living environment for residents, provide more comfortable and convenient services, maintain greenery, provide event plans, ensure illumination, control noise, and provide garden maintenance an"&amp;"d value-added services.")</f>
        <v>Property operations and services create a safer and healthier living environment for residents, provide more comfortable and convenient services, maintain greenery, provide event plans, ensure illumination, control noise, and provide garden maintenance and value-added services.</v>
      </c>
      <c r="B7098" s="1" t="str">
        <f ca="1">IFERROR(__xludf.DUMMYFUNCTION("GOOGLETRANSLATE(A7098, ""zh"", ""en"")"),"Green Building")</f>
        <v>Green Building</v>
      </c>
      <c r="C7098" s="1" t="str">
        <f ca="1">IFERROR(__xludf.DUMMYFUNCTION("GOOGLETRANSLATE(E7098, ""zh"", ""en"")"),"Qualitative text")</f>
        <v>Qualitative text</v>
      </c>
    </row>
    <row r="7099" spans="1:3" ht="13" x14ac:dyDescent="0.15">
      <c r="A7099" s="1" t="str">
        <f ca="1">IFERROR(__xludf.DUMMYFUNCTION("GOOGLETRANSLATE(A7099, ""zh"", ""en"")"),"As an ideal community living model created by Vanke, Yicheng Wanyue Garden returns to the essence of human habitation during the design process, creating multiple super scenes to create a closer connection between people and nature, urban intelligence, an"&amp;"d integrate the concept of healthy human living into community life.")</f>
        <v>As an ideal community living model created by Vanke, Yicheng Wanyue Garden returns to the essence of human habitation during the design process, creating multiple super scenes to create a closer connection between people and nature, urban intelligence, and integrate the concept of healthy human living into community life.</v>
      </c>
      <c r="B7099" s="1" t="str">
        <f ca="1">IFERROR(__xludf.DUMMYFUNCTION("GOOGLETRANSLATE(A7099, ""zh"", ""en"")"),"Green Building")</f>
        <v>Green Building</v>
      </c>
      <c r="C7099" s="1" t="str">
        <f ca="1">IFERROR(__xludf.DUMMYFUNCTION("GOOGLETRANSLATE(E7099, ""zh"", ""en"")"),"Qualitative text")</f>
        <v>Qualitative text</v>
      </c>
    </row>
    <row r="7100" spans="1:3" ht="13" x14ac:dyDescent="0.15">
      <c r="A7100" s="1" t="str">
        <f ca="1">IFERROR(__xludf.DUMMYFUNCTION("GOOGLETRANSLATE(A7100, ""zh"", ""en"")"),"The natural scene integrates the park with the living scene, allowing residents to get close to nature and realize a comfortable and healthy living environment.")</f>
        <v>The natural scene integrates the park with the living scene, allowing residents to get close to nature and realize a comfortable and healthy living environment.</v>
      </c>
      <c r="B7100" s="1" t="str">
        <f ca="1">IFERROR(__xludf.DUMMYFUNCTION("GOOGLETRANSLATE(A7100, ""zh"", ""en"")"),"Green Building")</f>
        <v>Green Building</v>
      </c>
      <c r="C7100" s="1" t="str">
        <f ca="1">IFERROR(__xludf.DUMMYFUNCTION("GOOGLETRANSLATE(E7100, ""zh"", ""en"")"),"Qualitative text")</f>
        <v>Qualitative text</v>
      </c>
    </row>
    <row r="7101" spans="1:3" ht="13" x14ac:dyDescent="0.15">
      <c r="A7101" s="1" t="str">
        <f ca="1">IFERROR(__xludf.DUMMYFUNCTION("GOOGLETRANSLATE(A7101, ""zh"", ""en"")"),"The urban scene is connected through an aerial corridor, connecting commercial, ecological, leisure and entertainment nodes, connecting various urban life elements, forming an urban community circle with multiple business scenarios and joint linkage.")</f>
        <v>The urban scene is connected through an aerial corridor, connecting commercial, ecological, leisure and entertainment nodes, connecting various urban life elements, forming an urban community circle with multiple business scenarios and joint linkage.</v>
      </c>
      <c r="B7101" s="1" t="str">
        <f ca="1">IFERROR(__xludf.DUMMYFUNCTION("GOOGLETRANSLATE(A7101, ""zh"", ""en"")"),"irrelevant text")</f>
        <v>irrelevant text</v>
      </c>
      <c r="C7101" s="1" t="str">
        <f ca="1">IFERROR(__xludf.DUMMYFUNCTION("GOOGLETRANSLATE(E7101, ""zh"", ""en"")"),"irrelevant text")</f>
        <v>irrelevant text</v>
      </c>
    </row>
    <row r="7102" spans="1:3" ht="13" x14ac:dyDescent="0.15">
      <c r="A7102" s="1" t="str">
        <f ca="1">IFERROR(__xludf.DUMMYFUNCTION("GOOGLETRANSLATE(A7102, ""zh"", ""en"")"),"Smart scenes achieve new standards for healthy living by designing community entrance complexes and realizing reasonable zoning, temperature monitoring, disinfection, sterilization, receiving, sending and distribution, etc. in an intelligent manner.")</f>
        <v>Smart scenes achieve new standards for healthy living by designing community entrance complexes and realizing reasonable zoning, temperature monitoring, disinfection, sterilization, receiving, sending and distribution, etc. in an intelligent manner.</v>
      </c>
      <c r="B7102" s="1" t="str">
        <f ca="1">IFERROR(__xludf.DUMMYFUNCTION("GOOGLETRANSLATE(A7102, ""zh"", ""en"")"),"Fighting the epidemic")</f>
        <v>Fighting the epidemic</v>
      </c>
      <c r="C7102" s="1" t="str">
        <f ca="1">IFERROR(__xludf.DUMMYFUNCTION("GOOGLETRANSLATE(E7102, ""zh"", ""en"")"),"Qualitative text")</f>
        <v>Qualitative text</v>
      </c>
    </row>
    <row r="7103" spans="1:3" ht="13" x14ac:dyDescent="0.15">
      <c r="A7103" s="1" t="str">
        <f ca="1">IFERROR(__xludf.DUMMYFUNCTION("GOOGLETRANSLATE(A7103, ""zh"", ""en"")"),"Case Study: Yicheng Wanyue Garden, an Ideal Community for Luxurious Living. Schematic diagram of Yicheng Wanyue Garden, VANKE Vanke 50. We strictly regulate access requirements for materials. We insist on controlling product quality from the source, imple"&amp;"menting comprehensive and three-dimensional control of product quality through methods such as unannounced inspections of materials and components and on-site testing. We also conduct comprehensive supervision of Vanke products through the ongoing Skynet "&amp;"Operation, ensuring quality products and excellent services.")</f>
        <v>Case Study: Yicheng Wanyue Garden, an Ideal Community for Luxurious Living. Schematic diagram of Yicheng Wanyue Garden, VANKE Vanke 50. We strictly regulate access requirements for materials. We insist on controlling product quality from the source, implementing comprehensive and three-dimensional control of product quality through methods such as unannounced inspections of materials and components and on-site testing. We also conduct comprehensive supervision of Vanke products through the ongoing Skynet Operation, ensuring quality products and excellent services.</v>
      </c>
      <c r="B7103" s="1" t="str">
        <f ca="1">IFERROR(__xludf.DUMMYFUNCTION("GOOGLETRANSLATE(A7103, ""zh"", ""en"")"),"Product quality")</f>
        <v>Product quality</v>
      </c>
      <c r="C7103" s="1" t="str">
        <f ca="1">IFERROR(__xludf.DUMMYFUNCTION("GOOGLETRANSLATE(E7103, ""zh"", ""en"")"),"Qualitative text")</f>
        <v>Qualitative text</v>
      </c>
    </row>
    <row r="7104" spans="1:3" ht="13" x14ac:dyDescent="0.15">
      <c r="A7104" s="1" t="str">
        <f ca="1">IFERROR(__xludf.DUMMYFUNCTION("GOOGLETRANSLATE(A7104, ""zh"", ""en"")"),"Material supply management is controlled at the source, leveraging the advantages of centralized procurement. Focus on testing and controlling the quality of raw materials, semi-finished products, and finished products at the source of factory production,"&amp;" reducing the probability of unqualified products leaving the factory. Product testing is conducted on a monthly, quarterly, semi-annual, and annual basis, with random inspections of different categories for supervision and rectification. A closed-loop me"&amp;"chanism for unqualified testing is established, ensuring 100% closure of unqualified issues.")</f>
        <v>Material supply management is controlled at the source, leveraging the advantages of centralized procurement. Focus on testing and controlling the quality of raw materials, semi-finished products, and finished products at the source of factory production, reducing the probability of unqualified products leaving the factory. Product testing is conducted on a monthly, quarterly, semi-annual, and annual basis, with random inspections of different categories for supervision and rectification. A closed-loop mechanism for unqualified testing is established, ensuring 100% closure of unqualified issues.</v>
      </c>
      <c r="B7104" s="1" t="str">
        <f ca="1">IFERROR(__xludf.DUMMYFUNCTION("GOOGLETRANSLATE(A7104, ""zh"", ""en"")"),"Product quality")</f>
        <v>Product quality</v>
      </c>
      <c r="C7104" s="1" t="str">
        <f ca="1">IFERROR(__xludf.DUMMYFUNCTION("GOOGLETRANSLATE(E7104, ""zh"", ""en"")"),"Qualitative text")</f>
        <v>Qualitative text</v>
      </c>
    </row>
    <row r="7105" spans="1:3" ht="13" x14ac:dyDescent="0.15">
      <c r="A7105" s="1" t="str">
        <f ca="1">IFERROR(__xludf.DUMMYFUNCTION("GOOGLETRANSLATE(A7105, ""zh"", ""en"")"),"Since 2015, Vanke has been implementing Skynet across the entire group. We have developed and continuously updated the Vanke Skynet Testing Implementation Management Measures, the Vanke Group Project Skynet Testing Implementation Plan, and the Vanke Group"&amp;" Centralized Procurement Product Skynet Testing Standards. We also conduct quality compliance checks on construction materials to prevent the purchase of counterfeit and substandard materials and components from entering Vanke project sites.")</f>
        <v>Since 2015, Vanke has been implementing Skynet across the entire group. We have developed and continuously updated the Vanke Skynet Testing Implementation Management Measures, the Vanke Group Project Skynet Testing Implementation Plan, and the Vanke Group Centralized Procurement Product Skynet Testing Standards. We also conduct quality compliance checks on construction materials to prevent the purchase of counterfeit and substandard materials and components from entering Vanke project sites.</v>
      </c>
      <c r="B7105" s="1" t="str">
        <f ca="1">IFERROR(__xludf.DUMMYFUNCTION("GOOGLETRANSLATE(A7105, ""zh"", ""en"")"),"Product quality")</f>
        <v>Product quality</v>
      </c>
      <c r="C7105" s="1" t="str">
        <f ca="1">IFERROR(__xludf.DUMMYFUNCTION("GOOGLETRANSLATE(E7105, ""zh"", ""en"")"),"Qualitative text")</f>
        <v>Qualitative text</v>
      </c>
    </row>
    <row r="7106" spans="1:3" ht="13" x14ac:dyDescent="0.15">
      <c r="A7106" s="1" t="str">
        <f ca="1">IFERROR(__xludf.DUMMYFUNCTION("GOOGLETRANSLATE(A7106, ""zh"", ""en"")"),"In 2022, we will conduct monthly inspections on material quality, construction quality, air quality, sound insulation, and other dimensions. We will expand inspections for unqualified cases, formulate special rectification plans such as rework and withdra"&amp;"wal based on actual conditions, interview responsible suppliers, and impose corresponding financial penalties according to contract terms. We will ensure a 100% rectification rate for problems and place unqualified suppliers on a banned list.")</f>
        <v>In 2022, we will conduct monthly inspections on material quality, construction quality, air quality, sound insulation, and other dimensions. We will expand inspections for unqualified cases, formulate special rectification plans such as rework and withdrawal based on actual conditions, interview responsible suppliers, and impose corresponding financial penalties according to contract terms. We will ensure a 100% rectification rate for problems and place unqualified suppliers on a banned list.</v>
      </c>
      <c r="B7106" s="1" t="str">
        <f ca="1">IFERROR(__xludf.DUMMYFUNCTION("GOOGLETRANSLATE(A7106, ""zh"", ""en"")"),"Product quality")</f>
        <v>Product quality</v>
      </c>
      <c r="C7106" s="1" t="str">
        <f ca="1">IFERROR(__xludf.DUMMYFUNCTION("GOOGLETRANSLATE(E7106, ""zh"", ""en"")"),"Qualitative text")</f>
        <v>Qualitative text</v>
      </c>
    </row>
    <row r="7107" spans="1:3" ht="13" x14ac:dyDescent="0.15">
      <c r="A7107" s="1" t="str">
        <f ca="1">IFERROR(__xludf.DUMMYFUNCTION("GOOGLETRANSLATE(A7107, ""zh"", ""en"")"),"By 2022, Operation Skynet has covered 100 companies in 54 cities and 610 production plants in seven major regions of Vanke, covering multiple industries such as real estate, hotels, and commerce. At the same time, we are also continuously expanding the in"&amp;"dustry influence of Operation Skynet. Through the Caizhu platform, we will solve the pain points of upstream and downstream industries, promote the further upgrading of the new supply chain ecosystem, reduce the number of unqualified suppliers in the indu"&amp;"stry, and conduct multi-faceted inspections to improve the product quality and service level of industry suppliers.")</f>
        <v>By 2022, Operation Skynet has covered 100 companies in 54 cities and 610 production plants in seven major regions of Vanke, covering multiple industries such as real estate, hotels, and commerce. At the same time, we are also continuously expanding the industry influence of Operation Skynet. Through the Caizhu platform, we will solve the pain points of upstream and downstream industries, promote the further upgrading of the new supply chain ecosystem, reduce the number of unqualified suppliers in the industry, and conduct multi-faceted inspections to improve the product quality and service level of industry suppliers.</v>
      </c>
      <c r="B7107" s="1" t="str">
        <f ca="1">IFERROR(__xludf.DUMMYFUNCTION("GOOGLETRANSLATE(A7107, ""zh"", ""en"")"),"supply chain management")</f>
        <v>supply chain management</v>
      </c>
      <c r="C7107" s="1" t="str">
        <f ca="1">IFERROR(__xludf.DUMMYFUNCTION("GOOGLETRANSLATE(E7107, ""zh"", ""en"")"),"Qualitative text")</f>
        <v>Qualitative text</v>
      </c>
    </row>
    <row r="7108" spans="1:3" ht="13" x14ac:dyDescent="0.15">
      <c r="A7108" s="1" t="str">
        <f ca="1">IFERROR(__xludf.DUMMYFUNCTION("GOOGLETRANSLATE(A7108, ""zh"", ""en"")"),"Vanke has established an online remote assessment and evaluation system for human-machine-material-method environmental assessment. This system integrates project management online from six dimensions: personnel management, machinery and equipment managem"&amp;"ent, material management, routine management, environmental management, and assessment and evaluation. This system improves project management capabilities.")</f>
        <v>Vanke has established an online remote assessment and evaluation system for human-machine-material-method environmental assessment. This system integrates project management online from six dimensions: personnel management, machinery and equipment management, material management, routine management, environmental management, and assessment and evaluation. This system improves project management capabilities.</v>
      </c>
      <c r="B7108" s="1" t="str">
        <f ca="1">IFERROR(__xludf.DUMMYFUNCTION("GOOGLETRANSLATE(A7108, ""zh"", ""en"")"),"Environmental Policy")</f>
        <v>Environmental Policy</v>
      </c>
      <c r="C7108" s="1" t="str">
        <f ca="1">IFERROR(__xludf.DUMMYFUNCTION("GOOGLETRANSLATE(E7108, ""zh"", ""en"")"),"Qualitative text")</f>
        <v>Qualitative text</v>
      </c>
    </row>
    <row r="7109" spans="1:3" ht="13" x14ac:dyDescent="0.15">
      <c r="A7109" s="1" t="str">
        <f ca="1">IFERROR(__xludf.DUMMYFUNCTION("GOOGLETRANSLATE(A7109, ""zh"", ""en"")"),"Business Philosophy 51 2022 Sustainability Report: By 2022, Vanke will achieve 100% smart construction site system use for all ongoing projects. In 2022, we will strengthen attendance and performance checks for employees and partners, utilize cameras and "&amp;"other equipment for daily project risk assessments, and expand the coverage and utilization of tower crane operations, visual elevators, facial recognition, AI hazard identification, and intelligent reporting systems.")</f>
        <v>Business Philosophy 51 2022 Sustainability Report: By 2022, Vanke will achieve 100% smart construction site system use for all ongoing projects. In 2022, we will strengthen attendance and performance checks for employees and partners, utilize cameras and other equipment for daily project risk assessments, and expand the coverage and utilization of tower crane operations, visual elevators, facial recognition, AI hazard identification, and intelligent reporting systems.</v>
      </c>
      <c r="B7109" s="1" t="str">
        <f ca="1">IFERROR(__xludf.DUMMYFUNCTION("GOOGLETRANSLATE(A7109, ""zh"", ""en"")"),"staff")</f>
        <v>staff</v>
      </c>
      <c r="C7109" s="1" t="str">
        <f ca="1">IFERROR(__xludf.DUMMYFUNCTION("GOOGLETRANSLATE(E7109, ""zh"", ""en"")"),"Quantitative Text")</f>
        <v>Quantitative Text</v>
      </c>
    </row>
    <row r="7110" spans="1:3" ht="13" x14ac:dyDescent="0.15">
      <c r="A7110" s="1" t="str">
        <f ca="1">IFERROR(__xludf.DUMMYFUNCTION("GOOGLETRANSLATE(A7110, ""zh"", ""en"")"),"The safety and quality inspection system includes three parts: internal mutual inspection, external professional inspection and special inspection. The delivery evaluation system is divided into three parts: regional self-inspection, headquarters random i"&amp;"nspection and customer perspective evaluation. It includes three stages: pre-delivery evaluation, delivery evaluation and post-delivery evaluation.")</f>
        <v>The safety and quality inspection system includes three parts: internal mutual inspection, external professional inspection and special inspection. The delivery evaluation system is divided into three parts: regional self-inspection, headquarters random inspection and customer perspective evaluation. It includes three stages: pre-delivery evaluation, delivery evaluation and post-delivery evaluation.</v>
      </c>
      <c r="B7110" s="1" t="str">
        <f ca="1">IFERROR(__xludf.DUMMYFUNCTION("GOOGLETRANSLATE(A7110, ""zh"", ""en"")"),"Product quality")</f>
        <v>Product quality</v>
      </c>
      <c r="C7110" s="1" t="str">
        <f ca="1">IFERROR(__xludf.DUMMYFUNCTION("GOOGLETRANSLATE(E7110, ""zh"", ""en"")"),"Qualitative text")</f>
        <v>Qualitative text</v>
      </c>
    </row>
    <row r="7111" spans="1:3" ht="13" x14ac:dyDescent="0.15">
      <c r="A7111" s="1" t="str">
        <f ca="1">IFERROR(__xludf.DUMMYFUNCTION("GOOGLETRANSLATE(A7111, ""zh"", ""en"")"),"Vanke commissioned a third-party professional assessment agency to conduct a 100% full-construction cycle assessment of projects under construction, covering all construction aspects from foundation to final delivery, to prevent projects from being delive"&amp;"red with defects.")</f>
        <v>Vanke commissioned a third-party professional assessment agency to conduct a 100% full-construction cycle assessment of projects under construction, covering all construction aspects from foundation to final delivery, to prevent projects from being delivered with defects.</v>
      </c>
      <c r="B7111" s="1" t="str">
        <f ca="1">IFERROR(__xludf.DUMMYFUNCTION("GOOGLETRANSLATE(A7111, ""zh"", ""en"")"),"Product quality")</f>
        <v>Product quality</v>
      </c>
      <c r="C7111" s="1" t="str">
        <f ca="1">IFERROR(__xludf.DUMMYFUNCTION("GOOGLETRANSLATE(E7111, ""zh"", ""en"")"),"Qualitative text")</f>
        <v>Qualitative text</v>
      </c>
    </row>
    <row r="7112" spans="1:3" ht="13" x14ac:dyDescent="0.15">
      <c r="A7112" s="1" t="str">
        <f ca="1">IFERROR(__xludf.DUMMYFUNCTION("GOOGLETRANSLATE(A7112, ""zh"", ""en"")"),"At the same time, we conduct random inspections on delivered projects, focusing on projects with bottom-line risks.")</f>
        <v>At the same time, we conduct random inspections on delivered projects, focusing on projects with bottom-line risks.</v>
      </c>
      <c r="B7112" s="1" t="str">
        <f ca="1">IFERROR(__xludf.DUMMYFUNCTION("GOOGLETRANSLATE(A7112, ""zh"", ""en"")"),"Product quality")</f>
        <v>Product quality</v>
      </c>
      <c r="C7112" s="1" t="str">
        <f ca="1">IFERROR(__xludf.DUMMYFUNCTION("GOOGLETRANSLATE(E7112, ""zh"", ""en"")"),"Qualitative text")</f>
        <v>Qualitative text</v>
      </c>
    </row>
    <row r="7113" spans="1:3" ht="13" x14ac:dyDescent="0.15">
      <c r="A7113" s="1" t="str">
        <f ca="1">IFERROR(__xludf.DUMMYFUNCTION("GOOGLETRANSLATE(A7113, ""zh"", ""en"")"),"After delivery, we review indicators such as the average repair rate and quality complaint rate after centralized product delivery from the customer's perspective to ensure the delivery of high-quality products.")</f>
        <v>After delivery, we review indicators such as the average repair rate and quality complaint rate after centralized product delivery from the customer's perspective to ensure the delivery of high-quality products.</v>
      </c>
      <c r="B7113" s="1" t="str">
        <f ca="1">IFERROR(__xludf.DUMMYFUNCTION("GOOGLETRANSLATE(A7113, ""zh"", ""en"")"),"Product quality")</f>
        <v>Product quality</v>
      </c>
      <c r="C7113" s="1" t="str">
        <f ca="1">IFERROR(__xludf.DUMMYFUNCTION("GOOGLETRANSLATE(E7113, ""zh"", ""en"")"),"Qualitative text")</f>
        <v>Qualitative text</v>
      </c>
    </row>
    <row r="7114" spans="1:3" ht="13" x14ac:dyDescent="0.15">
      <c r="A7114" s="1" t="str">
        <f ca="1">IFERROR(__xludf.DUMMYFUNCTION("GOOGLETRANSLATE(A7114, ""zh"", ""en"")"),"Good Service Vanke adheres to the customer-centric philosophy, holds itself to the highest standards in the industry, and takes customer needs as the starting point for product and service innovation, striving to provide customer-satisfied services.")</f>
        <v>Good Service Vanke adheres to the customer-centric philosophy, holds itself to the highest standards in the industry, and takes customer needs as the starting point for product and service innovation, striving to provide customer-satisfied services.</v>
      </c>
      <c r="B7114" s="1" t="str">
        <f ca="1">IFERROR(__xludf.DUMMYFUNCTION("GOOGLETRANSLATE(A7114, ""zh"", ""en"")"),"Customers and Consumers")</f>
        <v>Customers and Consumers</v>
      </c>
      <c r="C7114" s="1" t="str">
        <f ca="1">IFERROR(__xludf.DUMMYFUNCTION("GOOGLETRANSLATE(E7114, ""zh"", ""en"")"),"Qualitative text")</f>
        <v>Qualitative text</v>
      </c>
    </row>
    <row r="7115" spans="1:3" ht="13" x14ac:dyDescent="0.15">
      <c r="A7115" s="1" t="str">
        <f ca="1">IFERROR(__xludf.DUMMYFUNCTION("GOOGLETRANSLATE(A7115, ""zh"", ""en"")"),"Vanke protects basic rights and interests through concrete actions, focusing on customer needs, establishing a comprehensive customer service system that runs through the entire process of pre-sales, sales, and after-sales.")</f>
        <v>Vanke protects basic rights and interests through concrete actions, focusing on customer needs, establishing a comprehensive customer service system that runs through the entire process of pre-sales, sales, and after-sales.</v>
      </c>
      <c r="B7115" s="1" t="str">
        <f ca="1">IFERROR(__xludf.DUMMYFUNCTION("GOOGLETRANSLATE(A7115, ""zh"", ""en"")"),"Customers and Consumers")</f>
        <v>Customers and Consumers</v>
      </c>
      <c r="C7115" s="1" t="str">
        <f ca="1">IFERROR(__xludf.DUMMYFUNCTION("GOOGLETRANSLATE(E7115, ""zh"", ""en"")"),"Qualitative text")</f>
        <v>Qualitative text</v>
      </c>
    </row>
    <row r="7116" spans="1:3" ht="13" x14ac:dyDescent="0.15">
      <c r="A7116" s="1" t="str">
        <f ca="1">IFERROR(__xludf.DUMMYFUNCTION("GOOGLETRANSLATE(A7116, ""zh"", ""en"")"),"Protecting customer safety. Vanke always puts customer safety first. We continue to strengthen health and safety management in properties, commercial logistics, hotels, and resorts to provide customers with safe services.")</f>
        <v>Protecting customer safety. Vanke always puts customer safety first. We continue to strengthen health and safety management in properties, commercial logistics, hotels, and resorts to provide customers with safe services.</v>
      </c>
      <c r="B7116" s="1" t="str">
        <f ca="1">IFERROR(__xludf.DUMMYFUNCTION("GOOGLETRANSLATE(A7116, ""zh"", ""en"")"),"Customers and Consumers")</f>
        <v>Customers and Consumers</v>
      </c>
      <c r="C7116" s="1" t="str">
        <f ca="1">IFERROR(__xludf.DUMMYFUNCTION("GOOGLETRANSLATE(E7116, ""zh"", ""en"")"),"Qualitative text")</f>
        <v>Qualitative text</v>
      </c>
    </row>
    <row r="7117" spans="1:3" ht="13" x14ac:dyDescent="0.15">
      <c r="A7117" s="1" t="str">
        <f ca="1">IFERROR(__xludf.DUMMYFUNCTION("GOOGLETRANSLATE(A7117, ""zh"", ""en"")"),"In 2022, we established a group-level safety production committee to hold monthly safety production meetings to uniformly manage the safety management system guidelines and bottom line standards.")</f>
        <v>In 2022, we established a group-level safety production committee to hold monthly safety production meetings to uniformly manage the safety management system guidelines and bottom line standards.</v>
      </c>
      <c r="B7117" s="1" t="str">
        <f ca="1">IFERROR(__xludf.DUMMYFUNCTION("GOOGLETRANSLATE(A7117, ""zh"", ""en"")"),"staff")</f>
        <v>staff</v>
      </c>
      <c r="C7117" s="1" t="str">
        <f ca="1">IFERROR(__xludf.DUMMYFUNCTION("GOOGLETRANSLATE(E7117, ""zh"", ""en"")"),"Qualitative text")</f>
        <v>Qualitative text</v>
      </c>
    </row>
    <row r="7118" spans="1:3" ht="13" x14ac:dyDescent="0.15">
      <c r="A7118" s="1" t="str">
        <f ca="1">IFERROR(__xludf.DUMMYFUNCTION("GOOGLETRANSLATE(A7118, ""zh"", ""en"")"),"Hotel safety and property safety: In 2022, Vanke Cloud launched a special campaign for residential property projects to prevent people from being trapped in elevators and established a care fund for people trapped in elevators. By updating elevators with "&amp;"old parts, fine-tuning elevators, promoting safe and civilized elevator riding, and rectifying and optimizing the operating environment, the safe operation of elevators was improved, achieving an annualized number of elevator entrapments of 0.06 times per"&amp;" person per year, which is better than the national standard of 1.4 times per person per year and a decrease of 57.14% compared to before the campaign.")</f>
        <v>Hotel safety and property safety: In 2022, Vanke Cloud launched a special campaign for residential property projects to prevent people from being trapped in elevators and established a care fund for people trapped in elevators. By updating elevators with old parts, fine-tuning elevators, promoting safe and civilized elevator riding, and rectifying and optimizing the operating environment, the safe operation of elevators was improved, achieving an annualized number of elevator entrapments of 0.06 times per person per year, which is better than the national standard of 1.4 times per person per year and a decrease of 57.14% compared to before the campaign.</v>
      </c>
      <c r="B7118" s="1" t="str">
        <f ca="1">IFERROR(__xludf.DUMMYFUNCTION("GOOGLETRANSLATE(A7118, ""zh"", ""en"")"),"Customers and Consumers")</f>
        <v>Customers and Consumers</v>
      </c>
      <c r="C7118" s="1" t="str">
        <f ca="1">IFERROR(__xludf.DUMMYFUNCTION("GOOGLETRANSLATE(E7118, ""zh"", ""en"")"),"Quantitative Text")</f>
        <v>Quantitative Text</v>
      </c>
    </row>
    <row r="7119" spans="1:3" ht="13" x14ac:dyDescent="0.15">
      <c r="A7119" s="1" t="str">
        <f ca="1">IFERROR(__xludf.DUMMYFUNCTION("GOOGLETRANSLATE(A7119, ""zh"", ""en"")"),"In extreme weather conditions, we will strengthen patrols around the hotel to check if the glass windows on the hotel's exterior are closed. We will also shut down peripheral electrical equipment and power supplies to prevent short circuits and fires, ens"&amp;"uring the safety of hotel guests.")</f>
        <v>In extreme weather conditions, we will strengthen patrols around the hotel to check if the glass windows on the hotel's exterior are closed. We will also shut down peripheral electrical equipment and power supplies to prevent short circuits and fires, ensuring the safety of hotel guests.</v>
      </c>
      <c r="B7119" s="1" t="str">
        <f ca="1">IFERROR(__xludf.DUMMYFUNCTION("GOOGLETRANSLATE(A7119, ""zh"", ""en"")"),"Addressing climate change")</f>
        <v>Addressing climate change</v>
      </c>
      <c r="C7119" s="1" t="str">
        <f ca="1">IFERROR(__xludf.DUMMYFUNCTION("GOOGLETRANSLATE(E7119, ""zh"", ""en"")"),"Qualitative text")</f>
        <v>Qualitative text</v>
      </c>
    </row>
    <row r="7120" spans="1:3" ht="13" x14ac:dyDescent="0.15">
      <c r="A7120" s="1" t="str">
        <f ca="1">IFERROR(__xludf.DUMMYFUNCTION("GOOGLETRANSLATE(A7120, ""zh"", ""en"")"),"Delivery and full construction cycle assessment guarantee Vanke attaches great importance to project quality assurance. Formulate and implement Vanke Group's safety and quality inspection management measures for ongoing projects and establish a guarantee "&amp;"system consisting of a safety inspection system, a quality inspection system, and a delivery assessment system.")</f>
        <v>Delivery and full construction cycle assessment guarantee Vanke attaches great importance to project quality assurance. Formulate and implement Vanke Group's safety and quality inspection management measures for ongoing projects and establish a guarantee system consisting of a safety inspection system, a quality inspection system, and a delivery assessment system.</v>
      </c>
      <c r="B7120" s="1" t="str">
        <f ca="1">IFERROR(__xludf.DUMMYFUNCTION("GOOGLETRANSLATE(A7120, ""zh"", ""en"")"),"Product quality")</f>
        <v>Product quality</v>
      </c>
      <c r="C7120" s="1" t="str">
        <f ca="1">IFERROR(__xludf.DUMMYFUNCTION("GOOGLETRANSLATE(E7120, ""zh"", ""en"")"),"Qualitative text")</f>
        <v>Qualitative text</v>
      </c>
    </row>
    <row r="7121" spans="1:3" ht="13" x14ac:dyDescent="0.15">
      <c r="A7121" s="1" t="str">
        <f ca="1">IFERROR(__xludf.DUMMYFUNCTION("GOOGLETRANSLATE(A7121, ""zh"", ""en"")"),"In terms of pig farming, we ensure the quality of pigs from multiple perspectives, including the breeding environment, disease prevention and control, breeding management, etc. We have formulated a number of breeding management systems and strictly implem"&amp;"ented a number of pig breeding and pig output inspection and quarantine measures. In terms of food cold chain, we have developed the Wanwei Cold Chain Food Safety Management System based on ISO9001 HACCP and the relevant requirements of the industry's lea"&amp;"ding customers to improve the construction of the food safety management system.")</f>
        <v>In terms of pig farming, we ensure the quality of pigs from multiple perspectives, including the breeding environment, disease prevention and control, breeding management, etc. We have formulated a number of breeding management systems and strictly implemented a number of pig breeding and pig output inspection and quarantine measures. In terms of food cold chain, we have developed the Wanwei Cold Chain Food Safety Management System based on ISO9001 HACCP and the relevant requirements of the industry's leading customers to improve the construction of the food safety management system.</v>
      </c>
      <c r="B7121" s="1" t="str">
        <f ca="1">IFERROR(__xludf.DUMMYFUNCTION("GOOGLETRANSLATE(A7121, ""zh"", ""en"")"),"Product quality")</f>
        <v>Product quality</v>
      </c>
      <c r="C7121" s="1" t="str">
        <f ca="1">IFERROR(__xludf.DUMMYFUNCTION("GOOGLETRANSLATE(E7121, ""zh"", ""en"")"),"Qualitative text")</f>
        <v>Qualitative text</v>
      </c>
    </row>
    <row r="7122" spans="1:3" ht="13" x14ac:dyDescent="0.15">
      <c r="A7122" s="1" t="str">
        <f ca="1">IFERROR(__xludf.DUMMYFUNCTION("GOOGLETRANSLATE(A7122, ""zh"", ""en"")"),"In terms of ensuring food storage safety, we use intelligent technologies and management measures such as temperature and humidity monitoring system QEHSS management platform to fully ensure food safety.")</f>
        <v>In terms of ensuring food storage safety, we use intelligent technologies and management measures such as temperature and humidity monitoring system QEHSS management platform to fully ensure food safety.</v>
      </c>
      <c r="B7122" s="1" t="str">
        <f ca="1">IFERROR(__xludf.DUMMYFUNCTION("GOOGLETRANSLATE(A7122, ""zh"", ""en"")"),"Product quality")</f>
        <v>Product quality</v>
      </c>
      <c r="C7122" s="1" t="str">
        <f ca="1">IFERROR(__xludf.DUMMYFUNCTION("GOOGLETRANSLATE(E7122, ""zh"", ""en"")"),"Qualitative text")</f>
        <v>Qualitative text</v>
      </c>
    </row>
    <row r="7123" spans="1:3" ht="13" x14ac:dyDescent="0.15">
      <c r="A7123" s="1" t="str">
        <f ca="1">IFERROR(__xludf.DUMMYFUNCTION("GOOGLETRANSLATE(A7123, ""zh"", ""en"")"),"We have established strict requirements for sales materials, sandbox models, various business scenarios, process methods, and sample rooms during the sales phase. We strictly prohibit the dissemination of misleading and ambiguous product information and e"&amp;"xcessive promises to protect customers' right to know.")</f>
        <v>We have established strict requirements for sales materials, sandbox models, various business scenarios, process methods, and sample rooms during the sales phase. We strictly prohibit the dissemination of misleading and ambiguous product information and excessive promises to protect customers' right to know.</v>
      </c>
      <c r="B7123" s="1" t="str">
        <f ca="1">IFERROR(__xludf.DUMMYFUNCTION("GOOGLETRANSLATE(A7123, ""zh"", ""en"")"),"Customers and Consumers")</f>
        <v>Customers and Consumers</v>
      </c>
      <c r="C7123" s="1" t="str">
        <f ca="1">IFERROR(__xludf.DUMMYFUNCTION("GOOGLETRANSLATE(E7123, ""zh"", ""en"")"),"Qualitative text")</f>
        <v>Qualitative text</v>
      </c>
    </row>
    <row r="7124" spans="1:3" ht="13" x14ac:dyDescent="0.15">
      <c r="A7124" s="1" t="str">
        <f ca="1">IFERROR(__xludf.DUMMYFUNCTION("GOOGLETRANSLATE(A7124, ""zh"", ""en"")"),"Vanke is the first company in the industry to demonstrate the true nature of its products to customers through methods such as the Sunshine Declaration, Education Information Uncertainty Notice, and Red Line Internal and External Unfavorable Factors.")</f>
        <v>Vanke is the first company in the industry to demonstrate the true nature of its products to customers through methods such as the Sunshine Declaration, Education Information Uncertainty Notice, and Red Line Internal and External Unfavorable Factors.</v>
      </c>
      <c r="B7124" s="1" t="str">
        <f ca="1">IFERROR(__xludf.DUMMYFUNCTION("GOOGLETRANSLATE(A7124, ""zh"", ""en"")"),"Customers and Consumers")</f>
        <v>Customers and Consumers</v>
      </c>
      <c r="C7124" s="1" t="str">
        <f ca="1">IFERROR(__xludf.DUMMYFUNCTION("GOOGLETRANSLATE(E7124, ""zh"", ""en"")"),"Qualitative text")</f>
        <v>Qualitative text</v>
      </c>
    </row>
    <row r="7125" spans="1:3" ht="13" x14ac:dyDescent="0.15">
      <c r="A7125" s="1" t="str">
        <f ca="1">IFERROR(__xludf.DUMMYFUNCTION("GOOGLETRANSLATE(A7125, ""zh"", ""en"")"),"The integrity marketing campaign uses sales sites as a platform to strengthen the public disclosure of commitments to customers. Adhere to integrity marketing without taking shortcuts, provide customers with what they see is what they get, enhance custome"&amp;"r experience and help customers choose.")</f>
        <v>The integrity marketing campaign uses sales sites as a platform to strengthen the public disclosure of commitments to customers. Adhere to integrity marketing without taking shortcuts, provide customers with what they see is what they get, enhance customer experience and help customers choose.</v>
      </c>
      <c r="B7125" s="1" t="str">
        <f ca="1">IFERROR(__xludf.DUMMYFUNCTION("GOOGLETRANSLATE(A7125, ""zh"", ""en"")"),"Customers and Consumers")</f>
        <v>Customers and Consumers</v>
      </c>
      <c r="C7125" s="1" t="str">
        <f ca="1">IFERROR(__xludf.DUMMYFUNCTION("GOOGLETRANSLATE(E7125, ""zh"", ""en"")"),"Qualitative text")</f>
        <v>Qualitative text</v>
      </c>
    </row>
    <row r="7126" spans="1:3" ht="13" x14ac:dyDescent="0.15">
      <c r="A7126" s="1" t="str">
        <f ca="1">IFERROR(__xludf.DUMMYFUNCTION("GOOGLETRANSLATE(A7126, ""zh"", ""en"")"),"In 2022, we launched the standard model room size tips product service labeling work, hoping to complete the display of product and service highlights through clear and identifiable product and service highlight logos to help customers understand the proj"&amp;"ect highlights.")</f>
        <v>In 2022, we launched the standard model room size tips product service labeling work, hoping to complete the display of product and service highlights through clear and identifiable product and service highlight logos to help customers understand the project highlights.</v>
      </c>
      <c r="B7126" s="1" t="str">
        <f ca="1">IFERROR(__xludf.DUMMYFUNCTION("GOOGLETRANSLATE(A7126, ""zh"", ""en"")"),"Product quality")</f>
        <v>Product quality</v>
      </c>
      <c r="C7126" s="1" t="str">
        <f ca="1">IFERROR(__xludf.DUMMYFUNCTION("GOOGLETRANSLATE(E7126, ""zh"", ""en"")"),"Qualitative text")</f>
        <v>Qualitative text</v>
      </c>
    </row>
    <row r="7127" spans="1:3" ht="13" x14ac:dyDescent="0.15">
      <c r="A7127" s="1" t="str">
        <f ca="1">IFERROR(__xludf.DUMMYFUNCTION("GOOGLETRANSLATE(A7127, ""zh"", ""en"")"),"We have built a VSKI safety management system centered around the personal safety of our customers, covering equipment safety, safety monitoring safety, safety inspection personnel safety, medical safety, safety protection, and safety for winter sports, t"&amp;"o ensure the safety of our customers' lives and property.")</f>
        <v>We have built a VSKI safety management system centered around the personal safety of our customers, covering equipment safety, safety monitoring safety, safety inspection personnel safety, medical safety, safety protection, and safety for winter sports, to ensure the safety of our customers' lives and property.</v>
      </c>
      <c r="B7127" s="1" t="str">
        <f ca="1">IFERROR(__xludf.DUMMYFUNCTION("GOOGLETRANSLATE(A7127, ""zh"", ""en"")"),"Customers and Consumers")</f>
        <v>Customers and Consumers</v>
      </c>
      <c r="C7127" s="1" t="str">
        <f ca="1">IFERROR(__xludf.DUMMYFUNCTION("GOOGLETRANSLATE(E7127, ""zh"", ""en"")"),"Qualitative text")</f>
        <v>Qualitative text</v>
      </c>
    </row>
    <row r="7128" spans="1:3" ht="13" x14ac:dyDescent="0.15">
      <c r="A7128" s="1" t="str">
        <f ca="1">IFERROR(__xludf.DUMMYFUNCTION("GOOGLETRANSLATE(A7128, ""zh"", ""en"")"),"We have developed emergency response guidelines for meteorological disasters and natural disaster prevention regulations, and proposed remote operation plans for extreme weather conditions such as typhoons, rainstorms, extreme cold and high temperatures. "&amp;"We have also established remote and on-site linkage management through digital means.")</f>
        <v>We have developed emergency response guidelines for meteorological disasters and natural disaster prevention regulations, and proposed remote operation plans for extreme weather conditions such as typhoons, rainstorms, extreme cold and high temperatures. We have also established remote and on-site linkage management through digital means.</v>
      </c>
      <c r="B7128" s="1" t="str">
        <f ca="1">IFERROR(__xludf.DUMMYFUNCTION("GOOGLETRANSLATE(A7128, ""zh"", ""en"")"),"Addressing climate change")</f>
        <v>Addressing climate change</v>
      </c>
      <c r="C7128" s="1" t="str">
        <f ca="1">IFERROR(__xludf.DUMMYFUNCTION("GOOGLETRANSLATE(E7128, ""zh"", ""en"")"),"Qualitative text")</f>
        <v>Qualitative text</v>
      </c>
    </row>
    <row r="7129" spans="1:3" ht="13" x14ac:dyDescent="0.15">
      <c r="A7129" s="1" t="str">
        <f ca="1">IFERROR(__xludf.DUMMYFUNCTION("GOOGLETRANSLATE(A7129, ""zh"", ""en"")"),"Through the Safety Production Month activities, we strengthened the investigation and rectification of safety hazards to ensure the integrity and effectiveness of equipment and facilities, and regularly carried out safety and fire drills to improve the sa"&amp;"fety management level of commercial projects.")</f>
        <v>Through the Safety Production Month activities, we strengthened the investigation and rectification of safety hazards to ensure the integrity and effectiveness of equipment and facilities, and regularly carried out safety and fire drills to improve the safety management level of commercial projects.</v>
      </c>
      <c r="B7129" s="1" t="str">
        <f ca="1">IFERROR(__xludf.DUMMYFUNCTION("GOOGLETRANSLATE(A7129, ""zh"", ""en"")"),"staff")</f>
        <v>staff</v>
      </c>
      <c r="C7129" s="1" t="str">
        <f ca="1">IFERROR(__xludf.DUMMYFUNCTION("GOOGLETRANSLATE(E7129, ""zh"", ""en"")"),"Qualitative text")</f>
        <v>Qualitative text</v>
      </c>
    </row>
    <row r="7130" spans="1:3" ht="13" x14ac:dyDescent="0.15">
      <c r="A7130" s="1" t="str">
        <f ca="1">IFERROR(__xludf.DUMMYFUNCTION("GOOGLETRANSLATE(A7130, ""zh"", ""en"")"),"In 2022, Vanke conducted 31 audits and supervisory investigations involving marketing, and continued to implement strict supervision of marketing activities in 11 areas.")</f>
        <v>In 2022, Vanke conducted 31 audits and supervisory investigations involving marketing, and continued to implement strict supervision of marketing activities in 11 areas.</v>
      </c>
      <c r="B7130" s="1" t="str">
        <f ca="1">IFERROR(__xludf.DUMMYFUNCTION("GOOGLETRANSLATE(A7130, ""zh"", ""en"")"),"Audit work")</f>
        <v>Audit work</v>
      </c>
      <c r="C7130" s="1" t="str">
        <f ca="1">IFERROR(__xludf.DUMMYFUNCTION("GOOGLETRANSLATE(E7130, ""zh"", ""en"")"),"Quantitative Text")</f>
        <v>Quantitative Text</v>
      </c>
    </row>
    <row r="7131" spans="1:3" ht="13" x14ac:dyDescent="0.15">
      <c r="A7131" s="1" t="str">
        <f ca="1">IFERROR(__xludf.DUMMYFUNCTION("GOOGLETRANSLATE(A7131, ""zh"", ""en"")"),"Sales model rooms are not scaled down. Sales model room dimensions are displayed according to standard dimensions. Requirements are set for dimensions such as sofa beds, bedside tables, and wardrobe depth to avoid scaling down.")</f>
        <v>Sales model rooms are not scaled down. Sales model room dimensions are displayed according to standard dimensions. Requirements are set for dimensions such as sofa beds, bedside tables, and wardrobe depth to avoid scaling down.</v>
      </c>
      <c r="B7131" s="1" t="str">
        <f ca="1">IFERROR(__xludf.DUMMYFUNCTION("GOOGLETRANSLATE(A7131, ""zh"", ""en"")"),"Product quality")</f>
        <v>Product quality</v>
      </c>
      <c r="C7131" s="1" t="str">
        <f ca="1">IFERROR(__xludf.DUMMYFUNCTION("GOOGLETRANSLATE(E7131, ""zh"", ""en"")"),"Qualitative text")</f>
        <v>Qualitative text</v>
      </c>
    </row>
    <row r="7132" spans="1:3" ht="13" x14ac:dyDescent="0.15">
      <c r="A7132" s="1" t="str">
        <f ca="1">IFERROR(__xludf.DUMMYFUNCTION("GOOGLETRANSLATE(A7132, ""zh"", ""en"")"),"Sales Model Room Size Management Strategy 53 2022 Sustainability Report Product and Service Labeling adheres to the principle of honest marketing and avoids tricks. Emphasizes value for money and highlights service products to enhance customer trust and h"&amp;"elp customers understand the true hardware and software product situation.")</f>
        <v>Sales Model Room Size Management Strategy 53 2022 Sustainability Report Product and Service Labeling adheres to the principle of honest marketing and avoids tricks. Emphasizes value for money and highlights service products to enhance customer trust and help customers understand the true hardware and software product situation.</v>
      </c>
      <c r="B7132" s="1" t="str">
        <f ca="1">IFERROR(__xludf.DUMMYFUNCTION("GOOGLETRANSLATE(A7132, ""zh"", ""en"")"),"Customers and Consumers")</f>
        <v>Customers and Consumers</v>
      </c>
      <c r="C7132" s="1" t="str">
        <f ca="1">IFERROR(__xludf.DUMMYFUNCTION("GOOGLETRANSLATE(E7132, ""zh"", ""en"")"),"Qualitative text")</f>
        <v>Qualitative text</v>
      </c>
    </row>
    <row r="7133" spans="1:3" ht="13" x14ac:dyDescent="0.15">
      <c r="A7133" s="1" t="str">
        <f ca="1">IFERROR(__xludf.DUMMYFUNCTION("GOOGLETRANSLATE(A7133, ""zh"", ""en"")"),"Standardized service requirements Comprehensive and detailed service standards are the basis for standardizing service behaviors and improving service capabilities")</f>
        <v>Standardized service requirements Comprehensive and detailed service standards are the basis for standardizing service behaviors and improving service capabilities</v>
      </c>
      <c r="B7133" s="1" t="str">
        <f ca="1">IFERROR(__xludf.DUMMYFUNCTION("GOOGLETRANSLATE(A7133, ""zh"", ""en"")"),"Customers and Consumers")</f>
        <v>Customers and Consumers</v>
      </c>
      <c r="C7133" s="1" t="str">
        <f ca="1">IFERROR(__xludf.DUMMYFUNCTION("GOOGLETRANSLATE(E7133, ""zh"", ""en"")"),"Qualitative text")</f>
        <v>Qualitative text</v>
      </c>
    </row>
    <row r="7134" spans="1:3" ht="13" x14ac:dyDescent="0.15">
      <c r="A7134" s="1" t="str">
        <f ca="1">IFERROR(__xludf.DUMMYFUNCTION("GOOGLETRANSLATE(A7134, ""zh"", ""en"")"),"Vanke continuously improves its service capabilities by formulating and implementing unified service standards")</f>
        <v>Vanke continuously improves its service capabilities by formulating and implementing unified service standards</v>
      </c>
      <c r="B7134" s="1" t="str">
        <f ca="1">IFERROR(__xludf.DUMMYFUNCTION("GOOGLETRANSLATE(A7134, ""zh"", ""en"")"),"Customers and Consumers")</f>
        <v>Customers and Consumers</v>
      </c>
      <c r="C7134" s="1" t="str">
        <f ca="1">IFERROR(__xludf.DUMMYFUNCTION("GOOGLETRANSLATE(E7134, ""zh"", ""en"")"),"Qualitative text")</f>
        <v>Qualitative text</v>
      </c>
    </row>
    <row r="7135" spans="1:3" ht="13" x14ac:dyDescent="0.15">
      <c r="A7135" s="1" t="str">
        <f ca="1">IFERROR(__xludf.DUMMYFUNCTION("GOOGLETRANSLATE(A7135, ""zh"", ""en"")"),"Vanke Forest Park product and service list, standard model apartment delivery. SCPG, Vanke, Leung &amp; Co., Ltd., and the Food Business Unit (BU) have all obtained ISO9001 quality management system certification. Vanke's marketing team achieved 100% responsi"&amp;"ble training coverage in 2022. The Guyu Action targets regional and city company marketing managers, regional and city company marketing expense positions, planning and operations positions, regional and city integrated marketing positions, project manage"&amp;"rs and planners, Weijia City general managers, sales directors, and regular online and offline special marketing training conducted by relevant partners of the development and operations department.")</f>
        <v>Vanke Forest Park product and service list, standard model apartment delivery. SCPG, Vanke, Leung &amp; Co., Ltd., and the Food Business Unit (BU) have all obtained ISO9001 quality management system certification. Vanke's marketing team achieved 100% responsible training coverage in 2022. The Guyu Action targets regional and city company marketing managers, regional and city company marketing expense positions, planning and operations positions, regional and city integrated marketing positions, project managers and planners, Weijia City general managers, sales directors, and regular online and offline special marketing training conducted by relevant partners of the development and operations department.</v>
      </c>
      <c r="B7135" s="1" t="str">
        <f ca="1">IFERROR(__xludf.DUMMYFUNCTION("GOOGLETRANSLATE(A7135, ""zh"", ""en"")"),"Product quality")</f>
        <v>Product quality</v>
      </c>
      <c r="C7135" s="1" t="str">
        <f ca="1">IFERROR(__xludf.DUMMYFUNCTION("GOOGLETRANSLATE(E7135, ""zh"", ""en"")"),"Qualitative text")</f>
        <v>Qualitative text</v>
      </c>
    </row>
    <row r="7136" spans="1:3" ht="13" x14ac:dyDescent="0.15">
      <c r="A7136" s="1" t="str">
        <f ca="1">IFERROR(__xludf.DUMMYFUNCTION("GOOGLETRANSLATE(A7136, ""zh"", ""en"")"),"The job certification program involves theoretical assessments focusing on the fundamentals of real estate brokerage expertise, as well as practical assessments focusing on on-site sales and service processes. Only those who pass the assessments will be e"&amp;"ligible for the job and receive a corporate WeChat profile picture for external use.")</f>
        <v>The job certification program involves theoretical assessments focusing on the fundamentals of real estate brokerage expertise, as well as practical assessments focusing on on-site sales and service processes. Only those who pass the assessments will be eligible for the job and receive a corporate WeChat profile picture for external use.</v>
      </c>
      <c r="B7136" s="1" t="str">
        <f ca="1">IFERROR(__xludf.DUMMYFUNCTION("GOOGLETRANSLATE(A7136, ""zh"", ""en"")"),"Organizational structure and operations")</f>
        <v>Organizational structure and operations</v>
      </c>
      <c r="C7136" s="1" t="str">
        <f ca="1">IFERROR(__xludf.DUMMYFUNCTION("GOOGLETRANSLATE(E7136, ""zh"", ""en"")"),"Qualitative text")</f>
        <v>Qualitative text</v>
      </c>
    </row>
    <row r="7137" spans="1:3" ht="13" x14ac:dyDescent="0.15">
      <c r="A7137" s="1" t="str">
        <f ca="1">IFERROR(__xludf.DUMMYFUNCTION("GOOGLETRANSLATE(A7137, ""zh"", ""en"")"),"Good Service Action Service Standards The 2022 Good Service Contract Service Upgrade Convenient and reliable online contract signing tools can meet customers' needs for remote signing, reduced duplicate signing, quick and real-time access to contract cont"&amp;"ent, etc. In 2022, the online contract signing platform application coverage will be 100, with a total of 56,000 online signings and customer contract service satisfaction reaching 99 points.")</f>
        <v>Good Service Action Service Standards The 2022 Good Service Contract Service Upgrade Convenient and reliable online contract signing tools can meet customers' needs for remote signing, reduced duplicate signing, quick and real-time access to contract content, etc. In 2022, the online contract signing platform application coverage will be 100, with a total of 56,000 online signings and customer contract service satisfaction reaching 99 points.</v>
      </c>
      <c r="B7137" s="1" t="str">
        <f ca="1">IFERROR(__xludf.DUMMYFUNCTION("GOOGLETRANSLATE(A7137, ""zh"", ""en"")"),"Customers and Consumers")</f>
        <v>Customers and Consumers</v>
      </c>
      <c r="C7137" s="1" t="str">
        <f ca="1">IFERROR(__xludf.DUMMYFUNCTION("GOOGLETRANSLATE(E7137, ""zh"", ""en"")"),"Quantitative Text")</f>
        <v>Quantitative Text</v>
      </c>
    </row>
    <row r="7138" spans="1:3" ht="13" x14ac:dyDescent="0.15">
      <c r="A7138" s="1" t="str">
        <f ca="1">IFERROR(__xludf.DUMMYFUNCTION("GOOGLETRANSLATE(A7138, ""zh"", ""en"")"),"Pre-positioning of butler service After the contract is signed, Vanke Property Management will provide pre-positioning butler service to fill the gap in service during the post-sales delivery period. After delivery, the pre-positioned butler will be trans"&amp;"formed into a life butler. In 2022, 870 pre-positioned butlers will be deployed in all Vanke projects on sale, of which 441 pre-positioned butlers will continue to serve customers after the project is delivered, achieving service continuity. Customer afte"&amp;"r-sales satisfaction has reached 97")</f>
        <v>Pre-positioning of butler service After the contract is signed, Vanke Property Management will provide pre-positioning butler service to fill the gap in service during the post-sales delivery period. After delivery, the pre-positioned butler will be transformed into a life butler. In 2022, 870 pre-positioned butlers will be deployed in all Vanke projects on sale, of which 441 pre-positioned butlers will continue to serve customers after the project is delivered, achieving service continuity. Customer after-sales satisfaction has reached 97</v>
      </c>
      <c r="B7138" s="1" t="str">
        <f ca="1">IFERROR(__xludf.DUMMYFUNCTION("GOOGLETRANSLATE(A7138, ""zh"", ""en"")"),"Customers and Consumers")</f>
        <v>Customers and Consumers</v>
      </c>
      <c r="C7138" s="1" t="str">
        <f ca="1">IFERROR(__xludf.DUMMYFUNCTION("GOOGLETRANSLATE(E7138, ""zh"", ""en"")"),"Quantitative Text")</f>
        <v>Quantitative Text</v>
      </c>
    </row>
    <row r="7139" spans="1:3" ht="13" x14ac:dyDescent="0.15">
      <c r="A7139" s="1" t="str">
        <f ca="1">IFERROR(__xludf.DUMMYFUNCTION("GOOGLETRANSLATE(A7139, ""zh"", ""en"")"),"Create a colorful community with the owners and build a platform for owners' interests and hobbies. Let more like-minded owners join the community because of their interests, find each other, enhance friendly interaction and neighborhood relations. In 202"&amp;"2, a total of 1,005 communities were established and a total of 6,016 community activities were held.")</f>
        <v>Create a colorful community with the owners and build a platform for owners' interests and hobbies. Let more like-minded owners join the community because of their interests, find each other, enhance friendly interaction and neighborhood relations. In 2022, a total of 1,005 communities were established and a total of 6,016 community activities were held.</v>
      </c>
      <c r="B7139" s="1" t="str">
        <f ca="1">IFERROR(__xludf.DUMMYFUNCTION("GOOGLETRANSLATE(A7139, ""zh"", ""en"")"),"Public welfare and volunteer service")</f>
        <v>Public welfare and volunteer service</v>
      </c>
      <c r="C7139" s="1" t="str">
        <f ca="1">IFERROR(__xludf.DUMMYFUNCTION("GOOGLETRANSLATE(E7139, ""zh"", ""en"")"),"Quantitative Text")</f>
        <v>Quantitative Text</v>
      </c>
    </row>
    <row r="7140" spans="1:3" ht="13" x14ac:dyDescent="0.15">
      <c r="A7140" s="1" t="str">
        <f ca="1">IFERROR(__xludf.DUMMYFUNCTION("GOOGLETRANSLATE(A7140, ""zh"", ""en"")"),"Delivery service upgrade practices: ""Three Ones"" delivery service is the customer experience. Delivery procedures are handled in one stop. Customer service ambassadors greet customers with a single face throughout the home inspection process. A professi"&amp;"onal home inspector accompanies the entire process. Further optimize the customer experience through delivery touchpoint segmentation, enhance customer respect, and strengthen delivery memories.")</f>
        <v>Delivery service upgrade practices: "Three Ones" delivery service is the customer experience. Delivery procedures are handled in one stop. Customer service ambassadors greet customers with a single face throughout the home inspection process. A professional home inspector accompanies the entire process. Further optimize the customer experience through delivery touchpoint segmentation, enhance customer respect, and strengthen delivery memories.</v>
      </c>
      <c r="B7140" s="1" t="str">
        <f ca="1">IFERROR(__xludf.DUMMYFUNCTION("GOOGLETRANSLATE(A7140, ""zh"", ""en"")"),"Customers and Consumers")</f>
        <v>Customers and Consumers</v>
      </c>
      <c r="C7140" s="1" t="str">
        <f ca="1">IFERROR(__xludf.DUMMYFUNCTION("GOOGLETRANSLATE(E7140, ""zh"", ""en"")"),"Qualitative text")</f>
        <v>Qualitative text</v>
      </c>
    </row>
    <row r="7141" spans="1:3" ht="13" x14ac:dyDescent="0.15">
      <c r="A7141" s="1" t="str">
        <f ca="1">IFERROR(__xludf.DUMMYFUNCTION("GOOGLETRANSLATE(A7141, ""zh"", ""en"")"),"The immediate satisfaction rate for delivery in 2022 is 98 points")</f>
        <v>The immediate satisfaction rate for delivery in 2022 is 98 points</v>
      </c>
      <c r="B7141" s="1" t="str">
        <f ca="1">IFERROR(__xludf.DUMMYFUNCTION("GOOGLETRANSLATE(A7141, ""zh"", ""en"")"),"Customers and Consumers")</f>
        <v>Customers and Consumers</v>
      </c>
      <c r="C7141" s="1" t="str">
        <f ca="1">IFERROR(__xludf.DUMMYFUNCTION("GOOGLETRANSLATE(E7141, ""zh"", ""en"")"),"Quantitative Text")</f>
        <v>Quantitative Text</v>
      </c>
    </row>
    <row r="7142" spans="1:3" ht="13" x14ac:dyDescent="0.15">
      <c r="A7142" s="1" t="str">
        <f ca="1">IFERROR(__xludf.DUMMYFUNCTION("GOOGLETRANSLATE(A7142, ""zh"", ""en"")"),"Upgrade maintenance services. Carry out maintenance service upgrades. Property management undertakes maintenance business and jointly manages with real estate. Continuously improve maintenance efficiency. Target overall customer maintenance satisfaction t"&amp;"o be 99.45 in 2022. Develop maintenance service maintenance operation standards 2.0. Specialize in multi-channel maintenance for decorative parts and establish an in-house maintenance team.")</f>
        <v>Upgrade maintenance services. Carry out maintenance service upgrades. Property management undertakes maintenance business and jointly manages with real estate. Continuously improve maintenance efficiency. Target overall customer maintenance satisfaction to be 99.45 in 2022. Develop maintenance service maintenance operation standards 2.0. Specialize in multi-channel maintenance for decorative parts and establish an in-house maintenance team.</v>
      </c>
      <c r="B7142" s="1" t="str">
        <f ca="1">IFERROR(__xludf.DUMMYFUNCTION("GOOGLETRANSLATE(A7142, ""zh"", ""en"")"),"Customers and Consumers")</f>
        <v>Customers and Consumers</v>
      </c>
      <c r="C7142" s="1" t="str">
        <f ca="1">IFERROR(__xludf.DUMMYFUNCTION("GOOGLETRANSLATE(E7142, ""zh"", ""en"")"),"Quantitative Text")</f>
        <v>Quantitative Text</v>
      </c>
    </row>
    <row r="7143" spans="1:3" ht="13" x14ac:dyDescent="0.15">
      <c r="A7143" s="1" t="str">
        <f ca="1">IFERROR(__xludf.DUMMYFUNCTION("GOOGLETRANSLATE(A7143, ""zh"", ""en"")"),"Case Study: White Glove Operation: White glove inspection of power distribution rooms demonstrates comprehensive, unified, and high-standard precision quality. Customers can wear white gloves and freely touch the interior space during home inspections. Bu"&amp;"siness Philosophy 55 2022 Sustainability Report: Parkview SOP112 Service Standards. Parkview updated SOP112 service standards in 2022, further refining service standards and promoting benchmark projects. Monthly housekeeper service days were launched to p"&amp;"romote benchmark stores. Online live broadcasts were used to explain inspection standards and actively organize training and certification for the 12 service touchpoints of SOP.")</f>
        <v>Case Study: White Glove Operation: White glove inspection of power distribution rooms demonstrates comprehensive, unified, and high-standard precision quality. Customers can wear white gloves and freely touch the interior space during home inspections. Business Philosophy 55 2022 Sustainability Report: Parkview SOP112 Service Standards. Parkview updated SOP112 service standards in 2022, further refining service standards and promoting benchmark projects. Monthly housekeeper service days were launched to promote benchmark stores. Online live broadcasts were used to explain inspection standards and actively organize training and certification for the 12 service touchpoints of SOP.</v>
      </c>
      <c r="B7143" s="1" t="str">
        <f ca="1">IFERROR(__xludf.DUMMYFUNCTION("GOOGLETRANSLATE(A7143, ""zh"", ""en"")"),"Product quality")</f>
        <v>Product quality</v>
      </c>
      <c r="C7143" s="1" t="str">
        <f ca="1">IFERROR(__xludf.DUMMYFUNCTION("GOOGLETRANSLATE(E7143, ""zh"", ""en"")"),"Qualitative text")</f>
        <v>Qualitative text</v>
      </c>
    </row>
    <row r="7144" spans="1:3" ht="13" x14ac:dyDescent="0.15">
      <c r="A7144" s="1" t="str">
        <f ca="1">IFERROR(__xludf.DUMMYFUNCTION("GOOGLETRANSLATE(A7144, ""zh"", ""en"")"),"We immediately record customer complaints into the CRM system and adhere to a 30-minute response mechanism, completing the first response within 24 hours.")</f>
        <v>We immediately record customer complaints into the CRM system and adhere to a 30-minute response mechanism, completing the first response within 24 hours.</v>
      </c>
      <c r="B7144" s="1" t="str">
        <f ca="1">IFERROR(__xludf.DUMMYFUNCTION("GOOGLETRANSLATE(A7144, ""zh"", ""en"")"),"Customers and Consumers")</f>
        <v>Customers and Consumers</v>
      </c>
      <c r="C7144" s="1" t="str">
        <f ca="1">IFERROR(__xludf.DUMMYFUNCTION("GOOGLETRANSLATE(E7144, ""zh"", ""en"")"),"Qualitative text")</f>
        <v>Qualitative text</v>
      </c>
    </row>
    <row r="7145" spans="1:3" ht="13" x14ac:dyDescent="0.15">
      <c r="A7145" s="1" t="str">
        <f ca="1">IFERROR(__xludf.DUMMYFUNCTION("GOOGLETRANSLATE(A7145, ""zh"", ""en"")"),"For key common complaint issues, we strictly follow the 14/24 information feedback mechanism, that is, within 1 hour, the information in the company is delivered to the key personnel and resources who can solve the customer's problem; within 4 hours, the "&amp;"problem is analyzed and responded to in time; within 24 hours, a detailed solution to the customer's problem is formulated.")</f>
        <v>For key common complaint issues, we strictly follow the 14/24 information feedback mechanism, that is, within 1 hour, the information in the company is delivered to the key personnel and resources who can solve the customer's problem; within 4 hours, the problem is analyzed and responded to in time; within 24 hours, a detailed solution to the customer's problem is formulated.</v>
      </c>
      <c r="B7145" s="1" t="str">
        <f ca="1">IFERROR(__xludf.DUMMYFUNCTION("GOOGLETRANSLATE(A7145, ""zh"", ""en"")"),"Customers and Consumers")</f>
        <v>Customers and Consumers</v>
      </c>
      <c r="C7145" s="1" t="str">
        <f ca="1">IFERROR(__xludf.DUMMYFUNCTION("GOOGLETRANSLATE(E7145, ""zh"", ""en"")"),"Qualitative text")</f>
        <v>Qualitative text</v>
      </c>
    </row>
    <row r="7146" spans="1:3" ht="13" x14ac:dyDescent="0.15">
      <c r="A7146" s="1" t="str">
        <f ca="1">IFERROR(__xludf.DUMMYFUNCTION("GOOGLETRANSLATE(A7146, ""zh"", ""en"")"),"In order to further follow up on customer issues, we have established an escalation mechanism for repeated complaints and long-term unresolved issues, from grassroots customer service personnel to company management, and from various levels of the group t"&amp;"o the group headquarters.")</f>
        <v>In order to further follow up on customer issues, we have established an escalation mechanism for repeated complaints and long-term unresolved issues, from grassroots customer service personnel to company management, and from various levels of the group to the group headquarters.</v>
      </c>
      <c r="B7146" s="1" t="str">
        <f ca="1">IFERROR(__xludf.DUMMYFUNCTION("GOOGLETRANSLATE(A7146, ""zh"", ""en"")"),"Customers and Consumers")</f>
        <v>Customers and Consumers</v>
      </c>
      <c r="C7146" s="1" t="str">
        <f ca="1">IFERROR(__xludf.DUMMYFUNCTION("GOOGLETRANSLATE(E7146, ""zh"", ""en"")"),"Qualitative text")</f>
        <v>Qualitative text</v>
      </c>
    </row>
    <row r="7147" spans="1:3" ht="13" x14ac:dyDescent="0.15">
      <c r="A7147" s="1" t="str">
        <f ca="1">IFERROR(__xludf.DUMMYFUNCTION("GOOGLETRANSLATE(A7147, ""zh"", ""en"")"),"We continuously iterate and optimize our online customer service products and establish regional centralized 400 customer service centers to ensure efficient resolution of customer requests. Starting in 2021, we have developed our own technology platform "&amp;"to establish data algorithms for maintenance tasks, work orders, complaints, and work orders. We apply AI technology to achieve 24-hour screening of customer issues and identify and warn of key issues. We continuously improve our problem prevention and re"&amp;"solution capabilities through technology.")</f>
        <v>We continuously iterate and optimize our online customer service products and establish regional centralized 400 customer service centers to ensure efficient resolution of customer requests. Starting in 2021, we have developed our own technology platform to establish data algorithms for maintenance tasks, work orders, complaints, and work orders. We apply AI technology to achieve 24-hour screening of customer issues and identify and warn of key issues. We continuously improve our problem prevention and resolution capabilities through technology.</v>
      </c>
      <c r="B7147" s="1" t="str">
        <f ca="1">IFERROR(__xludf.DUMMYFUNCTION("GOOGLETRANSLATE(A7147, ""zh"", ""en"")"),"Customers and Consumers")</f>
        <v>Customers and Consumers</v>
      </c>
      <c r="C7147" s="1" t="str">
        <f ca="1">IFERROR(__xludf.DUMMYFUNCTION("GOOGLETRANSLATE(E7147, ""zh"", ""en"")"),"Qualitative text")</f>
        <v>Qualitative text</v>
      </c>
    </row>
    <row r="7148" spans="1:3" ht="13" x14ac:dyDescent="0.15">
      <c r="A7148" s="1" t="str">
        <f ca="1">IFERROR(__xludf.DUMMYFUNCTION("GOOGLETRANSLATE(A7148, ""zh"", ""en"")"),"At the same time, Vanke continues to strengthen customer problem-solving training through customer interview training, emergency response drills, and case defense for customer managers, further improving business expertise.")</f>
        <v>At the same time, Vanke continues to strengthen customer problem-solving training through customer interview training, emergency response drills, and case defense for customer managers, further improving business expertise.</v>
      </c>
      <c r="B7148" s="1" t="str">
        <f ca="1">IFERROR(__xludf.DUMMYFUNCTION("GOOGLETRANSLATE(A7148, ""zh"", ""en"")"),"Customers and Consumers")</f>
        <v>Customers and Consumers</v>
      </c>
      <c r="C7148" s="1" t="str">
        <f ca="1">IFERROR(__xludf.DUMMYFUNCTION("GOOGLETRANSLATE(E7148, ""zh"", ""en"")"),"Qualitative text")</f>
        <v>Qualitative text</v>
      </c>
    </row>
    <row r="7149" spans="1:3" ht="13" x14ac:dyDescent="0.15">
      <c r="A7149" s="1" t="str">
        <f ca="1">IFERROR(__xludf.DUMMYFUNCTION("GOOGLETRANSLATE(A7149, ""zh"", ""en"")"),"Customer Satisfaction Survey Vanke has established a relatively complete and mature satisfaction survey system. It has made provisions for satisfaction survey work from the perspectives of coverage, survey methods, performance appraisal, etc., in order to"&amp;" better understand customer opinions and respond in a timely manner.")</f>
        <v>Customer Satisfaction Survey Vanke has established a relatively complete and mature satisfaction survey system. It has made provisions for satisfaction survey work from the perspectives of coverage, survey methods, performance appraisal, etc., in order to better understand customer opinions and respond in a timely manner.</v>
      </c>
      <c r="B7149" s="1" t="str">
        <f ca="1">IFERROR(__xludf.DUMMYFUNCTION("GOOGLETRANSLATE(A7149, ""zh"", ""en"")"),"Customers and Consumers")</f>
        <v>Customers and Consumers</v>
      </c>
      <c r="C7149" s="1" t="str">
        <f ca="1">IFERROR(__xludf.DUMMYFUNCTION("GOOGLETRANSLATE(E7149, ""zh"", ""en"")"),"Qualitative text")</f>
        <v>Qualitative text</v>
      </c>
    </row>
    <row r="7150" spans="1:3" ht="13" x14ac:dyDescent="0.15">
      <c r="A7150" s="1" t="str">
        <f ca="1">IFERROR(__xludf.DUMMYFUNCTION("GOOGLETRANSLATE(A7150, ""zh"", ""en"")"),"In 2022, in order to further promote the standardization of satisfaction tools within the industry and promote the healthy development of the industry, Vanke Group participated in the preparation of the real-time customer satisfaction evaluation standard "&amp;"for real estate development and property service companies.")</f>
        <v>In 2022, in order to further promote the standardization of satisfaction tools within the industry and promote the healthy development of the industry, Vanke Group participated in the preparation of the real-time customer satisfaction evaluation standard for real estate development and property service companies.</v>
      </c>
      <c r="B7150" s="1" t="str">
        <f ca="1">IFERROR(__xludf.DUMMYFUNCTION("GOOGLETRANSLATE(A7150, ""zh"", ""en"")"),"Customers and Consumers")</f>
        <v>Customers and Consumers</v>
      </c>
      <c r="C7150" s="1" t="str">
        <f ca="1">IFERROR(__xludf.DUMMYFUNCTION("GOOGLETRANSLATE(E7150, ""zh"", ""en"")"),"Qualitative text")</f>
        <v>Qualitative text</v>
      </c>
    </row>
    <row r="7151" spans="1:3" ht="13" x14ac:dyDescent="0.15">
      <c r="A7151" s="1" t="str">
        <f ca="1">IFERROR(__xludf.DUMMYFUNCTION("GOOGLETRANSLATE(A7151, ""zh"", ""en"")"),"We conduct customer satisfaction surveys at key points, such as one month and six months after signing a contract. We also set up six real-time survey points, including subscription, contract signing, construction site opening, delivery, and maintenance c"&amp;"ustomer events. We conduct online real-time evaluations after customers complete their real-time experience to understand and improve customer satisfaction in a timely manner.")</f>
        <v>We conduct customer satisfaction surveys at key points, such as one month and six months after signing a contract. We also set up six real-time survey points, including subscription, contract signing, construction site opening, delivery, and maintenance customer events. We conduct online real-time evaluations after customers complete their real-time experience to understand and improve customer satisfaction in a timely manner.</v>
      </c>
      <c r="B7151" s="1" t="str">
        <f ca="1">IFERROR(__xludf.DUMMYFUNCTION("GOOGLETRANSLATE(A7151, ""zh"", ""en"")"),"Customers and Consumers")</f>
        <v>Customers and Consumers</v>
      </c>
      <c r="C7151" s="1" t="str">
        <f ca="1">IFERROR(__xludf.DUMMYFUNCTION("GOOGLETRANSLATE(E7151, ""zh"", ""en"")"),"Qualitative text")</f>
        <v>Qualitative text</v>
      </c>
    </row>
    <row r="7152" spans="1:3" ht="13" x14ac:dyDescent="0.15">
      <c r="A7152" s="1" t="str">
        <f ca="1">IFERROR(__xludf.DUMMYFUNCTION("GOOGLETRANSLATE(A7152, ""zh"", ""en"")"),"Collect open voices and introduce original customer voices into the survey. Collect open voices from customers, obtain customer suggestions, form demand analysis, and integrate them into the business front end for consideration and promote business improv"&amp;"ement.")</f>
        <v>Collect open voices and introduce original customer voices into the survey. Collect open voices from customers, obtain customer suggestions, form demand analysis, and integrate them into the business front end for consideration and promote business improvement.</v>
      </c>
      <c r="B7152" s="1" t="str">
        <f ca="1">IFERROR(__xludf.DUMMYFUNCTION("GOOGLETRANSLATE(A7152, ""zh"", ""en"")"),"Customers and Consumers")</f>
        <v>Customers and Consumers</v>
      </c>
      <c r="C7152" s="1" t="str">
        <f ca="1">IFERROR(__xludf.DUMMYFUNCTION("GOOGLETRANSLATE(E7152, ""zh"", ""en"")"),"Qualitative text")</f>
        <v>Qualitative text</v>
      </c>
    </row>
    <row r="7153" spans="1:3" ht="13" x14ac:dyDescent="0.15">
      <c r="A7153" s="1" t="str">
        <f ca="1">IFERROR(__xludf.DUMMYFUNCTION("GOOGLETRANSLATE(A7153, ""zh"", ""en"")"),"Incorporate customer satisfaction into performance appraisal as a KPI indicator into the appraisal of business units and use it as an important evaluation factor in measuring the operating performance of business units")</f>
        <v>Incorporate customer satisfaction into performance appraisal as a KPI indicator into the appraisal of business units and use it as an important evaluation factor in measuring the operating performance of business units</v>
      </c>
      <c r="B7153" s="1" t="str">
        <f ca="1">IFERROR(__xludf.DUMMYFUNCTION("GOOGLETRANSLATE(A7153, ""zh"", ""en"")"),"Customers and Consumers")</f>
        <v>Customers and Consumers</v>
      </c>
      <c r="C7153" s="1" t="str">
        <f ca="1">IFERROR(__xludf.DUMMYFUNCTION("GOOGLETRANSLATE(E7153, ""zh"", ""en"")"),"Qualitative text")</f>
        <v>Qualitative text</v>
      </c>
    </row>
    <row r="7154" spans="1:3" ht="13" x14ac:dyDescent="0.15">
      <c r="A7154" s="1" t="str">
        <f ca="1">IFERROR(__xludf.DUMMYFUNCTION("GOOGLETRANSLATE(A7154, ""zh"", ""en"")"),"As of December 2022, the overall satisfaction coverage rate within the company is 38, with an overall score of 94 points, an increase of 3 points compared to 2021. The comprehensive customer satisfaction score of Parkview is 91.24 points. VANKE Vanke 56 u"&amp;"pgrades its smart empowerment service to the smart community. Vanke Cloud has developed multiple online application platforms and products to integrate the community's human, land, objects, and other resources, promote the interconnection of data between "&amp;"different systems, connect people and space services, provide customers with integrated smart services, comprehensively improve the service capabilities of smart space, and promote the intelligence and modernization of service space management.")</f>
        <v>As of December 2022, the overall satisfaction coverage rate within the company is 38, with an overall score of 94 points, an increase of 3 points compared to 2021. The comprehensive customer satisfaction score of Parkview is 91.24 points. VANKE Vanke 56 upgrades its smart empowerment service to the smart community. Vanke Cloud has developed multiple online application platforms and products to integrate the community's human, land, objects, and other resources, promote the interconnection of data between different systems, connect people and space services, provide customers with integrated smart services, comprehensively improve the service capabilities of smart space, and promote the intelligence and modernization of service space management.</v>
      </c>
      <c r="B7154" s="1" t="str">
        <f ca="1">IFERROR(__xludf.DUMMYFUNCTION("GOOGLETRANSLATE(A7154, ""zh"", ""en"")"),"Customers and Consumers")</f>
        <v>Customers and Consumers</v>
      </c>
      <c r="C7154" s="1" t="str">
        <f ca="1">IFERROR(__xludf.DUMMYFUNCTION("GOOGLETRANSLATE(E7154, ""zh"", ""en"")"),"Quantitative Text")</f>
        <v>Quantitative Text</v>
      </c>
    </row>
    <row r="7155" spans="1:3" ht="13" x14ac:dyDescent="0.15">
      <c r="A7155" s="1" t="str">
        <f ca="1">IFERROR(__xludf.DUMMYFUNCTION("GOOGLETRANSLATE(A7155, ""zh"", ""en"")"),"Live Here App provides more convenient property life services, more useful content information and more affordable consumption experience for the local community. With Live Here | Real Convenience Basic Services Live Here | Real Useful Community Life and "&amp;"Live Here | Real Value-added Services, the three major sections are committed to improving the quality of life and happiness of community and street residents.")</f>
        <v>Live Here App provides more convenient property life services, more useful content information and more affordable consumption experience for the local community. With Live Here | Real Convenience Basic Services Live Here | Real Useful Community Life and Live Here | Real Value-added Services, the three major sections are committed to improving the quality of life and happiness of community and street residents.</v>
      </c>
      <c r="B7155" s="1" t="str">
        <f ca="1">IFERROR(__xludf.DUMMYFUNCTION("GOOGLETRANSLATE(A7155, ""zh"", ""en"")"),"Customers and Consumers")</f>
        <v>Customers and Consumers</v>
      </c>
      <c r="C7155" s="1" t="str">
        <f ca="1">IFERROR(__xludf.DUMMYFUNCTION("GOOGLETRANSLATE(E7155, ""zh"", ""en"")"),"Qualitative text")</f>
        <v>Qualitative text</v>
      </c>
    </row>
    <row r="7156" spans="1:3" ht="13" x14ac:dyDescent="0.15">
      <c r="A7156" s="1" t="str">
        <f ca="1">IFERROR(__xludf.DUMMYFUNCTION("GOOGLETRANSLATE(A7156, ""zh"", ""en"")"),"Cloud Pass Pedestrian Management Platform, independently developed by Wanwu Cloud, provides integrated smart access products for all types of communities, offering comprehensive digital access services to both residents and non-residents, enabling full-sc"&amp;"enario management of community pedestrians and ensuring community safety.")</f>
        <v>Cloud Pass Pedestrian Management Platform, independently developed by Wanwu Cloud, provides integrated smart access products for all types of communities, offering comprehensive digital access services to both residents and non-residents, enabling full-scenario management of community pedestrians and ensuring community safety.</v>
      </c>
      <c r="B7156" s="1" t="str">
        <f ca="1">IFERROR(__xludf.DUMMYFUNCTION("GOOGLETRANSLATE(A7156, ""zh"", ""en"")"),"Customers and Consumers")</f>
        <v>Customers and Consumers</v>
      </c>
      <c r="C7156" s="1" t="str">
        <f ca="1">IFERROR(__xludf.DUMMYFUNCTION("GOOGLETRANSLATE(E7156, ""zh"", ""en"")"),"Qualitative text")</f>
        <v>Qualitative text</v>
      </c>
    </row>
    <row r="7157" spans="1:3" ht="13" x14ac:dyDescent="0.15">
      <c r="A7157" s="1" t="str">
        <f ca="1">IFERROR(__xludf.DUMMYFUNCTION("GOOGLETRANSLATE(A7157, ""zh"", ""en"")"),"Wanwu Cloud has also developed a new mobile phone door opening function to replace the original traditional access control method. It integrates three new hardware interaction technologies, QR code recognition, Bluetooth recognition, and remote network co"&amp;"ntrol. Residents can enter and exit the community quickly and safely through the ""Zhu Zhe Li"" app.")</f>
        <v>Wanwu Cloud has also developed a new mobile phone door opening function to replace the original traditional access control method. It integrates three new hardware interaction technologies, QR code recognition, Bluetooth recognition, and remote network control. Residents can enter and exit the community quickly and safely through the "Zhu Zhe Li" app.</v>
      </c>
      <c r="B7157" s="1" t="str">
        <f ca="1">IFERROR(__xludf.DUMMYFUNCTION("GOOGLETRANSLATE(A7157, ""zh"", ""en"")"),"Product quality")</f>
        <v>Product quality</v>
      </c>
      <c r="C7157" s="1" t="str">
        <f ca="1">IFERROR(__xludf.DUMMYFUNCTION("GOOGLETRANSLATE(E7157, ""zh"", ""en"")"),"Qualitative text")</f>
        <v>Qualitative text</v>
      </c>
    </row>
    <row r="7158" spans="1:3" ht="13" x14ac:dyDescent="0.15">
      <c r="A7158" s="1" t="str">
        <f ca="1">IFERROR(__xludf.DUMMYFUNCTION("GOOGLETRANSLATE(A7158, ""zh"", ""en"")"),"Pineapple No. 1 self-service terminal is a self-service terminal developed by Wanwu Cloud. It focuses on the more complex service needs and relationships in the property industry. It covers asset services, renovation registration, house transfer, PBOC ser"&amp;"vices, access card application, renewal and cancellation, car dealership services, parking fee payment, stored value rental, parking space refund, property ownership, license plate binding, etc.")</f>
        <v>Pineapple No. 1 self-service terminal is a self-service terminal developed by Wanwu Cloud. It focuses on the more complex service needs and relationships in the property industry. It covers asset services, renovation registration, house transfer, PBOC services, access card application, renewal and cancellation, car dealership services, parking fee payment, stored value rental, parking space refund, property ownership, license plate binding, etc.</v>
      </c>
      <c r="B7158" s="1" t="str">
        <f ca="1">IFERROR(__xludf.DUMMYFUNCTION("GOOGLETRANSLATE(A7158, ""zh"", ""en"")"),"Technological innovation")</f>
        <v>Technological innovation</v>
      </c>
      <c r="C7158" s="1" t="str">
        <f ca="1">IFERROR(__xludf.DUMMYFUNCTION("GOOGLETRANSLATE(E7158, ""zh"", ""en"")"),"Qualitative text")</f>
        <v>Qualitative text</v>
      </c>
    </row>
    <row r="7159" spans="1:3" ht="13" x14ac:dyDescent="0.15">
      <c r="A7159" s="1" t="str">
        <f ca="1">IFERROR(__xludf.DUMMYFUNCTION("GOOGLETRANSLATE(A7159, ""zh"", ""en"")"),"The Live Here App's mobile door-opening function and the Live Here App's smart business platform are currently SCPG's four major platforms: a shared service platform aimed at improving internal operational efficiency, an asset management service platform "&amp;"centered on asset operations, a data service platform, and a consumer-centric digital marketing platform.")</f>
        <v>The Live Here App's mobile door-opening function and the Live Here App's smart business platform are currently SCPG's four major platforms: a shared service platform aimed at improving internal operational efficiency, an asset management service platform centered on asset operations, a data service platform, and a consumer-centric digital marketing platform.</v>
      </c>
      <c r="B7159" s="1" t="str">
        <f ca="1">IFERROR(__xludf.DUMMYFUNCTION("GOOGLETRANSLATE(A7159, ""zh"", ""en"")"),"Organizational structure and operations")</f>
        <v>Organizational structure and operations</v>
      </c>
      <c r="C7159" s="1" t="str">
        <f ca="1">IFERROR(__xludf.DUMMYFUNCTION("GOOGLETRANSLATE(E7159, ""zh"", ""en"")"),"Qualitative text")</f>
        <v>Qualitative text</v>
      </c>
    </row>
    <row r="7160" spans="1:3" ht="13" x14ac:dyDescent="0.15">
      <c r="A7160" s="1" t="str">
        <f ca="1">IFERROR(__xludf.DUMMYFUNCTION("GOOGLETRANSLATE(A7160, ""zh"", ""en"")"),"SCPG is actively exploring green and sustainable development models for low-carbon smart transportation shopping centers and renewable energy, and is committed to building the capabilities of shopping centers for future digital community operations and ex"&amp;"ploring future digital community operation technologies and scenario applications.")</f>
        <v>SCPG is actively exploring green and sustainable development models for low-carbon smart transportation shopping centers and renewable energy, and is committed to building the capabilities of shopping centers for future digital community operations and exploring future digital community operation technologies and scenario applications.</v>
      </c>
      <c r="B7160" s="1" t="str">
        <f ca="1">IFERROR(__xludf.DUMMYFUNCTION("GOOGLETRANSLATE(A7160, ""zh"", ""en"")"),"Energy and resource consumption")</f>
        <v>Energy and resource consumption</v>
      </c>
      <c r="C7160" s="1" t="str">
        <f ca="1">IFERROR(__xludf.DUMMYFUNCTION("GOOGLETRANSLATE(E7160, ""zh"", ""en"")"),"Qualitative text")</f>
        <v>Qualitative text</v>
      </c>
    </row>
    <row r="7161" spans="1:3" ht="13" x14ac:dyDescent="0.15">
      <c r="A7161" s="1" t="str">
        <f ca="1">IFERROR(__xludf.DUMMYFUNCTION("GOOGLETRANSLATE(A7161, ""zh"", ""en"")"),"To ensure information security, if a customer does not use any operating system within 30 seconds when conducting business at the self-service terminal, the system will be forced to exit.")</f>
        <v>To ensure information security, if a customer does not use any operating system within 30 seconds when conducting business at the self-service terminal, the system will be forced to exit.</v>
      </c>
      <c r="B7161" s="1" t="str">
        <f ca="1">IFERROR(__xludf.DUMMYFUNCTION("GOOGLETRANSLATE(A7161, ""zh"", ""en"")"),"Data security")</f>
        <v>Data security</v>
      </c>
      <c r="C7161" s="1" t="str">
        <f ca="1">IFERROR(__xludf.DUMMYFUNCTION("GOOGLETRANSLATE(E7161, ""zh"", ""en"")"),"Quantitative Text")</f>
        <v>Quantitative Text</v>
      </c>
    </row>
    <row r="7162" spans="1:3" ht="13" x14ac:dyDescent="0.15">
      <c r="A7162" s="1" t="str">
        <f ca="1">IFERROR(__xludf.DUMMYFUNCTION("GOOGLETRANSLATE(A7162, ""zh"", ""en"")"),"At the same time, personal information will be desensitized and a watermark will be added to any uploaded documents.")</f>
        <v>At the same time, personal information will be desensitized and a watermark will be added to any uploaded documents.</v>
      </c>
      <c r="B7162" s="1" t="str">
        <f ca="1">IFERROR(__xludf.DUMMYFUNCTION("GOOGLETRANSLATE(A7162, ""zh"", ""en"")"),"Data security")</f>
        <v>Data security</v>
      </c>
      <c r="C7162" s="1" t="str">
        <f ca="1">IFERROR(__xludf.DUMMYFUNCTION("GOOGLETRANSLATE(E7162, ""zh"", ""en"")"),"Qualitative text")</f>
        <v>Qualitative text</v>
      </c>
    </row>
    <row r="7163" spans="1:3" ht="13" x14ac:dyDescent="0.15">
      <c r="A7163" s="1" t="str">
        <f ca="1">IFERROR(__xludf.DUMMYFUNCTION("GOOGLETRANSLATE(A7163, ""zh"", ""en"")"),"The digital twin PaaS platform achieves data integration and scene linkage through IoT services, visualization services, audio and video services, and positioning services, providing PaaS layer services for applications in corresponding systems in scenari"&amp;"os such as construction sites, urban streets, communities, and office buildings.")</f>
        <v>The digital twin PaaS platform achieves data integration and scene linkage through IoT services, visualization services, audio and video services, and positioning services, providing PaaS layer services for applications in corresponding systems in scenarios such as construction sites, urban streets, communities, and office buildings.</v>
      </c>
      <c r="B7163" s="1" t="str">
        <f ca="1">IFERROR(__xludf.DUMMYFUNCTION("GOOGLETRANSLATE(A7163, ""zh"", ""en"")"),"Technological innovation")</f>
        <v>Technological innovation</v>
      </c>
      <c r="C7163" s="1" t="str">
        <f ca="1">IFERROR(__xludf.DUMMYFUNCTION("GOOGLETRANSLATE(E7163, ""zh"", ""en"")"),"Qualitative text")</f>
        <v>Qualitative text</v>
      </c>
    </row>
    <row r="7164" spans="1:3" ht="13" x14ac:dyDescent="0.15">
      <c r="A7164" s="1" t="str">
        <f ca="1">IFERROR(__xludf.DUMMYFUNCTION("GOOGLETRANSLATE(A7164, ""zh"", ""en"")"),"Business Philosophy 57 2022 Sustainability Report Wanwei Shanghai Fengxian Lingang Park is Wanwei Logistics' most extensive smart equipment deployment, the most comprehensive smart system application, and the most intelligent park.")</f>
        <v>Business Philosophy 57 2022 Sustainability Report Wanwei Shanghai Fengxian Lingang Park is Wanwei Logistics' most extensive smart equipment deployment, the most comprehensive smart system application, and the most intelligent park.</v>
      </c>
      <c r="B7164" s="1" t="str">
        <f ca="1">IFERROR(__xludf.DUMMYFUNCTION("GOOGLETRANSLATE(A7164, ""zh"", ""en"")"),"Sustainable certification")</f>
        <v>Sustainable certification</v>
      </c>
      <c r="C7164" s="1" t="str">
        <f ca="1">IFERROR(__xludf.DUMMYFUNCTION("GOOGLETRANSLATE(E7164, ""zh"", ""en"")"),"Qualitative text")</f>
        <v>Qualitative text</v>
      </c>
    </row>
    <row r="7165" spans="1:3" ht="13" x14ac:dyDescent="0.15">
      <c r="A7165" s="1" t="str">
        <f ca="1">IFERROR(__xludf.DUMMYFUNCTION("GOOGLETRANSLATE(A7165, ""zh"", ""en"")"),"The cold chain IOT platform provides a comprehensive solution for energy consumption data collection, analysis and optimization within the park")</f>
        <v>The cold chain IOT platform provides a comprehensive solution for energy consumption data collection, analysis and optimization within the park</v>
      </c>
      <c r="B7165" s="1" t="str">
        <f ca="1">IFERROR(__xludf.DUMMYFUNCTION("GOOGLETRANSLATE(A7165, ""zh"", ""en"")"),"Energy and resource consumption")</f>
        <v>Energy and resource consumption</v>
      </c>
      <c r="C7165" s="1" t="str">
        <f ca="1">IFERROR(__xludf.DUMMYFUNCTION("GOOGLETRANSLATE(E7165, ""zh"", ""en"")"),"Qualitative text")</f>
        <v>Qualitative text</v>
      </c>
    </row>
    <row r="7166" spans="1:3" ht="13" x14ac:dyDescent="0.15">
      <c r="A7166" s="1" t="str">
        <f ca="1">IFERROR(__xludf.DUMMYFUNCTION("GOOGLETRANSLATE(A7166, ""zh"", ""en"")"),"In order to manage carbon emissions, the park has built a large screen for real-time monitoring of carbon management. It can not only monitor the carbon emissions in the park in real time, but also track the distributed photovoltaic energy efficiency hour"&amp;"ly for the formulation of emission reduction strategies.")</f>
        <v>In order to manage carbon emissions, the park has built a large screen for real-time monitoring of carbon management. It can not only monitor the carbon emissions in the park in real time, but also track the distributed photovoltaic energy efficiency hourly for the formulation of emission reduction strategies.</v>
      </c>
      <c r="B7166" s="1" t="str">
        <f ca="1">IFERROR(__xludf.DUMMYFUNCTION("GOOGLETRANSLATE(A7166, ""zh"", ""en"")"),"carbon emissions")</f>
        <v>carbon emissions</v>
      </c>
      <c r="C7166" s="1" t="str">
        <f ca="1">IFERROR(__xludf.DUMMYFUNCTION("GOOGLETRANSLATE(E7166, ""zh"", ""en"")"),"Qualitative text")</f>
        <v>Qualitative text</v>
      </c>
    </row>
    <row r="7167" spans="1:3" ht="13" x14ac:dyDescent="0.15">
      <c r="A7167" s="1" t="str">
        <f ca="1">IFERROR(__xludf.DUMMYFUNCTION("GOOGLETRANSLATE(A7167, ""zh"", ""en"")"),"At Xiamen Gulangyu, a world cultural heritage site, Wanwu Cloud uses drones to conduct cloud-based inspections and capture footage, using AI algorithms to analyze the on-site environment and synchronize the footage back to the intelligent operations and s"&amp;"cheduling platform.")</f>
        <v>At Xiamen Gulangyu, a world cultural heritage site, Wanwu Cloud uses drones to conduct cloud-based inspections and capture footage, using AI algorithms to analyze the on-site environment and synchronize the footage back to the intelligent operations and scheduling platform.</v>
      </c>
      <c r="B7167" s="1" t="str">
        <f ca="1">IFERROR(__xludf.DUMMYFUNCTION("GOOGLETRANSLATE(A7167, ""zh"", ""en"")"),"Technological innovation")</f>
        <v>Technological innovation</v>
      </c>
      <c r="C7167" s="1" t="str">
        <f ca="1">IFERROR(__xludf.DUMMYFUNCTION("GOOGLETRANSLATE(E7167, ""zh"", ""en"")"),"Qualitative text")</f>
        <v>Qualitative text</v>
      </c>
    </row>
    <row r="7168" spans="1:3" ht="13" x14ac:dyDescent="0.15">
      <c r="A7168" s="1" t="str">
        <f ca="1">IFERROR(__xludf.DUMMYFUNCTION("GOOGLETRANSLATE(A7168, ""zh"", ""en"")"),"In addition, Wanwu Cloud has installed overflowing garbage bins, smart sprinkler systems, grid-based greenery, cameras, streetlights, and landscape lighting on the island, ensuring the smooth operation of this sea garden that welcomes tens of thousands of"&amp;" visitors every day.")</f>
        <v>In addition, Wanwu Cloud has installed overflowing garbage bins, smart sprinkler systems, grid-based greenery, cameras, streetlights, and landscape lighting on the island, ensuring the smooth operation of this sea garden that welcomes tens of thousands of visitors every day.</v>
      </c>
      <c r="B7168" s="1" t="str">
        <f ca="1">IFERROR(__xludf.DUMMYFUNCTION("GOOGLETRANSLATE(A7168, ""zh"", ""en"")"),"Waste Management")</f>
        <v>Waste Management</v>
      </c>
      <c r="C7168" s="1" t="str">
        <f ca="1">IFERROR(__xludf.DUMMYFUNCTION("GOOGLETRANSLATE(E7168, ""zh"", ""en"")"),"Qualitative text")</f>
        <v>Qualitative text</v>
      </c>
    </row>
    <row r="7169" spans="1:3" ht="13" x14ac:dyDescent="0.15">
      <c r="A7169" s="1" t="str">
        <f ca="1">IFERROR(__xludf.DUMMYFUNCTION("GOOGLETRANSLATE(A7169, ""zh"", ""en"")"),"Case Studies: Shanghai Fengxian Lingang Park Near-Zero Carbon Smart Demonstration Park, World Cultural Heritage Spatial Smart Operations, Energy Saving and Consumption Reduction Measurement within Equipment Lifecycle, Carbon Management, Real-Time Monitori"&amp;"ng, Large Screen, Global Smart Operation Services, Xiamen Gulangyu Smart Logistics, and Wanwei Logistics empower logistics businesses with more technological possibilities through its smart park platform, supply chain management platform, and intelligent "&amp;"algorithm platform.")</f>
        <v>Case Studies: Shanghai Fengxian Lingang Park Near-Zero Carbon Smart Demonstration Park, World Cultural Heritage Spatial Smart Operations, Energy Saving and Consumption Reduction Measurement within Equipment Lifecycle, Carbon Management, Real-Time Monitoring, Large Screen, Global Smart Operation Services, Xiamen Gulangyu Smart Logistics, and Wanwei Logistics empower logistics businesses with more technological possibilities through its smart park platform, supply chain management platform, and intelligent algorithm platform.</v>
      </c>
      <c r="B7169" s="1" t="str">
        <f ca="1">IFERROR(__xludf.DUMMYFUNCTION("GOOGLETRANSLATE(A7169, ""zh"", ""en"")"),"carbon emissions")</f>
        <v>carbon emissions</v>
      </c>
      <c r="C7169" s="1" t="str">
        <f ca="1">IFERROR(__xludf.DUMMYFUNCTION("GOOGLETRANSLATE(E7169, ""zh"", ""en"")"),"Qualitative text")</f>
        <v>Qualitative text</v>
      </c>
    </row>
    <row r="7170" spans="1:3" ht="13" x14ac:dyDescent="0.15">
      <c r="A7170" s="1" t="str">
        <f ca="1">IFERROR(__xludf.DUMMYFUNCTION("GOOGLETRANSLATE(A7170, ""zh"", ""en"")"),"The smart park platform builds intelligent modules around the four themes of ensuring safety, maintaining quality, reducing energy consumption, and improving efficiency. This ensures the safety of the Wanwei Park, improves the quality and efficiency of th"&amp;"e park's logistics, and reduces energy consumption. The supply chain management platform integrates various management systems such as ordering, warehousing, and transportation to achieve integrated management from ordering to settlement, reducing costs a"&amp;"nd increasing efficiency for customers. The intelligent algorithm platform uses algorithms to model, predict, and optimize customer supply chains, providing decision-making basis for enterprise operations and management.")</f>
        <v>The smart park platform builds intelligent modules around the four themes of ensuring safety, maintaining quality, reducing energy consumption, and improving efficiency. This ensures the safety of the Wanwei Park, improves the quality and efficiency of the park's logistics, and reduces energy consumption. The supply chain management platform integrates various management systems such as ordering, warehousing, and transportation to achieve integrated management from ordering to settlement, reducing costs and increasing efficiency for customers. The intelligent algorithm platform uses algorithms to model, predict, and optimize customer supply chains, providing decision-making basis for enterprise operations and management.</v>
      </c>
      <c r="B7170" s="1" t="str">
        <f ca="1">IFERROR(__xludf.DUMMYFUNCTION("GOOGLETRANSLATE(A7170, ""zh"", ""en"")"),"supply chain management")</f>
        <v>supply chain management</v>
      </c>
      <c r="C7170" s="1" t="str">
        <f ca="1">IFERROR(__xludf.DUMMYFUNCTION("GOOGLETRANSLATE(E7170, ""zh"", ""en"")"),"Qualitative text")</f>
        <v>Qualitative text</v>
      </c>
    </row>
    <row r="7171" spans="1:3" ht="13" x14ac:dyDescent="0.15">
      <c r="A7171" s="1" t="str">
        <f ca="1">IFERROR(__xludf.DUMMYFUNCTION("GOOGLETRANSLATE(A7171, ""zh"", ""en"")"),"As the first practitioner and promoter of the property city model, Wanwu Cloud, a smart city service provider, will upgrade it to a full-area intelligent operation service in 2022, integrating the systematic thinking and process management capabilities of"&amp;" property management into urban governance to improve urban operation efficiency and benefits.")</f>
        <v>As the first practitioner and promoter of the property city model, Wanwu Cloud, a smart city service provider, will upgrade it to a full-area intelligent operation service in 2022, integrating the systematic thinking and process management capabilities of property management into urban governance to improve urban operation efficiency and benefits.</v>
      </c>
      <c r="B7171" s="1" t="str">
        <f ca="1">IFERROR(__xludf.DUMMYFUNCTION("GOOGLETRANSLATE(A7171, ""zh"", ""en"")"),"Technological innovation")</f>
        <v>Technological innovation</v>
      </c>
      <c r="C7171" s="1" t="str">
        <f ca="1">IFERROR(__xludf.DUMMYFUNCTION("GOOGLETRANSLATE(E7171, ""zh"", ""en"")"),"Qualitative text")</f>
        <v>Qualitative text</v>
      </c>
    </row>
    <row r="7172" spans="1:3" ht="13" x14ac:dyDescent="0.15">
      <c r="A7172" s="1" t="str">
        <f ca="1">IFERROR(__xludf.DUMMYFUNCTION("GOOGLETRANSLATE(A7172, ""zh"", ""en"")"),"VANKE 58: Environmental Practices Our Strategies Addressing Climate Change: Cultivating Green Design, Promoting Green Construction, Practicing Green Operations, and Green Finance Environmental Practices 59: 2022 Sustainability Report VANKE 60: Goals and P"&amp;"rogress in Real Estate Development: Improve Green Building Label Certification Rates. New buildings designed in accordance with the Green Building Evaluation Standard GBT50378-2019 will achieve a goal of 100 certified two-star and three-star projects by 2"&amp;"025. Achieve a goal of 100 certified one-star projects by 2030.")</f>
        <v>VANKE 58: Environmental Practices Our Strategies Addressing Climate Change: Cultivating Green Design, Promoting Green Construction, Practicing Green Operations, and Green Finance Environmental Practices 59: 2022 Sustainability Report VANKE 60: Goals and Progress in Real Estate Development: Improve Green Building Label Certification Rates. New buildings designed in accordance with the Green Building Evaluation Standard GBT50378-2019 will achieve a goal of 100 certified two-star and three-star projects by 2025. Achieve a goal of 100 certified one-star projects by 2030.</v>
      </c>
      <c r="B7172" s="1" t="str">
        <f ca="1">IFERROR(__xludf.DUMMYFUNCTION("GOOGLETRANSLATE(A7172, ""zh"", ""en"")"),"Green Building")</f>
        <v>Green Building</v>
      </c>
      <c r="C7172" s="1" t="str">
        <f ca="1">IFERROR(__xludf.DUMMYFUNCTION("GOOGLETRANSLATE(E7172, ""zh"", ""en"")"),"Quantitative Text")</f>
        <v>Quantitative Text</v>
      </c>
    </row>
    <row r="7173" spans="1:3" ht="13" x14ac:dyDescent="0.15">
      <c r="A7173" s="1" t="str">
        <f ca="1">IFERROR(__xludf.DUMMYFUNCTION("GOOGLETRANSLATE(A7173, ""zh"", ""en"")"),"The real estate business segment added 14.3727 million square meters of area that met green building evaluation standards, including 12.7521 million square meters of projects that met green one- and two-star standards, and 1.6206 million square meters of "&amp;"real estate projects that met green three-star standards. Gradually strengthen the identification and certification of high-star projects.")</f>
        <v>The real estate business segment added 14.3727 million square meters of area that met green building evaluation standards, including 12.7521 million square meters of projects that met green one- and two-star standards, and 1.6206 million square meters of real estate projects that met green three-star standards. Gradually strengthen the identification and certification of high-star projects.</v>
      </c>
      <c r="B7173" s="1" t="str">
        <f ca="1">IFERROR(__xludf.DUMMYFUNCTION("GOOGLETRANSLATE(A7173, ""zh"", ""en"")"),"Green Building")</f>
        <v>Green Building</v>
      </c>
      <c r="C7173" s="1" t="str">
        <f ca="1">IFERROR(__xludf.DUMMYFUNCTION("GOOGLETRANSLATE(E7173, ""zh"", ""en"")"),"Quantitative Text")</f>
        <v>Quantitative Text</v>
      </c>
    </row>
    <row r="7174" spans="1:3" ht="13" x14ac:dyDescent="0.15">
      <c r="A7174" s="1" t="str">
        <f ca="1">IFERROR(__xludf.DUMMYFUNCTION("GOOGLETRANSLATE(A7174, ""zh"", ""en"")"),"Develop high-star, high-quality green buildings in progress. Gradually improve the star rating standards for new buildings by phase and type. Achieve a cumulative total of 6 new LEED-certified projects and 4 new WELL-certified projects by 2025. Achieve th"&amp;"e construction and operation of new large-scale commercial and office projects to be no less than two-star green building standards by 2030.")</f>
        <v>Develop high-star, high-quality green buildings in progress. Gradually improve the star rating standards for new buildings by phase and type. Achieve a cumulative total of 6 new LEED-certified projects and 4 new WELL-certified projects by 2025. Achieve the construction and operation of new large-scale commercial and office projects to be no less than two-star green building standards by 2030.</v>
      </c>
      <c r="B7174" s="1" t="str">
        <f ca="1">IFERROR(__xludf.DUMMYFUNCTION("GOOGLETRANSLATE(A7174, ""zh"", ""en"")"),"Green Building")</f>
        <v>Green Building</v>
      </c>
      <c r="C7174" s="1" t="str">
        <f ca="1">IFERROR(__xludf.DUMMYFUNCTION("GOOGLETRANSLATE(E7174, ""zh"", ""en"")"),"Quantitative Text")</f>
        <v>Quantitative Text</v>
      </c>
    </row>
    <row r="7175" spans="1:3" ht="13" x14ac:dyDescent="0.15">
      <c r="A7175" s="1" t="str">
        <f ca="1">IFERROR(__xludf.DUMMYFUNCTION("GOOGLETRANSLATE(A7175, ""zh"", ""en"")"),"Newly acquired land is currently undergoing a third-party environmental impact assessment report, with the coverage of biodiversity analysis included in the assessment work increasing year by year.")</f>
        <v>Newly acquired land is currently undergoing a third-party environmental impact assessment report, with the coverage of biodiversity analysis included in the assessment work increasing year by year.</v>
      </c>
      <c r="B7175" s="1" t="str">
        <f ca="1">IFERROR(__xludf.DUMMYFUNCTION("GOOGLETRANSLATE(A7175, ""zh"", ""en"")"),"Land use")</f>
        <v>Land use</v>
      </c>
      <c r="C7175" s="1" t="str">
        <f ca="1">IFERROR(__xludf.DUMMYFUNCTION("GOOGLETRANSLATE(E7175, ""zh"", ""en"")"),"Qualitative text")</f>
        <v>Qualitative text</v>
      </c>
    </row>
    <row r="7176" spans="1:3" ht="13" x14ac:dyDescent="0.15">
      <c r="A7176" s="1" t="str">
        <f ca="1">IFERROR(__xludf.DUMMYFUNCTION("GOOGLETRANSLATE(A7176, ""zh"", ""en"")"),"All newly acquired land in 2022 will have a third-party environmental impact assessment report")</f>
        <v>All newly acquired land in 2022 will have a third-party environmental impact assessment report</v>
      </c>
      <c r="B7176" s="1" t="str">
        <f ca="1">IFERROR(__xludf.DUMMYFUNCTION("GOOGLETRANSLATE(A7176, ""zh"", ""en"")"),"Land use")</f>
        <v>Land use</v>
      </c>
      <c r="C7176" s="1" t="str">
        <f ca="1">IFERROR(__xludf.DUMMYFUNCTION("GOOGLETRANSLATE(E7176, ""zh"", ""en"")"),"Quantitative Text")</f>
        <v>Quantitative Text</v>
      </c>
    </row>
    <row r="7177" spans="1:3" ht="13" x14ac:dyDescent="0.15">
      <c r="A7177" s="1" t="str">
        <f ca="1">IFERROR(__xludf.DUMMYFUNCTION("GOOGLETRANSLATE(A7177, ""zh"", ""en"")"),"100 Logistics ensures that all newly built cold storage facilities achieve LEED or Green Warehouse certification. LEED green certification standards are used as pre-design criteria and input into the design front end. This encourages and ultimately achiev"&amp;"es full LEED green warehouse certification for all cold storage parks. In 2022, we will compile working documents based on the Green Three-Star and LEED Gold certification baseline standards and incorporate them into the cold storage product design decisi"&amp;"on-making process.")</f>
        <v>100 Logistics ensures that all newly built cold storage facilities achieve LEED or Green Warehouse certification. LEED green certification standards are used as pre-design criteria and input into the design front end. This encourages and ultimately achieves full LEED green warehouse certification for all cold storage parks. In 2022, we will compile working documents based on the Green Three-Star and LEED Gold certification baseline standards and incorporate them into the cold storage product design decision-making process.</v>
      </c>
      <c r="B7177" s="1" t="str">
        <f ca="1">IFERROR(__xludf.DUMMYFUNCTION("GOOGLETRANSLATE(A7177, ""zh"", ""en"")"),"Green Building")</f>
        <v>Green Building</v>
      </c>
      <c r="C7177" s="1" t="str">
        <f ca="1">IFERROR(__xludf.DUMMYFUNCTION("GOOGLETRANSLATE(E7177, ""zh"", ""en"")"),"Qualitative text")</f>
        <v>Qualitative text</v>
      </c>
    </row>
    <row r="7178" spans="1:3" ht="13" x14ac:dyDescent="0.15">
      <c r="A7178" s="1" t="str">
        <f ca="1">IFERROR(__xludf.DUMMYFUNCTION("GOOGLETRANSLATE(A7178, ""zh"", ""en"")"),"Our Strategic Philosophy: We are entering an era where everything is carbon.")</f>
        <v>Our Strategic Philosophy: We are entering an era where everything is carbon.</v>
      </c>
      <c r="B7178" s="1" t="str">
        <f ca="1">IFERROR(__xludf.DUMMYFUNCTION("GOOGLETRANSLATE(A7178, ""zh"", ""en"")"),"carbon emissions")</f>
        <v>carbon emissions</v>
      </c>
      <c r="C7178" s="1" t="str">
        <f ca="1">IFERROR(__xludf.DUMMYFUNCTION("GOOGLETRANSLATE(E7178, ""zh"", ""en"")"),"Qualitative text")</f>
        <v>Qualitative text</v>
      </c>
    </row>
    <row r="7179" spans="1:3" ht="13" x14ac:dyDescent="0.15">
      <c r="A7179" s="1" t="str">
        <f ca="1">IFERROR(__xludf.DUMMYFUNCTION("GOOGLETRANSLATE(A7179, ""zh"", ""en"")"),"The Chinese government has solemnly pledged to strive to peak carbon dioxide emissions before 2030 and achieve carbon neutrality before 2060.")</f>
        <v>The Chinese government has solemnly pledged to strive to peak carbon dioxide emissions before 2030 and achieve carbon neutrality before 2060.</v>
      </c>
      <c r="B7179" s="1" t="str">
        <f ca="1">IFERROR(__xludf.DUMMYFUNCTION("GOOGLETRANSLATE(A7179, ""zh"", ""en"")"),"carbon emissions")</f>
        <v>carbon emissions</v>
      </c>
      <c r="C7179" s="1" t="str">
        <f ca="1">IFERROR(__xludf.DUMMYFUNCTION("GOOGLETRANSLATE(E7179, ""zh"", ""en"")"),"Qualitative text")</f>
        <v>Qualitative text</v>
      </c>
    </row>
    <row r="7180" spans="1:3" ht="13" x14ac:dyDescent="0.15">
      <c r="A7180" s="1" t="str">
        <f ca="1">IFERROR(__xludf.DUMMYFUNCTION("GOOGLETRANSLATE(A7180, ""zh"", ""en"")"),"Under the background of 3060, developing green buildings is an important means to achieve the dual carbon goals of carbon peak and carbon neutrality and promote high-quality urban development. It is an inevitable choice for building a climate-resilient so"&amp;"ciety.")</f>
        <v>Under the background of 3060, developing green buildings is an important means to achieve the dual carbon goals of carbon peak and carbon neutrality and promote high-quality urban development. It is an inevitable choice for building a climate-resilient society.</v>
      </c>
      <c r="B7180" s="1" t="str">
        <f ca="1">IFERROR(__xludf.DUMMYFUNCTION("GOOGLETRANSLATE(A7180, ""zh"", ""en"")"),"Green Building")</f>
        <v>Green Building</v>
      </c>
      <c r="C7180" s="1" t="str">
        <f ca="1">IFERROR(__xludf.DUMMYFUNCTION("GOOGLETRANSLATE(E7180, ""zh"", ""en"")"),"Qualitative text")</f>
        <v>Qualitative text</v>
      </c>
    </row>
    <row r="7181" spans="1:3" ht="13" x14ac:dyDescent="0.15">
      <c r="A7181" s="1" t="str">
        <f ca="1">IFERROR(__xludf.DUMMYFUNCTION("GOOGLETRANSLATE(A7181, ""zh"", ""en"")"),"Driven by the dual carbon goals, Vanke is constantly exploring new paths to achieve green, sustainable, and high-quality development in the industry, striving to become a pioneer in carbon neutrality in urban communities.")</f>
        <v>Driven by the dual carbon goals, Vanke is constantly exploring new paths to achieve green, sustainable, and high-quality development in the industry, striving to become a pioneer in carbon neutrality in urban communities.</v>
      </c>
      <c r="B7181" s="1" t="str">
        <f ca="1">IFERROR(__xludf.DUMMYFUNCTION("GOOGLETRANSLATE(A7181, ""zh"", ""en"")"),"carbon emissions")</f>
        <v>carbon emissions</v>
      </c>
      <c r="C7181" s="1" t="str">
        <f ca="1">IFERROR(__xludf.DUMMYFUNCTION("GOOGLETRANSLATE(E7181, ""zh"", ""en"")"),"Qualitative text")</f>
        <v>Qualitative text</v>
      </c>
    </row>
    <row r="7182" spans="1:3" ht="13" x14ac:dyDescent="0.15">
      <c r="A7182" s="1" t="str">
        <f ca="1">IFERROR(__xludf.DUMMYFUNCTION("GOOGLETRANSLATE(A7182, ""zh"", ""en"")"),"Goals and Progress: Green building certification in progress. Environmental 61 2022 Sustainability Report. We will ensure that our future self-owned INCITY MEGA100 obtains LEED certification and that all new buildings within the next five years achieve LE"&amp;"ED 2-star certification.")</f>
        <v>Goals and Progress: Green building certification in progress. Environmental 61 2022 Sustainability Report. We will ensure that our future self-owned INCITY MEGA100 obtains LEED certification and that all new buildings within the next five years achieve LEED 2-star certification.</v>
      </c>
      <c r="B7182" s="1" t="str">
        <f ca="1">IFERROR(__xludf.DUMMYFUNCTION("GOOGLETRANSLATE(A7182, ""zh"", ""en"")"),"Green Building")</f>
        <v>Green Building</v>
      </c>
      <c r="C7182" s="1" t="str">
        <f ca="1">IFERROR(__xludf.DUMMYFUNCTION("GOOGLETRANSLATE(E7182, ""zh"", ""en"")"),"Qualitative text")</f>
        <v>Qualitative text</v>
      </c>
    </row>
    <row r="7183" spans="1:3" ht="13" x14ac:dyDescent="0.15">
      <c r="A7183" s="1" t="str">
        <f ca="1">IFERROR(__xludf.DUMMYFUNCTION("GOOGLETRANSLATE(A7183, ""zh"", ""en"")"),"We did not build any new self-owned INCITY MEGA projects in 2022. We will continue to monitor the green building certification of our projects and disclose progress towards these goals.")</f>
        <v>We did not build any new self-owned INCITY MEGA projects in 2022. We will continue to monitor the green building certification of our projects and disclose progress towards these goals.</v>
      </c>
      <c r="B7183" s="1" t="str">
        <f ca="1">IFERROR(__xludf.DUMMYFUNCTION("GOOGLETRANSLATE(A7183, ""zh"", ""en"")"),"Green Building")</f>
        <v>Green Building</v>
      </c>
      <c r="C7183" s="1" t="str">
        <f ca="1">IFERROR(__xludf.DUMMYFUNCTION("GOOGLETRANSLATE(E7183, ""zh"", ""en"")"),"Qualitative text")</f>
        <v>Qualitative text</v>
      </c>
    </row>
    <row r="7184" spans="1:3" ht="13" x14ac:dyDescent="0.15">
      <c r="A7184" s="1" t="str">
        <f ca="1">IFERROR(__xludf.DUMMYFUNCTION("GOOGLETRANSLATE(A7184, ""zh"", ""en"")"),"Ongoing Greenhouse Gas Emissions Target Progress Real Estate Development By 2025, a total of 5 ultra-low energy, near-zero energy, or low-carbon demonstration zone projects will be implemented and certified.")</f>
        <v>Ongoing Greenhouse Gas Emissions Target Progress Real Estate Development By 2025, a total of 5 ultra-low energy, near-zero energy, or low-carbon demonstration zone projects will be implemented and certified.</v>
      </c>
      <c r="B7184" s="1" t="str">
        <f ca="1">IFERROR(__xludf.DUMMYFUNCTION("GOOGLETRANSLATE(A7184, ""zh"", ""en"")"),"carbon emissions")</f>
        <v>carbon emissions</v>
      </c>
      <c r="C7184" s="1" t="str">
        <f ca="1">IFERROR(__xludf.DUMMYFUNCTION("GOOGLETRANSLATE(E7184, ""zh"", ""en"")"),"Quantitative Text")</f>
        <v>Quantitative Text</v>
      </c>
    </row>
    <row r="7185" spans="1:3" ht="13" x14ac:dyDescent="0.15">
      <c r="A7185" s="1" t="str">
        <f ca="1">IFERROR(__xludf.DUMMYFUNCTION("GOOGLETRANSLATE(A7185, ""zh"", ""en"")"),"Two newly acquired ultra-low energy buildings are in the design stage in 2022")</f>
        <v>Two newly acquired ultra-low energy buildings are in the design stage in 2022</v>
      </c>
      <c r="B7185" s="1" t="str">
        <f ca="1">IFERROR(__xludf.DUMMYFUNCTION("GOOGLETRANSLATE(A7185, ""zh"", ""en"")"),"Green Building")</f>
        <v>Green Building</v>
      </c>
      <c r="C7185" s="1" t="str">
        <f ca="1">IFERROR(__xludf.DUMMYFUNCTION("GOOGLETRANSLATE(E7185, ""zh"", ""en"")"),"Quantitative Text")</f>
        <v>Quantitative Text</v>
      </c>
    </row>
    <row r="7186" spans="1:3" ht="13" x14ac:dyDescent="0.15">
      <c r="A7186" s="1" t="str">
        <f ca="1">IFERROR(__xludf.DUMMYFUNCTION("GOOGLETRANSLATE(A7186, ""zh"", ""en"")"),"In progress, SCPG aims to reduce carbon emissions in public areas of at least 20 shopping malls under SCPG by 9% by 2030, taking 2021 as the base year.")</f>
        <v>In progress, SCPG aims to reduce carbon emissions in public areas of at least 20 shopping malls under SCPG by 9% by 2030, taking 2021 as the base year.</v>
      </c>
      <c r="B7186" s="1" t="str">
        <f ca="1">IFERROR(__xludf.DUMMYFUNCTION("GOOGLETRANSLATE(A7186, ""zh"", ""en"")"),"carbon emissions")</f>
        <v>carbon emissions</v>
      </c>
      <c r="C7186" s="1" t="str">
        <f ca="1">IFERROR(__xludf.DUMMYFUNCTION("GOOGLETRANSLATE(E7186, ""zh"", ""en"")"),"Quantitative Text")</f>
        <v>Quantitative Text</v>
      </c>
    </row>
    <row r="7187" spans="1:3" ht="13" x14ac:dyDescent="0.15">
      <c r="A7187" s="1" t="str">
        <f ca="1">IFERROR(__xludf.DUMMYFUNCTION("GOOGLETRANSLATE(A7187, ""zh"", ""en"")"),"By 2022, SCPG's 20 shopping malls will achieve a reduction in greenhouse gas emissions through photovoltaic power generation.")</f>
        <v>By 2022, SCPG's 20 shopping malls will achieve a reduction in greenhouse gas emissions through photovoltaic power generation.</v>
      </c>
      <c r="B7187" s="1" t="str">
        <f ca="1">IFERROR(__xludf.DUMMYFUNCTION("GOOGLETRANSLATE(A7187, ""zh"", ""en"")"),"carbon emissions")</f>
        <v>carbon emissions</v>
      </c>
      <c r="C7187" s="1" t="str">
        <f ca="1">IFERROR(__xludf.DUMMYFUNCTION("GOOGLETRANSLATE(E7187, ""zh"", ""en"")"),"Quantitative Text")</f>
        <v>Quantitative Text</v>
      </c>
    </row>
    <row r="7188" spans="1:3" ht="13" x14ac:dyDescent="0.15">
      <c r="A7188" s="1" t="str">
        <f ca="1">IFERROR(__xludf.DUMMYFUNCTION("GOOGLETRANSLATE(A7188, ""zh"", ""en"")"),"Ongoing energy efficiency improvement targets and progress Real estate developers continue to improve the operational energy efficiency indicators of commercial and office projects. New standards for centralized cooling systems are adopted. The average co"&amp;"oling system comprehensive energy efficiency ratio (EER) of commercial and office projects has increased by 30%.")</f>
        <v>Ongoing energy efficiency improvement targets and progress Real estate developers continue to improve the operational energy efficiency indicators of commercial and office projects. New standards for centralized cooling systems are adopted. The average cooling system comprehensive energy efficiency ratio (EER) of commercial and office projects has increased by 30%.</v>
      </c>
      <c r="B7188" s="1" t="str">
        <f ca="1">IFERROR(__xludf.DUMMYFUNCTION("GOOGLETRANSLATE(A7188, ""zh"", ""en"")"),"Energy and resource consumption")</f>
        <v>Energy and resource consumption</v>
      </c>
      <c r="C7188" s="1" t="str">
        <f ca="1">IFERROR(__xludf.DUMMYFUNCTION("GOOGLETRANSLATE(E7188, ""zh"", ""en"")"),"Quantitative Text")</f>
        <v>Quantitative Text</v>
      </c>
    </row>
    <row r="7189" spans="1:3" ht="13" x14ac:dyDescent="0.15">
      <c r="A7189" s="1" t="str">
        <f ca="1">IFERROR(__xludf.DUMMYFUNCTION("GOOGLETRANSLATE(A7189, ""zh"", ""en"")"),"In 2022, we completed the design of efficient computer rooms for public construction projects such as the Guangzhou Shabu and Chongqing Luhai Tianji Banyan Tree. The average annual design energy efficiency (EERad) of the cooling room system reached 5.0 or"&amp;" above.")</f>
        <v>In 2022, we completed the design of efficient computer rooms for public construction projects such as the Guangzhou Shabu and Chongqing Luhai Tianji Banyan Tree. The average annual design energy efficiency (EERad) of the cooling room system reached 5.0 or above.</v>
      </c>
      <c r="B7189" s="1" t="str">
        <f ca="1">IFERROR(__xludf.DUMMYFUNCTION("GOOGLETRANSLATE(A7189, ""zh"", ""en"")"),"Green Building")</f>
        <v>Green Building</v>
      </c>
      <c r="C7189" s="1" t="str">
        <f ca="1">IFERROR(__xludf.DUMMYFUNCTION("GOOGLETRANSLATE(E7189, ""zh"", ""en"")"),"Quantitative Text")</f>
        <v>Quantitative Text</v>
      </c>
    </row>
    <row r="7190" spans="1:3" ht="13" x14ac:dyDescent="0.15">
      <c r="A7190" s="1" t="str">
        <f ca="1">IFERROR(__xludf.DUMMYFUNCTION("GOOGLETRANSLATE(A7190, ""zh"", ""en"")"),"100 Commercial and office projects using centralized cooling systems will see cooling energy consumption reduced by 10% in 2025 and 15% in 2030 compared to the 2020 energy consumption standards.")</f>
        <v>100 Commercial and office projects using centralized cooling systems will see cooling energy consumption reduced by 10% in 2025 and 15% in 2030 compared to the 2020 energy consumption standards.</v>
      </c>
      <c r="B7190" s="1" t="str">
        <f ca="1">IFERROR(__xludf.DUMMYFUNCTION("GOOGLETRANSLATE(A7190, ""zh"", ""en"")"),"Energy and resource consumption")</f>
        <v>Energy and resource consumption</v>
      </c>
      <c r="C7190" s="1" t="str">
        <f ca="1">IFERROR(__xludf.DUMMYFUNCTION("GOOGLETRANSLATE(E7190, ""zh"", ""en"")"),"Quantitative Text")</f>
        <v>Quantitative Text</v>
      </c>
    </row>
    <row r="7191" spans="1:3" ht="13" x14ac:dyDescent="0.15">
      <c r="A7191" s="1" t="str">
        <f ca="1">IFERROR(__xludf.DUMMYFUNCTION("GOOGLETRANSLATE(A7191, ""zh"", ""en"")"),"We are gradually launching an energy consumption platform to accurately assess the energy consumption levels of commercial and office operations.")</f>
        <v>We are gradually launching an energy consumption platform to accurately assess the energy consumption levels of commercial and office operations.</v>
      </c>
      <c r="B7191" s="1" t="str">
        <f ca="1">IFERROR(__xludf.DUMMYFUNCTION("GOOGLETRANSLATE(A7191, ""zh"", ""en"")"),"Energy and resource consumption")</f>
        <v>Energy and resource consumption</v>
      </c>
      <c r="C7191" s="1" t="str">
        <f ca="1">IFERROR(__xludf.DUMMYFUNCTION("GOOGLETRANSLATE(E7191, ""zh"", ""en"")"),"Qualitative text")</f>
        <v>Qualitative text</v>
      </c>
    </row>
    <row r="7192" spans="1:3" ht="13" x14ac:dyDescent="0.15">
      <c r="A7192" s="1" t="str">
        <f ca="1">IFERROR(__xludf.DUMMYFUNCTION("GOOGLETRANSLATE(A7192, ""zh"", ""en"")"),"In 2022, both Guangzhou Huangpu Zhanyun and Foshan Chengzhong Zhanyun will use high-efficiency computer room cooling stations with a comprehensive COP value of no less than 5.0. The centralized hot water systems of the new projects will all use air condit"&amp;"ioning heat recovery as the auxiliary heat source, and air-source heat pumps will be used.")</f>
        <v>In 2022, both Guangzhou Huangpu Zhanyun and Foshan Chengzhong Zhanyun will use high-efficiency computer room cooling stations with a comprehensive COP value of no less than 5.0. The centralized hot water systems of the new projects will all use air conditioning heat recovery as the auxiliary heat source, and air-source heat pumps will be used.</v>
      </c>
      <c r="B7192" s="1" t="str">
        <f ca="1">IFERROR(__xludf.DUMMYFUNCTION("GOOGLETRANSLATE(A7192, ""zh"", ""en"")"),"Green Building")</f>
        <v>Green Building</v>
      </c>
      <c r="C7192" s="1" t="str">
        <f ca="1">IFERROR(__xludf.DUMMYFUNCTION("GOOGLETRANSLATE(E7192, ""zh"", ""en"")"),"Quantitative Text")</f>
        <v>Quantitative Text</v>
      </c>
    </row>
    <row r="7193" spans="1:3" ht="13" x14ac:dyDescent="0.15">
      <c r="A7193" s="1" t="str">
        <f ca="1">IFERROR(__xludf.DUMMYFUNCTION("GOOGLETRANSLATE(A7193, ""zh"", ""en"")"),"100 eligible projects in operation will gradually carry out energy-saving transformation to reduce operational energy consumption")</f>
        <v>100 eligible projects in operation will gradually carry out energy-saving transformation to reduce operational energy consumption</v>
      </c>
      <c r="B7193" s="1" t="str">
        <f ca="1">IFERROR(__xludf.DUMMYFUNCTION("GOOGLETRANSLATE(A7193, ""zh"", ""en"")"),"Energy and resource consumption")</f>
        <v>Energy and resource consumption</v>
      </c>
      <c r="C7193" s="1" t="str">
        <f ca="1">IFERROR(__xludf.DUMMYFUNCTION("GOOGLETRANSLATE(E7193, ""zh"", ""en"")"),"Qualitative text")</f>
        <v>Qualitative text</v>
      </c>
    </row>
    <row r="7194" spans="1:3" ht="13" x14ac:dyDescent="0.15">
      <c r="A7194" s="1" t="str">
        <f ca="1">IFERROR(__xludf.DUMMYFUNCTION("GOOGLETRANSLATE(A7194, ""zh"", ""en"")"),"In 2022, we carried out LED renovation on the corridor lighting of the guest rooms of Qingyuan Zhanyun Resort Hotel, and the corresponding electricity bill for monthly energy saving was RMB 7,128.")</f>
        <v>In 2022, we carried out LED renovation on the corridor lighting of the guest rooms of Qingyuan Zhanyun Resort Hotel, and the corresponding electricity bill for monthly energy saving was RMB 7,128.</v>
      </c>
      <c r="B7194" s="1" t="str">
        <f ca="1">IFERROR(__xludf.DUMMYFUNCTION("GOOGLETRANSLATE(A7194, ""zh"", ""en"")"),"Energy and resource consumption")</f>
        <v>Energy and resource consumption</v>
      </c>
      <c r="C7194" s="1" t="str">
        <f ca="1">IFERROR(__xludf.DUMMYFUNCTION("GOOGLETRANSLATE(E7194, ""zh"", ""en"")"),"Quantitative Text")</f>
        <v>Quantitative Text</v>
      </c>
    </row>
    <row r="7195" spans="1:3" ht="13" x14ac:dyDescent="0.15">
      <c r="A7195" s="1" t="str">
        <f ca="1">IFERROR(__xludf.DUMMYFUNCTION("GOOGLETRANSLATE(A7195, ""zh"", ""en"")"),"100 Park Apartment will adopt variable frequency first-level energy consumption air conditioner water heater in its newly opened self-owned project 100 starting from 2021")</f>
        <v>100 Park Apartment will adopt variable frequency first-level energy consumption air conditioner water heater in its newly opened self-owned project 100 starting from 2021</v>
      </c>
      <c r="B7195" s="1" t="str">
        <f ca="1">IFERROR(__xludf.DUMMYFUNCTION("GOOGLETRANSLATE(A7195, ""zh"", ""en"")"),"Energy and resource consumption")</f>
        <v>Energy and resource consumption</v>
      </c>
      <c r="C7195" s="1" t="str">
        <f ca="1">IFERROR(__xludf.DUMMYFUNCTION("GOOGLETRANSLATE(E7195, ""zh"", ""en"")"),"Qualitative text")</f>
        <v>Qualitative text</v>
      </c>
    </row>
    <row r="7196" spans="1:3" ht="13" x14ac:dyDescent="0.15">
      <c r="A7196" s="1" t="str">
        <f ca="1">IFERROR(__xludf.DUMMYFUNCTION("GOOGLETRANSLATE(A7196, ""zh"", ""en"")"),"In the future, we will also ensure that 100% of our self-owned projects use variable frequency first-level energy consumption air conditioners and water heaters.")</f>
        <v>In the future, we will also ensure that 100% of our self-owned projects use variable frequency first-level energy consumption air conditioners and water heaters.</v>
      </c>
      <c r="B7196" s="1" t="str">
        <f ca="1">IFERROR(__xludf.DUMMYFUNCTION("GOOGLETRANSLATE(A7196, ""zh"", ""en"")"),"Energy and resource consumption")</f>
        <v>Energy and resource consumption</v>
      </c>
      <c r="C7196" s="1" t="str">
        <f ca="1">IFERROR(__xludf.DUMMYFUNCTION("GOOGLETRANSLATE(E7196, ""zh"", ""en"")"),"Qualitative text")</f>
        <v>Qualitative text</v>
      </c>
    </row>
    <row r="7197" spans="1:3" ht="13" x14ac:dyDescent="0.15">
      <c r="A7197" s="1" t="str">
        <f ca="1">IFERROR(__xludf.DUMMYFUNCTION("GOOGLETRANSLATE(A7197, ""zh"", ""en"")"),"In 2022, we continued to achieve the goal of using variable frequency first-level energy consumption air conditioners and water heaters in 100 self-owned projects.")</f>
        <v>In 2022, we continued to achieve the goal of using variable frequency first-level energy consumption air conditioners and water heaters in 100 self-owned projects.</v>
      </c>
      <c r="B7197" s="1" t="str">
        <f ca="1">IFERROR(__xludf.DUMMYFUNCTION("GOOGLETRANSLATE(A7197, ""zh"", ""en"")"),"Energy and resource consumption")</f>
        <v>Energy and resource consumption</v>
      </c>
      <c r="C7197" s="1" t="str">
        <f ca="1">IFERROR(__xludf.DUMMYFUNCTION("GOOGLETRANSLATE(E7197, ""zh"", ""en"")"),"Quantitative Text")</f>
        <v>Quantitative Text</v>
      </c>
    </row>
    <row r="7198" spans="1:3" ht="13" x14ac:dyDescent="0.15">
      <c r="A7198" s="1" t="str">
        <f ca="1">IFERROR(__xludf.DUMMYFUNCTION("GOOGLETRANSLATE(A7198, ""zh"", ""en"")"),"100 Logistics uses refrigeration energy consumption as an important indicator for evaluating the power consumption of the park. With 2022 as the benchmark, the cold storage energy consumption index is expected to decrease by 5% in 2023.")</f>
        <v>100 Logistics uses refrigeration energy consumption as an important indicator for evaluating the power consumption of the park. With 2022 as the benchmark, the cold storage energy consumption index is expected to decrease by 5% in 2023.</v>
      </c>
      <c r="B7198" s="1" t="str">
        <f ca="1">IFERROR(__xludf.DUMMYFUNCTION("GOOGLETRANSLATE(A7198, ""zh"", ""en"")"),"Energy and resource consumption")</f>
        <v>Energy and resource consumption</v>
      </c>
      <c r="C7198" s="1" t="str">
        <f ca="1">IFERROR(__xludf.DUMMYFUNCTION("GOOGLETRANSLATE(E7198, ""zh"", ""en"")"),"Quantitative Text")</f>
        <v>Quantitative Text</v>
      </c>
    </row>
    <row r="7199" spans="1:3" ht="13" x14ac:dyDescent="0.15">
      <c r="A7199" s="1" t="str">
        <f ca="1">IFERROR(__xludf.DUMMYFUNCTION("GOOGLETRANSLATE(A7199, ""zh"", ""en"")"),"In progress, we will investigate the types of refrigerants currently in use and transition to low-GWP refrigerants, accelerate the phase-out of hydrochlorofluorocarbons (HCFCs), and limit the use of HFCs.")</f>
        <v>In progress, we will investigate the types of refrigerants currently in use and transition to low-GWP refrigerants, accelerate the phase-out of hydrochlorofluorocarbons (HCFCs), and limit the use of HFCs.</v>
      </c>
      <c r="B7199" s="1" t="str">
        <f ca="1">IFERROR(__xludf.DUMMYFUNCTION("GOOGLETRANSLATE(A7199, ""zh"", ""en"")"),"Chemical Safety")</f>
        <v>Chemical Safety</v>
      </c>
      <c r="C7199" s="1" t="str">
        <f ca="1">IFERROR(__xludf.DUMMYFUNCTION("GOOGLETRANSLATE(E7199, ""zh"", ""en"")"),"Qualitative text")</f>
        <v>Qualitative text</v>
      </c>
    </row>
    <row r="7200" spans="1:3" ht="13" x14ac:dyDescent="0.15">
      <c r="A7200" s="1" t="str">
        <f ca="1">IFERROR(__xludf.DUMMYFUNCTION("GOOGLETRANSLATE(A7200, ""zh"", ""en"")"),"In 2022, we have completed the survey and are currently using environmentally friendly refrigerants.")</f>
        <v>In 2022, we have completed the survey and are currently using environmentally friendly refrigerants.</v>
      </c>
      <c r="B7200" s="1" t="str">
        <f ca="1">IFERROR(__xludf.DUMMYFUNCTION("GOOGLETRANSLATE(A7200, ""zh"", ""en"")"),"Chemical Safety")</f>
        <v>Chemical Safety</v>
      </c>
      <c r="C7200" s="1" t="str">
        <f ca="1">IFERROR(__xludf.DUMMYFUNCTION("GOOGLETRANSLATE(E7200, ""zh"", ""en"")"),"Qualitative text")</f>
        <v>Qualitative text</v>
      </c>
    </row>
    <row r="7201" spans="1:3" ht="13" x14ac:dyDescent="0.15">
      <c r="A7201" s="1" t="str">
        <f ca="1">IFERROR(__xludf.DUMMYFUNCTION("GOOGLETRANSLATE(A7201, ""zh"", ""en"")"),"100 SCPG Commercial will increase the air conditioning and cooling energy efficiency of its new projects by 30% or more compared to the current average, taking 2021 as the base year.")</f>
        <v>100 SCPG Commercial will increase the air conditioning and cooling energy efficiency of its new projects by 30% or more compared to the current average, taking 2021 as the base year.</v>
      </c>
      <c r="B7201" s="1" t="str">
        <f ca="1">IFERROR(__xludf.DUMMYFUNCTION("GOOGLETRANSLATE(A7201, ""zh"", ""en"")"),"Energy and resource consumption")</f>
        <v>Energy and resource consumption</v>
      </c>
      <c r="C7201" s="1" t="str">
        <f ca="1">IFERROR(__xludf.DUMMYFUNCTION("GOOGLETRANSLATE(E7201, ""zh"", ""en"")"),"Quantitative Text")</f>
        <v>Quantitative Text</v>
      </c>
    </row>
    <row r="7202" spans="1:3" ht="13" x14ac:dyDescent="0.15">
      <c r="A7202" s="1" t="str">
        <f ca="1">IFERROR(__xludf.DUMMYFUNCTION("GOOGLETRANSLATE(A7202, ""zh"", ""en"")"),"The air conditioning and refrigeration energy efficiency ratio of new projects in 2022 is better than the 2021 average")</f>
        <v>The air conditioning and refrigeration energy efficiency ratio of new projects in 2022 is better than the 2021 average</v>
      </c>
      <c r="B7202" s="1" t="str">
        <f ca="1">IFERROR(__xludf.DUMMYFUNCTION("GOOGLETRANSLATE(A7202, ""zh"", ""en"")"),"Energy and resource consumption")</f>
        <v>Energy and resource consumption</v>
      </c>
      <c r="C7202" s="1" t="str">
        <f ca="1">IFERROR(__xludf.DUMMYFUNCTION("GOOGLETRANSLATE(E7202, ""zh"", ""en"")"),"Quantitative Text")</f>
        <v>Quantitative Text</v>
      </c>
    </row>
    <row r="7203" spans="1:3" ht="13" x14ac:dyDescent="0.15">
      <c r="A7203" s="1" t="str">
        <f ca="1">IFERROR(__xludf.DUMMYFUNCTION("GOOGLETRANSLATE(A7203, ""zh"", ""en"")"),"Ongoing: With 2021 as the base year, the total electricity consumption in the public areas of 20 shopping malls will be reduced by 6% by 2025.")</f>
        <v>Ongoing: With 2021 as the base year, the total electricity consumption in the public areas of 20 shopping malls will be reduced by 6% by 2025.</v>
      </c>
      <c r="B7203" s="1" t="str">
        <f ca="1">IFERROR(__xludf.DUMMYFUNCTION("GOOGLETRANSLATE(A7203, ""zh"", ""en"")"),"Energy and resource consumption")</f>
        <v>Energy and resource consumption</v>
      </c>
      <c r="C7203" s="1" t="str">
        <f ca="1">IFERROR(__xludf.DUMMYFUNCTION("GOOGLETRANSLATE(E7203, ""zh"", ""en"")"),"Quantitative Text")</f>
        <v>Quantitative Text</v>
      </c>
    </row>
    <row r="7204" spans="1:3" ht="13" x14ac:dyDescent="0.15">
      <c r="A7204" s="1" t="str">
        <f ca="1">IFERROR(__xludf.DUMMYFUNCTION("GOOGLETRANSLATE(A7204, ""zh"", ""en"")"),"The total electricity consumption of 20 shopping malls' public areas will be reduced by 1.1 million kWh in 2022")</f>
        <v>The total electricity consumption of 20 shopping malls' public areas will be reduced by 1.1 million kWh in 2022</v>
      </c>
      <c r="B7204" s="1" t="str">
        <f ca="1">IFERROR(__xludf.DUMMYFUNCTION("GOOGLETRANSLATE(A7204, ""zh"", ""en"")"),"Energy and resource consumption")</f>
        <v>Energy and resource consumption</v>
      </c>
      <c r="C7204" s="1" t="str">
        <f ca="1">IFERROR(__xludf.DUMMYFUNCTION("GOOGLETRANSLATE(E7204, ""zh"", ""en"")"),"Quantitative Text")</f>
        <v>Quantitative Text</v>
      </c>
    </row>
    <row r="7205" spans="1:3" ht="13" x14ac:dyDescent="0.15">
      <c r="A7205" s="1" t="str">
        <f ca="1">IFERROR(__xludf.DUMMYFUNCTION("GOOGLETRANSLATE(A7205, ""zh"", ""en"")"),"We will continue to monitor the electricity and water consumption per unit building area, the electricity and water consumption per 10,000 yuan turnover and other operational energy efficiency indicators and strive to achieve industry-leading levels.")</f>
        <v>We will continue to monitor the electricity and water consumption per unit building area, the electricity and water consumption per 10,000 yuan turnover and other operational energy efficiency indicators and strive to achieve industry-leading levels.</v>
      </c>
      <c r="B7205" s="1" t="str">
        <f ca="1">IFERROR(__xludf.DUMMYFUNCTION("GOOGLETRANSLATE(A7205, ""zh"", ""en"")"),"Energy and resource consumption")</f>
        <v>Energy and resource consumption</v>
      </c>
      <c r="C7205" s="1" t="str">
        <f ca="1">IFERROR(__xludf.DUMMYFUNCTION("GOOGLETRANSLATE(E7205, ""zh"", ""en"")"),"Qualitative text")</f>
        <v>Qualitative text</v>
      </c>
    </row>
    <row r="7206" spans="1:3" ht="13" x14ac:dyDescent="0.15">
      <c r="A7206" s="1" t="str">
        <f ca="1">IFERROR(__xludf.DUMMYFUNCTION("GOOGLETRANSLATE(A7206, ""zh"", ""en"")"),"Introducing an energy management platform to continuously monitor various operational energy efficiency indicators")</f>
        <v>Introducing an energy management platform to continuously monitor various operational energy efficiency indicators</v>
      </c>
      <c r="B7206" s="1" t="str">
        <f ca="1">IFERROR(__xludf.DUMMYFUNCTION("GOOGLETRANSLATE(A7206, ""zh"", ""en"")"),"Energy and resource consumption")</f>
        <v>Energy and resource consumption</v>
      </c>
      <c r="C7206" s="1" t="str">
        <f ca="1">IFERROR(__xludf.DUMMYFUNCTION("GOOGLETRANSLATE(E7206, ""zh"", ""en"")"),"Qualitative text")</f>
        <v>Qualitative text</v>
      </c>
    </row>
    <row r="7207" spans="1:3" ht="13" x14ac:dyDescent="0.15">
      <c r="A7207" s="1" t="str">
        <f ca="1">IFERROR(__xludf.DUMMYFUNCTION("GOOGLETRANSLATE(A7207, ""zh"", ""en"")"),"Ongoing Environmental Path 63 2022 Sustainability Report Vanke Cloud actively uses intelligent technology to help commercial clients save energy and reduce emissions, and has established eight pilot projects in energy and water conservation across its man"&amp;"aged commercial projects nationwide.")</f>
        <v>Ongoing Environmental Path 63 2022 Sustainability Report Vanke Cloud actively uses intelligent technology to help commercial clients save energy and reduce emissions, and has established eight pilot projects in energy and water conservation across its managed commercial projects nationwide.</v>
      </c>
      <c r="B7207" s="1" t="str">
        <f ca="1">IFERROR(__xludf.DUMMYFUNCTION("GOOGLETRANSLATE(A7207, ""zh"", ""en"")"),"Energy and resource consumption")</f>
        <v>Energy and resource consumption</v>
      </c>
      <c r="C7207" s="1" t="str">
        <f ca="1">IFERROR(__xludf.DUMMYFUNCTION("GOOGLETRANSLATE(E7207, ""zh"", ""en"")"),"Quantitative Text")</f>
        <v>Quantitative Text</v>
      </c>
    </row>
    <row r="7208" spans="1:3" ht="13" x14ac:dyDescent="0.15">
      <c r="A7208" s="1" t="str">
        <f ca="1">IFERROR(__xludf.DUMMYFUNCTION("GOOGLETRANSLATE(A7208, ""zh"", ""en"")"),"Establish 11 energy-saving or water-saving pilot projects in commercial enterprises nationwide by 2022")</f>
        <v>Establish 11 energy-saving or water-saving pilot projects in commercial enterprises nationwide by 2022</v>
      </c>
      <c r="B7208" s="1" t="str">
        <f ca="1">IFERROR(__xludf.DUMMYFUNCTION("GOOGLETRANSLATE(A7208, ""zh"", ""en"")"),"Energy and resource consumption")</f>
        <v>Energy and resource consumption</v>
      </c>
      <c r="C7208" s="1" t="str">
        <f ca="1">IFERROR(__xludf.DUMMYFUNCTION("GOOGLETRANSLATE(E7208, ""zh"", ""en"")"),"Quantitative Text")</f>
        <v>Quantitative Text</v>
      </c>
    </row>
    <row r="7209" spans="1:3" ht="13" x14ac:dyDescent="0.15">
      <c r="A7209" s="1" t="str">
        <f ca="1">IFERROR(__xludf.DUMMYFUNCTION("GOOGLETRANSLATE(A7209, ""zh"", ""en"")"),"In 2022, a total of 68 innovative energy-saving and water-saving service proposals won the Wanwu Cloud Dolphin Award")</f>
        <v>In 2022, a total of 68 innovative energy-saving and water-saving service proposals won the Wanwu Cloud Dolphin Award</v>
      </c>
      <c r="B7209" s="1" t="str">
        <f ca="1">IFERROR(__xludf.DUMMYFUNCTION("GOOGLETRANSLATE(A7209, ""zh"", ""en"")"),"Energy and resource consumption")</f>
        <v>Energy and resource consumption</v>
      </c>
      <c r="C7209" s="1" t="str">
        <f ca="1">IFERROR(__xludf.DUMMYFUNCTION("GOOGLETRANSLATE(E7209, ""zh"", ""en"")"),"Quantitative Text")</f>
        <v>Quantitative Text</v>
      </c>
    </row>
    <row r="7210" spans="1:3" ht="13" x14ac:dyDescent="0.15">
      <c r="A7210" s="1" t="str">
        <f ca="1">IFERROR(__xludf.DUMMYFUNCTION("GOOGLETRANSLATE(A7210, ""zh"", ""en"")"),"100 will collect operational energy efficiency indicators such as electricity and water consumption per unit building area and 10,000 yuan of turnover for commercial and enterprise projects whose service scope includes energy management, and establish ene"&amp;"rgy consumption benchmark value information based on project business types.")</f>
        <v>100 will collect operational energy efficiency indicators such as electricity and water consumption per unit building area and 10,000 yuan of turnover for commercial and enterprise projects whose service scope includes energy management, and establish energy consumption benchmark value information based on project business types.</v>
      </c>
      <c r="B7210" s="1" t="str">
        <f ca="1">IFERROR(__xludf.DUMMYFUNCTION("GOOGLETRANSLATE(A7210, ""zh"", ""en"")"),"Energy and resource consumption")</f>
        <v>Energy and resource consumption</v>
      </c>
      <c r="C7210" s="1" t="str">
        <f ca="1">IFERROR(__xludf.DUMMYFUNCTION("GOOGLETRANSLATE(E7210, ""zh"", ""en"")"),"Qualitative text")</f>
        <v>Qualitative text</v>
      </c>
    </row>
    <row r="7211" spans="1:3" ht="13" x14ac:dyDescent="0.15">
      <c r="A7211" s="1" t="str">
        <f ca="1">IFERROR(__xludf.DUMMYFUNCTION("GOOGLETRANSLATE(A7211, ""zh"", ""en"")"),"Renewable energy utilization goals and progress in logistics. In 2021, we conducted multi-faceted demonstrations and R&amp;D discussions on distributed photovoltaic power stations in logistics parks and integrated building photovoltaics (BIPV). We will then g"&amp;"radually coordinate and research implementation plans.")</f>
        <v>Renewable energy utilization goals and progress in logistics. In 2021, we conducted multi-faceted demonstrations and R&amp;D discussions on distributed photovoltaic power stations in logistics parks and integrated building photovoltaics (BIPV). We will then gradually coordinate and research implementation plans.</v>
      </c>
      <c r="B7211" s="1" t="str">
        <f ca="1">IFERROR(__xludf.DUMMYFUNCTION("GOOGLETRANSLATE(A7211, ""zh"", ""en"")"),"Energy and resource consumption")</f>
        <v>Energy and resource consumption</v>
      </c>
      <c r="C7211" s="1" t="str">
        <f ca="1">IFERROR(__xludf.DUMMYFUNCTION("GOOGLETRANSLATE(E7211, ""zh"", ""en"")"),"Qualitative text")</f>
        <v>Qualitative text</v>
      </c>
    </row>
    <row r="7212" spans="1:3" ht="13" x14ac:dyDescent="0.15">
      <c r="A7212" s="1" t="str">
        <f ca="1">IFERROR(__xludf.DUMMYFUNCTION("GOOGLETRANSLATE(A7212, ""zh"", ""en"")"),"By 2022, we have built one distributed photovoltaic pilot park and have six pilot parks under construction.")</f>
        <v>By 2022, we have built one distributed photovoltaic pilot park and have six pilot parks under construction.</v>
      </c>
      <c r="B7212" s="1" t="str">
        <f ca="1">IFERROR(__xludf.DUMMYFUNCTION("GOOGLETRANSLATE(A7212, ""zh"", ""en"")"),"Clean Technology")</f>
        <v>Clean Technology</v>
      </c>
      <c r="C7212" s="1" t="str">
        <f ca="1">IFERROR(__xludf.DUMMYFUNCTION("GOOGLETRANSLATE(E7212, ""zh"", ""en"")"),"Quantitative Text")</f>
        <v>Quantitative Text</v>
      </c>
    </row>
    <row r="7213" spans="1:3" ht="13" x14ac:dyDescent="0.15">
      <c r="A7213" s="1" t="str">
        <f ca="1">IFERROR(__xludf.DUMMYFUNCTION("GOOGLETRANSLATE(A7213, ""zh"", ""en"")"),"By 2025, at least 18 shopping malls of SCPG will achieve a 20% share of electricity consumption in the shopping mall's public areas.")</f>
        <v>By 2025, at least 18 shopping malls of SCPG will achieve a 20% share of electricity consumption in the shopping mall's public areas.</v>
      </c>
      <c r="B7213" s="1" t="str">
        <f ca="1">IFERROR(__xludf.DUMMYFUNCTION("GOOGLETRANSLATE(A7213, ""zh"", ""en"")"),"Energy and resource consumption")</f>
        <v>Energy and resource consumption</v>
      </c>
      <c r="C7213" s="1" t="str">
        <f ca="1">IFERROR(__xludf.DUMMYFUNCTION("GOOGLETRANSLATE(E7213, ""zh"", ""en"")"),"Quantitative Text")</f>
        <v>Quantitative Text</v>
      </c>
    </row>
    <row r="7214" spans="1:3" ht="13" x14ac:dyDescent="0.15">
      <c r="A7214" s="1" t="str">
        <f ca="1">IFERROR(__xludf.DUMMYFUNCTION("GOOGLETRANSLATE(A7214, ""zh"", ""en"")"),"We plan to continue promoting the application of photovoltaic power generation in the future")</f>
        <v>We plan to continue promoting the application of photovoltaic power generation in the future</v>
      </c>
      <c r="B7214" s="1" t="str">
        <f ca="1">IFERROR(__xludf.DUMMYFUNCTION("GOOGLETRANSLATE(A7214, ""zh"", ""en"")"),"Energy and resource consumption")</f>
        <v>Energy and resource consumption</v>
      </c>
      <c r="C7214" s="1" t="str">
        <f ca="1">IFERROR(__xludf.DUMMYFUNCTION("GOOGLETRANSLATE(E7214, ""zh"", ""en"")"),"Qualitative text")</f>
        <v>Qualitative text</v>
      </c>
    </row>
    <row r="7215" spans="1:3" ht="13" x14ac:dyDescent="0.15">
      <c r="A7215" s="1" t="str">
        <f ca="1">IFERROR(__xludf.DUMMYFUNCTION("GOOGLETRANSLATE(A7215, ""zh"", ""en"")"),"In 2022, we launched 7 photovoltaic power generation projects with a total power generation of 3,494,967 kWh.")</f>
        <v>In 2022, we launched 7 photovoltaic power generation projects with a total power generation of 3,494,967 kWh.</v>
      </c>
      <c r="B7215" s="1" t="str">
        <f ca="1">IFERROR(__xludf.DUMMYFUNCTION("GOOGLETRANSLATE(A7215, ""zh"", ""en"")"),"Energy and resource consumption")</f>
        <v>Energy and resource consumption</v>
      </c>
      <c r="C7215" s="1" t="str">
        <f ca="1">IFERROR(__xludf.DUMMYFUNCTION("GOOGLETRANSLATE(E7215, ""zh"", ""en"")"),"Quantitative Text")</f>
        <v>Quantitative Text</v>
      </c>
    </row>
    <row r="7216" spans="1:3" ht="13" x14ac:dyDescent="0.15">
      <c r="A7216" s="1" t="str">
        <f ca="1">IFERROR(__xludf.DUMMYFUNCTION("GOOGLETRANSLATE(A7216, ""zh"", ""en"")"),"Ongoing Water Resource Management Targets Target Progress Vanke Cloud actively advocates water conservation through meticulous management and application of technical means. It continuously improves water conservation measures in its daily business and op"&amp;"erations, strengthens water recycling and utilization, and reduces water pollution.")</f>
        <v>Ongoing Water Resource Management Targets Target Progress Vanke Cloud actively advocates water conservation through meticulous management and application of technical means. It continuously improves water conservation measures in its daily business and operations, strengthens water recycling and utilization, and reduces water pollution.</v>
      </c>
      <c r="B7216" s="1" t="str">
        <f ca="1">IFERROR(__xludf.DUMMYFUNCTION("GOOGLETRANSLATE(A7216, ""zh"", ""en"")"),"Water resources")</f>
        <v>Water resources</v>
      </c>
      <c r="C7216" s="1" t="str">
        <f ca="1">IFERROR(__xludf.DUMMYFUNCTION("GOOGLETRANSLATE(E7216, ""zh"", ""en"")"),"Qualitative text")</f>
        <v>Qualitative text</v>
      </c>
    </row>
    <row r="7217" spans="1:3" ht="13" x14ac:dyDescent="0.15">
      <c r="A7217" s="1" t="str">
        <f ca="1">IFERROR(__xludf.DUMMYFUNCTION("GOOGLETRANSLATE(A7217, ""zh"", ""en"")"),"Optimize operational measures in areas such as water conservation at the source, water conservation during the process, and water recycling. For example, actively adopt high-efficiency water-using equipment, regularly check water-using equipment and pipel"&amp;"ines to avoid leaks and seepage, and use rainwater, air conditioning condensate water, mountain water, etc. for greening irrigation.")</f>
        <v>Optimize operational measures in areas such as water conservation at the source, water conservation during the process, and water recycling. For example, actively adopt high-efficiency water-using equipment, regularly check water-using equipment and pipelines to avoid leaks and seepage, and use rainwater, air conditioning condensate water, mountain water, etc. for greening irrigation.</v>
      </c>
      <c r="B7217" s="1" t="str">
        <f ca="1">IFERROR(__xludf.DUMMYFUNCTION("GOOGLETRANSLATE(A7217, ""zh"", ""en"")"),"Water resources")</f>
        <v>Water resources</v>
      </c>
      <c r="C7217" s="1" t="str">
        <f ca="1">IFERROR(__xludf.DUMMYFUNCTION("GOOGLETRANSLATE(E7217, ""zh"", ""en"")"),"Qualitative text")</f>
        <v>Qualitative text</v>
      </c>
    </row>
    <row r="7218" spans="1:3" ht="13" x14ac:dyDescent="0.15">
      <c r="A7218" s="1" t="str">
        <f ca="1">IFERROR(__xludf.DUMMYFUNCTION("GOOGLETRANSLATE(A7218, ""zh"", ""en"")"),"In urban services, we use digital urban operation service platforms and global intelligent operation and management models to achieve intelligent river management and maintenance, improve urban river water quality, and reduce water resource pollution.")</f>
        <v>In urban services, we use digital urban operation service platforms and global intelligent operation and management models to achieve intelligent river management and maintenance, improve urban river water quality, and reduce water resource pollution.</v>
      </c>
      <c r="B7218" s="1" t="str">
        <f ca="1">IFERROR(__xludf.DUMMYFUNCTION("GOOGLETRANSLATE(A7218, ""zh"", ""en"")"),"Water resources")</f>
        <v>Water resources</v>
      </c>
      <c r="C7218" s="1" t="str">
        <f ca="1">IFERROR(__xludf.DUMMYFUNCTION("GOOGLETRANSLATE(E7218, ""zh"", ""en"")"),"Qualitative text")</f>
        <v>Qualitative text</v>
      </c>
    </row>
    <row r="7219" spans="1:3" ht="13" x14ac:dyDescent="0.15">
      <c r="A7219" s="1" t="str">
        <f ca="1">IFERROR(__xludf.DUMMYFUNCTION("GOOGLETRANSLATE(A7219, ""zh"", ""en"")"),"Ongoing VANKE Vanke 64 Hotel and Resort construction projects will consider water conservation solutions, such as using water-saving bathroom fixtures in guest rooms and public restrooms. Some hotels will also install direct drinking water systems in gues"&amp;"t rooms and use greywater systems for some projects.")</f>
        <v>Ongoing VANKE Vanke 64 Hotel and Resort construction projects will consider water conservation solutions, such as using water-saving bathroom fixtures in guest rooms and public restrooms. Some hotels will also install direct drinking water systems in guest rooms and use greywater systems for some projects.</v>
      </c>
      <c r="B7219" s="1" t="str">
        <f ca="1">IFERROR(__xludf.DUMMYFUNCTION("GOOGLETRANSLATE(A7219, ""zh"", ""en"")"),"Water resources")</f>
        <v>Water resources</v>
      </c>
      <c r="C7219" s="1" t="str">
        <f ca="1">IFERROR(__xludf.DUMMYFUNCTION("GOOGLETRANSLATE(E7219, ""zh"", ""en"")"),"Qualitative text")</f>
        <v>Qualitative text</v>
      </c>
    </row>
    <row r="7220" spans="1:3" ht="13" x14ac:dyDescent="0.15">
      <c r="A7220" s="1" t="str">
        <f ca="1">IFERROR(__xludf.DUMMYFUNCTION("GOOGLETRANSLATE(A7220, ""zh"", ""en"")"),"In 2022, all our ongoing projects will give priority to water-saving equipment in the bidding selection process.")</f>
        <v>In 2022, all our ongoing projects will give priority to water-saving equipment in the bidding selection process.</v>
      </c>
      <c r="B7220" s="1" t="str">
        <f ca="1">IFERROR(__xludf.DUMMYFUNCTION("GOOGLETRANSLATE(A7220, ""zh"", ""en"")"),"Water resources")</f>
        <v>Water resources</v>
      </c>
      <c r="C7220" s="1" t="str">
        <f ca="1">IFERROR(__xludf.DUMMYFUNCTION("GOOGLETRANSLATE(E7220, ""zh"", ""en"")"),"Qualitative text")</f>
        <v>Qualitative text</v>
      </c>
    </row>
    <row r="7221" spans="1:3" ht="13" x14ac:dyDescent="0.15">
      <c r="A7221" s="1" t="str">
        <f ca="1">IFERROR(__xludf.DUMMYFUNCTION("GOOGLETRANSLATE(A7221, ""zh"", ""en"")"),"In addition, to enhance employees' awareness of water conservation, we have conducted training and posted water conservation signs in the cafeteria and restrooms.")</f>
        <v>In addition, to enhance employees' awareness of water conservation, we have conducted training and posted water conservation signs in the cafeteria and restrooms.</v>
      </c>
      <c r="B7221" s="1" t="str">
        <f ca="1">IFERROR(__xludf.DUMMYFUNCTION("GOOGLETRANSLATE(A7221, ""zh"", ""en"")"),"Water resources")</f>
        <v>Water resources</v>
      </c>
      <c r="C7221" s="1" t="str">
        <f ca="1">IFERROR(__xludf.DUMMYFUNCTION("GOOGLETRANSLATE(E7221, ""zh"", ""en"")"),"Qualitative text")</f>
        <v>Qualitative text</v>
      </c>
    </row>
    <row r="7222" spans="1:3" ht="13" x14ac:dyDescent="0.15">
      <c r="A7222" s="1" t="str">
        <f ca="1">IFERROR(__xludf.DUMMYFUNCTION("GOOGLETRANSLATE(A7222, ""zh"", ""en"")"),"100 projects in operation will gradually undergo water-saving renovations, enhance employees' awareness of water conservation, increase publicity for hotel guests, and introduce water-saving incentive policies.")</f>
        <v>100 projects in operation will gradually undergo water-saving renovations, enhance employees' awareness of water conservation, increase publicity for hotel guests, and introduce water-saving incentive policies.</v>
      </c>
      <c r="B7222" s="1" t="str">
        <f ca="1">IFERROR(__xludf.DUMMYFUNCTION("GOOGLETRANSLATE(A7222, ""zh"", ""en"")"),"Water resources")</f>
        <v>Water resources</v>
      </c>
      <c r="C7222" s="1" t="str">
        <f ca="1">IFERROR(__xludf.DUMMYFUNCTION("GOOGLETRANSLATE(E7222, ""zh"", ""en"")"),"Qualitative text")</f>
        <v>Qualitative text</v>
      </c>
    </row>
    <row r="7223" spans="1:3" ht="13" x14ac:dyDescent="0.15">
      <c r="A7223" s="1" t="str">
        <f ca="1">IFERROR(__xludf.DUMMYFUNCTION("GOOGLETRANSLATE(A7223, ""zh"", ""en"")"),"Green leasing goals and progress: In 2022, Parkyu will include in its tenant agreements the promotion of energy conservation and the reduction of unnecessary energy waste.")</f>
        <v>Green leasing goals and progress: In 2022, Parkyu will include in its tenant agreements the promotion of energy conservation and the reduction of unnecessary energy waste.</v>
      </c>
      <c r="B7223" s="1" t="str">
        <f ca="1">IFERROR(__xludf.DUMMYFUNCTION("GOOGLETRANSLATE(A7223, ""zh"", ""en"")"),"Energy and resource consumption")</f>
        <v>Energy and resource consumption</v>
      </c>
      <c r="C7223" s="1" t="str">
        <f ca="1">IFERROR(__xludf.DUMMYFUNCTION("GOOGLETRANSLATE(E7223, ""zh"", ""en"")"),"Qualitative text")</f>
        <v>Qualitative text</v>
      </c>
    </row>
    <row r="7224" spans="1:3" ht="13" x14ac:dyDescent="0.15">
      <c r="A7224" s="1" t="str">
        <f ca="1">IFERROR(__xludf.DUMMYFUNCTION("GOOGLETRANSLATE(A7224, ""zh"", ""en"")"),"In 2023, Parkview will continue to promote energy conservation initiatives and incorporate them into tenant agreements and implement paperless lease contracts.")</f>
        <v>In 2023, Parkview will continue to promote energy conservation initiatives and incorporate them into tenant agreements and implement paperless lease contracts.</v>
      </c>
      <c r="B7224" s="1" t="str">
        <f ca="1">IFERROR(__xludf.DUMMYFUNCTION("GOOGLETRANSLATE(A7224, ""zh"", ""en"")"),"Energy and resource consumption")</f>
        <v>Energy and resource consumption</v>
      </c>
      <c r="C7224" s="1" t="str">
        <f ca="1">IFERROR(__xludf.DUMMYFUNCTION("GOOGLETRANSLATE(E7224, ""zh"", ""en"")"),"Qualitative text")</f>
        <v>Qualitative text</v>
      </c>
    </row>
    <row r="7225" spans="1:3" ht="13" x14ac:dyDescent="0.15">
      <c r="A7225" s="1" t="str">
        <f ca="1">IFERROR(__xludf.DUMMYFUNCTION("GOOGLETRANSLATE(A7225, ""zh"", ""en"")"),"In 2022, the new contract was replaced in accordance with the established goals, and the resource conservation initiative was incorporated into the rental contract in order to promote green concepts to tenants.")</f>
        <v>In 2022, the new contract was replaced in accordance with the established goals, and the resource conservation initiative was incorporated into the rental contract in order to promote green concepts to tenants.</v>
      </c>
      <c r="B7225" s="1" t="str">
        <f ca="1">IFERROR(__xludf.DUMMYFUNCTION("GOOGLETRANSLATE(A7225, ""zh"", ""en"")"),"Energy and resource consumption")</f>
        <v>Energy and resource consumption</v>
      </c>
      <c r="C7225" s="1" t="str">
        <f ca="1">IFERROR(__xludf.DUMMYFUNCTION("GOOGLETRANSLATE(E7225, ""zh"", ""en"")"),"Qualitative text")</f>
        <v>Qualitative text</v>
      </c>
    </row>
    <row r="7226" spans="1:3" ht="13" x14ac:dyDescent="0.15">
      <c r="A7226" s="1" t="str">
        <f ca="1">IFERROR(__xludf.DUMMYFUNCTION("GOOGLETRANSLATE(A7226, ""zh"", ""en"")"),"100% Green Construction Goal Target Progress Refer to the Ministry of Housing and Urban-Rural Development's Guidance Manual on Construction Site Construction Waste Reduction to pilot the establishment of a construction site construction waste reduction ma"&amp;"nagement system and formulate a special plan for construction site construction waste reduction to advocate and encourage construction parties to improve the utilization rate of construction waste.")</f>
        <v>100% Green Construction Goal Target Progress Refer to the Ministry of Housing and Urban-Rural Development's Guidance Manual on Construction Site Construction Waste Reduction to pilot the establishment of a construction site construction waste reduction management system and formulate a special plan for construction site construction waste reduction to advocate and encourage construction parties to improve the utilization rate of construction waste.</v>
      </c>
      <c r="B7226" s="1" t="str">
        <f ca="1">IFERROR(__xludf.DUMMYFUNCTION("GOOGLETRANSLATE(A7226, ""zh"", ""en"")"),"Waste Management")</f>
        <v>Waste Management</v>
      </c>
      <c r="C7226" s="1" t="str">
        <f ca="1">IFERROR(__xludf.DUMMYFUNCTION("GOOGLETRANSLATE(E7226, ""zh"", ""en"")"),"Qualitative text")</f>
        <v>Qualitative text</v>
      </c>
    </row>
    <row r="7227" spans="1:3" ht="13" x14ac:dyDescent="0.15">
      <c r="A7227" s="1" t="str">
        <f ca="1">IFERROR(__xludf.DUMMYFUNCTION("GOOGLETRANSLATE(A7227, ""zh"", ""en"")"),"We reduce the emission of construction waste throughout the entire construction cycle by developing prefabricated buildings such as steel structures.")</f>
        <v>We reduce the emission of construction waste throughout the entire construction cycle by developing prefabricated buildings such as steel structures.</v>
      </c>
      <c r="B7227" s="1" t="str">
        <f ca="1">IFERROR(__xludf.DUMMYFUNCTION("GOOGLETRANSLATE(A7227, ""zh"", ""en"")"),"Waste Management")</f>
        <v>Waste Management</v>
      </c>
      <c r="C7227" s="1" t="str">
        <f ca="1">IFERROR(__xludf.DUMMYFUNCTION("GOOGLETRANSLATE(E7227, ""zh"", ""en"")"),"Qualitative text")</f>
        <v>Qualitative text</v>
      </c>
    </row>
    <row r="7228" spans="1:3" ht="13" x14ac:dyDescent="0.15">
      <c r="A7228" s="1" t="str">
        <f ca="1">IFERROR(__xludf.DUMMYFUNCTION("GOOGLETRANSLATE(A7228, ""zh"", ""en"")"),"In 2021, the company held 2 shareholders' meetings, 5 board meetings, 7 supervisory board meetings, and 9 special committees of the board of directors.")</f>
        <v>In 2021, the company held 2 shareholders' meetings, 5 board meetings, 7 supervisory board meetings, and 9 special committees of the board of directors.</v>
      </c>
      <c r="B7228" s="1" t="str">
        <f ca="1">IFERROR(__xludf.DUMMYFUNCTION("GOOGLETRANSLATE(A7228, ""zh"", ""en"")"),"Organizational structure and operations")</f>
        <v>Organizational structure and operations</v>
      </c>
      <c r="C7228" s="1" t="str">
        <f ca="1">IFERROR(__xludf.DUMMYFUNCTION("GOOGLETRANSLATE(E7228, ""zh"", ""en"")"),"Quantitative Text")</f>
        <v>Quantitative Text</v>
      </c>
    </row>
    <row r="7229" spans="1:3" ht="13" x14ac:dyDescent="0.15">
      <c r="A7229" s="1" t="str">
        <f ca="1">IFERROR(__xludf.DUMMYFUNCTION("GOOGLETRANSLATE(A7229, ""zh"", ""en"")"),"In 2022, female employees accounted for 46.22% of the Group's total employees, and female managers accounted for 46.26%.")</f>
        <v>In 2022, female employees accounted for 46.22% of the Group's total employees, and female managers accounted for 46.26%.</v>
      </c>
      <c r="B7229" s="1" t="str">
        <f ca="1">IFERROR(__xludf.DUMMYFUNCTION("GOOGLETRANSLATE(A7229, ""zh"", ""en"")"),"Organizational structure and operations")</f>
        <v>Organizational structure and operations</v>
      </c>
      <c r="C7229" s="1" t="str">
        <f ca="1">IFERROR(__xludf.DUMMYFUNCTION("GOOGLETRANSLATE(E7229, ""zh"", ""en"")"),"Quantitative Text")</f>
        <v>Quantitative Text</v>
      </c>
    </row>
    <row r="7230" spans="1:3" ht="13" x14ac:dyDescent="0.15">
      <c r="A7230" s="1" t="str">
        <f ca="1">IFERROR(__xludf.DUMMYFUNCTION("GOOGLETRANSLATE(A7230, ""zh"", ""en"")"),"In 2021, all directors of the company performed their duties diligently, attended all board meetings, and there were no absences.")</f>
        <v>In 2021, all directors of the company performed their duties diligently, attended all board meetings, and there were no absences.</v>
      </c>
      <c r="B7230" s="1" t="str">
        <f ca="1">IFERROR(__xludf.DUMMYFUNCTION("GOOGLETRANSLATE(A7230, ""zh"", ""en"")"),"Organizational structure and operations")</f>
        <v>Organizational structure and operations</v>
      </c>
      <c r="C7230" s="1" t="str">
        <f ca="1">IFERROR(__xludf.DUMMYFUNCTION("GOOGLETRANSLATE(E7230, ""zh"", ""en"")"),"Quantitative Text")</f>
        <v>Quantitative Text</v>
      </c>
    </row>
    <row r="7231" spans="1:3" ht="13" x14ac:dyDescent="0.15">
      <c r="A7231" s="1" t="str">
        <f ca="1">IFERROR(__xludf.DUMMYFUNCTION("GOOGLETRANSLATE(A7231, ""zh"", ""en"")"),"During the reporting period, the Board of Directors held 17 meetings in total, with an attendance rate of 100%.")</f>
        <v>During the reporting period, the Board of Directors held 17 meetings in total, with an attendance rate of 100%.</v>
      </c>
      <c r="B7231" s="1" t="str">
        <f ca="1">IFERROR(__xludf.DUMMYFUNCTION("GOOGLETRANSLATE(A7231, ""zh"", ""en"")"),"Organizational structure and operations")</f>
        <v>Organizational structure and operations</v>
      </c>
      <c r="C7231" s="1" t="str">
        <f ca="1">IFERROR(__xludf.DUMMYFUNCTION("GOOGLETRANSLATE(E7231, ""zh"", ""en"")"),"Quantitative Text")</f>
        <v>Quantitative Text</v>
      </c>
    </row>
    <row r="7232" spans="1:3" ht="13" x14ac:dyDescent="0.15">
      <c r="A7232" s="1" t="str">
        <f ca="1">IFERROR(__xludf.DUMMYFUNCTION("GOOGLETRANSLATE(A7232, ""zh"", ""en"")"),"The board of directors, the board of supervisors and the management have clear powers and responsibilities and exercise checks and balances on each other.")</f>
        <v>The board of directors, the board of supervisors and the management have clear powers and responsibilities and exercise checks and balances on each other.</v>
      </c>
      <c r="B7232" s="1" t="str">
        <f ca="1">IFERROR(__xludf.DUMMYFUNCTION("GOOGLETRANSLATE(A7232, ""zh"", ""en"")"),"Organizational structure and operations")</f>
        <v>Organizational structure and operations</v>
      </c>
      <c r="C7232" s="1" t="str">
        <f ca="1">IFERROR(__xludf.DUMMYFUNCTION("GOOGLETRANSLATE(E7232, ""zh"", ""en"")"),"Qualitative text")</f>
        <v>Qualitative text</v>
      </c>
    </row>
    <row r="7233" spans="1:3" ht="13" x14ac:dyDescent="0.15">
      <c r="A7233" s="1" t="str">
        <f ca="1">IFERROR(__xludf.DUMMYFUNCTION("GOOGLETRANSLATE(A7233, ""zh"", ""en"")"),"The Board of Directors met 8 times, the Board of Directors’ committees met 7 times, and the Supervisory Board met 6 times, which strengthened the company’s governance level and operational capabilities.")</f>
        <v>The Board of Directors met 8 times, the Board of Directors’ committees met 7 times, and the Supervisory Board met 6 times, which strengthened the company’s governance level and operational capabilities.</v>
      </c>
      <c r="B7233" s="1" t="str">
        <f ca="1">IFERROR(__xludf.DUMMYFUNCTION("GOOGLETRANSLATE(A7233, ""zh"", ""en"")"),"Organizational structure and operations")</f>
        <v>Organizational structure and operations</v>
      </c>
      <c r="C7233" s="1" t="str">
        <f ca="1">IFERROR(__xludf.DUMMYFUNCTION("GOOGLETRANSLATE(E7233, ""zh"", ""en"")"),"Quantitative Text")</f>
        <v>Quantitative Text</v>
      </c>
    </row>
    <row r="7234" spans="1:3" ht="13" x14ac:dyDescent="0.15">
      <c r="A7234" s="1" t="str">
        <f ca="1">IFERROR(__xludf.DUMMYFUNCTION("GOOGLETRANSLATE(A7234, ""zh"", ""en"")"),"The number and composition of the board of directors comply with the requirements of laws, regulations and the Company's Articles of Association.")</f>
        <v>The number and composition of the board of directors comply with the requirements of laws, regulations and the Company's Articles of Association.</v>
      </c>
      <c r="B7234" s="1" t="str">
        <f ca="1">IFERROR(__xludf.DUMMYFUNCTION("GOOGLETRANSLATE(A7234, ""zh"", ""en"")"),"Organizational structure and operations")</f>
        <v>Organizational structure and operations</v>
      </c>
      <c r="C7234" s="1" t="str">
        <f ca="1">IFERROR(__xludf.DUMMYFUNCTION("GOOGLETRANSLATE(E7234, ""zh"", ""en"")"),"Qualitative text")</f>
        <v>Qualitative text</v>
      </c>
    </row>
    <row r="7235" spans="1:3" ht="13" x14ac:dyDescent="0.15">
      <c r="A7235" s="1" t="str">
        <f ca="1">IFERROR(__xludf.DUMMYFUNCTION("GOOGLETRANSLATE(A7235, ""zh"", ""en"")"),"The company's board of directors consists of 8 directors, including 3 independent directors; the company's supervisory board consists of 3 supervisors, including 1 employee representative supervisor.")</f>
        <v>The company's board of directors consists of 8 directors, including 3 independent directors; the company's supervisory board consists of 3 supervisors, including 1 employee representative supervisor.</v>
      </c>
      <c r="B7235" s="1" t="str">
        <f ca="1">IFERROR(__xludf.DUMMYFUNCTION("GOOGLETRANSLATE(A7235, ""zh"", ""en"")"),"Organizational structure and operations")</f>
        <v>Organizational structure and operations</v>
      </c>
      <c r="C7235" s="1" t="str">
        <f ca="1">IFERROR(__xludf.DUMMYFUNCTION("GOOGLETRANSLATE(E7235, ""zh"", ""en"")"),"Quantitative Text")</f>
        <v>Quantitative Text</v>
      </c>
    </row>
    <row r="7236" spans="1:3" ht="13" x14ac:dyDescent="0.15">
      <c r="A7236" s="1" t="str">
        <f ca="1">IFERROR(__xludf.DUMMYFUNCTION("GOOGLETRANSLATE(A7236, ""zh"", ""en"")"),"The company's senior executives are paid on an annual basis, and their compensation is closely linked to the company's operating performance, organizational performance, and the results of their personal performance appraisals. The equity incentive plan a"&amp;"lso stipulates that if the incentive recipients fail to meet the assessment standards at the company or personal level, the corresponding equity incentives will be withdrawn, so as to achieve common development and growth with the company.")</f>
        <v>The company's senior executives are paid on an annual basis, and their compensation is closely linked to the company's operating performance, organizational performance, and the results of their personal performance appraisals. The equity incentive plan also stipulates that if the incentive recipients fail to meet the assessment standards at the company or personal level, the corresponding equity incentives will be withdrawn, so as to achieve common development and growth with the company.</v>
      </c>
      <c r="B7236" s="1" t="str">
        <f ca="1">IFERROR(__xludf.DUMMYFUNCTION("GOOGLETRANSLATE(A7236, ""zh"", ""en"")"),"Organizational structure and operations")</f>
        <v>Organizational structure and operations</v>
      </c>
      <c r="C7236" s="1" t="str">
        <f ca="1">IFERROR(__xludf.DUMMYFUNCTION("GOOGLETRANSLATE(E7236, ""zh"", ""en"")"),"Qualitative text")</f>
        <v>Qualitative text</v>
      </c>
    </row>
    <row r="7237" spans="1:3" ht="13" x14ac:dyDescent="0.15">
      <c r="A7237" s="1" t="str">
        <f ca="1">IFERROR(__xludf.DUMMYFUNCTION("GOOGLETRANSLATE(A7237, ""zh"", ""en"")"),"The company elects directors in strict accordance with the selection and appointment procedures of laws, regulations and normative documents such as the Company Law, the Shanghai Stock Exchange Listing Rules and the Company Articles of Association. The nu"&amp;"mber and composition of the company's board of directors comply with the requirements of laws and regulations.")</f>
        <v>The company elects directors in strict accordance with the selection and appointment procedures of laws, regulations and normative documents such as the Company Law, the Shanghai Stock Exchange Listing Rules and the Company Articles of Association. The number and composition of the company's board of directors comply with the requirements of laws and regulations.</v>
      </c>
      <c r="B7237" s="1" t="str">
        <f ca="1">IFERROR(__xludf.DUMMYFUNCTION("GOOGLETRANSLATE(A7237, ""zh"", ""en"")"),"Organizational structure and operations")</f>
        <v>Organizational structure and operations</v>
      </c>
      <c r="C7237" s="1" t="str">
        <f ca="1">IFERROR(__xludf.DUMMYFUNCTION("GOOGLETRANSLATE(E7237, ""zh"", ""en"")"),"Qualitative text")</f>
        <v>Qualitative text</v>
      </c>
    </row>
    <row r="7238" spans="1:3" ht="13" x14ac:dyDescent="0.15">
      <c r="A7238" s="1" t="str">
        <f ca="1">IFERROR(__xludf.DUMMYFUNCTION("GOOGLETRANSLATE(A7238, ""zh"", ""en"")"),"The company is committed to building a diversified and professional corporate governance team. All directors have the skills and experience required for the business and can effectively assist in the implementation of the company's strategy and the realiz"&amp;"ation of sustainable development goals.")</f>
        <v>The company is committed to building a diversified and professional corporate governance team. All directors have the skills and experience required for the business and can effectively assist in the implementation of the company's strategy and the realization of sustainable development goals.</v>
      </c>
      <c r="B7238" s="1" t="str">
        <f ca="1">IFERROR(__xludf.DUMMYFUNCTION("GOOGLETRANSLATE(A7238, ""zh"", ""en"")"),"Organizational structure and operations")</f>
        <v>Organizational structure and operations</v>
      </c>
      <c r="C7238" s="1" t="str">
        <f ca="1">IFERROR(__xludf.DUMMYFUNCTION("GOOGLETRANSLATE(E7238, ""zh"", ""en"")"),"Qualitative text")</f>
        <v>Qualitative text</v>
      </c>
    </row>
    <row r="7239" spans="1:3" ht="13" x14ac:dyDescent="0.15">
      <c r="A7239" s="1" t="str">
        <f ca="1">IFERROR(__xludf.DUMMYFUNCTION("GOOGLETRANSLATE(A7239, ""zh"", ""en"")"),"The supervisors oversee the legality and compliance of the company's finances and the performance of duties by directors and senior management, reflect the opinions of employees, and safeguard the legitimate rights and interests of the company, shareholde"&amp;"rs and employees.")</f>
        <v>The supervisors oversee the legality and compliance of the company's finances and the performance of duties by directors and senior management, reflect the opinions of employees, and safeguard the legitimate rights and interests of the company, shareholders and employees.</v>
      </c>
      <c r="B7239" s="1" t="str">
        <f ca="1">IFERROR(__xludf.DUMMYFUNCTION("GOOGLETRANSLATE(A7239, ""zh"", ""en"")"),"Organizational structure and operations")</f>
        <v>Organizational structure and operations</v>
      </c>
      <c r="C7239" s="1" t="str">
        <f ca="1">IFERROR(__xludf.DUMMYFUNCTION("GOOGLETRANSLATE(E7239, ""zh"", ""en"")"),"Qualitative text")</f>
        <v>Qualitative text</v>
      </c>
    </row>
    <row r="7240" spans="1:3" ht="13" x14ac:dyDescent="0.15">
      <c r="A7240" s="1" t="str">
        <f ca="1">IFERROR(__xludf.DUMMYFUNCTION("GOOGLETRANSLATE(A7240, ""zh"", ""en"")"),"As of the end of 2022, female directors accounted for 14% of the company's directors.")</f>
        <v>As of the end of 2022, female directors accounted for 14% of the company's directors.</v>
      </c>
      <c r="B7240" s="1" t="str">
        <f ca="1">IFERROR(__xludf.DUMMYFUNCTION("GOOGLETRANSLATE(A7240, ""zh"", ""en"")"),"Organizational structure and operations")</f>
        <v>Organizational structure and operations</v>
      </c>
      <c r="C7240" s="1" t="str">
        <f ca="1">IFERROR(__xludf.DUMMYFUNCTION("GOOGLETRANSLATE(E7240, ""zh"", ""en"")"),"Quantitative Text")</f>
        <v>Quantitative Text</v>
      </c>
    </row>
    <row r="7241" spans="1:3" ht="13" x14ac:dyDescent="0.15">
      <c r="A7241" s="1" t="str">
        <f ca="1">IFERROR(__xludf.DUMMYFUNCTION("GOOGLETRANSLATE(A7241, ""zh"", ""en"")"),"The management level is the company's executive body, and is responsible for planning operations, implementing policies, strengthening management, and carrying out organizational implementation.")</f>
        <v>The management level is the company's executive body, and is responsible for planning operations, implementing policies, strengthening management, and carrying out organizational implementation.</v>
      </c>
      <c r="B7241" s="1" t="str">
        <f ca="1">IFERROR(__xludf.DUMMYFUNCTION("GOOGLETRANSLATE(A7241, ""zh"", ""en"")"),"Organizational structure and operations")</f>
        <v>Organizational structure and operations</v>
      </c>
      <c r="C7241" s="1" t="str">
        <f ca="1">IFERROR(__xludf.DUMMYFUNCTION("GOOGLETRANSLATE(E7241, ""zh"", ""en"")"),"Qualitative text")</f>
        <v>Qualitative text</v>
      </c>
    </row>
    <row r="7242" spans="1:3" ht="13" x14ac:dyDescent="0.15">
      <c r="A7242" s="1" t="str">
        <f ca="1">IFERROR(__xludf.DUMMYFUNCTION("GOOGLETRANSLATE(A7242, ""zh"", ""en"")"),"During the period, the company held 9 board meetings, including 8 conference calls and 1 on-site meeting.")</f>
        <v>During the period, the company held 9 board meetings, including 8 conference calls and 1 on-site meeting.</v>
      </c>
      <c r="B7242" s="1" t="str">
        <f ca="1">IFERROR(__xludf.DUMMYFUNCTION("GOOGLETRANSLATE(A7242, ""zh"", ""en"")"),"Organizational structure and operations")</f>
        <v>Organizational structure and operations</v>
      </c>
      <c r="C7242" s="1" t="str">
        <f ca="1">IFERROR(__xludf.DUMMYFUNCTION("GOOGLETRANSLATE(E7242, ""zh"", ""en"")"),"Quantitative Text")</f>
        <v>Quantitative Text</v>
      </c>
    </row>
    <row r="7243" spans="1:3" ht="13" x14ac:dyDescent="0.15">
      <c r="A7243" s="1" t="str">
        <f ca="1">IFERROR(__xludf.DUMMYFUNCTION("GOOGLETRANSLATE(A7243, ""zh"", ""en"")"),"At the same time, the special committees under the board of directors held 4 audit committee meetings, 1 remuneration and assessment committee meeting and 2 nomination committee meetings.")</f>
        <v>At the same time, the special committees under the board of directors held 4 audit committee meetings, 1 remuneration and assessment committee meeting and 2 nomination committee meetings.</v>
      </c>
      <c r="B7243" s="1" t="str">
        <f ca="1">IFERROR(__xludf.DUMMYFUNCTION("GOOGLETRANSLATE(A7243, ""zh"", ""en"")"),"Organizational structure and operations")</f>
        <v>Organizational structure and operations</v>
      </c>
      <c r="C7243" s="1" t="str">
        <f ca="1">IFERROR(__xludf.DUMMYFUNCTION("GOOGLETRANSLATE(E7243, ""zh"", ""en"")"),"Quantitative Text")</f>
        <v>Quantitative Text</v>
      </c>
    </row>
    <row r="7244" spans="1:3" ht="13" x14ac:dyDescent="0.15">
      <c r="A7244" s="1" t="str">
        <f ca="1">IFERROR(__xludf.DUMMYFUNCTION("GOOGLETRANSLATE(A7244, ""zh"", ""en"")"),"In the composition of the board of directors, the company fully considers diversity and independence factors, actively promotes the construction and improvement of the independent director system, gives full play to the independence and professionalism of"&amp;" independent directors, and continuously improves the rationality, standardization and scientific nature of the company's decision-making.")</f>
        <v>In the composition of the board of directors, the company fully considers diversity and independence factors, actively promotes the construction and improvement of the independent director system, gives full play to the independence and professionalism of independent directors, and continuously improves the rationality, standardization and scientific nature of the company's decision-making.</v>
      </c>
      <c r="B7244" s="1" t="str">
        <f ca="1">IFERROR(__xludf.DUMMYFUNCTION("GOOGLETRANSLATE(A7244, ""zh"", ""en"")"),"Organizational structure and operations")</f>
        <v>Organizational structure and operations</v>
      </c>
      <c r="C7244" s="1" t="str">
        <f ca="1">IFERROR(__xludf.DUMMYFUNCTION("GOOGLETRANSLATE(E7244, ""zh"", ""en"")"),"Qualitative text")</f>
        <v>Qualitative text</v>
      </c>
    </row>
    <row r="7245" spans="1:3" ht="13" x14ac:dyDescent="0.15">
      <c r="A7245" s="1" t="str">
        <f ca="1">IFERROR(__xludf.DUMMYFUNCTION("GOOGLETRANSLATE(A7245, ""zh"", ""en"")"),"Formulate compensation policies, plans and assessment standards for directors and senior management, and strengthen the company's incentive and restraint mechanisms for directors and senior management.")</f>
        <v>Formulate compensation policies, plans and assessment standards for directors and senior management, and strengthen the company's incentive and restraint mechanisms for directors and senior management.</v>
      </c>
      <c r="B7245" s="1" t="str">
        <f ca="1">IFERROR(__xludf.DUMMYFUNCTION("GOOGLETRANSLATE(A7245, ""zh"", ""en"")"),"Organizational structure and operations")</f>
        <v>Organizational structure and operations</v>
      </c>
      <c r="C7245" s="1" t="str">
        <f ca="1">IFERROR(__xludf.DUMMYFUNCTION("GOOGLETRANSLATE(E7245, ""zh"", ""en"")"),"Qualitative text")</f>
        <v>Qualitative text</v>
      </c>
    </row>
    <row r="7246" spans="1:3" ht="13" x14ac:dyDescent="0.15">
      <c r="A7246" s="1" t="str">
        <f ca="1">IFERROR(__xludf.DUMMYFUNCTION("GOOGLETRANSLATE(A7246, ""zh"", ""en"")"),"In 2020, AVIC Capital held 6 shareholders' meetings, 13 board meetings, and 7 supervisory board meetings. The topics covered included restricted stock incentive plans, issuance of corporate bonds, comprehensive credit, entrusted asset management, provisio"&amp;"n of guarantees, related-party transactions, profit distribution, and revision of the company's articles of association.")</f>
        <v>In 2020, AVIC Capital held 6 shareholders' meetings, 13 board meetings, and 7 supervisory board meetings. The topics covered included restricted stock incentive plans, issuance of corporate bonds, comprehensive credit, entrusted asset management, provision of guarantees, related-party transactions, profit distribution, and revision of the company's articles of association.</v>
      </c>
      <c r="B7246" s="1" t="str">
        <f ca="1">IFERROR(__xludf.DUMMYFUNCTION("GOOGLETRANSLATE(A7246, ""zh"", ""en"")"),"Organizational structure and operations")</f>
        <v>Organizational structure and operations</v>
      </c>
      <c r="C7246" s="1" t="str">
        <f ca="1">IFERROR(__xludf.DUMMYFUNCTION("GOOGLETRANSLATE(E7246, ""zh"", ""en"")"),"Quantitative Text")</f>
        <v>Quantitative Text</v>
      </c>
    </row>
    <row r="7247" spans="1:3" ht="13" x14ac:dyDescent="0.15">
      <c r="A7247" s="1" t="str">
        <f ca="1">IFERROR(__xludf.DUMMYFUNCTION("GOOGLETRANSLATE(A7247, ""zh"", ""en"")"),"The corporate governance structure with mutual constraints among the board of directors, supervisory board and management team has a clear division of labor and sound and clear functions. It actively maintains shareholder relations and ensures that shareh"&amp;"olders fully enjoy the legal rights and interests stipulated by laws, regulations and rules.")</f>
        <v>The corporate governance structure with mutual constraints among the board of directors, supervisory board and management team has a clear division of labor and sound and clear functions. It actively maintains shareholder relations and ensures that shareholders fully enjoy the legal rights and interests stipulated by laws, regulations and rules.</v>
      </c>
      <c r="B7247" s="1" t="str">
        <f ca="1">IFERROR(__xludf.DUMMYFUNCTION("GOOGLETRANSLATE(A7247, ""zh"", ""en"")"),"Organizational structure and operations")</f>
        <v>Organizational structure and operations</v>
      </c>
      <c r="C7247" s="1" t="str">
        <f ca="1">IFERROR(__xludf.DUMMYFUNCTION("GOOGLETRANSLATE(E7247, ""zh"", ""en"")"),"Qualitative text")</f>
        <v>Qualitative text</v>
      </c>
    </row>
    <row r="7248" spans="1:3" ht="13" x14ac:dyDescent="0.15">
      <c r="A7248" s="1" t="str">
        <f ca="1">IFERROR(__xludf.DUMMYFUNCTION("GOOGLETRANSLATE(A7248, ""zh"", ""en"")"),"The corporate governance structure consisting of the board of directors, the board of supervisors and the management team has formed an internal governance mechanism in which the power organs, decision-making bodies, supervisory bodies and management team"&amp;"s are independent of each other, have clear rights and responsibilities, coordinate with each other, and check and balance each other.")</f>
        <v>The corporate governance structure consisting of the board of directors, the board of supervisors and the management team has formed an internal governance mechanism in which the power organs, decision-making bodies, supervisory bodies and management teams are independent of each other, have clear rights and responsibilities, coordinate with each other, and check and balance each other.</v>
      </c>
      <c r="B7248" s="1" t="str">
        <f ca="1">IFERROR(__xludf.DUMMYFUNCTION("GOOGLETRANSLATE(A7248, ""zh"", ""en"")"),"Organizational structure and operations")</f>
        <v>Organizational structure and operations</v>
      </c>
      <c r="C7248" s="1" t="str">
        <f ca="1">IFERROR(__xludf.DUMMYFUNCTION("GOOGLETRANSLATE(E7248, ""zh"", ""en"")"),"Qualitative text")</f>
        <v>Qualitative text</v>
      </c>
    </row>
    <row r="7249" spans="1:3" ht="13" x14ac:dyDescent="0.15">
      <c r="A7249" s="1" t="str">
        <f ca="1">IFERROR(__xludf.DUMMYFUNCTION("GOOGLETRANSLATE(A7249, ""zh"", ""en"")"),"The board of directors establishes an audit committee and, as needed, establishes relevant special committees such as strategy, compensation and assessment, and nomination.")</f>
        <v>The board of directors establishes an audit committee and, as needed, establishes relevant special committees such as strategy, compensation and assessment, and nomination.</v>
      </c>
      <c r="B7249" s="1" t="str">
        <f ca="1">IFERROR(__xludf.DUMMYFUNCTION("GOOGLETRANSLATE(A7249, ""zh"", ""en"")"),"Organizational structure and operations")</f>
        <v>Organizational structure and operations</v>
      </c>
      <c r="C7249" s="1" t="str">
        <f ca="1">IFERROR(__xludf.DUMMYFUNCTION("GOOGLETRANSLATE(E7249, ""zh"", ""en"")"),"Qualitative text")</f>
        <v>Qualitative text</v>
      </c>
    </row>
    <row r="7250" spans="1:3" ht="13" x14ac:dyDescent="0.15">
      <c r="A7250" s="1" t="str">
        <f ca="1">IFERROR(__xludf.DUMMYFUNCTION("GOOGLETRANSLATE(A7250, ""zh"", ""en"")"),"A sound system with clear responsibilities and powers is established, with the board of directors as the decision-making body, the board of supervisors as the supervisory body, and the management as the executive body, and the operating regulations of div"&amp;"ision of labor, cooperation, and mutual checks and balances among each body are strictly implemented.")</f>
        <v>A sound system with clear responsibilities and powers is established, with the board of directors as the decision-making body, the board of supervisors as the supervisory body, and the management as the executive body, and the operating regulations of division of labor, cooperation, and mutual checks and balances among each body are strictly implemented.</v>
      </c>
      <c r="B7250" s="1" t="str">
        <f ca="1">IFERROR(__xludf.DUMMYFUNCTION("GOOGLETRANSLATE(A7250, ""zh"", ""en"")"),"Organizational structure and operations")</f>
        <v>Organizational structure and operations</v>
      </c>
      <c r="C7250" s="1" t="str">
        <f ca="1">IFERROR(__xludf.DUMMYFUNCTION("GOOGLETRANSLATE(E7250, ""zh"", ""en"")"),"Qualitative text")</f>
        <v>Qualitative text</v>
      </c>
    </row>
    <row r="7251" spans="1:3" ht="13" x14ac:dyDescent="0.15">
      <c r="A7251" s="1" t="str">
        <f ca="1">IFERROR(__xludf.DUMMYFUNCTION("GOOGLETRANSLATE(A7251, ""zh"", ""en"")"),"The Board of Directors has six special committees, namely, Strategy, Related Party Transactions, Risk Management, Audit, and Nomination and Remuneration. The Board of Supervisors has two special committees, namely, Nomination Committee and Supervision Com"&amp;"mittee.")</f>
        <v>The Board of Directors has six special committees, namely, Strategy, Related Party Transactions, Risk Management, Audit, and Nomination and Remuneration. The Board of Supervisors has two special committees, namely, Nomination Committee and Supervision Committee.</v>
      </c>
      <c r="B7251" s="1" t="str">
        <f ca="1">IFERROR(__xludf.DUMMYFUNCTION("GOOGLETRANSLATE(A7251, ""zh"", ""en"")"),"Organizational structure and operations")</f>
        <v>Organizational structure and operations</v>
      </c>
      <c r="C7251" s="1" t="str">
        <f ca="1">IFERROR(__xludf.DUMMYFUNCTION("GOOGLETRANSLATE(E7251, ""zh"", ""en"")"),"Quantitative Text")</f>
        <v>Quantitative Text</v>
      </c>
    </row>
    <row r="7252" spans="1:3" ht="13" x14ac:dyDescent="0.15">
      <c r="A7252" s="1" t="str">
        <f ca="1">IFERROR(__xludf.DUMMYFUNCTION("GOOGLETRANSLATE(A7252, ""zh"", ""en"")"),"The company's governance system, which is centered on the Articles of Association and supplemented by special corporate governance systems such as the rules of procedure for the three meetings, has been revised. The company's standardized governance activ"&amp;"ities have been continuously carried out in depth, which has promoted the company's standardized operations and improved the level of corporate governance.")</f>
        <v>The company's governance system, which is centered on the Articles of Association and supplemented by special corporate governance systems such as the rules of procedure for the three meetings, has been revised. The company's standardized governance activities have been continuously carried out in depth, which has promoted the company's standardized operations and improved the level of corporate governance.</v>
      </c>
      <c r="B7252" s="1" t="str">
        <f ca="1">IFERROR(__xludf.DUMMYFUNCTION("GOOGLETRANSLATE(A7252, ""zh"", ""en"")"),"Organizational structure and operations")</f>
        <v>Organizational structure and operations</v>
      </c>
      <c r="C7252" s="1" t="str">
        <f ca="1">IFERROR(__xludf.DUMMYFUNCTION("GOOGLETRANSLATE(E7252, ""zh"", ""en"")"),"Qualitative text")</f>
        <v>Qualitative text</v>
      </c>
    </row>
    <row r="7253" spans="1:3" ht="13" x14ac:dyDescent="0.15">
      <c r="A7253" s="1" t="str">
        <f ca="1">IFERROR(__xludf.DUMMYFUNCTION("GOOGLETRANSLATE(A7253, ""zh"", ""en"")"),"The company continues to improve its corporate governance structure and is committed to improving its operations. By establishing and improving internal control systems, it continues to promote standardized management of the company to enhance its governa"&amp;"nce level.")</f>
        <v>The company continues to improve its corporate governance structure and is committed to improving its operations. By establishing and improving internal control systems, it continues to promote standardized management of the company to enhance its governance level.</v>
      </c>
      <c r="B7253" s="1" t="str">
        <f ca="1">IFERROR(__xludf.DUMMYFUNCTION("GOOGLETRANSLATE(A7253, ""zh"", ""en"")"),"Organizational structure and operations")</f>
        <v>Organizational structure and operations</v>
      </c>
      <c r="C7253" s="1" t="str">
        <f ca="1">IFERROR(__xludf.DUMMYFUNCTION("GOOGLETRANSLATE(E7253, ""zh"", ""en"")"),"Qualitative text")</f>
        <v>Qualitative text</v>
      </c>
    </row>
    <row r="7254" spans="1:3" ht="13" x14ac:dyDescent="0.15">
      <c r="A7254" s="1" t="str">
        <f ca="1">IFERROR(__xludf.DUMMYFUNCTION("GOOGLETRANSLATE(A7254, ""zh"", ""en"")"),"The company fully leverages the role of the board's special committees, especially independent directors, and strengthens the supervisory role of independent directors and the audit committee to improve the overall level of corporate governance.")</f>
        <v>The company fully leverages the role of the board's special committees, especially independent directors, and strengthens the supervisory role of independent directors and the audit committee to improve the overall level of corporate governance.</v>
      </c>
      <c r="B7254" s="1" t="str">
        <f ca="1">IFERROR(__xludf.DUMMYFUNCTION("GOOGLETRANSLATE(A7254, ""zh"", ""en"")"),"Organizational structure and operations")</f>
        <v>Organizational structure and operations</v>
      </c>
      <c r="C7254" s="1" t="str">
        <f ca="1">IFERROR(__xludf.DUMMYFUNCTION("GOOGLETRANSLATE(E7254, ""zh"", ""en"")"),"Qualitative text")</f>
        <v>Qualitative text</v>
      </c>
    </row>
    <row r="7255" spans="1:3" ht="13" x14ac:dyDescent="0.15">
      <c r="A7255" s="1" t="str">
        <f ca="1">IFERROR(__xludf.DUMMYFUNCTION("GOOGLETRANSLATE(A7255, ""zh"", ""en"")"),"The company's board of directors has four special committees: Audit, Nomination, Compensation and Assessment, and Strategy and Decision-making. Two-thirds of the members of each special committee are independent directors.")</f>
        <v>The company's board of directors has four special committees: Audit, Nomination, Compensation and Assessment, and Strategy and Decision-making. Two-thirds of the members of each special committee are independent directors.</v>
      </c>
      <c r="B7255" s="1" t="str">
        <f ca="1">IFERROR(__xludf.DUMMYFUNCTION("GOOGLETRANSLATE(A7255, ""zh"", ""en"")"),"Organizational structure and operations")</f>
        <v>Organizational structure and operations</v>
      </c>
      <c r="C7255" s="1" t="str">
        <f ca="1">IFERROR(__xludf.DUMMYFUNCTION("GOOGLETRANSLATE(E7255, ""zh"", ""en"")"),"Quantitative Text")</f>
        <v>Quantitative Text</v>
      </c>
    </row>
    <row r="7256" spans="1:3" ht="13" x14ac:dyDescent="0.15">
      <c r="A7256" s="1" t="str">
        <f ca="1">IFERROR(__xludf.DUMMYFUNCTION("GOOGLETRANSLATE(A7256, ""zh"", ""en"")"),"The company's board of directors consists of an audit committee, a strategy committee, a nomination committee, and a compensation and assessment committee to assist the board of directors in making professional decisions and improving the quality of the c"&amp;"ompany's decision-making.")</f>
        <v>The company's board of directors consists of an audit committee, a strategy committee, a nomination committee, and a compensation and assessment committee to assist the board of directors in making professional decisions and improving the quality of the company's decision-making.</v>
      </c>
      <c r="B7256" s="1" t="str">
        <f ca="1">IFERROR(__xludf.DUMMYFUNCTION("GOOGLETRANSLATE(A7256, ""zh"", ""en"")"),"Organizational structure and operations")</f>
        <v>Organizational structure and operations</v>
      </c>
      <c r="C7256" s="1" t="str">
        <f ca="1">IFERROR(__xludf.DUMMYFUNCTION("GOOGLETRANSLATE(E7256, ""zh"", ""en"")"),"Qualitative text")</f>
        <v>Qualitative text</v>
      </c>
    </row>
    <row r="7257" spans="1:3" ht="13" x14ac:dyDescent="0.15">
      <c r="A7257" s="1" t="str">
        <f ca="1">IFERROR(__xludf.DUMMYFUNCTION("GOOGLETRANSLATE(A7257, ""zh"", ""en"")"),"The company's board of directors consists of a strategic development committee, a compensation and assessment committee, a nomination committee and an audit committee.")</f>
        <v>The company's board of directors consists of a strategic development committee, a compensation and assessment committee, a nomination committee and an audit committee.</v>
      </c>
      <c r="B7257" s="1" t="str">
        <f ca="1">IFERROR(__xludf.DUMMYFUNCTION("GOOGLETRANSLATE(A7257, ""zh"", ""en"")"),"Organizational structure and operations")</f>
        <v>Organizational structure and operations</v>
      </c>
      <c r="C7257" s="1" t="str">
        <f ca="1">IFERROR(__xludf.DUMMYFUNCTION("GOOGLETRANSLATE(E7257, ""zh"", ""en"")"),"Qualitative text")</f>
        <v>Qualitative text</v>
      </c>
    </row>
    <row r="7258" spans="1:3" ht="13" x14ac:dyDescent="0.15">
      <c r="A7258" s="1" t="str">
        <f ca="1">IFERROR(__xludf.DUMMYFUNCTION("GOOGLETRANSLATE(A7258, ""zh"", ""en"")"),"Each functional department and branch of the company performs its duties, forming an internal control system that cooperates with each other, checks and balances each other and operates effectively.")</f>
        <v>Each functional department and branch of the company performs its duties, forming an internal control system that cooperates with each other, checks and balances each other and operates effectively.</v>
      </c>
      <c r="B7258" s="1" t="str">
        <f ca="1">IFERROR(__xludf.DUMMYFUNCTION("GOOGLETRANSLATE(A7258, ""zh"", ""en"")"),"Organizational structure and operations")</f>
        <v>Organizational structure and operations</v>
      </c>
      <c r="C7258" s="1" t="str">
        <f ca="1">IFERROR(__xludf.DUMMYFUNCTION("GOOGLETRANSLATE(E7258, ""zh"", ""en"")"),"Qualitative text")</f>
        <v>Qualitative text</v>
      </c>
    </row>
    <row r="7259" spans="1:3" ht="13" x14ac:dyDescent="0.15">
      <c r="A7259" s="1" t="str">
        <f ca="1">IFERROR(__xludf.DUMMYFUNCTION("GOOGLETRANSLATE(A7259, ""zh"", ""en"")"),"The company has established a modern corporate governance system that is scientific, standardized, effectively checked and balanced, and efficiently operated, and operates in strict accordance with the governance structure of the general meeting of shareh"&amp;"olders, the board of directors, the board of supervisors, and the management.")</f>
        <v>The company has established a modern corporate governance system that is scientific, standardized, effectively checked and balanced, and efficiently operated, and operates in strict accordance with the governance structure of the general meeting of shareholders, the board of directors, the board of supervisors, and the management.</v>
      </c>
      <c r="B7259" s="1" t="str">
        <f ca="1">IFERROR(__xludf.DUMMYFUNCTION("GOOGLETRANSLATE(A7259, ""zh"", ""en"")"),"Organizational structure and operations")</f>
        <v>Organizational structure and operations</v>
      </c>
      <c r="C7259" s="1" t="str">
        <f ca="1">IFERROR(__xludf.DUMMYFUNCTION("GOOGLETRANSLATE(E7259, ""zh"", ""en"")"),"Qualitative text")</f>
        <v>Qualitative text</v>
      </c>
    </row>
    <row r="7260" spans="1:3" ht="13" x14ac:dyDescent="0.15">
      <c r="A7260" s="1" t="str">
        <f ca="1">IFERROR(__xludf.DUMMYFUNCTION("GOOGLETRANSLATE(A7260, ""zh"", ""en"")"),"The company has established a modern corporate governance structure consisting of the general meeting of shareholders, the board of directors, the board of supervisors, and the general manager. It has formed a governance mechanism in which the power organ"&amp;"s, decision-making bodies, supervisory bodies, and management levels have effective checks and balances, clear rights and responsibilities, and each performs its own duties, promoting the company's standardized governance and system construction.")</f>
        <v>The company has established a modern corporate governance structure consisting of the general meeting of shareholders, the board of directors, the board of supervisors, and the general manager. It has formed a governance mechanism in which the power organs, decision-making bodies, supervisory bodies, and management levels have effective checks and balances, clear rights and responsibilities, and each performs its own duties, promoting the company's standardized governance and system construction.</v>
      </c>
      <c r="B7260" s="1" t="str">
        <f ca="1">IFERROR(__xludf.DUMMYFUNCTION("GOOGLETRANSLATE(A7260, ""zh"", ""en"")"),"Organizational structure and operations")</f>
        <v>Organizational structure and operations</v>
      </c>
      <c r="C7260" s="1" t="str">
        <f ca="1">IFERROR(__xludf.DUMMYFUNCTION("GOOGLETRANSLATE(E7260, ""zh"", ""en"")"),"Qualitative text")</f>
        <v>Qualitative text</v>
      </c>
    </row>
    <row r="7261" spans="1:3" ht="13" x14ac:dyDescent="0.15">
      <c r="A7261" s="1" t="str">
        <f ca="1">IFERROR(__xludf.DUMMYFUNCTION("GOOGLETRANSLATE(A7261, ""zh"", ""en"")"),"The company has established a sound internal governance system to regulate the operation of the ""three committees and one layer"".")</f>
        <v>The company has established a sound internal governance system to regulate the operation of the "three committees and one layer".</v>
      </c>
      <c r="B7261" s="1" t="str">
        <f ca="1">IFERROR(__xludf.DUMMYFUNCTION("GOOGLETRANSLATE(A7261, ""zh"", ""en"")"),"Organizational structure and operations")</f>
        <v>Organizational structure and operations</v>
      </c>
      <c r="C7261" s="1" t="str">
        <f ca="1">IFERROR(__xludf.DUMMYFUNCTION("GOOGLETRANSLATE(E7261, ""zh"", ""en"")"),"Qualitative text")</f>
        <v>Qualitative text</v>
      </c>
    </row>
    <row r="7262" spans="1:3" ht="13" x14ac:dyDescent="0.15">
      <c r="A7262" s="1" t="str">
        <f ca="1">IFERROR(__xludf.DUMMYFUNCTION("GOOGLETRANSLATE(A7262, ""zh"", ""en"")"),"The company strictly follows the requirements of laws, regulations and relevant documents of securities regulatory authorities such as the Company Law, the Securities Law, the Governance Guidelines for Listed Companies, and the Shanghai Stock Exchange Lis"&amp;"ting Rules to improve the company's corporate governance structure and ensure the company's standardized operation.")</f>
        <v>The company strictly follows the requirements of laws, regulations and relevant documents of securities regulatory authorities such as the Company Law, the Securities Law, the Governance Guidelines for Listed Companies, and the Shanghai Stock Exchange Listing Rules to improve the company's corporate governance structure and ensure the company's standardized operation.</v>
      </c>
      <c r="B7262" s="1" t="str">
        <f ca="1">IFERROR(__xludf.DUMMYFUNCTION("GOOGLETRANSLATE(A7262, ""zh"", ""en"")"),"Organizational structure and operations")</f>
        <v>Organizational structure and operations</v>
      </c>
      <c r="C7262" s="1" t="str">
        <f ca="1">IFERROR(__xludf.DUMMYFUNCTION("GOOGLETRANSLATE(E7262, ""zh"", ""en"")"),"Qualitative text")</f>
        <v>Qualitative text</v>
      </c>
    </row>
    <row r="7263" spans="1:3" ht="13" x14ac:dyDescent="0.15">
      <c r="A7263" s="1" t="str">
        <f ca="1">IFERROR(__xludf.DUMMYFUNCTION("GOOGLETRANSLATE(A7263, ""zh"", ""en"")"),"The company strictly follows the Company Law, the Securities Law, the Code of Corporate Governance for Listed Companies and other laws and regulations as well as the requirements of the China Securities Regulatory Commission's documents on corporate gover"&amp;"nance, and continuously strengthens and improves its corporate governance structure and enhances its standardized operation level.")</f>
        <v>The company strictly follows the Company Law, the Securities Law, the Code of Corporate Governance for Listed Companies and other laws and regulations as well as the requirements of the China Securities Regulatory Commission's documents on corporate governance, and continuously strengthens and improves its corporate governance structure and enhances its standardized operation level.</v>
      </c>
      <c r="B7263" s="1" t="str">
        <f ca="1">IFERROR(__xludf.DUMMYFUNCTION("GOOGLETRANSLATE(A7263, ""zh"", ""en"")"),"Organizational structure and operations")</f>
        <v>Organizational structure and operations</v>
      </c>
      <c r="C7263" s="1" t="str">
        <f ca="1">IFERROR(__xludf.DUMMYFUNCTION("GOOGLETRANSLATE(E7263, ""zh"", ""en"")"),"Qualitative text")</f>
        <v>Qualitative text</v>
      </c>
    </row>
    <row r="7264" spans="1:3" ht="13" x14ac:dyDescent="0.15">
      <c r="A7264" s="1" t="str">
        <f ca="1">IFERROR(__xludf.DUMMYFUNCTION("GOOGLETRANSLATE(A7264, ""zh"", ""en"")"),"The company strictly follows the requirements of relevant laws and regulations such as the Company Law, the Securities Law, the Governance Guidelines for Listed Companies and the Shanghai Stock Exchange Listing Rules, and continuously improves the corpora"&amp;"te governance structure. The rights and responsibilities between the company's decision-making bodies, supervisory bodies and management are clearly defined, and operations are standardized.")</f>
        <v>The company strictly follows the requirements of relevant laws and regulations such as the Company Law, the Securities Law, the Governance Guidelines for Listed Companies and the Shanghai Stock Exchange Listing Rules, and continuously improves the corporate governance structure. The rights and responsibilities between the company's decision-making bodies, supervisory bodies and management are clearly defined, and operations are standardized.</v>
      </c>
      <c r="B7264" s="1" t="str">
        <f ca="1">IFERROR(__xludf.DUMMYFUNCTION("GOOGLETRANSLATE(A7264, ""zh"", ""en"")"),"Organizational structure and operations")</f>
        <v>Organizational structure and operations</v>
      </c>
      <c r="C7264" s="1" t="str">
        <f ca="1">IFERROR(__xludf.DUMMYFUNCTION("GOOGLETRANSLATE(E7264, ""zh"", ""en"")"),"Qualitative text")</f>
        <v>Qualitative text</v>
      </c>
    </row>
    <row r="7265" spans="1:3" ht="13" x14ac:dyDescent="0.15">
      <c r="A7265" s="1" t="str">
        <f ca="1">IFERROR(__xludf.DUMMYFUNCTION("GOOGLETRANSLATE(A7265, ""zh"", ""en"")"),"In strict accordance with the requirements of the modern enterprise system, the company has established a corporate governance structure consisting of the general meeting of shareholders, the board of directors, the board of supervisors and the management"&amp;" level. At the same time, the board of directors has set up special committees for strategy, nomination, audit, compensation and assessment, forming a governance mechanism with clear responsibilities and powers, mutual coordination and checks and balances"&amp;" among the power organs, decision-making organs, supervisory organs and executive organs, so as to effectively protect the legitimate rights and interests of the company and shareholders.")</f>
        <v>In strict accordance with the requirements of the modern enterprise system, the company has established a corporate governance structure consisting of the general meeting of shareholders, the board of directors, the board of supervisors and the management level. At the same time, the board of directors has set up special committees for strategy, nomination, audit, compensation and assessment, forming a governance mechanism with clear responsibilities and powers, mutual coordination and checks and balances among the power organs, decision-making organs, supervisory organs and executive organs, so as to effectively protect the legitimate rights and interests of the company and shareholders.</v>
      </c>
      <c r="B7265" s="1" t="str">
        <f ca="1">IFERROR(__xludf.DUMMYFUNCTION("GOOGLETRANSLATE(A7265, ""zh"", ""en"")"),"Organizational structure and operations")</f>
        <v>Organizational structure and operations</v>
      </c>
      <c r="C7265" s="1" t="str">
        <f ca="1">IFERROR(__xludf.DUMMYFUNCTION("GOOGLETRANSLATE(E7265, ""zh"", ""en"")"),"Qualitative text")</f>
        <v>Qualitative text</v>
      </c>
    </row>
    <row r="7266" spans="1:3" ht="13" x14ac:dyDescent="0.15">
      <c r="A7266" s="1" t="str">
        <f ca="1">IFERROR(__xludf.DUMMYFUNCTION("GOOGLETRANSLATE(A7266, ""zh"", ""en"")"),"The company strictly abides by the relevant laws and regulations such as the ""Company Law of the People's Republic of China"", ""Securities Law of the People's Republic of China"", ""Corporate Governance Guidelines for Listed Companies"", etc., and has e"&amp;"stablished an efficient and effective corporate governance structure consisting of shareholders' meetings, boards of directors, supervisory boards and senior management. It has formulated scientific and effective rules of procedure and work procedures to "&amp;"ensure that the company operates in a standardized and coordinated manner.")</f>
        <v>The company strictly abides by the relevant laws and regulations such as the "Company Law of the People's Republic of China", "Securities Law of the People's Republic of China", "Corporate Governance Guidelines for Listed Companies", etc., and has established an efficient and effective corporate governance structure consisting of shareholders' meetings, boards of directors, supervisory boards and senior management. It has formulated scientific and effective rules of procedure and work procedures to ensure that the company operates in a standardized and coordinated manner.</v>
      </c>
      <c r="B7266" s="1" t="str">
        <f ca="1">IFERROR(__xludf.DUMMYFUNCTION("GOOGLETRANSLATE(A7266, ""zh"", ""en"")"),"Organizational structure and operations")</f>
        <v>Organizational structure and operations</v>
      </c>
      <c r="C7266" s="1" t="str">
        <f ca="1">IFERROR(__xludf.DUMMYFUNCTION("GOOGLETRANSLATE(E7266, ""zh"", ""en"")"),"Qualitative text")</f>
        <v>Qualitative text</v>
      </c>
    </row>
    <row r="7267" spans="1:3" ht="13" x14ac:dyDescent="0.15">
      <c r="A7267" s="1" t="str">
        <f ca="1">IFERROR(__xludf.DUMMYFUNCTION("GOOGLETRANSLATE(A7267, ""zh"", ""en"")"),"The company has established a relatively complete corporate governance structure including shareholders' meetings, board of directors, board of supervisors and management level, and has established and improved relevant systems and rules of procedure for "&amp;"shareholders' meetings, board of directors, board of supervisors and independent directors.")</f>
        <v>The company has established a relatively complete corporate governance structure including shareholders' meetings, board of directors, board of supervisors and management level, and has established and improved relevant systems and rules of procedure for shareholders' meetings, board of directors, board of supervisors and independent directors.</v>
      </c>
      <c r="B7267" s="1" t="str">
        <f ca="1">IFERROR(__xludf.DUMMYFUNCTION("GOOGLETRANSLATE(A7267, ""zh"", ""en"")"),"Organizational structure and operations")</f>
        <v>Organizational structure and operations</v>
      </c>
      <c r="C7267" s="1" t="str">
        <f ca="1">IFERROR(__xludf.DUMMYFUNCTION("GOOGLETRANSLATE(E7267, ""zh"", ""en"")"),"Qualitative text")</f>
        <v>Qualitative text</v>
      </c>
    </row>
    <row r="7268" spans="1:3" ht="13" x14ac:dyDescent="0.15">
      <c r="A7268" s="1" t="str">
        <f ca="1">IFERROR(__xludf.DUMMYFUNCTION("GOOGLETRANSLATE(A7268, ""zh"", ""en"")"),"The general meeting of shareholders is the company's highest authority. The board of directors performs its duties in accordance with the articles of association and the resolutions of the general meeting of shareholders. The board of supervisors supervis"&amp;"es the board of directors, directors and senior management. The management is responsible for the company's daily operations in accordance with the resolutions of the board of directors.")</f>
        <v>The general meeting of shareholders is the company's highest authority. The board of directors performs its duties in accordance with the articles of association and the resolutions of the general meeting of shareholders. The board of supervisors supervises the board of directors, directors and senior management. The management is responsible for the company's daily operations in accordance with the resolutions of the board of directors.</v>
      </c>
      <c r="B7268" s="1" t="str">
        <f ca="1">IFERROR(__xludf.DUMMYFUNCTION("GOOGLETRANSLATE(A7268, ""zh"", ""en"")"),"Organizational structure and operations")</f>
        <v>Organizational structure and operations</v>
      </c>
      <c r="C7268" s="1" t="str">
        <f ca="1">IFERROR(__xludf.DUMMYFUNCTION("GOOGLETRANSLATE(E7268, ""zh"", ""en"")"),"Qualitative text")</f>
        <v>Qualitative text</v>
      </c>
    </row>
    <row r="7269" spans="1:3" ht="13" x14ac:dyDescent="0.15">
      <c r="A7269" s="1" t="str">
        <f ca="1">IFERROR(__xludf.DUMMYFUNCTION("GOOGLETRANSLATE(A7269, ""zh"", ""en"")"),"Haohua Technology started by revising the Party Committee's working rules and the company's articles of association, improving the corporate governance system, establishing and improving the Party Committee's rules of procedure and decision-making procedu"&amp;"res, and clarifying the Party Group's standardized corporate governance mechanism.")</f>
        <v>Haohua Technology started by revising the Party Committee's working rules and the company's articles of association, improving the corporate governance system, establishing and improving the Party Committee's rules of procedure and decision-making procedures, and clarifying the Party Group's standardized corporate governance mechanism.</v>
      </c>
      <c r="B7269" s="1" t="str">
        <f ca="1">IFERROR(__xludf.DUMMYFUNCTION("GOOGLETRANSLATE(A7269, ""zh"", ""en"")"),"Organizational structure and operations")</f>
        <v>Organizational structure and operations</v>
      </c>
      <c r="C7269" s="1" t="str">
        <f ca="1">IFERROR(__xludf.DUMMYFUNCTION("GOOGLETRANSLATE(E7269, ""zh"", ""en"")"),"Qualitative text")</f>
        <v>Qualitative text</v>
      </c>
    </row>
    <row r="7270" spans="1:3" ht="13" x14ac:dyDescent="0.15">
      <c r="A7270" s="1" t="str">
        <f ca="1">IFERROR(__xludf.DUMMYFUNCTION("GOOGLETRANSLATE(A7270, ""zh"", ""en"")"),"Independent directors account for two-thirds of the Audit Committee, Nomination Committee, and Remuneration and Appraisal Committee and serve as conveners.")</f>
        <v>Independent directors account for two-thirds of the Audit Committee, Nomination Committee, and Remuneration and Appraisal Committee and serve as conveners.</v>
      </c>
      <c r="B7270" s="1" t="str">
        <f ca="1">IFERROR(__xludf.DUMMYFUNCTION("GOOGLETRANSLATE(A7270, ""zh"", ""en"")"),"Organizational structure and operations")</f>
        <v>Organizational structure and operations</v>
      </c>
      <c r="C7270" s="1" t="str">
        <f ca="1">IFERROR(__xludf.DUMMYFUNCTION("GOOGLETRANSLATE(E7270, ""zh"", ""en"")"),"Quantitative Text")</f>
        <v>Quantitative Text</v>
      </c>
    </row>
    <row r="7271" spans="1:3" ht="13" x14ac:dyDescent="0.15">
      <c r="A7271" s="1" t="str">
        <f ca="1">IFERROR(__xludf.DUMMYFUNCTION("GOOGLETRANSLATE(A7271, ""zh"", ""en"")"),"Improve the term system and contractual management of the management team, stimulate vitality and motivation within the enterprise, improve the organizational structure, and build an efficient enterprise management system.")</f>
        <v>Improve the term system and contractual management of the management team, stimulate vitality and motivation within the enterprise, improve the organizational structure, and build an efficient enterprise management system.</v>
      </c>
      <c r="B7271" s="1" t="str">
        <f ca="1">IFERROR(__xludf.DUMMYFUNCTION("GOOGLETRANSLATE(A7271, ""zh"", ""en"")"),"Organizational structure and operations")</f>
        <v>Organizational structure and operations</v>
      </c>
      <c r="C7271" s="1" t="str">
        <f ca="1">IFERROR(__xludf.DUMMYFUNCTION("GOOGLETRANSLATE(E7271, ""zh"", ""en"")"),"Qualitative text")</f>
        <v>Qualitative text</v>
      </c>
    </row>
    <row r="7272" spans="1:3" ht="13" x14ac:dyDescent="0.15">
      <c r="A7272" s="1" t="str">
        <f ca="1">IFERROR(__xludf.DUMMYFUNCTION("GOOGLETRANSLATE(A7272, ""zh"", ""en"")"),"An operating mechanism has been formed with clear responsibilities and powers, standardized operations, mutual coordination and checks and balances among power bodies, decision-making bodies, supervisory bodies and management, providing organizational gua"&amp;"rantees for the company's efficient and stable operations.")</f>
        <v>An operating mechanism has been formed with clear responsibilities and powers, standardized operations, mutual coordination and checks and balances among power bodies, decision-making bodies, supervisory bodies and management, providing organizational guarantees for the company's efficient and stable operations.</v>
      </c>
      <c r="B7272" s="1" t="str">
        <f ca="1">IFERROR(__xludf.DUMMYFUNCTION("GOOGLETRANSLATE(A7272, ""zh"", ""en"")"),"Organizational structure and operations")</f>
        <v>Organizational structure and operations</v>
      </c>
      <c r="C7272" s="1" t="str">
        <f ca="1">IFERROR(__xludf.DUMMYFUNCTION("GOOGLETRANSLATE(E7272, ""zh"", ""en"")"),"Qualitative text")</f>
        <v>Qualitative text</v>
      </c>
    </row>
    <row r="7273" spans="1:3" ht="13" x14ac:dyDescent="0.15">
      <c r="A7273" s="1" t="str">
        <f ca="1">IFERROR(__xludf.DUMMYFUNCTION("GOOGLETRANSLATE(A7273, ""zh"", ""en"")"),"An operating mechanism has been formed among the power organs, decision-making organs, supervisory organs and management levels, with scientific decision-making, strong execution and effective supervision.")</f>
        <v>An operating mechanism has been formed among the power organs, decision-making organs, supervisory organs and management levels, with scientific decision-making, strong execution and effective supervision.</v>
      </c>
      <c r="B7273" s="1" t="str">
        <f ca="1">IFERROR(__xludf.DUMMYFUNCTION("GOOGLETRANSLATE(A7273, ""zh"", ""en"")"),"Organizational structure and operations")</f>
        <v>Organizational structure and operations</v>
      </c>
      <c r="C7273" s="1" t="str">
        <f ca="1">IFERROR(__xludf.DUMMYFUNCTION("GOOGLETRANSLATE(E7273, ""zh"", ""en"")"),"Qualitative text")</f>
        <v>Qualitative text</v>
      </c>
    </row>
    <row r="7274" spans="1:3" ht="13" x14ac:dyDescent="0.15">
      <c r="A7274" s="1" t="str">
        <f ca="1">IFERROR(__xludf.DUMMYFUNCTION("GOOGLETRANSLATE(A7274, ""zh"", ""en"")"),"We will optimize and adjust the plan to promote flatter and more efficient organizational structures, transform and upgrade to operational and profit-oriented ones, and divide operating and accounting units into smaller ones. We will continue to promote r"&amp;"esource integration, business collaboration, professional expertise, rotation activation, and three-dimensional services. We will further innovate and implement a new customer-centric regional management model, transform and upgrade the functions of regio"&amp;"nal branches to create regional advantages, optimize institutions and personnel to support the steady advancement of internationalization, and innovatively implement a new marketing and technology development model based on product segments.")</f>
        <v>We will optimize and adjust the plan to promote flatter and more efficient organizational structures, transform and upgrade to operational and profit-oriented ones, and divide operating and accounting units into smaller ones. We will continue to promote resource integration, business collaboration, professional expertise, rotation activation, and three-dimensional services. We will further innovate and implement a new customer-centric regional management model, transform and upgrade the functions of regional branches to create regional advantages, optimize institutions and personnel to support the steady advancement of internationalization, and innovatively implement a new marketing and technology development model based on product segments.</v>
      </c>
      <c r="B7274" s="1" t="str">
        <f ca="1">IFERROR(__xludf.DUMMYFUNCTION("GOOGLETRANSLATE(A7274, ""zh"", ""en"")"),"Organizational structure and operations")</f>
        <v>Organizational structure and operations</v>
      </c>
      <c r="C7274" s="1" t="str">
        <f ca="1">IFERROR(__xludf.DUMMYFUNCTION("GOOGLETRANSLATE(E7274, ""zh"", ""en"")"),"Qualitative text")</f>
        <v>Qualitative text</v>
      </c>
    </row>
    <row r="7275" spans="1:3" ht="13" x14ac:dyDescent="0.15">
      <c r="A7275" s="1" t="str">
        <f ca="1">IFERROR(__xludf.DUMMYFUNCTION("GOOGLETRANSLATE(A7275, ""zh"", ""en"")"),"The members of the special committees are all directors, among which independent directors constitute the majority and serve as conveners in the Audit Committee, Nomination Committee, and Remuneration and Appraisal Committee. The convener of the Audit Com"&amp;"mittee is an accounting professional.")</f>
        <v>The members of the special committees are all directors, among which independent directors constitute the majority and serve as conveners in the Audit Committee, Nomination Committee, and Remuneration and Appraisal Committee. The convener of the Audit Committee is an accounting professional.</v>
      </c>
      <c r="B7275" s="1" t="str">
        <f ca="1">IFERROR(__xludf.DUMMYFUNCTION("GOOGLETRANSLATE(A7275, ""zh"", ""en"")"),"Organizational structure and operations")</f>
        <v>Organizational structure and operations</v>
      </c>
      <c r="C7275" s="1" t="str">
        <f ca="1">IFERROR(__xludf.DUMMYFUNCTION("GOOGLETRANSLATE(E7275, ""zh"", ""en"")"),"Quantitative Text")</f>
        <v>Quantitative Text</v>
      </c>
    </row>
    <row r="7276" spans="1:3" ht="13" x14ac:dyDescent="0.15">
      <c r="A7276" s="1" t="str">
        <f ca="1">IFERROR(__xludf.DUMMYFUNCTION("GOOGLETRANSLATE(A7276, ""zh"", ""en"")"),"The company's directors, supervisors, senior management and other relevant personnel strictly abide by the information disclosure management system. No insiders have been found to use insider information to buy or sell the company's stocks, and no insider"&amp;"s have been investigated or punished by regulatory authorities for suspected insider trading.")</f>
        <v>The company's directors, supervisors, senior management and other relevant personnel strictly abide by the information disclosure management system. No insiders have been found to use insider information to buy or sell the company's stocks, and no insiders have been investigated or punished by regulatory authorities for suspected insider trading.</v>
      </c>
      <c r="B7276" s="1" t="str">
        <f ca="1">IFERROR(__xludf.DUMMYFUNCTION("GOOGLETRANSLATE(A7276, ""zh"", ""en"")"),"Organizational structure and operations")</f>
        <v>Organizational structure and operations</v>
      </c>
      <c r="C7276" s="1" t="str">
        <f ca="1">IFERROR(__xludf.DUMMYFUNCTION("GOOGLETRANSLATE(E7276, ""zh"", ""en"")"),"Quantitative Text")</f>
        <v>Quantitative Text</v>
      </c>
    </row>
    <row r="7277" spans="1:3" ht="13" x14ac:dyDescent="0.15">
      <c r="A7277" s="1" t="str">
        <f ca="1">IFERROR(__xludf.DUMMYFUNCTION("GOOGLETRANSLATE(A7277, ""zh"", ""en"")"),"The training organizes special training for directors, supervisors and senior management personnel, and invites experts from regulatory departments to authoritatively interpret the new Securities Law and the GEM registration system.")</f>
        <v>The training organizes special training for directors, supervisors and senior management personnel, and invites experts from regulatory departments to authoritatively interpret the new Securities Law and the GEM registration system.</v>
      </c>
      <c r="B7277" s="1" t="str">
        <f ca="1">IFERROR(__xludf.DUMMYFUNCTION("GOOGLETRANSLATE(A7277, ""zh"", ""en"")"),"Organizational structure and operations")</f>
        <v>Organizational structure and operations</v>
      </c>
      <c r="C7277" s="1" t="str">
        <f ca="1">IFERROR(__xludf.DUMMYFUNCTION("GOOGLETRANSLATE(E7277, ""zh"", ""en"")"),"Qualitative text")</f>
        <v>Qualitative text</v>
      </c>
    </row>
    <row r="7278" spans="1:3" ht="13" x14ac:dyDescent="0.15">
      <c r="A7278" s="1" t="str">
        <f ca="1">IFERROR(__xludf.DUMMYFUNCTION("GOOGLETRANSLATE(A7278, ""zh"", ""en"")"),"At the end of the reporting period, the number of major shareholders of the company accounted for 0.01%, and the shareholding ratio increased. The total shareholding ratio of directors, supervisors, and senior management (including major shareholders) was"&amp;" 36.89%.")</f>
        <v>At the end of the reporting period, the number of major shareholders of the company accounted for 0.01%, and the shareholding ratio increased. The total shareholding ratio of directors, supervisors, and senior management (including major shareholders) was 36.89%.</v>
      </c>
      <c r="B7278" s="1" t="str">
        <f ca="1">IFERROR(__xludf.DUMMYFUNCTION("GOOGLETRANSLATE(A7278, ""zh"", ""en"")"),"Organizational structure and operations")</f>
        <v>Organizational structure and operations</v>
      </c>
      <c r="C7278" s="1" t="str">
        <f ca="1">IFERROR(__xludf.DUMMYFUNCTION("GOOGLETRANSLATE(E7278, ""zh"", ""en"")"),"Quantitative Text")</f>
        <v>Quantitative Text</v>
      </c>
    </row>
    <row r="7279" spans="1:3" ht="13" x14ac:dyDescent="0.15">
      <c r="A7279" s="1" t="str">
        <f ca="1">IFERROR(__xludf.DUMMYFUNCTION("GOOGLETRANSLATE(A7279, ""zh"", ""en"")"),"In 2020, the company has authorized a total of 380 valid patents, including 97 invention patents.")</f>
        <v>In 2020, the company has authorized a total of 380 valid patents, including 97 invention patents.</v>
      </c>
      <c r="B7279" s="1" t="str">
        <f ca="1">IFERROR(__xludf.DUMMYFUNCTION("GOOGLETRANSLATE(A7279, ""zh"", ""en"")"),"Intellectual Property Protection")</f>
        <v>Intellectual Property Protection</v>
      </c>
      <c r="C7279" s="1" t="str">
        <f ca="1">IFERROR(__xludf.DUMMYFUNCTION("GOOGLETRANSLATE(E7279, ""zh"", ""en"")"),"Quantitative Text")</f>
        <v>Quantitative Text</v>
      </c>
    </row>
    <row r="7280" spans="1:3" ht="13" x14ac:dyDescent="0.15">
      <c r="A7280" s="1" t="str">
        <f ca="1">IFERROR(__xludf.DUMMYFUNCTION("GOOGLETRANSLATE(A7280, ""zh"", ""en"")"),"In 2022, the company applied for a total of 35 patents, including 12 invention patents and 23 utility model patents.")</f>
        <v>In 2022, the company applied for a total of 35 patents, including 12 invention patents and 23 utility model patents.</v>
      </c>
      <c r="B7280" s="1" t="str">
        <f ca="1">IFERROR(__xludf.DUMMYFUNCTION("GOOGLETRANSLATE(A7280, ""zh"", ""en"")"),"Intellectual Property Protection")</f>
        <v>Intellectual Property Protection</v>
      </c>
      <c r="C7280" s="1" t="str">
        <f ca="1">IFERROR(__xludf.DUMMYFUNCTION("GOOGLETRANSLATE(E7280, ""zh"", ""en"")"),"Quantitative Text")</f>
        <v>Quantitative Text</v>
      </c>
    </row>
    <row r="7281" spans="1:3" ht="13" x14ac:dyDescent="0.15">
      <c r="A7281" s="1" t="str">
        <f ca="1">IFERROR(__xludf.DUMMYFUNCTION("GOOGLETRANSLATE(A7281, ""zh"", ""en"")"),"The Company is committed to continuously improving its intellectual property management system. By formulating the ""Intellectual Property Management Measures"", it continuously strengthens the Company's intellectual property management level and enhances"&amp;" employees' awareness of intellectual property protection.")</f>
        <v>The Company is committed to continuously improving its intellectual property management system. By formulating the "Intellectual Property Management Measures", it continuously strengthens the Company's intellectual property management level and enhances employees' awareness of intellectual property protection.</v>
      </c>
      <c r="B7281" s="1" t="str">
        <f ca="1">IFERROR(__xludf.DUMMYFUNCTION("GOOGLETRANSLATE(A7281, ""zh"", ""en"")"),"Intellectual Property Protection")</f>
        <v>Intellectual Property Protection</v>
      </c>
      <c r="C7281" s="1" t="str">
        <f ca="1">IFERROR(__xludf.DUMMYFUNCTION("GOOGLETRANSLATE(E7281, ""zh"", ""en"")"),"Qualitative text")</f>
        <v>Qualitative text</v>
      </c>
    </row>
    <row r="7282" spans="1:3" ht="13" x14ac:dyDescent="0.15">
      <c r="A7282" s="1" t="str">
        <f ca="1">IFERROR(__xludf.DUMMYFUNCTION("GOOGLETRANSLATE(A7282, ""zh"", ""en"")"),"In addition, the company pays attention to avoiding infringement of external intellectual property rights and requires all units to strictly control the copyright ownership of the materials used in daily operations and external publicity, and never use ma"&amp;"terials without copyright or with unclear ownership.")</f>
        <v>In addition, the company pays attention to avoiding infringement of external intellectual property rights and requires all units to strictly control the copyright ownership of the materials used in daily operations and external publicity, and never use materials without copyright or with unclear ownership.</v>
      </c>
      <c r="B7282" s="1" t="str">
        <f ca="1">IFERROR(__xludf.DUMMYFUNCTION("GOOGLETRANSLATE(A7282, ""zh"", ""en"")"),"Intellectual Property Protection")</f>
        <v>Intellectual Property Protection</v>
      </c>
      <c r="C7282" s="1" t="str">
        <f ca="1">IFERROR(__xludf.DUMMYFUNCTION("GOOGLETRANSLATE(E7282, ""zh"", ""en"")"),"Qualitative text")</f>
        <v>Qualitative text</v>
      </c>
    </row>
    <row r="7283" spans="1:3" ht="13" x14ac:dyDescent="0.15">
      <c r="A7283" s="1" t="str">
        <f ca="1">IFERROR(__xludf.DUMMYFUNCTION("GOOGLETRANSLATE(A7283, ""zh"", ""en"")"),"To protect the company's intellectual property rights, the company actively cooperates with relevant government regulatory departments to crack down on infringing and counterfeiting companies. At the same time, it collaborates with professional institutio"&amp;"ns to launch anti-infringement lawsuits to effectively maintain the company's brand image and the market order of its leading products.")</f>
        <v>To protect the company's intellectual property rights, the company actively cooperates with relevant government regulatory departments to crack down on infringing and counterfeiting companies. At the same time, it collaborates with professional institutions to launch anti-infringement lawsuits to effectively maintain the company's brand image and the market order of its leading products.</v>
      </c>
      <c r="B7283" s="1" t="str">
        <f ca="1">IFERROR(__xludf.DUMMYFUNCTION("GOOGLETRANSLATE(A7283, ""zh"", ""en"")"),"Intellectual Property Protection")</f>
        <v>Intellectual Property Protection</v>
      </c>
      <c r="C7283" s="1" t="str">
        <f ca="1">IFERROR(__xludf.DUMMYFUNCTION("GOOGLETRANSLATE(E7283, ""zh"", ""en"")"),"Qualitative text")</f>
        <v>Qualitative text</v>
      </c>
    </row>
    <row r="7284" spans="1:3" ht="13" x14ac:dyDescent="0.15">
      <c r="A7284" s="1" t="str">
        <f ca="1">IFERROR(__xludf.DUMMYFUNCTION("GOOGLETRANSLATE(A7284, ""zh"", ""en"")"),"The company has established an intellectual property leadership group, with the chairman as the leader. As the leading body for intellectual property work, the group is responsible for the macro-management of the company's intellectual property rights. Th"&amp;"e president's office is responsible for the daily affairs of the company's intellectual property management.")</f>
        <v>The company has established an intellectual property leadership group, with the chairman as the leader. As the leading body for intellectual property work, the group is responsible for the macro-management of the company's intellectual property rights. The president's office is responsible for the daily affairs of the company's intellectual property management.</v>
      </c>
      <c r="B7284" s="1" t="str">
        <f ca="1">IFERROR(__xludf.DUMMYFUNCTION("GOOGLETRANSLATE(A7284, ""zh"", ""en"")"),"Intellectual Property Protection")</f>
        <v>Intellectual Property Protection</v>
      </c>
      <c r="C7284" s="1" t="str">
        <f ca="1">IFERROR(__xludf.DUMMYFUNCTION("GOOGLETRANSLATE(E7284, ""zh"", ""en"")"),"Qualitative text")</f>
        <v>Qualitative text</v>
      </c>
    </row>
    <row r="7285" spans="1:3" ht="13" x14ac:dyDescent="0.15">
      <c r="A7285" s="1" t="str">
        <f ca="1">IFERROR(__xludf.DUMMYFUNCTION("GOOGLETRANSLATE(A7285, ""zh"", ""en"")"),"The company attaches great importance to intellectual property protection, strictly abides by the requirements of laws and regulations, formulates management measures such as the ""Intellectual Property Confidentiality System"" and the ""Intellectual Prop"&amp;"erty Manual"", standardizes the management and protection of intellectual property rights such as patents and copyrights, and continuously improves the intellectual property protection system covering patents, trademarks, copyrights and other contents.")</f>
        <v>The company attaches great importance to intellectual property protection, strictly abides by the requirements of laws and regulations, formulates management measures such as the "Intellectual Property Confidentiality System" and the "Intellectual Property Manual", standardizes the management and protection of intellectual property rights such as patents and copyrights, and continuously improves the intellectual property protection system covering patents, trademarks, copyrights and other contents.</v>
      </c>
      <c r="B7285" s="1" t="str">
        <f ca="1">IFERROR(__xludf.DUMMYFUNCTION("GOOGLETRANSLATE(A7285, ""zh"", ""en"")"),"Intellectual Property Protection")</f>
        <v>Intellectual Property Protection</v>
      </c>
      <c r="C7285" s="1" t="str">
        <f ca="1">IFERROR(__xludf.DUMMYFUNCTION("GOOGLETRANSLATE(E7285, ""zh"", ""en"")"),"Qualitative text")</f>
        <v>Qualitative text</v>
      </c>
    </row>
    <row r="7286" spans="1:3" ht="13" x14ac:dyDescent="0.15">
      <c r="A7286" s="1" t="str">
        <f ca="1">IFERROR(__xludf.DUMMYFUNCTION("GOOGLETRANSLATE(A7286, ""zh"", ""en"")"),"The company attaches great importance to intellectual property protection. Based on the Trademark Law of the People's Republic of China, the Patent Law of the People's Republic of China and other laws and regulations, the company has formulated internal r"&amp;"ules and regulations such as the Intellectual Property Management Measures, the Trademark Management Measures, the Research and Development Management Measures, and the Patent Management Measures to regulate the management of the company's trademarks, pat"&amp;"ents, copyrights, etc., and effectively support the company.")</f>
        <v>The company attaches great importance to intellectual property protection. Based on the Trademark Law of the People's Republic of China, the Patent Law of the People's Republic of China and other laws and regulations, the company has formulated internal rules and regulations such as the Intellectual Property Management Measures, the Trademark Management Measures, the Research and Development Management Measures, and the Patent Management Measures to regulate the management of the company's trademarks, patents, copyrights, etc., and effectively support the company.</v>
      </c>
      <c r="B7286" s="1" t="str">
        <f ca="1">IFERROR(__xludf.DUMMYFUNCTION("GOOGLETRANSLATE(A7286, ""zh"", ""en"")"),"Intellectual Property Protection")</f>
        <v>Intellectual Property Protection</v>
      </c>
      <c r="C7286" s="1" t="str">
        <f ca="1">IFERROR(__xludf.DUMMYFUNCTION("GOOGLETRANSLATE(E7286, ""zh"", ""en"")"),"Qualitative text")</f>
        <v>Qualitative text</v>
      </c>
    </row>
    <row r="7287" spans="1:3" ht="13" x14ac:dyDescent="0.15">
      <c r="A7287" s="1" t="str">
        <f ca="1">IFERROR(__xludf.DUMMYFUNCTION("GOOGLETRANSLATE(A7287, ""zh"", ""en"")"),"The company regulates the management of internal intellectual property exchange and sharing, external intellectual property management, and corporate intellectual property asset management. Through the collection and organization of intellectual property "&amp;"information and materials by various departments, an inventory of intellectual property assets is formed to ensure that operations do not infringe upon the company's or individuals' patents, copyrights, or other intellectual property rights.")</f>
        <v>The company regulates the management of internal intellectual property exchange and sharing, external intellectual property management, and corporate intellectual property asset management. Through the collection and organization of intellectual property information and materials by various departments, an inventory of intellectual property assets is formed to ensure that operations do not infringe upon the company's or individuals' patents, copyrights, or other intellectual property rights.</v>
      </c>
      <c r="B7287" s="1" t="str">
        <f ca="1">IFERROR(__xludf.DUMMYFUNCTION("GOOGLETRANSLATE(A7287, ""zh"", ""en"")"),"Intellectual Property Protection")</f>
        <v>Intellectual Property Protection</v>
      </c>
      <c r="C7287" s="1" t="str">
        <f ca="1">IFERROR(__xludf.DUMMYFUNCTION("GOOGLETRANSLATE(E7287, ""zh"", ""en"")"),"Qualitative text")</f>
        <v>Qualitative text</v>
      </c>
    </row>
    <row r="7288" spans="1:3" ht="13" x14ac:dyDescent="0.15">
      <c r="A7288" s="1" t="str">
        <f ca="1">IFERROR(__xludf.DUMMYFUNCTION("GOOGLETRANSLATE(A7288, ""zh"", ""en"")"),"The company actively implements software legalization requirements and purchases software, fonts, and images with intellectual property rights.")</f>
        <v>The company actively implements software legalization requirements and purchases software, fonts, and images with intellectual property rights.</v>
      </c>
      <c r="B7288" s="1" t="str">
        <f ca="1">IFERROR(__xludf.DUMMYFUNCTION("GOOGLETRANSLATE(A7288, ""zh"", ""en"")"),"Intellectual Property Protection")</f>
        <v>Intellectual Property Protection</v>
      </c>
      <c r="C7288" s="1" t="str">
        <f ca="1">IFERROR(__xludf.DUMMYFUNCTION("GOOGLETRANSLATE(E7288, ""zh"", ""en"")"),"Qualitative text")</f>
        <v>Qualitative text</v>
      </c>
    </row>
    <row r="7289" spans="1:3" ht="13" x14ac:dyDescent="0.15">
      <c r="A7289" s="1" t="str">
        <f ca="1">IFERROR(__xludf.DUMMYFUNCTION("GOOGLETRANSLATE(A7289, ""zh"", ""en"")"),"The company adheres to the principle of ""respecting the intellectual property rights of others and protecting its own intellectual property rights"", attaches great importance to intellectual property protection, and has set up a full-time team to be res"&amp;"ponsible for patent work.")</f>
        <v>The company adheres to the principle of "respecting the intellectual property rights of others and protecting its own intellectual property rights", attaches great importance to intellectual property protection, and has set up a full-time team to be responsible for patent work.</v>
      </c>
      <c r="B7289" s="1" t="str">
        <f ca="1">IFERROR(__xludf.DUMMYFUNCTION("GOOGLETRANSLATE(A7289, ""zh"", ""en"")"),"Intellectual Property Protection")</f>
        <v>Intellectual Property Protection</v>
      </c>
      <c r="C7289" s="1" t="str">
        <f ca="1">IFERROR(__xludf.DUMMYFUNCTION("GOOGLETRANSLATE(E7289, ""zh"", ""en"")"),"Qualitative text")</f>
        <v>Qualitative text</v>
      </c>
    </row>
    <row r="7290" spans="1:3" ht="13" x14ac:dyDescent="0.15">
      <c r="A7290" s="1" t="str">
        <f ca="1">IFERROR(__xludf.DUMMYFUNCTION("GOOGLETRANSLATE(A7290, ""zh"", ""en"")"),"The company has established a knowledge company and a patent work leadership group, which is led by the general intellectual property early warning mechanism, and focuses on overseas markets and industry engineers, who are personally in charge of patent w"&amp;"ork.")</f>
        <v>The company has established a knowledge company and a patent work leadership group, which is led by the general intellectual property early warning mechanism, and focuses on overseas markets and industry engineers, who are personally in charge of patent work.</v>
      </c>
      <c r="B7290" s="1" t="str">
        <f ca="1">IFERROR(__xludf.DUMMYFUNCTION("GOOGLETRANSLATE(A7290, ""zh"", ""en"")"),"Intellectual Property Protection")</f>
        <v>Intellectual Property Protection</v>
      </c>
      <c r="C7290" s="1" t="str">
        <f ca="1">IFERROR(__xludf.DUMMYFUNCTION("GOOGLETRANSLATE(E7290, ""zh"", ""en"")"),"Qualitative text")</f>
        <v>Qualitative text</v>
      </c>
    </row>
    <row r="7291" spans="1:3" ht="13" x14ac:dyDescent="0.15">
      <c r="A7291" s="1" t="str">
        <f ca="1">IFERROR(__xludf.DUMMYFUNCTION("GOOGLETRANSLATE(A7291, ""zh"", ""en"")"),"The company combines laws and regulations with reference to industry norms to implement full-process management of intellectual property rights, including application-registration-submission for review-use-maintenance, supervises its implementation, and r"&amp;"egularly reviews the effectiveness of the intellectual property management system.")</f>
        <v>The company combines laws and regulations with reference to industry norms to implement full-process management of intellectual property rights, including application-registration-submission for review-use-maintenance, supervises its implementation, and regularly reviews the effectiveness of the intellectual property management system.</v>
      </c>
      <c r="B7291" s="1" t="str">
        <f ca="1">IFERROR(__xludf.DUMMYFUNCTION("GOOGLETRANSLATE(A7291, ""zh"", ""en"")"),"Intellectual Property Protection")</f>
        <v>Intellectual Property Protection</v>
      </c>
      <c r="C7291" s="1" t="str">
        <f ca="1">IFERROR(__xludf.DUMMYFUNCTION("GOOGLETRANSLATE(E7291, ""zh"", ""en"")"),"Qualitative text")</f>
        <v>Qualitative text</v>
      </c>
    </row>
    <row r="7292" spans="1:3" ht="13" x14ac:dyDescent="0.15">
      <c r="A7292" s="1" t="str">
        <f ca="1">IFERROR(__xludf.DUMMYFUNCTION("GOOGLETRANSLATE(A7292, ""zh"", ""en"")"),"The company strictly abides by the Trademark Law of the People's Republic of China, the Patent Law of the People's Republic of China and other laws and regulations, continues to implement the ""Company Intellectual Property Management Measures"" and other"&amp;" rules and regulations, standardizes the application and use of intellectual property rights, and avoids infringing on the intellectual property rights of others while protecting its own intellectual property rights.")</f>
        <v>The company strictly abides by the Trademark Law of the People's Republic of China, the Patent Law of the People's Republic of China and other laws and regulations, continues to implement the "Company Intellectual Property Management Measures" and other rules and regulations, standardizes the application and use of intellectual property rights, and avoids infringing on the intellectual property rights of others while protecting its own intellectual property rights.</v>
      </c>
      <c r="B7292" s="1" t="str">
        <f ca="1">IFERROR(__xludf.DUMMYFUNCTION("GOOGLETRANSLATE(A7292, ""zh"", ""en"")"),"Intellectual Property Protection")</f>
        <v>Intellectual Property Protection</v>
      </c>
      <c r="C7292" s="1" t="str">
        <f ca="1">IFERROR(__xludf.DUMMYFUNCTION("GOOGLETRANSLATE(E7292, ""zh"", ""en"")"),"Qualitative text")</f>
        <v>Qualitative text</v>
      </c>
    </row>
    <row r="7293" spans="1:3" ht="13" x14ac:dyDescent="0.15">
      <c r="A7293" s="1" t="str">
        <f ca="1">IFERROR(__xludf.DUMMYFUNCTION("GOOGLETRANSLATE(A7293, ""zh"", ""en"")"),"The company's Intellectual Property Department coordinates the management and operation of intellectual property rights, and guides and assists the intellectual property work of its subsidiaries through liaison officers.")</f>
        <v>The company's Intellectual Property Department coordinates the management and operation of intellectual property rights, and guides and assists the intellectual property work of its subsidiaries through liaison officers.</v>
      </c>
      <c r="B7293" s="1" t="str">
        <f ca="1">IFERROR(__xludf.DUMMYFUNCTION("GOOGLETRANSLATE(A7293, ""zh"", ""en"")"),"Intellectual Property Protection")</f>
        <v>Intellectual Property Protection</v>
      </c>
      <c r="C7293" s="1" t="str">
        <f ca="1">IFERROR(__xludf.DUMMYFUNCTION("GOOGLETRANSLATE(E7293, ""zh"", ""en"")"),"Qualitative text")</f>
        <v>Qualitative text</v>
      </c>
    </row>
    <row r="7294" spans="1:3" ht="13" x14ac:dyDescent="0.15">
      <c r="A7294" s="1" t="str">
        <f ca="1">IFERROR(__xludf.DUMMYFUNCTION("GOOGLETRANSLATE(A7294, ""zh"", ""en"")"),"The company focuses on training and education on intellectual property protection for R&amp;D and management personnel, and conducts inspections and re-education on an irregular basis to strengthen employees' awareness of intellectual property protection and "&amp;"risk management.")</f>
        <v>The company focuses on training and education on intellectual property protection for R&amp;D and management personnel, and conducts inspections and re-education on an irregular basis to strengthen employees' awareness of intellectual property protection and risk management.</v>
      </c>
      <c r="B7294" s="1" t="str">
        <f ca="1">IFERROR(__xludf.DUMMYFUNCTION("GOOGLETRANSLATE(A7294, ""zh"", ""en"")"),"Intellectual Property Protection")</f>
        <v>Intellectual Property Protection</v>
      </c>
      <c r="C7294" s="1" t="str">
        <f ca="1">IFERROR(__xludf.DUMMYFUNCTION("GOOGLETRANSLATE(E7294, ""zh"", ""en"")"),"Qualitative text")</f>
        <v>Qualitative text</v>
      </c>
    </row>
    <row r="7295" spans="1:3" ht="13" x14ac:dyDescent="0.15">
      <c r="A7295" s="1" t="str">
        <f ca="1">IFERROR(__xludf.DUMMYFUNCTION("GOOGLETRANSLATE(A7295, ""zh"", ""en"")"),"The company respects intellectual property rights, strictly abides by relevant laws and regulations such as the Patent Law and the Anti-Unfair Competition Law, formulates internal rules and regulations such as the Intellectual Property Management System, "&amp;"and obtains the GB/T29490 Intellectual Property Management System.")</f>
        <v>The company respects intellectual property rights, strictly abides by relevant laws and regulations such as the Patent Law and the Anti-Unfair Competition Law, formulates internal rules and regulations such as the Intellectual Property Management System, and obtains the GB/T29490 Intellectual Property Management System.</v>
      </c>
      <c r="B7295" s="1" t="str">
        <f ca="1">IFERROR(__xludf.DUMMYFUNCTION("GOOGLETRANSLATE(A7295, ""zh"", ""en"")"),"Intellectual Property Protection")</f>
        <v>Intellectual Property Protection</v>
      </c>
      <c r="C7295" s="1" t="str">
        <f ca="1">IFERROR(__xludf.DUMMYFUNCTION("GOOGLETRANSLATE(E7295, ""zh"", ""en"")"),"Quantitative Text")</f>
        <v>Quantitative Text</v>
      </c>
    </row>
    <row r="7296" spans="1:3" ht="13" x14ac:dyDescent="0.15">
      <c r="A7296" s="1" t="str">
        <f ca="1">IFERROR(__xludf.DUMMYFUNCTION("GOOGLETRANSLATE(A7296, ""zh"", ""en"")"),"It has won 15 scientific and technological awards at the provincial level and above, and owns 660 intellectual property rights including invention patents, utility model patents, design patents, software copyrights, etc. It is a national intellectual prop"&amp;"erty advantage enterprise.")</f>
        <v>It has won 15 scientific and technological awards at the provincial level and above, and owns 660 intellectual property rights including invention patents, utility model patents, design patents, software copyrights, etc. It is a national intellectual property advantage enterprise.</v>
      </c>
      <c r="B7296" s="1" t="str">
        <f ca="1">IFERROR(__xludf.DUMMYFUNCTION("GOOGLETRANSLATE(A7296, ""zh"", ""en"")"),"Intellectual Property Protection")</f>
        <v>Intellectual Property Protection</v>
      </c>
      <c r="C7296" s="1" t="str">
        <f ca="1">IFERROR(__xludf.DUMMYFUNCTION("GOOGLETRANSLATE(E7296, ""zh"", ""en"")"),"Quantitative Text")</f>
        <v>Quantitative Text</v>
      </c>
    </row>
    <row r="7297" spans="1:3" ht="13" x14ac:dyDescent="0.15">
      <c r="A7297" s="1" t="str">
        <f ca="1">IFERROR(__xludf.DUMMYFUNCTION("GOOGLETRANSLATE(A7297, ""zh"", ""en"")"),"Based on the company's excellent work in intellectual property creation, application, protection and management, Loongson Technology was named a National Intellectual Property Demonstration Enterprise in 2022.")</f>
        <v>Based on the company's excellent work in intellectual property creation, application, protection and management, Loongson Technology was named a National Intellectual Property Demonstration Enterprise in 2022.</v>
      </c>
      <c r="B7297" s="1" t="str">
        <f ca="1">IFERROR(__xludf.DUMMYFUNCTION("GOOGLETRANSLATE(A7297, ""zh"", ""en"")"),"Intellectual Property Protection")</f>
        <v>Intellectual Property Protection</v>
      </c>
      <c r="C7297" s="1" t="str">
        <f ca="1">IFERROR(__xludf.DUMMYFUNCTION("GOOGLETRANSLATE(E7297, ""zh"", ""en"")"),"Quantitative Text")</f>
        <v>Quantitative Text</v>
      </c>
    </row>
    <row r="7298" spans="1:3" ht="13" x14ac:dyDescent="0.15">
      <c r="A7298" s="1" t="str">
        <f ca="1">IFERROR(__xludf.DUMMYFUNCTION("GOOGLETRANSLATE(A7298, ""zh"", ""en"")"),"That is to protect innovation. Haili Group strictly abides by the ""Patent Law of the People's Republic of China"", ""Trademark Law of the People's Republic of China"", ""Copyright Law of the People's Republic of China"" and other intellectual property pr"&amp;"otection laws and regulations, and thoroughly implements the ""Outline for Building a Powerful Intellectual Property Country (2021-2035)"", adheres to the patent principles of ""no infringement, no infringement"" and ""originality and uniqueness, co-creat"&amp;"ion and sharing"", strengthens corporate intellectual property protection and high-quality patent cultivation incentives, improves Haili's intellectual property work level, and releases the vitality of intellectual property innovation.")</f>
        <v>That is to protect innovation. Haili Group strictly abides by the "Patent Law of the People's Republic of China", "Trademark Law of the People's Republic of China", "Copyright Law of the People's Republic of China" and other intellectual property protection laws and regulations, and thoroughly implements the "Outline for Building a Powerful Intellectual Property Country (2021-2035)", adheres to the patent principles of "no infringement, no infringement" and "originality and uniqueness, co-creation and sharing", strengthens corporate intellectual property protection and high-quality patent cultivation incentives, improves Haili's intellectual property work level, and releases the vitality of intellectual property innovation.</v>
      </c>
      <c r="B7298" s="1" t="str">
        <f ca="1">IFERROR(__xludf.DUMMYFUNCTION("GOOGLETRANSLATE(A7298, ""zh"", ""en"")"),"Intellectual Property Protection")</f>
        <v>Intellectual Property Protection</v>
      </c>
      <c r="C7298" s="1" t="str">
        <f ca="1">IFERROR(__xludf.DUMMYFUNCTION("GOOGLETRANSLATE(E7298, ""zh"", ""en"")"),"Qualitative text")</f>
        <v>Qualitative text</v>
      </c>
    </row>
    <row r="7299" spans="1:3" ht="13" x14ac:dyDescent="0.15">
      <c r="A7299" s="1" t="str">
        <f ca="1">IFERROR(__xludf.DUMMYFUNCTION("GOOGLETRANSLATE(A7299, ""zh"", ""en"")"),"It has obtained 3 invention patent authorizations, 4 utility model patent authorizations, and 6 integrated circuit design layout rights.")</f>
        <v>It has obtained 3 invention patent authorizations, 4 utility model patent authorizations, and 6 integrated circuit design layout rights.</v>
      </c>
      <c r="B7299" s="1" t="str">
        <f ca="1">IFERROR(__xludf.DUMMYFUNCTION("GOOGLETRANSLATE(A7299, ""zh"", ""en"")"),"Intellectual Property Protection")</f>
        <v>Intellectual Property Protection</v>
      </c>
      <c r="C7299" s="1" t="str">
        <f ca="1">IFERROR(__xludf.DUMMYFUNCTION("GOOGLETRANSLATE(E7299, ""zh"", ""en"")"),"Quantitative Text")</f>
        <v>Quantitative Text</v>
      </c>
    </row>
    <row r="7300" spans="1:3" ht="13" x14ac:dyDescent="0.15">
      <c r="A7300" s="1" t="str">
        <f ca="1">IFERROR(__xludf.DUMMYFUNCTION("GOOGLETRANSLATE(A7300, ""zh"", ""en"")"),"By adjusting the focus of intellectual property management, a significant increase in the number of PCT patents and patent award finalists has been achieved, promoting the transformation of intellectual property management from large quantity to high qual"&amp;"ity.")</f>
        <v>By adjusting the focus of intellectual property management, a significant increase in the number of PCT patents and patent award finalists has been achieved, promoting the transformation of intellectual property management from large quantity to high quality.</v>
      </c>
      <c r="B7300" s="1" t="str">
        <f ca="1">IFERROR(__xludf.DUMMYFUNCTION("GOOGLETRANSLATE(A7300, ""zh"", ""en"")"),"Intellectual Property Protection")</f>
        <v>Intellectual Property Protection</v>
      </c>
      <c r="C7300" s="1" t="str">
        <f ca="1">IFERROR(__xludf.DUMMYFUNCTION("GOOGLETRANSLATE(E7300, ""zh"", ""en"")"),"Qualitative text")</f>
        <v>Qualitative text</v>
      </c>
    </row>
    <row r="7301" spans="1:3" ht="13" x14ac:dyDescent="0.15">
      <c r="A7301" s="1" t="str">
        <f ca="1">IFERROR(__xludf.DUMMYFUNCTION("GOOGLETRANSLATE(A7301, ""zh"", ""en"")"),"By strengthening the management of trademark, copyright, and design patent registration, we strictly crack down on trademark squatting or ""copycat"" behavior and actively safeguard the rights and interests of our company.")</f>
        <v>By strengthening the management of trademark, copyright, and design patent registration, we strictly crack down on trademark squatting or "copycat" behavior and actively safeguard the rights and interests of our company.</v>
      </c>
      <c r="B7301" s="1" t="str">
        <f ca="1">IFERROR(__xludf.DUMMYFUNCTION("GOOGLETRANSLATE(A7301, ""zh"", ""en"")"),"Intellectual Property Protection")</f>
        <v>Intellectual Property Protection</v>
      </c>
      <c r="C7301" s="1" t="str">
        <f ca="1">IFERROR(__xludf.DUMMYFUNCTION("GOOGLETRANSLATE(E7301, ""zh"", ""en"")"),"Qualitative text")</f>
        <v>Qualitative text</v>
      </c>
    </row>
    <row r="7302" spans="1:3" ht="13" x14ac:dyDescent="0.15">
      <c r="A7302" s="1" t="str">
        <f ca="1">IFERROR(__xludf.DUMMYFUNCTION("GOOGLETRANSLATE(A7302, ""zh"", ""en"")"),"Through human and financial investment, we will accelerate the output of patent results and actively expand the channels for the transformation of intellectual property rights.")</f>
        <v>Through human and financial investment, we will accelerate the output of patent results and actively expand the channels for the transformation of intellectual property rights.</v>
      </c>
      <c r="B7302" s="1" t="str">
        <f ca="1">IFERROR(__xludf.DUMMYFUNCTION("GOOGLETRANSLATE(A7302, ""zh"", ""en"")"),"Intellectual Property Protection")</f>
        <v>Intellectual Property Protection</v>
      </c>
      <c r="C7302" s="1" t="str">
        <f ca="1">IFERROR(__xludf.DUMMYFUNCTION("GOOGLETRANSLATE(E7302, ""zh"", ""en"")"),"Qualitative text")</f>
        <v>Qualitative text</v>
      </c>
    </row>
    <row r="7303" spans="1:3" ht="13" x14ac:dyDescent="0.15">
      <c r="A7303" s="1" t="str">
        <f ca="1">IFERROR(__xludf.DUMMYFUNCTION("GOOGLETRANSLATE(A7303, ""zh"", ""en"")"),"At the same time, the company attaches great importance to the protection of intellectual property rights and trade secrets. In combination with the ""Enterprise Intellectual Property Management Standards"" and specific circumstances, it has formulated th"&amp;"e ""Intellectual Property Management Measures"" to ensure that the company's trade secrets are strictly supervised and enable the company to develop in a long-term, stable and efficient manner.")</f>
        <v>At the same time, the company attaches great importance to the protection of intellectual property rights and trade secrets. In combination with the "Enterprise Intellectual Property Management Standards" and specific circumstances, it has formulated the "Intellectual Property Management Measures" to ensure that the company's trade secrets are strictly supervised and enable the company to develop in a long-term, stable and efficient manner.</v>
      </c>
      <c r="B7303" s="1" t="str">
        <f ca="1">IFERROR(__xludf.DUMMYFUNCTION("GOOGLETRANSLATE(A7303, ""zh"", ""en"")"),"Intellectual Property Protection")</f>
        <v>Intellectual Property Protection</v>
      </c>
      <c r="C7303" s="1" t="str">
        <f ca="1">IFERROR(__xludf.DUMMYFUNCTION("GOOGLETRANSLATE(E7303, ""zh"", ""en"")"),"Qualitative text")</f>
        <v>Qualitative text</v>
      </c>
    </row>
    <row r="7304" spans="1:3" ht="13" x14ac:dyDescent="0.15">
      <c r="A7304" s="1" t="str">
        <f ca="1">IFERROR(__xludf.DUMMYFUNCTION("GOOGLETRANSLATE(A7304, ""zh"", ""en"")"),"Weiye Co., Ltd. is committed to incorporating intellectual property protection into the company's business management and strictly abides by the Trademark Law and the Patent Law.")</f>
        <v>Weiye Co., Ltd. is committed to incorporating intellectual property protection into the company's business management and strictly abides by the Trademark Law and the Patent Law.</v>
      </c>
      <c r="B7304" s="1" t="str">
        <f ca="1">IFERROR(__xludf.DUMMYFUNCTION("GOOGLETRANSLATE(A7304, ""zh"", ""en"")"),"Intellectual Property Protection")</f>
        <v>Intellectual Property Protection</v>
      </c>
      <c r="C7304" s="1" t="str">
        <f ca="1">IFERROR(__xludf.DUMMYFUNCTION("GOOGLETRANSLATE(E7304, ""zh"", ""en"")"),"Qualitative text")</f>
        <v>Qualitative text</v>
      </c>
    </row>
    <row r="7305" spans="1:3" ht="13" x14ac:dyDescent="0.15">
      <c r="A7305" s="1" t="str">
        <f ca="1">IFERROR(__xludf.DUMMYFUNCTION("GOOGLETRANSLATE(A7305, ""zh"", ""en"")"),"During the reporting period, the company's headquarters passed the review of ""National Intellectual Property Demonstration Enterprise"" and its subsidiary Zijin Zinc was awarded the title of ""National Intellectual Property Advantage Enterprise"".")</f>
        <v>During the reporting period, the company's headquarters passed the review of "National Intellectual Property Demonstration Enterprise" and its subsidiary Zijin Zinc was awarded the title of "National Intellectual Property Advantage Enterprise".</v>
      </c>
      <c r="B7305" s="1" t="str">
        <f ca="1">IFERROR(__xludf.DUMMYFUNCTION("GOOGLETRANSLATE(A7305, ""zh"", ""en"")"),"Intellectual Property Protection")</f>
        <v>Intellectual Property Protection</v>
      </c>
      <c r="C7305" s="1" t="str">
        <f ca="1">IFERROR(__xludf.DUMMYFUNCTION("GOOGLETRANSLATE(E7305, ""zh"", ""en"")"),"Quantitative Text")</f>
        <v>Quantitative Text</v>
      </c>
    </row>
    <row r="7306" spans="1:3" ht="13" x14ac:dyDescent="0.15">
      <c r="A7306" s="1" t="str">
        <f ca="1">IFERROR(__xludf.DUMMYFUNCTION("GOOGLETRANSLATE(A7306, ""zh"", ""en"")"),"After completing the invention and creation of intellectual property, the company will promptly apply for trademark registration for the company and departments, and always pay attention to trademark renewal registration.")</f>
        <v>After completing the invention and creation of intellectual property, the company will promptly apply for trademark registration for the company and departments, and always pay attention to trademark renewal registration.</v>
      </c>
      <c r="B7306" s="1" t="str">
        <f ca="1">IFERROR(__xludf.DUMMYFUNCTION("GOOGLETRANSLATE(A7306, ""zh"", ""en"")"),"Intellectual Property Protection")</f>
        <v>Intellectual Property Protection</v>
      </c>
      <c r="C7306" s="1" t="str">
        <f ca="1">IFERROR(__xludf.DUMMYFUNCTION("GOOGLETRANSLATE(E7306, ""zh"", ""en"")"),"Qualitative text")</f>
        <v>Qualitative text</v>
      </c>
    </row>
    <row r="7307" spans="1:3" ht="13" x14ac:dyDescent="0.15">
      <c r="A7307" s="1" t="str">
        <f ca="1">IFERROR(__xludf.DUMMYFUNCTION("GOOGLETRANSLATE(A7307, ""zh"", ""en"")"),"Special intellectual property training will be organized regularly for specific employees in relevant positions to enhance employees' overall awareness of intellectual property protection and improve the company's intellectual property protection capabili"&amp;"ties.")</f>
        <v>Special intellectual property training will be organized regularly for specific employees in relevant positions to enhance employees' overall awareness of intellectual property protection and improve the company's intellectual property protection capabilities.</v>
      </c>
      <c r="B7307" s="1" t="str">
        <f ca="1">IFERROR(__xludf.DUMMYFUNCTION("GOOGLETRANSLATE(A7307, ""zh"", ""en"")"),"Intellectual Property Protection")</f>
        <v>Intellectual Property Protection</v>
      </c>
      <c r="C7307" s="1" t="str">
        <f ca="1">IFERROR(__xludf.DUMMYFUNCTION("GOOGLETRANSLATE(E7307, ""zh"", ""en"")"),"Qualitative text")</f>
        <v>Qualitative text</v>
      </c>
    </row>
    <row r="7308" spans="1:3" ht="13" x14ac:dyDescent="0.15">
      <c r="A7308" s="1" t="str">
        <f ca="1">IFERROR(__xludf.DUMMYFUNCTION("GOOGLETRANSLATE(A7308, ""zh"", ""en"")"),"Early stage of R&amp;D of intellectual property risk prevention and control measures: Strengthen intellectual property tracking and retrieval, patent mining and avoidance, and intellectual property risk monitoring.")</f>
        <v>Early stage of R&amp;D of intellectual property risk prevention and control measures: Strengthen intellectual property tracking and retrieval, patent mining and avoidance, and intellectual property risk monitoring.</v>
      </c>
      <c r="B7308" s="1" t="str">
        <f ca="1">IFERROR(__xludf.DUMMYFUNCTION("GOOGLETRANSLATE(A7308, ""zh"", ""en"")"),"Intellectual Property Protection")</f>
        <v>Intellectual Property Protection</v>
      </c>
      <c r="C7308" s="1" t="str">
        <f ca="1">IFERROR(__xludf.DUMMYFUNCTION("GOOGLETRANSLATE(E7308, ""zh"", ""en"")"),"Qualitative text")</f>
        <v>Qualitative text</v>
      </c>
    </row>
    <row r="7309" spans="1:3" ht="13" x14ac:dyDescent="0.15">
      <c r="A7309" s="1" t="str">
        <f ca="1">IFERROR(__xludf.DUMMYFUNCTION("GOOGLETRANSLATE(A7309, ""zh"", ""en"")"),"In terms of intellectual property utilization, the company actively implements the ""Incentive Measures for the Transformation of Scientific and Technological Achievements"", carries out self-implementation or licensing and transfer of patent achievements"&amp;", and encourages high-value patent achievements to be first used in enterprise construction projects.")</f>
        <v>In terms of intellectual property utilization, the company actively implements the "Incentive Measures for the Transformation of Scientific and Technological Achievements", carries out self-implementation or licensing and transfer of patent achievements, and encourages high-value patent achievements to be first used in enterprise construction projects.</v>
      </c>
      <c r="B7309" s="1" t="str">
        <f ca="1">IFERROR(__xludf.DUMMYFUNCTION("GOOGLETRANSLATE(A7309, ""zh"", ""en"")"),"Intellectual Property Protection")</f>
        <v>Intellectual Property Protection</v>
      </c>
      <c r="C7309" s="1" t="str">
        <f ca="1">IFERROR(__xludf.DUMMYFUNCTION("GOOGLETRANSLATE(E7309, ""zh"", ""en"")"),"Qualitative text")</f>
        <v>Qualitative text</v>
      </c>
    </row>
    <row r="7310" spans="1:3" ht="13" x14ac:dyDescent="0.15">
      <c r="A7310" s="1" t="str">
        <f ca="1">IFERROR(__xludf.DUMMYFUNCTION("GOOGLETRANSLATE(A7310, ""zh"", ""en"")"),"Only by strictly protecting intellectual property rights can we effectively protect the company's independently developed core technologies and prevent and resolve risks.")</f>
        <v>Only by strictly protecting intellectual property rights can we effectively protect the company's independently developed core technologies and prevent and resolve risks.</v>
      </c>
      <c r="B7310" s="1" t="str">
        <f ca="1">IFERROR(__xludf.DUMMYFUNCTION("GOOGLETRANSLATE(A7310, ""zh"", ""en"")"),"Intellectual Property Protection")</f>
        <v>Intellectual Property Protection</v>
      </c>
      <c r="C7310" s="1" t="str">
        <f ca="1">IFERROR(__xludf.DUMMYFUNCTION("GOOGLETRANSLATE(E7310, ""zh"", ""en"")"),"Qualitative text")</f>
        <v>Qualitative text</v>
      </c>
    </row>
    <row r="7311" spans="1:3" ht="13" x14ac:dyDescent="0.15">
      <c r="A7311" s="1" t="str">
        <f ca="1">IFERROR(__xludf.DUMMYFUNCTION("GOOGLETRANSLATE(A7311, ""zh"", ""en"")"),"The center sets up a specialist to be responsible for organizing the application of various patents, communicating and liaising with the superior science and technology authorities, organizing the issuance of patent bonuses and other patent affairs, and o"&amp;"rganizing the core technical personnel to sign the ""Intellectual Property Rights, Confidentiality and Non-competition Agreement"", and strictly stipulates confidentiality and infringement of matters during their tenure and after leaving their posts.")</f>
        <v>The center sets up a specialist to be responsible for organizing the application of various patents, communicating and liaising with the superior science and technology authorities, organizing the issuance of patent bonuses and other patent affairs, and organizing the core technical personnel to sign the "Intellectual Property Rights, Confidentiality and Non-competition Agreement", and strictly stipulates confidentiality and infringement of matters during their tenure and after leaving their posts.</v>
      </c>
      <c r="B7311" s="1" t="str">
        <f ca="1">IFERROR(__xludf.DUMMYFUNCTION("GOOGLETRANSLATE(A7311, ""zh"", ""en"")"),"Intellectual Property Protection")</f>
        <v>Intellectual Property Protection</v>
      </c>
      <c r="C7311" s="1" t="str">
        <f ca="1">IFERROR(__xludf.DUMMYFUNCTION("GOOGLETRANSLATE(E7311, ""zh"", ""en"")"),"Qualitative text")</f>
        <v>Qualitative text</v>
      </c>
    </row>
    <row r="7312" spans="1:3" ht="13" x14ac:dyDescent="0.15">
      <c r="A7312" s="1" t="str">
        <f ca="1">IFERROR(__xludf.DUMMYFUNCTION("GOOGLETRANSLATE(A7312, ""zh"", ""en"")"),"Thin power capacitor film environmentally friendly polyethylene light box cloth uses environmentally friendly polyethylene as the main raw material, overcoming the problems of PE material's inkjet adaptability and corona value attenuation. It can replace "&amp;"traditional PVC-based light box cloth and has the advantages of being recyclable, plasticizer-free, and well-adaptable to non-toxic and pollution-free water-based inks. It leads the advertising inkjet printing industry onto the path of green and environme"&amp;"ntal protection. This technological achievement has won the third prize of the China Light Industry Federation Science and Technology Progress Award.")</f>
        <v>Thin power capacitor film environmentally friendly polyethylene light box cloth uses environmentally friendly polyethylene as the main raw material, overcoming the problems of PE material's inkjet adaptability and corona value attenuation. It can replace traditional PVC-based light box cloth and has the advantages of being recyclable, plasticizer-free, and well-adaptable to non-toxic and pollution-free water-based inks. It leads the advertising inkjet printing industry onto the path of green and environmental protection. This technological achievement has won the third prize of the China Light Industry Federation Science and Technology Progress Award.</v>
      </c>
      <c r="B7312" s="1" t="str">
        <f ca="1">IFERROR(__xludf.DUMMYFUNCTION("GOOGLETRANSLATE(A7312, ""zh"", ""en"")"),"raw materials")</f>
        <v>raw materials</v>
      </c>
      <c r="C7312" s="1" t="str">
        <f ca="1">IFERROR(__xludf.DUMMYFUNCTION("GOOGLETRANSLATE(E7312, ""zh"", ""en"")"),"Quantitative Text")</f>
        <v>Quantitative Text</v>
      </c>
    </row>
    <row r="7313" spans="1:3" ht="13" x14ac:dyDescent="0.15">
      <c r="A7313" s="1" t="str">
        <f ca="1">IFERROR(__xludf.DUMMYFUNCTION("GOOGLETRANSLATE(A7313, ""zh"", ""en"")"),"During the reporting period, the company's production bases and business units implemented a series of measures to reduce raw material losses during storage, improve raw material utilization, and reduce raw material losses during the production process to"&amp;" optimize raw material management.")</f>
        <v>During the reporting period, the company's production bases and business units implemented a series of measures to reduce raw material losses during storage, improve raw material utilization, and reduce raw material losses during the production process to optimize raw material management.</v>
      </c>
      <c r="B7313" s="1" t="str">
        <f ca="1">IFERROR(__xludf.DUMMYFUNCTION("GOOGLETRANSLATE(A7313, ""zh"", ""en"")"),"raw materials")</f>
        <v>raw materials</v>
      </c>
      <c r="C7313" s="1" t="str">
        <f ca="1">IFERROR(__xludf.DUMMYFUNCTION("GOOGLETRANSLATE(E7313, ""zh"", ""en"")"),"Qualitative text")</f>
        <v>Qualitative text</v>
      </c>
    </row>
    <row r="7314" spans="1:3" ht="13" x14ac:dyDescent="0.15">
      <c r="A7314" s="1" t="str">
        <f ca="1">IFERROR(__xludf.DUMMYFUNCTION("GOOGLETRANSLATE(A7314, ""zh"", ""en"")"),"Do not purchase or use controversial raw materials such as conflict minerals, and make compliance declarations for relevant environmental standards.")</f>
        <v>Do not purchase or use controversial raw materials such as conflict minerals, and make compliance declarations for relevant environmental standards.</v>
      </c>
      <c r="B7314" s="1" t="str">
        <f ca="1">IFERROR(__xludf.DUMMYFUNCTION("GOOGLETRANSLATE(A7314, ""zh"", ""en"")"),"raw materials")</f>
        <v>raw materials</v>
      </c>
      <c r="C7314" s="1" t="str">
        <f ca="1">IFERROR(__xludf.DUMMYFUNCTION("GOOGLETRANSLATE(E7314, ""zh"", ""en"")"),"Qualitative text")</f>
        <v>Qualitative text</v>
      </c>
    </row>
    <row r="7315" spans="1:3" ht="13" x14ac:dyDescent="0.15">
      <c r="A7315" s="1" t="str">
        <f ca="1">IFERROR(__xludf.DUMMYFUNCTION("GOOGLETRANSLATE(A7315, ""zh"", ""en"")"),"The purchasing department gives priority to purchasing high-quality raw fuels with low sulfur and low ash content. When signing the purchase contract, the environmental control indicators of raw fuels and various auxiliary materials are")</f>
        <v>The purchasing department gives priority to purchasing high-quality raw fuels with low sulfur and low ash content. When signing the purchase contract, the environmental control indicators of raw fuels and various auxiliary materials are</v>
      </c>
      <c r="B7315" s="1" t="str">
        <f ca="1">IFERROR(__xludf.DUMMYFUNCTION("GOOGLETRANSLATE(A7315, ""zh"", ""en"")"),"raw materials")</f>
        <v>raw materials</v>
      </c>
      <c r="C7315" s="1" t="str">
        <f ca="1">IFERROR(__xludf.DUMMYFUNCTION("GOOGLETRANSLATE(E7315, ""zh"", ""en"")"),"Qualitative text")</f>
        <v>Qualitative text</v>
      </c>
    </row>
    <row r="7316" spans="1:3" ht="13" x14ac:dyDescent="0.15">
      <c r="A7316" s="1" t="str">
        <f ca="1">IFERROR(__xludf.DUMMYFUNCTION("GOOGLETRANSLATE(A7316, ""zh"", ""en"")"),"Procurement and use of environmentally friendly raw materials")</f>
        <v>Procurement and use of environmentally friendly raw materials</v>
      </c>
      <c r="B7316" s="1" t="str">
        <f ca="1">IFERROR(__xludf.DUMMYFUNCTION("GOOGLETRANSLATE(A7316, ""zh"", ""en"")"),"raw materials")</f>
        <v>raw materials</v>
      </c>
      <c r="C7316" s="1" t="str">
        <f ca="1">IFERROR(__xludf.DUMMYFUNCTION("GOOGLETRANSLATE(E7316, ""zh"", ""en"")"),"Qualitative text")</f>
        <v>Qualitative text</v>
      </c>
    </row>
    <row r="7317" spans="1:3" ht="13" x14ac:dyDescent="0.15">
      <c r="A7317" s="1" t="str">
        <f ca="1">IFERROR(__xludf.DUMMYFUNCTION("GOOGLETRANSLATE(A7317, ""zh"", ""en"")"),"Use easily degradable materials to replace original materials to achieve the purpose of protecting the environment")</f>
        <v>Use easily degradable materials to replace original materials to achieve the purpose of protecting the environment</v>
      </c>
      <c r="B7317" s="1" t="str">
        <f ca="1">IFERROR(__xludf.DUMMYFUNCTION("GOOGLETRANSLATE(A7317, ""zh"", ""en"")"),"raw materials")</f>
        <v>raw materials</v>
      </c>
      <c r="C7317" s="1" t="str">
        <f ca="1">IFERROR(__xludf.DUMMYFUNCTION("GOOGLETRANSLATE(E7317, ""zh"", ""en"")"),"Qualitative text")</f>
        <v>Qualitative text</v>
      </c>
    </row>
    <row r="7318" spans="1:3" ht="13" x14ac:dyDescent="0.15">
      <c r="A7318" s="1" t="str">
        <f ca="1">IFERROR(__xludf.DUMMYFUNCTION("GOOGLETRANSLATE(A7318, ""zh"", ""en"")"),"Strictly control product quality to ensure that the plastic materials, oils, etc. used in the products meet the legal and regulatory requirements of the exporting countries;")</f>
        <v>Strictly control product quality to ensure that the plastic materials, oils, etc. used in the products meet the legal and regulatory requirements of the exporting countries;</v>
      </c>
      <c r="B7318" s="1" t="str">
        <f ca="1">IFERROR(__xludf.DUMMYFUNCTION("GOOGLETRANSLATE(A7318, ""zh"", ""en"")"),"raw materials")</f>
        <v>raw materials</v>
      </c>
      <c r="C7318" s="1" t="str">
        <f ca="1">IFERROR(__xludf.DUMMYFUNCTION("GOOGLETRANSLATE(E7318, ""zh"", ""en"")"),"Qualitative text")</f>
        <v>Qualitative text</v>
      </c>
    </row>
    <row r="7319" spans="1:3" ht="13" x14ac:dyDescent="0.15">
      <c r="A7319" s="1" t="str">
        <f ca="1">IFERROR(__xludf.DUMMYFUNCTION("GOOGLETRANSLATE(A7319, ""zh"", ""en"")"),"The company continues to strengthen the traceability management of raw materials, and the production areas of major raw materials and production auxiliary materials do not involve areas with serious social and environmental problems.")</f>
        <v>The company continues to strengthen the traceability management of raw materials, and the production areas of major raw materials and production auxiliary materials do not involve areas with serious social and environmental problems.</v>
      </c>
      <c r="B7319" s="1" t="str">
        <f ca="1">IFERROR(__xludf.DUMMYFUNCTION("GOOGLETRANSLATE(A7319, ""zh"", ""en"")"),"raw materials")</f>
        <v>raw materials</v>
      </c>
      <c r="C7319" s="1" t="str">
        <f ca="1">IFERROR(__xludf.DUMMYFUNCTION("GOOGLETRANSLATE(E7319, ""zh"", ""en"")"),"Qualitative text")</f>
        <v>Qualitative text</v>
      </c>
    </row>
    <row r="7320" spans="1:3" ht="13" x14ac:dyDescent="0.15">
      <c r="A7320" s="1" t="str">
        <f ca="1">IFERROR(__xludf.DUMMYFUNCTION("GOOGLETRANSLATE(A7320, ""zh"", ""en"")"),"The company pays great attention to the carbon footprint management of raw materials and encourages suppliers to conduct carbon footprinting.")</f>
        <v>The company pays great attention to the carbon footprint management of raw materials and encourages suppliers to conduct carbon footprinting.</v>
      </c>
      <c r="B7320" s="1" t="str">
        <f ca="1">IFERROR(__xludf.DUMMYFUNCTION("GOOGLETRANSLATE(A7320, ""zh"", ""en"")"),"raw materials")</f>
        <v>raw materials</v>
      </c>
      <c r="C7320" s="1" t="str">
        <f ca="1">IFERROR(__xludf.DUMMYFUNCTION("GOOGLETRANSLATE(E7320, ""zh"", ""en"")"),"Qualitative text")</f>
        <v>Qualitative text</v>
      </c>
    </row>
    <row r="7321" spans="1:3" ht="13" x14ac:dyDescent="0.15">
      <c r="A7321" s="1" t="str">
        <f ca="1">IFERROR(__xludf.DUMMYFUNCTION("GOOGLETRANSLATE(A7321, ""zh"", ""en"")"),"The company has saved the use of raw materials and reduced the consumption of non-renewable resources through technological transformation and optimization plans.")</f>
        <v>The company has saved the use of raw materials and reduced the consumption of non-renewable resources through technological transformation and optimization plans.</v>
      </c>
      <c r="B7321" s="1" t="str">
        <f ca="1">IFERROR(__xludf.DUMMYFUNCTION("GOOGLETRANSLATE(A7321, ""zh"", ""en"")"),"raw materials")</f>
        <v>raw materials</v>
      </c>
      <c r="C7321" s="1" t="str">
        <f ca="1">IFERROR(__xludf.DUMMYFUNCTION("GOOGLETRANSLATE(E7321, ""zh"", ""en"")"),"Qualitative text")</f>
        <v>Qualitative text</v>
      </c>
    </row>
    <row r="7322" spans="1:3" ht="13" x14ac:dyDescent="0.15">
      <c r="A7322" s="1" t="str">
        <f ca="1">IFERROR(__xludf.DUMMYFUNCTION("GOOGLETRANSLATE(A7322, ""zh"", ""en"")"),"The company requires all suppliers to sign a ""Product Environmental Protection Agreement"" when they are first introduced, incorporating environmental protection requirements into the supplier access standards to ensure that products and raw materials me"&amp;"et environmental protection requirements.")</f>
        <v>The company requires all suppliers to sign a "Product Environmental Protection Agreement" when they are first introduced, incorporating environmental protection requirements into the supplier access standards to ensure that products and raw materials meet environmental protection requirements.</v>
      </c>
      <c r="B7322" s="1" t="str">
        <f ca="1">IFERROR(__xludf.DUMMYFUNCTION("GOOGLETRANSLATE(A7322, ""zh"", ""en"")"),"raw materials")</f>
        <v>raw materials</v>
      </c>
      <c r="C7322" s="1" t="str">
        <f ca="1">IFERROR(__xludf.DUMMYFUNCTION("GOOGLETRANSLATE(E7322, ""zh"", ""en"")"),"Qualitative text")</f>
        <v>Qualitative text</v>
      </c>
    </row>
    <row r="7323" spans="1:3" ht="13" x14ac:dyDescent="0.15">
      <c r="A7323" s="1" t="str">
        <f ca="1">IFERROR(__xludf.DUMMYFUNCTION("GOOGLETRANSLATE(A7323, ""zh"", ""en"")"),"The company has clearly defined the environmental protection requirements it puts forward to suppliers during procurement in its ""Supplier Development and Procurement Management Procedures"", including: providing raw materials containing recycled materia"&amp;"ls whenever possible.")</f>
        <v>The company has clearly defined the environmental protection requirements it puts forward to suppliers during procurement in its "Supplier Development and Procurement Management Procedures", including: providing raw materials containing recycled materials whenever possible.</v>
      </c>
      <c r="B7323" s="1" t="str">
        <f ca="1">IFERROR(__xludf.DUMMYFUNCTION("GOOGLETRANSLATE(A7323, ""zh"", ""en"")"),"raw materials")</f>
        <v>raw materials</v>
      </c>
      <c r="C7323" s="1" t="str">
        <f ca="1">IFERROR(__xludf.DUMMYFUNCTION("GOOGLETRANSLATE(E7323, ""zh"", ""en"")"),"Qualitative text")</f>
        <v>Qualitative text</v>
      </c>
    </row>
    <row r="7324" spans="1:3" ht="13" x14ac:dyDescent="0.15">
      <c r="A7324" s="1" t="str">
        <f ca="1">IFERROR(__xludf.DUMMYFUNCTION("GOOGLETRANSLATE(A7324, ""zh"", ""en"")"),"Increase the use of environmentally friendly raw materials, create environmentally friendly products from the source, increase green design, select suppliers with environmental protection qualifications, ensure the compliance of waste discharge, and promo"&amp;"te environmental protection of production and products.")</f>
        <v>Increase the use of environmentally friendly raw materials, create environmentally friendly products from the source, increase green design, select suppliers with environmental protection qualifications, ensure the compliance of waste discharge, and promote environmental protection of production and products.</v>
      </c>
      <c r="B7324" s="1" t="str">
        <f ca="1">IFERROR(__xludf.DUMMYFUNCTION("GOOGLETRANSLATE(A7324, ""zh"", ""en"")"),"raw materials")</f>
        <v>raw materials</v>
      </c>
      <c r="C7324" s="1" t="str">
        <f ca="1">IFERROR(__xludf.DUMMYFUNCTION("GOOGLETRANSLATE(E7324, ""zh"", ""en"")"),"Qualitative text")</f>
        <v>Qualitative text</v>
      </c>
    </row>
    <row r="7325" spans="1:3" ht="13" x14ac:dyDescent="0.15">
      <c r="A7325" s="1" t="str">
        <f ca="1">IFERROR(__xludf.DUMMYFUNCTION("GOOGLETRANSLATE(A7325, ""zh"", ""en"")"),"15 patents related to saving raw materials")</f>
        <v>15 patents related to saving raw materials</v>
      </c>
      <c r="B7325" s="1" t="str">
        <f ca="1">IFERROR(__xludf.DUMMYFUNCTION("GOOGLETRANSLATE(A7325, ""zh"", ""en"")"),"raw materials")</f>
        <v>raw materials</v>
      </c>
      <c r="C7325" s="1" t="str">
        <f ca="1">IFERROR(__xludf.DUMMYFUNCTION("GOOGLETRANSLATE(E7325, ""zh"", ""en"")"),"Quantitative Text")</f>
        <v>Quantitative Text</v>
      </c>
    </row>
    <row r="7326" spans="1:3" ht="13" x14ac:dyDescent="0.15">
      <c r="A7326" s="1" t="str">
        <f ca="1">IFERROR(__xludf.DUMMYFUNCTION("GOOGLETRANSLATE(A7326, ""zh"", ""en"")"),"Green raw materials The materials purchased by Nanning Liaowang Company will be broken down into their various constituent units for testing during the environmental protection RoHS testing process to ensure that the materials do not contain toxic and har"&amp;"mful substances such as lead, mercury, cadmium, hexavalent chromium, polybrominated biphenyls, and polybrominated diphenyl ethers.")</f>
        <v>Green raw materials The materials purchased by Nanning Liaowang Company will be broken down into their various constituent units for testing during the environmental protection RoHS testing process to ensure that the materials do not contain toxic and harmful substances such as lead, mercury, cadmium, hexavalent chromium, polybrominated biphenyls, and polybrominated diphenyl ethers.</v>
      </c>
      <c r="B7326" s="1" t="str">
        <f ca="1">IFERROR(__xludf.DUMMYFUNCTION("GOOGLETRANSLATE(A7326, ""zh"", ""en"")"),"raw materials")</f>
        <v>raw materials</v>
      </c>
      <c r="C7326" s="1" t="str">
        <f ca="1">IFERROR(__xludf.DUMMYFUNCTION("GOOGLETRANSLATE(E7326, ""zh"", ""en"")"),"Qualitative text")</f>
        <v>Qualitative text</v>
      </c>
    </row>
    <row r="7327" spans="1:3" ht="13" x14ac:dyDescent="0.15">
      <c r="A7327" s="1" t="str">
        <f ca="1">IFERROR(__xludf.DUMMYFUNCTION("GOOGLETRANSLATE(A7327, ""zh"", ""en"")"),"We encourage suppliers to jointly build a green supply chain, actively explore sustainable raw material procurement, and give priority to green raw materials in procurement.")</f>
        <v>We encourage suppliers to jointly build a green supply chain, actively explore sustainable raw material procurement, and give priority to green raw materials in procurement.</v>
      </c>
      <c r="B7327" s="1" t="str">
        <f ca="1">IFERROR(__xludf.DUMMYFUNCTION("GOOGLETRANSLATE(A7327, ""zh"", ""en"")"),"raw materials")</f>
        <v>raw materials</v>
      </c>
      <c r="C7327" s="1" t="str">
        <f ca="1">IFERROR(__xludf.DUMMYFUNCTION("GOOGLETRANSLATE(E7327, ""zh"", ""en"")"),"Qualitative text")</f>
        <v>Qualitative text</v>
      </c>
    </row>
    <row r="7328" spans="1:3" ht="13" x14ac:dyDescent="0.15">
      <c r="A7328" s="1" t="str">
        <f ca="1">IFERROR(__xludf.DUMMYFUNCTION("GOOGLETRANSLATE(A7328, ""zh"", ""en"")"),"Give priority to purchasing green and environmentally friendly products, and promote the greening of raw materials and supply chains.")</f>
        <v>Give priority to purchasing green and environmentally friendly products, and promote the greening of raw materials and supply chains.</v>
      </c>
      <c r="B7328" s="1" t="str">
        <f ca="1">IFERROR(__xludf.DUMMYFUNCTION("GOOGLETRANSLATE(A7328, ""zh"", ""en"")"),"raw materials")</f>
        <v>raw materials</v>
      </c>
      <c r="C7328" s="1" t="str">
        <f ca="1">IFERROR(__xludf.DUMMYFUNCTION("GOOGLETRANSLATE(E7328, ""zh"", ""en"")"),"Qualitative text")</f>
        <v>Qualitative text</v>
      </c>
    </row>
    <row r="7329" spans="1:3" ht="13" x14ac:dyDescent="0.15">
      <c r="A7329" s="1" t="str">
        <f ca="1">IFERROR(__xludf.DUMMYFUNCTION("GOOGLETRANSLATE(A7329, ""zh"", ""en"")"),"Give priority to purchasing and using raw materials that have less impact on the environment.")</f>
        <v>Give priority to purchasing and using raw materials that have less impact on the environment.</v>
      </c>
      <c r="B7329" s="1" t="str">
        <f ca="1">IFERROR(__xludf.DUMMYFUNCTION("GOOGLETRANSLATE(A7329, ""zh"", ""en"")"),"raw materials")</f>
        <v>raw materials</v>
      </c>
      <c r="C7329" s="1" t="str">
        <f ca="1">IFERROR(__xludf.DUMMYFUNCTION("GOOGLETRANSLATE(E7329, ""zh"", ""en"")"),"Qualitative text")</f>
        <v>Qualitative text</v>
      </c>
    </row>
    <row r="7330" spans="1:3" ht="13" x14ac:dyDescent="0.15">
      <c r="A7330" s="1" t="str">
        <f ca="1">IFERROR(__xludf.DUMMYFUNCTION("GOOGLETRANSLATE(A7330, ""zh"", ""en"")"),"In terms of supply chain and raw materials, BYD always adheres to the green procurement system of ""suppliers, green raw materials"" and regulates green procurement.")</f>
        <v>In terms of supply chain and raw materials, BYD always adheres to the green procurement system of "suppliers, green raw materials" and regulates green procurement.</v>
      </c>
      <c r="B7330" s="1" t="str">
        <f ca="1">IFERROR(__xludf.DUMMYFUNCTION("GOOGLETRANSLATE(A7330, ""zh"", ""en"")"),"raw materials")</f>
        <v>raw materials</v>
      </c>
      <c r="C7330" s="1" t="str">
        <f ca="1">IFERROR(__xludf.DUMMYFUNCTION("GOOGLETRANSLATE(E7330, ""zh"", ""en"")"),"Qualitative text")</f>
        <v>Qualitative text</v>
      </c>
    </row>
    <row r="7331" spans="1:3" ht="13" x14ac:dyDescent="0.15">
      <c r="A7331" s="1" t="str">
        <f ca="1">IFERROR(__xludf.DUMMYFUNCTION("GOOGLETRANSLATE(A7331, ""zh"", ""en"")"),"When selecting and purchasing raw materials, equipment and spare parts, give priority to technologically advanced and green environmentally friendly products.")</f>
        <v>When selecting and purchasing raw materials, equipment and spare parts, give priority to technologically advanced and green environmentally friendly products.</v>
      </c>
      <c r="B7331" s="1" t="str">
        <f ca="1">IFERROR(__xludf.DUMMYFUNCTION("GOOGLETRANSLATE(A7331, ""zh"", ""en"")"),"raw materials")</f>
        <v>raw materials</v>
      </c>
      <c r="C7331" s="1" t="str">
        <f ca="1">IFERROR(__xludf.DUMMYFUNCTION("GOOGLETRANSLATE(E7331, ""zh"", ""en"")"),"Qualitative text")</f>
        <v>Qualitative text</v>
      </c>
    </row>
    <row r="7332" spans="1:3" ht="13" x14ac:dyDescent="0.15">
      <c r="A7332" s="1" t="str">
        <f ca="1">IFERROR(__xludf.DUMMYFUNCTION("GOOGLETRANSLATE(A7332, ""zh"", ""en"")"),"Harmful gas alarm devices are installed in relevant places, and workers are required to wear protective equipment in accordance with regulations and strictly follow operating procedures to prevent poisoning accidents caused by toxic and harmful gases such"&amp;" as hydrogen sulfide and carbon monoxide.")</f>
        <v>Harmful gas alarm devices are installed in relevant places, and workers are required to wear protective equipment in accordance with regulations and strictly follow operating procedures to prevent poisoning accidents caused by toxic and harmful gases such as hydrogen sulfide and carbon monoxide.</v>
      </c>
      <c r="B7332" s="1" t="str">
        <f ca="1">IFERROR(__xludf.DUMMYFUNCTION("GOOGLETRANSLATE(A7332, ""zh"", ""en"")"),"staff")</f>
        <v>staff</v>
      </c>
      <c r="C7332" s="1" t="str">
        <f ca="1">IFERROR(__xludf.DUMMYFUNCTION("GOOGLETRANSLATE(E7332, ""zh"", ""en"")"),"Qualitative text")</f>
        <v>Qualitative text</v>
      </c>
    </row>
    <row r="7333" spans="1:3" ht="13" x14ac:dyDescent="0.15">
      <c r="A7333" s="1" t="str">
        <f ca="1">IFERROR(__xludf.DUMMYFUNCTION("GOOGLETRANSLATE(A7333, ""zh"", ""en"")"),"Arrange working hours reasonably, adopt rotation work, appropriately increase the rest time of workers in high temperature working environment, and provide them with sufficient anti-heat and cooling drinks and necessary medicines that meet hygiene standar"&amp;"ds.")</f>
        <v>Arrange working hours reasonably, adopt rotation work, appropriately increase the rest time of workers in high temperature working environment, and provide them with sufficient anti-heat and cooling drinks and necessary medicines that meet hygiene standards.</v>
      </c>
      <c r="B7333" s="1" t="str">
        <f ca="1">IFERROR(__xludf.DUMMYFUNCTION("GOOGLETRANSLATE(A7333, ""zh"", ""en"")"),"staff")</f>
        <v>staff</v>
      </c>
      <c r="C7333" s="1" t="str">
        <f ca="1">IFERROR(__xludf.DUMMYFUNCTION("GOOGLETRANSLATE(E7333, ""zh"", ""en"")"),"Qualitative text")</f>
        <v>Qualitative text</v>
      </c>
    </row>
    <row r="7334" spans="1:3" ht="13" x14ac:dyDescent="0.15">
      <c r="A7334" s="1" t="str">
        <f ca="1">IFERROR(__xludf.DUMMYFUNCTION("GOOGLETRANSLATE(A7334, ""zh"", ""en"")"),"In order to implement the publicity of the ""Occupational Disease Prevention and Control Law"" and enhance employees' awareness of occupational disease prevention, the Logistics Development Company sends occupational health management personnel to partici"&amp;"pate in occupational health training as planned every year, and all of them pass the assessment and are certified to work.")</f>
        <v>In order to implement the publicity of the "Occupational Disease Prevention and Control Law" and enhance employees' awareness of occupational disease prevention, the Logistics Development Company sends occupational health management personnel to participate in occupational health training as planned every year, and all of them pass the assessment and are certified to work.</v>
      </c>
      <c r="B7334" s="1" t="str">
        <f ca="1">IFERROR(__xludf.DUMMYFUNCTION("GOOGLETRANSLATE(A7334, ""zh"", ""en"")"),"staff")</f>
        <v>staff</v>
      </c>
      <c r="C7334" s="1" t="str">
        <f ca="1">IFERROR(__xludf.DUMMYFUNCTION("GOOGLETRANSLATE(E7334, ""zh"", ""en"")"),"Quantitative Text")</f>
        <v>Quantitative Text</v>
      </c>
    </row>
    <row r="7335" spans="1:3" ht="13" x14ac:dyDescent="0.15">
      <c r="A7335" s="1" t="str">
        <f ca="1">IFERROR(__xludf.DUMMYFUNCTION("GOOGLETRANSLATE(A7335, ""zh"", ""en"")"),"Employees of the Coal Terminal Company read the occupational disease prevention and control leaflet and the company's publicity month poster case to build a backing for employee health")</f>
        <v>Employees of the Coal Terminal Company read the occupational disease prevention and control leaflet and the company's publicity month poster case to build a backing for employee health</v>
      </c>
      <c r="B7335" s="1" t="str">
        <f ca="1">IFERROR(__xludf.DUMMYFUNCTION("GOOGLETRANSLATE(A7335, ""zh"", ""en"")"),"staff")</f>
        <v>staff</v>
      </c>
      <c r="C7335" s="1" t="str">
        <f ca="1">IFERROR(__xludf.DUMMYFUNCTION("GOOGLETRANSLATE(E7335, ""zh"", ""en"")"),"Qualitative text")</f>
        <v>Qualitative text</v>
      </c>
    </row>
    <row r="7336" spans="1:3" ht="13" x14ac:dyDescent="0.15">
      <c r="A7336" s="1" t="str">
        <f ca="1">IFERROR(__xludf.DUMMYFUNCTION("GOOGLETRANSLATE(A7336, ""zh"", ""en"")"),"To facilitate employees' daily commuting, we provide shuttle bus services for employees, add multiple shuttle bus routes connecting the company with key areas and transportation hubs, and improve employees' commuting experience.")</f>
        <v>To facilitate employees' daily commuting, we provide shuttle bus services for employees, add multiple shuttle bus routes connecting the company with key areas and transportation hubs, and improve employees' commuting experience.</v>
      </c>
      <c r="B7336" s="1" t="str">
        <f ca="1">IFERROR(__xludf.DUMMYFUNCTION("GOOGLETRANSLATE(A7336, ""zh"", ""en"")"),"staff")</f>
        <v>staff</v>
      </c>
      <c r="C7336" s="1" t="str">
        <f ca="1">IFERROR(__xludf.DUMMYFUNCTION("GOOGLETRANSLATE(E7336, ""zh"", ""en"")"),"Qualitative text")</f>
        <v>Qualitative text</v>
      </c>
    </row>
    <row r="7337" spans="1:3" ht="13" x14ac:dyDescent="0.15">
      <c r="A7337" s="1" t="str">
        <f ca="1">IFERROR(__xludf.DUMMYFUNCTION("GOOGLETRANSLATE(A7337, ""zh"", ""en"")"),"We organized ""warmth in spring"" and ""coolness in summer"" and distributed holiday gifts during traditional festivals such as the Spring Festival, Dragon Boat Festival and Mid-Autumn Festival, achieving ""four must-visits and four in place"".")</f>
        <v>We organized "warmth in spring" and "coolness in summer" and distributed holiday gifts during traditional festivals such as the Spring Festival, Dragon Boat Festival and Mid-Autumn Festival, achieving "four must-visits and four in place".</v>
      </c>
      <c r="B7337" s="1" t="str">
        <f ca="1">IFERROR(__xludf.DUMMYFUNCTION("GOOGLETRANSLATE(A7337, ""zh"", ""en"")"),"staff")</f>
        <v>staff</v>
      </c>
      <c r="C7337" s="1" t="str">
        <f ca="1">IFERROR(__xludf.DUMMYFUNCTION("GOOGLETRANSLATE(E7337, ""zh"", ""en"")"),"Qualitative text")</f>
        <v>Qualitative text</v>
      </c>
    </row>
    <row r="7338" spans="1:3" ht="13" x14ac:dyDescent="0.15">
      <c r="A7338" s="1" t="str">
        <f ca="1">IFERROR(__xludf.DUMMYFUNCTION("GOOGLETRANSLATE(A7338, ""zh"", ""en"")"),"We organize activities such as Frisbee experience, comedy viewing, laser shooting, etc. to enhance employee happiness and improve collective cohesion.")</f>
        <v>We organize activities such as Frisbee experience, comedy viewing, laser shooting, etc. to enhance employee happiness and improve collective cohesion.</v>
      </c>
      <c r="B7338" s="1" t="str">
        <f ca="1">IFERROR(__xludf.DUMMYFUNCTION("GOOGLETRANSLATE(A7338, ""zh"", ""en"")"),"staff")</f>
        <v>staff</v>
      </c>
      <c r="C7338" s="1" t="str">
        <f ca="1">IFERROR(__xludf.DUMMYFUNCTION("GOOGLETRANSLATE(E7338, ""zh"", ""en"")"),"Qualitative text")</f>
        <v>Qualitative text</v>
      </c>
    </row>
    <row r="7339" spans="1:3" ht="13" x14ac:dyDescent="0.15">
      <c r="A7339" s="1" t="str">
        <f ca="1">IFERROR(__xludf.DUMMYFUNCTION("GOOGLETRANSLATE(A7339, ""zh"", ""en"")"),"In order to enhance employees' sense of happiness and fully adjust their physical and mental state, the company has added paid holidays in addition to statutory holidays.")</f>
        <v>In order to enhance employees' sense of happiness and fully adjust their physical and mental state, the company has added paid holidays in addition to statutory holidays.</v>
      </c>
      <c r="B7339" s="1" t="str">
        <f ca="1">IFERROR(__xludf.DUMMYFUNCTION("GOOGLETRANSLATE(A7339, ""zh"", ""en"")"),"staff")</f>
        <v>staff</v>
      </c>
      <c r="C7339" s="1" t="str">
        <f ca="1">IFERROR(__xludf.DUMMYFUNCTION("GOOGLETRANSLATE(E7339, ""zh"", ""en"")"),"Qualitative text")</f>
        <v>Qualitative text</v>
      </c>
    </row>
    <row r="7340" spans="1:3" ht="13" x14ac:dyDescent="0.15">
      <c r="A7340" s="1" t="str">
        <f ca="1">IFERROR(__xludf.DUMMYFUNCTION("GOOGLETRANSLATE(A7340, ""zh"", ""en"")"),"We comply with the laws and regulations of each location where we operate our business, actively respond to international initiatives and standards such as the United Nations Universal Declaration of Human Rights, the International Labor Organization Core"&amp;" Conventions, and the United Nations Guiding Principles on Business and Human Rights, value and respect the basic rights and interests of all employees at home and abroad, and have zero tolerance for infringements in related fields.")</f>
        <v>We comply with the laws and regulations of each location where we operate our business, actively respond to international initiatives and standards such as the United Nations Universal Declaration of Human Rights, the International Labor Organization Core Conventions, and the United Nations Guiding Principles on Business and Human Rights, value and respect the basic rights and interests of all employees at home and abroad, and have zero tolerance for infringements in related fields.</v>
      </c>
      <c r="B7340" s="1" t="str">
        <f ca="1">IFERROR(__xludf.DUMMYFUNCTION("GOOGLETRANSLATE(A7340, ""zh"", ""en"")"),"staff")</f>
        <v>staff</v>
      </c>
      <c r="C7340" s="1" t="str">
        <f ca="1">IFERROR(__xludf.DUMMYFUNCTION("GOOGLETRANSLATE(E7340, ""zh"", ""en"")"),"Qualitative text")</f>
        <v>Qualitative text</v>
      </c>
    </row>
    <row r="7341" spans="1:3" ht="13" x14ac:dyDescent="0.15">
      <c r="A7341" s="1" t="str">
        <f ca="1">IFERROR(__xludf.DUMMYFUNCTION("GOOGLETRANSLATE(A7341, ""zh"", ""en"")"),"We have developed procedural documents and operating procedures, including an ""Employee Handbook,"" which provide detailed and clear explanations of employee occupational safety and development, working conditions, labor relations, and other matters. We "&amp;"have also developed supporting ""Recruitment Management System,"" ""Anti-Discrimination Regulations,"" and ""Prohibition of Forced Labor and Prison Labor Regulations.""")</f>
        <v>We have developed procedural documents and operating procedures, including an "Employee Handbook," which provide detailed and clear explanations of employee occupational safety and development, working conditions, labor relations, and other matters. We have also developed supporting "Recruitment Management System," "Anti-Discrimination Regulations," and "Prohibition of Forced Labor and Prison Labor Regulations."</v>
      </c>
      <c r="B7341" s="1" t="str">
        <f ca="1">IFERROR(__xludf.DUMMYFUNCTION("GOOGLETRANSLATE(A7341, ""zh"", ""en"")"),"staff")</f>
        <v>staff</v>
      </c>
      <c r="C7341" s="1" t="str">
        <f ca="1">IFERROR(__xludf.DUMMYFUNCTION("GOOGLETRANSLATE(E7341, ""zh"", ""en"")"),"Qualitative text")</f>
        <v>Qualitative text</v>
      </c>
    </row>
    <row r="7342" spans="1:3" ht="13" x14ac:dyDescent="0.15">
      <c r="A7342" s="1" t="str">
        <f ca="1">IFERROR(__xludf.DUMMYFUNCTION("GOOGLETRANSLATE(A7342, ""zh"", ""en"")"),"The Bank has always adhered to the guiding ideology of ""safety production first"" in its operations, and has actively taken effective measures to ensure the safe and stable operation of the Bank's information systems. No major information system safety p"&amp;"roduction incidents have occurred, and the information system availability rate is above 99.99%. The information system operation continues to maintain a safe and stable situation throughout the year, and security guarantees in various key periods through"&amp;"out the year are completed with high quality to support business continuity operations.")</f>
        <v>The Bank has always adhered to the guiding ideology of "safety production first" in its operations, and has actively taken effective measures to ensure the safe and stable operation of the Bank's information systems. No major information system safety production incidents have occurred, and the information system availability rate is above 99.99%. The information system operation continues to maintain a safe and stable situation throughout the year, and security guarantees in various key periods throughout the year are completed with high quality to support business continuity operations.</v>
      </c>
      <c r="B7342" s="1" t="str">
        <f ca="1">IFERROR(__xludf.DUMMYFUNCTION("GOOGLETRANSLATE(A7342, ""zh"", ""en"")"),"staff")</f>
        <v>staff</v>
      </c>
      <c r="C7342" s="1" t="str">
        <f ca="1">IFERROR(__xludf.DUMMYFUNCTION("GOOGLETRANSLATE(E7342, ""zh"", ""en"")"),"Quantitative Text")</f>
        <v>Quantitative Text</v>
      </c>
    </row>
    <row r="7343" spans="1:3" ht="13" x14ac:dyDescent="0.15">
      <c r="A7343" s="1" t="str">
        <f ca="1">IFERROR(__xludf.DUMMYFUNCTION("GOOGLETRANSLATE(A7343, ""zh"", ""en"")"),"In 2021, the company carried out a series of employee activities in various forms to create a warm and happy working atmosphere while helping employees experience a better life.")</f>
        <v>In 2021, the company carried out a series of employee activities in various forms to create a warm and happy working atmosphere while helping employees experience a better life.</v>
      </c>
      <c r="B7343" s="1" t="str">
        <f ca="1">IFERROR(__xludf.DUMMYFUNCTION("GOOGLETRANSLATE(A7343, ""zh"", ""en"")"),"staff")</f>
        <v>staff</v>
      </c>
      <c r="C7343" s="1" t="str">
        <f ca="1">IFERROR(__xludf.DUMMYFUNCTION("GOOGLETRANSLATE(E7343, ""zh"", ""en"")"),"Qualitative text")</f>
        <v>Qualitative text</v>
      </c>
    </row>
    <row r="7344" spans="1:3" ht="13" x14ac:dyDescent="0.15">
      <c r="A7344" s="1" t="str">
        <f ca="1">IFERROR(__xludf.DUMMYFUNCTION("GOOGLETRANSLATE(A7344, ""zh"", ""en"")"),"The company does its utmost to provide employees with more substantial and abundant benefits. It provides employees with free and comprehensive physical examination services on a regular basis every year and implements special care policies for female emp"&amp;"loyees, especially those who are pregnant or breastfeeding.")</f>
        <v>The company does its utmost to provide employees with more substantial and abundant benefits. It provides employees with free and comprehensive physical examination services on a regular basis every year and implements special care policies for female employees, especially those who are pregnant or breastfeeding.</v>
      </c>
      <c r="B7344" s="1" t="str">
        <f ca="1">IFERROR(__xludf.DUMMYFUNCTION("GOOGLETRANSLATE(A7344, ""zh"", ""en"")"),"staff")</f>
        <v>staff</v>
      </c>
      <c r="C7344" s="1" t="str">
        <f ca="1">IFERROR(__xludf.DUMMYFUNCTION("GOOGLETRANSLATE(E7344, ""zh"", ""en"")"),"Qualitative text")</f>
        <v>Qualitative text</v>
      </c>
    </row>
    <row r="7345" spans="1:3" ht="13" x14ac:dyDescent="0.15">
      <c r="A7345" s="1" t="str">
        <f ca="1">IFERROR(__xludf.DUMMYFUNCTION("GOOGLETRANSLATE(A7345, ""zh"", ""en"")"),"The company encourages employees to reduce smoking and live a healthy life.")</f>
        <v>The company encourages employees to reduce smoking and live a healthy life.</v>
      </c>
      <c r="B7345" s="1" t="str">
        <f ca="1">IFERROR(__xludf.DUMMYFUNCTION("GOOGLETRANSLATE(A7345, ""zh"", ""en"")"),"staff")</f>
        <v>staff</v>
      </c>
      <c r="C7345" s="1" t="str">
        <f ca="1">IFERROR(__xludf.DUMMYFUNCTION("GOOGLETRANSLATE(E7345, ""zh"", ""en"")"),"Qualitative text")</f>
        <v>Qualitative text</v>
      </c>
    </row>
    <row r="7346" spans="1:3" ht="13" x14ac:dyDescent="0.15">
      <c r="A7346" s="1" t="str">
        <f ca="1">IFERROR(__xludf.DUMMYFUNCTION("GOOGLETRANSLATE(A7346, ""zh"", ""en"")"),"Yunnan Copper Industry attaches great importance to humanistic care, doing practical things for employees, solving problems, and doing good things for them, helping and assisting employees in difficulties, caring about the production and life of front-lin"&amp;"e employees, and organizing various cultural and sports activities to enhance employees' sense of happiness and create harmony.")</f>
        <v>Yunnan Copper Industry attaches great importance to humanistic care, doing practical things for employees, solving problems, and doing good things for them, helping and assisting employees in difficulties, caring about the production and life of front-line employees, and organizing various cultural and sports activities to enhance employees' sense of happiness and create harmony.</v>
      </c>
      <c r="B7346" s="1" t="str">
        <f ca="1">IFERROR(__xludf.DUMMYFUNCTION("GOOGLETRANSLATE(A7346, ""zh"", ""en"")"),"staff")</f>
        <v>staff</v>
      </c>
      <c r="C7346" s="1" t="str">
        <f ca="1">IFERROR(__xludf.DUMMYFUNCTION("GOOGLETRANSLATE(E7346, ""zh"", ""en"")"),"Qualitative text")</f>
        <v>Qualitative text</v>
      </c>
    </row>
    <row r="7347" spans="1:3" ht="13" x14ac:dyDescent="0.15">
      <c r="A7347" s="1" t="str">
        <f ca="1">IFERROR(__xludf.DUMMYFUNCTION("GOOGLETRANSLATE(A7347, ""zh"", ""en"")"),"Establish employee health records.")</f>
        <v>Establish employee health records.</v>
      </c>
      <c r="B7347" s="1" t="str">
        <f ca="1">IFERROR(__xludf.DUMMYFUNCTION("GOOGLETRANSLATE(A7347, ""zh"", ""en"")"),"staff")</f>
        <v>staff</v>
      </c>
      <c r="C7347" s="1" t="str">
        <f ca="1">IFERROR(__xludf.DUMMYFUNCTION("GOOGLETRANSLATE(E7347, ""zh"", ""en"")"),"Qualitative text")</f>
        <v>Qualitative text</v>
      </c>
    </row>
    <row r="7348" spans="1:3" ht="13" x14ac:dyDescent="0.15">
      <c r="A7348" s="1" t="str">
        <f ca="1">IFERROR(__xludf.DUMMYFUNCTION("GOOGLETRANSLATE(A7348, ""zh"", ""en"")"),"At the same time, the company actively explores a distinctive path for cultivating cutting-edge talents. Since cooperating with South China University of Technology to create the ""2.5+1.5"" training model for joint undergraduate training, it has successi"&amp;"vely signed joint training agreements with Wuhan University, Huazhong University of Science and Technology and nearly 30 other domestic universities to cooperate in training.")</f>
        <v>At the same time, the company actively explores a distinctive path for cultivating cutting-edge talents. Since cooperating with South China University of Technology to create the "2.5+1.5" training model for joint undergraduate training, it has successively signed joint training agreements with Wuhan University, Huazhong University of Science and Technology and nearly 30 other domestic universities to cooperate in training.</v>
      </c>
      <c r="B7348" s="1" t="str">
        <f ca="1">IFERROR(__xludf.DUMMYFUNCTION("GOOGLETRANSLATE(A7348, ""zh"", ""en"")"),"staff")</f>
        <v>staff</v>
      </c>
      <c r="C7348" s="1" t="str">
        <f ca="1">IFERROR(__xludf.DUMMYFUNCTION("GOOGLETRANSLATE(E7348, ""zh"", ""en"")"),"Quantitative Text")</f>
        <v>Quantitative Text</v>
      </c>
    </row>
    <row r="7349" spans="1:3" ht="13" x14ac:dyDescent="0.15">
      <c r="A7349" s="1" t="str">
        <f ca="1">IFERROR(__xludf.DUMMYFUNCTION("GOOGLETRANSLATE(A7349, ""zh"", ""en"")"),"Annual popular education on occupational disease prevention and control is implemented for all employees, and all types of personnel have received all necessary training, passed the assessment and are certified before taking up their posts.")</f>
        <v>Annual popular education on occupational disease prevention and control is implemented for all employees, and all types of personnel have received all necessary training, passed the assessment and are certified before taking up their posts.</v>
      </c>
      <c r="B7349" s="1" t="str">
        <f ca="1">IFERROR(__xludf.DUMMYFUNCTION("GOOGLETRANSLATE(A7349, ""zh"", ""en"")"),"staff")</f>
        <v>staff</v>
      </c>
      <c r="C7349" s="1" t="str">
        <f ca="1">IFERROR(__xludf.DUMMYFUNCTION("GOOGLETRANSLATE(E7349, ""zh"", ""en"")"),"Qualitative text")</f>
        <v>Qualitative text</v>
      </c>
    </row>
    <row r="7350" spans="1:3" ht="13" x14ac:dyDescent="0.15">
      <c r="A7350" s="1" t="str">
        <f ca="1">IFERROR(__xludf.DUMMYFUNCTION("GOOGLETRANSLATE(A7350, ""zh"", ""en"")"),"Advocate equal and non-discriminatory employment policies.")</f>
        <v>Advocate equal and non-discriminatory employment policies.</v>
      </c>
      <c r="B7350" s="1" t="str">
        <f ca="1">IFERROR(__xludf.DUMMYFUNCTION("GOOGLETRANSLATE(A7350, ""zh"", ""en"")"),"staff")</f>
        <v>staff</v>
      </c>
      <c r="C7350" s="1" t="str">
        <f ca="1">IFERROR(__xludf.DUMMYFUNCTION("GOOGLETRANSLATE(E7350, ""zh"", ""en"")"),"Qualitative text")</f>
        <v>Qualitative text</v>
      </c>
    </row>
    <row r="7351" spans="1:3" ht="13" x14ac:dyDescent="0.15">
      <c r="A7351" s="1" t="str">
        <f ca="1">IFERROR(__xludf.DUMMYFUNCTION("GOOGLETRANSLATE(A7351, ""zh"", ""en"")"),"In 2022, there were no confirmed incidents of harassment or discrimination at the company.")</f>
        <v>In 2022, there were no confirmed incidents of harassment or discrimination at the company.</v>
      </c>
      <c r="B7351" s="1" t="str">
        <f ca="1">IFERROR(__xludf.DUMMYFUNCTION("GOOGLETRANSLATE(A7351, ""zh"", ""en"")"),"staff")</f>
        <v>staff</v>
      </c>
      <c r="C7351" s="1" t="str">
        <f ca="1">IFERROR(__xludf.DUMMYFUNCTION("GOOGLETRANSLATE(E7351, ""zh"", ""en"")"),"Quantitative Text")</f>
        <v>Quantitative Text</v>
      </c>
    </row>
    <row r="7352" spans="1:3" ht="13" x14ac:dyDescent="0.15">
      <c r="A7352" s="1" t="str">
        <f ca="1">IFERROR(__xludf.DUMMYFUNCTION("GOOGLETRANSLATE(A7352, ""zh"", ""en"")"),"Through training, the overall professional quality and professional skills of employees have been improved, achieving a win-win situation of improving their own professional capabilities and sustainable development of the company.")</f>
        <v>Through training, the overall professional quality and professional skills of employees have been improved, achieving a win-win situation of improving their own professional capabilities and sustainable development of the company.</v>
      </c>
      <c r="B7352" s="1" t="str">
        <f ca="1">IFERROR(__xludf.DUMMYFUNCTION("GOOGLETRANSLATE(A7352, ""zh"", ""en"")"),"staff")</f>
        <v>staff</v>
      </c>
      <c r="C7352" s="1" t="str">
        <f ca="1">IFERROR(__xludf.DUMMYFUNCTION("GOOGLETRANSLATE(E7352, ""zh"", ""en"")"),"Qualitative text")</f>
        <v>Qualitative text</v>
      </c>
    </row>
    <row r="7353" spans="1:3" ht="13" x14ac:dyDescent="0.15">
      <c r="A7353" s="1" t="str">
        <f ca="1">IFERROR(__xludf.DUMMYFUNCTION("GOOGLETRANSLATE(A7353, ""zh"", ""en"")"),"Protect the basic rights and interests of employees, ensure that the company strictly abides by my country's ""Labor Law"", ""Labor Contract Law"", ""Social Insurance Law"" and other laws and regulations, follow the principles of fairness, equality and co"&amp;"nsensus, formulate labor management systems in recruitment and dismissal, labor contract signing, personnel file establishment, etc. in accordance with the law, and promptly establish social insurance and housing provident funds such as pension, medical c"&amp;"are, unemployment, work-related injuries, and childbirth for employees, and safeguard the legitimate rights and interests of both the company and employees.")</f>
        <v>Protect the basic rights and interests of employees, ensure that the company strictly abides by my country's "Labor Law", "Labor Contract Law", "Social Insurance Law" and other laws and regulations, follow the principles of fairness, equality and consensus, formulate labor management systems in recruitment and dismissal, labor contract signing, personnel file establishment, etc. in accordance with the law, and promptly establish social insurance and housing provident funds such as pension, medical care, unemployment, work-related injuries, and childbirth for employees, and safeguard the legitimate rights and interests of both the company and employees.</v>
      </c>
      <c r="B7353" s="1" t="str">
        <f ca="1">IFERROR(__xludf.DUMMYFUNCTION("GOOGLETRANSLATE(A7353, ""zh"", ""en"")"),"staff")</f>
        <v>staff</v>
      </c>
      <c r="C7353" s="1" t="str">
        <f ca="1">IFERROR(__xludf.DUMMYFUNCTION("GOOGLETRANSLATE(E7353, ""zh"", ""en"")"),"Qualitative text")</f>
        <v>Qualitative text</v>
      </c>
    </row>
    <row r="7354" spans="1:3" ht="13" x14ac:dyDescent="0.15">
      <c r="A7354" s="1" t="str">
        <f ca="1">IFERROR(__xludf.DUMMYFUNCTION("GOOGLETRANSLATE(A7354, ""zh"", ""en"")"),"The company also launched a ""partner"" incentive platform, which includes a package of salary incentives and welfare projects such as employee stock ownership, various special rewards, independent business entities, and happiness doubling plans. The plat"&amp;"form promotes shared responsibility, co-creation, sharing, and win-win between the company and employees, fully stimulating the passion and vitality of employees.")</f>
        <v>The company also launched a "partner" incentive platform, which includes a package of salary incentives and welfare projects such as employee stock ownership, various special rewards, independent business entities, and happiness doubling plans. The platform promotes shared responsibility, co-creation, sharing, and win-win between the company and employees, fully stimulating the passion and vitality of employees.</v>
      </c>
      <c r="B7354" s="1" t="str">
        <f ca="1">IFERROR(__xludf.DUMMYFUNCTION("GOOGLETRANSLATE(A7354, ""zh"", ""en"")"),"staff")</f>
        <v>staff</v>
      </c>
      <c r="C7354" s="1" t="str">
        <f ca="1">IFERROR(__xludf.DUMMYFUNCTION("GOOGLETRANSLATE(E7354, ""zh"", ""en"")"),"Qualitative text")</f>
        <v>Qualitative text</v>
      </c>
    </row>
    <row r="7355" spans="1:3" ht="13" x14ac:dyDescent="0.15">
      <c r="A7355" s="1" t="str">
        <f ca="1">IFERROR(__xludf.DUMMYFUNCTION("GOOGLETRANSLATE(A7355, ""zh"", ""en"")"),"Organize a series of festive activities for ""March 8th Women's Day"" to enhance the sense of happiness and gain of female employees.")</f>
        <v>Organize a series of festive activities for "March 8th Women's Day" to enhance the sense of happiness and gain of female employees.</v>
      </c>
      <c r="B7355" s="1" t="str">
        <f ca="1">IFERROR(__xludf.DUMMYFUNCTION("GOOGLETRANSLATE(A7355, ""zh"", ""en"")"),"staff")</f>
        <v>staff</v>
      </c>
      <c r="C7355" s="1" t="str">
        <f ca="1">IFERROR(__xludf.DUMMYFUNCTION("GOOGLETRANSLATE(E7355, ""zh"", ""en"")"),"Qualitative text")</f>
        <v>Qualitative text</v>
      </c>
    </row>
    <row r="7356" spans="1:3" ht="13" x14ac:dyDescent="0.15">
      <c r="A7356" s="1" t="str">
        <f ca="1">IFERROR(__xludf.DUMMYFUNCTION("GOOGLETRANSLATE(A7356, ""zh"", ""en"")"),"Throughout the year, the company organized 9 assistance programs of various levels and types for seriously ill and needy employees, and organized donations totaling 21,000 yuan.")</f>
        <v>Throughout the year, the company organized 9 assistance programs of various levels and types for seriously ill and needy employees, and organized donations totaling 21,000 yuan.</v>
      </c>
      <c r="B7356" s="1" t="str">
        <f ca="1">IFERROR(__xludf.DUMMYFUNCTION("GOOGLETRANSLATE(A7356, ""zh"", ""en"")"),"staff")</f>
        <v>staff</v>
      </c>
      <c r="C7356" s="1" t="str">
        <f ca="1">IFERROR(__xludf.DUMMYFUNCTION("GOOGLETRANSLATE(E7356, ""zh"", ""en"")"),"Quantitative Text")</f>
        <v>Quantitative Text</v>
      </c>
    </row>
    <row r="7357" spans="1:3" ht="13" x14ac:dyDescent="0.15">
      <c r="A7357" s="1" t="str">
        <f ca="1">IFERROR(__xludf.DUMMYFUNCTION("GOOGLETRANSLATE(A7357, ""zh"", ""en"")"),"The company’s labor union distributes birthday cake rolls to employees who have birthdays that month, showing thoughtful care for their daily lives.")</f>
        <v>The company’s labor union distributes birthday cake rolls to employees who have birthdays that month, showing thoughtful care for their daily lives.</v>
      </c>
      <c r="B7357" s="1" t="str">
        <f ca="1">IFERROR(__xludf.DUMMYFUNCTION("GOOGLETRANSLATE(A7357, ""zh"", ""en"")"),"staff")</f>
        <v>staff</v>
      </c>
      <c r="C7357" s="1" t="str">
        <f ca="1">IFERROR(__xludf.DUMMYFUNCTION("GOOGLETRANSLATE(E7357, ""zh"", ""en"")"),"Qualitative text")</f>
        <v>Qualitative text</v>
      </c>
    </row>
    <row r="7358" spans="1:3" ht="13" x14ac:dyDescent="0.15">
      <c r="A7358" s="1" t="str">
        <f ca="1">IFERROR(__xludf.DUMMYFUNCTION("GOOGLETRANSLATE(A7358, ""zh"", ""en"")"),"The company meets the spiritual and cultural needs of its employees by actively carrying out healthy and uplifting employee cultural activities.")</f>
        <v>The company meets the spiritual and cultural needs of its employees by actively carrying out healthy and uplifting employee cultural activities.</v>
      </c>
      <c r="B7358" s="1" t="str">
        <f ca="1">IFERROR(__xludf.DUMMYFUNCTION("GOOGLETRANSLATE(A7358, ""zh"", ""en"")"),"staff")</f>
        <v>staff</v>
      </c>
      <c r="C7358" s="1" t="str">
        <f ca="1">IFERROR(__xludf.DUMMYFUNCTION("GOOGLETRANSLATE(E7358, ""zh"", ""en"")"),"Qualitative text")</f>
        <v>Qualitative text</v>
      </c>
    </row>
    <row r="7359" spans="1:3" ht="13" x14ac:dyDescent="0.15">
      <c r="A7359" s="1" t="str">
        <f ca="1">IFERROR(__xludf.DUMMYFUNCTION("GOOGLETRANSLATE(A7359, ""zh"", ""en"")"),"Combined with advanced process methods such as intelligent manufacturing, we will gradually adopt low-toxic and safer cleaning methods to replace the acetone-based cleaning agents currently used in large quantities, explore the use of automatic spray robo"&amp;"ts for painting the surface of the fuselage, and reduce the occupational health risks to employees.")</f>
        <v>Combined with advanced process methods such as intelligent manufacturing, we will gradually adopt low-toxic and safer cleaning methods to replace the acetone-based cleaning agents currently used in large quantities, explore the use of automatic spray robots for painting the surface of the fuselage, and reduce the occupational health risks to employees.</v>
      </c>
      <c r="B7359" s="1" t="str">
        <f ca="1">IFERROR(__xludf.DUMMYFUNCTION("GOOGLETRANSLATE(A7359, ""zh"", ""en"")"),"staff")</f>
        <v>staff</v>
      </c>
      <c r="C7359" s="1" t="str">
        <f ca="1">IFERROR(__xludf.DUMMYFUNCTION("GOOGLETRANSLATE(E7359, ""zh"", ""en"")"),"Qualitative text")</f>
        <v>Qualitative text</v>
      </c>
    </row>
    <row r="7360" spans="1:3" ht="13" x14ac:dyDescent="0.15">
      <c r="A7360" s="1" t="str">
        <f ca="1">IFERROR(__xludf.DUMMYFUNCTION("GOOGLETRANSLATE(A7360, ""zh"", ""en"")"),"We have established multiple employee communication channels, through which employees can communicate with their direct superiors or other departments via WeChat, corporate WeChat, and email. We also require each institution under Aier Eye Hospital to set"&amp;" up director suggestion boxes in blind spots of monitoring to actively collect feedback.")</f>
        <v>We have established multiple employee communication channels, through which employees can communicate with their direct superiors or other departments via WeChat, corporate WeChat, and email. We also require each institution under Aier Eye Hospital to set up director suggestion boxes in blind spots of monitoring to actively collect feedback.</v>
      </c>
      <c r="B7360" s="1" t="str">
        <f ca="1">IFERROR(__xludf.DUMMYFUNCTION("GOOGLETRANSLATE(A7360, ""zh"", ""en"")"),"staff")</f>
        <v>staff</v>
      </c>
      <c r="C7360" s="1" t="str">
        <f ca="1">IFERROR(__xludf.DUMMYFUNCTION("GOOGLETRANSLATE(E7360, ""zh"", ""en"")"),"Qualitative text")</f>
        <v>Qualitative text</v>
      </c>
    </row>
    <row r="7361" spans="1:3" ht="13" x14ac:dyDescent="0.15">
      <c r="A7361" s="1" t="str">
        <f ca="1">IFERROR(__xludf.DUMMYFUNCTION("GOOGLETRANSLATE(A7361, ""zh"", ""en"")"),"Paid leave to safeguard the legitimate rights and interests of female employees. Institutions at all levels of the Bank effectively safeguard the legitimate rights and interests of female employees in accordance with relevant laws and regulations.")</f>
        <v>Paid leave to safeguard the legitimate rights and interests of female employees. Institutions at all levels of the Bank effectively safeguard the legitimate rights and interests of female employees in accordance with relevant laws and regulations.</v>
      </c>
      <c r="B7361" s="1" t="str">
        <f ca="1">IFERROR(__xludf.DUMMYFUNCTION("GOOGLETRANSLATE(A7361, ""zh"", ""en"")"),"staff")</f>
        <v>staff</v>
      </c>
      <c r="C7361" s="1" t="str">
        <f ca="1">IFERROR(__xludf.DUMMYFUNCTION("GOOGLETRANSLATE(E7361, ""zh"", ""en"")"),"Qualitative text")</f>
        <v>Qualitative text</v>
      </c>
    </row>
    <row r="7362" spans="1:3" ht="13" x14ac:dyDescent="0.15">
      <c r="A7362" s="1" t="str">
        <f ca="1">IFERROR(__xludf.DUMMYFUNCTION("GOOGLETRANSLATE(A7362, ""zh"", ""en"")"),"The Group strictly abides by the Labor Law of the People's Republic of China, the Labor Contract Law of the People's Republic of China, the Regulations for the Implementation of the Labor Contract Law of the People's Republic of China and other relevant l"&amp;"aws and regulations, formulates relevant management systems, employs employees in accordance with the law and effectively protects the basic rights and interests of employees.")</f>
        <v>The Group strictly abides by the Labor Law of the People's Republic of China, the Labor Contract Law of the People's Republic of China, the Regulations for the Implementation of the Labor Contract Law of the People's Republic of China and other relevant laws and regulations, formulates relevant management systems, employs employees in accordance with the law and effectively protects the basic rights and interests of employees.</v>
      </c>
      <c r="B7362" s="1" t="str">
        <f ca="1">IFERROR(__xludf.DUMMYFUNCTION("GOOGLETRANSLATE(A7362, ""zh"", ""en"")"),"staff")</f>
        <v>staff</v>
      </c>
      <c r="C7362" s="1" t="str">
        <f ca="1">IFERROR(__xludf.DUMMYFUNCTION("GOOGLETRANSLATE(E7362, ""zh"", ""en"")"),"Qualitative text")</f>
        <v>Qualitative text</v>
      </c>
    </row>
    <row r="7363" spans="1:3" ht="13" x14ac:dyDescent="0.15">
      <c r="A7363" s="1" t="str">
        <f ca="1">IFERROR(__xludf.DUMMYFUNCTION("GOOGLETRANSLATE(A7363, ""zh"", ""en"")"),"For workplaces involving toxic and harmful substances, a fresh air system should be used, a toxic and harmful gas monitoring system should be installed, and an emergency exhaust system should be linked.")</f>
        <v>For workplaces involving toxic and harmful substances, a fresh air system should be used, a toxic and harmful gas monitoring system should be installed, and an emergency exhaust system should be linked.</v>
      </c>
      <c r="B7363" s="1" t="str">
        <f ca="1">IFERROR(__xludf.DUMMYFUNCTION("GOOGLETRANSLATE(A7363, ""zh"", ""en"")"),"staff")</f>
        <v>staff</v>
      </c>
      <c r="C7363" s="1" t="str">
        <f ca="1">IFERROR(__xludf.DUMMYFUNCTION("GOOGLETRANSLATE(E7363, ""zh"", ""en"")"),"Qualitative text")</f>
        <v>Qualitative text</v>
      </c>
    </row>
    <row r="7364" spans="1:3" ht="13" x14ac:dyDescent="0.15">
      <c r="A7364" s="1" t="str">
        <f ca="1">IFERROR(__xludf.DUMMYFUNCTION("GOOGLETRANSLATE(A7364, ""zh"", ""en"")"),"Giving out cake coupons on employees' birthdays, organizing employee birthday parties, holiday expenses, and having the union distribute holiday gifts to employees, etc.")</f>
        <v>Giving out cake coupons on employees' birthdays, organizing employee birthday parties, holiday expenses, and having the union distribute holiday gifts to employees, etc.</v>
      </c>
      <c r="B7364" s="1" t="str">
        <f ca="1">IFERROR(__xludf.DUMMYFUNCTION("GOOGLETRANSLATE(A7364, ""zh"", ""en"")"),"staff")</f>
        <v>staff</v>
      </c>
      <c r="C7364" s="1" t="str">
        <f ca="1">IFERROR(__xludf.DUMMYFUNCTION("GOOGLETRANSLATE(E7364, ""zh"", ""en"")"),"Qualitative text")</f>
        <v>Qualitative text</v>
      </c>
    </row>
    <row r="7365" spans="1:3" ht="13" x14ac:dyDescent="0.15">
      <c r="A7365" s="1" t="str">
        <f ca="1">IFERROR(__xludf.DUMMYFUNCTION("GOOGLETRANSLATE(A7365, ""zh"", ""en"")"),"Establish a trade union organization and a system of employee representative conferences. Matters concerning the vital interests of employees, such as labor relations, wages and benefits, labor protection, working hours, and leave systems, shall be discus"&amp;"sed and reviewed by the employee representative conferences, and opinions and suggestions shall be fully listened to.")</f>
        <v>Establish a trade union organization and a system of employee representative conferences. Matters concerning the vital interests of employees, such as labor relations, wages and benefits, labor protection, working hours, and leave systems, shall be discussed and reviewed by the employee representative conferences, and opinions and suggestions shall be fully listened to.</v>
      </c>
      <c r="B7365" s="1" t="str">
        <f ca="1">IFERROR(__xludf.DUMMYFUNCTION("GOOGLETRANSLATE(A7365, ""zh"", ""en"")"),"staff")</f>
        <v>staff</v>
      </c>
      <c r="C7365" s="1" t="str">
        <f ca="1">IFERROR(__xludf.DUMMYFUNCTION("GOOGLETRANSLATE(E7365, ""zh"", ""en"")"),"Qualitative text")</f>
        <v>Qualitative text</v>
      </c>
    </row>
    <row r="7366" spans="1:3" ht="13" x14ac:dyDescent="0.15">
      <c r="A7366" s="1" t="str">
        <f ca="1">IFERROR(__xludf.DUMMYFUNCTION("GOOGLETRANSLATE(A7366, ""zh"", ""en"")"),"The company plans to open its online learning platform for employee special training throughout the year, including CEIBS Business Online, Cloud Academy, and 51job. It provides knowledge learning in different branches such as management skills, financial "&amp;"expertise, Mini-MBA, etc., to enhance the convenience of employee self-improvement and promote employee active learning and self-growth.")</f>
        <v>The company plans to open its online learning platform for employee special training throughout the year, including CEIBS Business Online, Cloud Academy, and 51job. It provides knowledge learning in different branches such as management skills, financial expertise, Mini-MBA, etc., to enhance the convenience of employee self-improvement and promote employee active learning and self-growth.</v>
      </c>
      <c r="B7366" s="1" t="str">
        <f ca="1">IFERROR(__xludf.DUMMYFUNCTION("GOOGLETRANSLATE(A7366, ""zh"", ""en"")"),"staff")</f>
        <v>staff</v>
      </c>
      <c r="C7366" s="1" t="str">
        <f ca="1">IFERROR(__xludf.DUMMYFUNCTION("GOOGLETRANSLATE(E7366, ""zh"", ""en"")"),"Qualitative text")</f>
        <v>Qualitative text</v>
      </c>
    </row>
    <row r="7367" spans="1:3" ht="13" x14ac:dyDescent="0.15">
      <c r="A7367" s="1" t="str">
        <f ca="1">IFERROR(__xludf.DUMMYFUNCTION("GOOGLETRANSLATE(A7367, ""zh"", ""en"")"),"As an international medical device company, in order to build a diverse and equal working environment, our office area signage is bilingual in Chinese and English, and the conference system can simultaneously translate into English, French, Spanish and ot"&amp;"her languages.")</f>
        <v>As an international medical device company, in order to build a diverse and equal working environment, our office area signage is bilingual in Chinese and English, and the conference system can simultaneously translate into English, French, Spanish and other languages.</v>
      </c>
      <c r="B7367" s="1" t="str">
        <f ca="1">IFERROR(__xludf.DUMMYFUNCTION("GOOGLETRANSLATE(A7367, ""zh"", ""en"")"),"staff")</f>
        <v>staff</v>
      </c>
      <c r="C7367" s="1" t="str">
        <f ca="1">IFERROR(__xludf.DUMMYFUNCTION("GOOGLETRANSLATE(E7367, ""zh"", ""en"")"),"Qualitative text")</f>
        <v>Qualitative text</v>
      </c>
    </row>
    <row r="7368" spans="1:3" ht="13" x14ac:dyDescent="0.15">
      <c r="A7368" s="1" t="str">
        <f ca="1">IFERROR(__xludf.DUMMYFUNCTION("GOOGLETRANSLATE(A7368, ""zh"", ""en"")"),"When a labor dispute occurs, the parties may submit a mediation application to the company's mediation organization. The labor dispute mediation committee of the party's unit will conduct an investigation and verification and implement mediation. If the m"&amp;"ediation is successful, the parties will sign a mediation agreement. If the mediation fails, they will apply to the superior dispute arbitration committee for arbitration.")</f>
        <v>When a labor dispute occurs, the parties may submit a mediation application to the company's mediation organization. The labor dispute mediation committee of the party's unit will conduct an investigation and verification and implement mediation. If the mediation is successful, the parties will sign a mediation agreement. If the mediation fails, they will apply to the superior dispute arbitration committee for arbitration.</v>
      </c>
      <c r="B7368" s="1" t="str">
        <f ca="1">IFERROR(__xludf.DUMMYFUNCTION("GOOGLETRANSLATE(A7368, ""zh"", ""en"")"),"staff")</f>
        <v>staff</v>
      </c>
      <c r="C7368" s="1" t="str">
        <f ca="1">IFERROR(__xludf.DUMMYFUNCTION("GOOGLETRANSLATE(E7368, ""zh"", ""en"")"),"Qualitative text")</f>
        <v>Qualitative text</v>
      </c>
    </row>
    <row r="7369" spans="1:3" ht="13" x14ac:dyDescent="0.15">
      <c r="A7369" s="1" t="str">
        <f ca="1">IFERROR(__xludf.DUMMYFUNCTION("GOOGLETRANSLATE(A7369, ""zh"", ""en"")"),"External experts were hired to interpret the new Occupational Safety Law for the group's middle and senior management, and the heads of each unit explained the new safety law based on actual conditions.")</f>
        <v>External experts were hired to interpret the new Occupational Safety Law for the group's middle and senior management, and the heads of each unit explained the new safety law based on actual conditions.</v>
      </c>
      <c r="B7369" s="1" t="str">
        <f ca="1">IFERROR(__xludf.DUMMYFUNCTION("GOOGLETRANSLATE(A7369, ""zh"", ""en"")"),"staff")</f>
        <v>staff</v>
      </c>
      <c r="C7369" s="1" t="str">
        <f ca="1">IFERROR(__xludf.DUMMYFUNCTION("GOOGLETRANSLATE(E7369, ""zh"", ""en"")"),"Qualitative text")</f>
        <v>Qualitative text</v>
      </c>
    </row>
    <row r="7370" spans="1:3" ht="13" x14ac:dyDescent="0.15">
      <c r="A7370" s="1" t="str">
        <f ca="1">IFERROR(__xludf.DUMMYFUNCTION("GOOGLETRANSLATE(A7370, ""zh"", ""en"")"),"The company strictly implements relevant laws, regulations and policies on labor and employment, treats all types of employees equally, and standardizes labor and employment management.")</f>
        <v>The company strictly implements relevant laws, regulations and policies on labor and employment, treats all types of employees equally, and standardizes labor and employment management.</v>
      </c>
      <c r="B7370" s="1" t="str">
        <f ca="1">IFERROR(__xludf.DUMMYFUNCTION("GOOGLETRANSLATE(A7370, ""zh"", ""en"")"),"staff")</f>
        <v>staff</v>
      </c>
      <c r="C7370" s="1" t="str">
        <f ca="1">IFERROR(__xludf.DUMMYFUNCTION("GOOGLETRANSLATE(E7370, ""zh"", ""en"")"),"Qualitative text")</f>
        <v>Qualitative text</v>
      </c>
    </row>
    <row r="7371" spans="1:3" ht="13" x14ac:dyDescent="0.15">
      <c r="A7371" s="1" t="str">
        <f ca="1">IFERROR(__xludf.DUMMYFUNCTION("GOOGLETRANSLATE(A7371, ""zh"", ""en"")"),"At the same time, in order to fully mobilize the enthusiasm of R&amp;D personnel, in 2022 the company formulated and implemented the ""Scientific Research Personnel Project Promotion Incentive Plan"" to encourage project teams to focus on user needs, accurate"&amp;"ly position the market, and continuously improve the number of new products launched and product competitiveness.")</f>
        <v>At the same time, in order to fully mobilize the enthusiasm of R&amp;D personnel, in 2022 the company formulated and implemented the "Scientific Research Personnel Project Promotion Incentive Plan" to encourage project teams to focus on user needs, accurately position the market, and continuously improve the number of new products launched and product competitiveness.</v>
      </c>
      <c r="B7371" s="1" t="str">
        <f ca="1">IFERROR(__xludf.DUMMYFUNCTION("GOOGLETRANSLATE(A7371, ""zh"", ""en"")"),"staff")</f>
        <v>staff</v>
      </c>
      <c r="C7371" s="1" t="str">
        <f ca="1">IFERROR(__xludf.DUMMYFUNCTION("GOOGLETRANSLATE(E7371, ""zh"", ""en"")"),"Qualitative text")</f>
        <v>Qualitative text</v>
      </c>
    </row>
    <row r="7372" spans="1:3" ht="13" x14ac:dyDescent="0.15">
      <c r="A7372" s="1" t="str">
        <f ca="1">IFERROR(__xludf.DUMMYFUNCTION("GOOGLETRANSLATE(A7372, ""zh"", ""en"")"),"In 2022, the employee annual leave rate, maternity leave rate, and parental leave employee return rate all remained at 100%, and 10 employee care activities were carried out.")</f>
        <v>In 2022, the employee annual leave rate, maternity leave rate, and parental leave employee return rate all remained at 100%, and 10 employee care activities were carried out.</v>
      </c>
      <c r="B7372" s="1" t="str">
        <f ca="1">IFERROR(__xludf.DUMMYFUNCTION("GOOGLETRANSLATE(A7372, ""zh"", ""en"")"),"staff")</f>
        <v>staff</v>
      </c>
      <c r="C7372" s="1" t="str">
        <f ca="1">IFERROR(__xludf.DUMMYFUNCTION("GOOGLETRANSLATE(E7372, ""zh"", ""en"")"),"Quantitative Text")</f>
        <v>Quantitative Text</v>
      </c>
    </row>
    <row r="7373" spans="1:3" ht="13" x14ac:dyDescent="0.15">
      <c r="A7373" s="1" t="str">
        <f ca="1">IFERROR(__xludf.DUMMYFUNCTION("GOOGLETRANSLATE(A7373, ""zh"", ""en"")"),"Provide employees with five insurances and one fund, paid vacations and other democratic management. Through channels such as employee seminars and employee representative conferences, conduct two-way communication, encourage employees to make reasonable "&amp;"suggestions for the company, and protect employees' right to know, right to participate, right to vote and right to supervise.")</f>
        <v>Provide employees with five insurances and one fund, paid vacations and other democratic management. Through channels such as employee seminars and employee representative conferences, conduct two-way communication, encourage employees to make reasonable suggestions for the company, and protect employees' right to know, right to participate, right to vote and right to supervise.</v>
      </c>
      <c r="B7373" s="1" t="str">
        <f ca="1">IFERROR(__xludf.DUMMYFUNCTION("GOOGLETRANSLATE(A7373, ""zh"", ""en"")"),"staff")</f>
        <v>staff</v>
      </c>
      <c r="C7373" s="1" t="str">
        <f ca="1">IFERROR(__xludf.DUMMYFUNCTION("GOOGLETRANSLATE(E7373, ""zh"", ""en"")"),"Qualitative text")</f>
        <v>Qualitative text</v>
      </c>
    </row>
    <row r="7374" spans="1:3" ht="13" x14ac:dyDescent="0.15">
      <c r="A7374" s="1" t="str">
        <f ca="1">IFERROR(__xludf.DUMMYFUNCTION("GOOGLETRANSLATE(A7374, ""zh"", ""en"")"),"In daily work, the company insists on listening to the voices of employees, providing timely help and active guidance to employees, and trying its best to properly resolve work disputes in the bud. No labor disputes occurred throughout 2022.")</f>
        <v>In daily work, the company insists on listening to the voices of employees, providing timely help and active guidance to employees, and trying its best to properly resolve work disputes in the bud. No labor disputes occurred throughout 2022.</v>
      </c>
      <c r="B7374" s="1" t="str">
        <f ca="1">IFERROR(__xludf.DUMMYFUNCTION("GOOGLETRANSLATE(A7374, ""zh"", ""en"")"),"staff")</f>
        <v>staff</v>
      </c>
      <c r="C7374" s="1" t="str">
        <f ca="1">IFERROR(__xludf.DUMMYFUNCTION("GOOGLETRANSLATE(E7374, ""zh"", ""en"")"),"Quantitative Text")</f>
        <v>Quantitative Text</v>
      </c>
    </row>
    <row r="7375" spans="1:3" ht="13" x14ac:dyDescent="0.15">
      <c r="A7375" s="1" t="str">
        <f ca="1">IFERROR(__xludf.DUMMYFUNCTION("GOOGLETRANSLATE(A7375, ""zh"", ""en"")"),"In order to alleviate the housing pressure of young talents, policies such as settlement allowances, housing subsidies, and postdoctoral apartments for college graduates are implemented to enable employees to ""live and work in peace and contentment.""")</f>
        <v>In order to alleviate the housing pressure of young talents, policies such as settlement allowances, housing subsidies, and postdoctoral apartments for college graduates are implemented to enable employees to "live and work in peace and contentment."</v>
      </c>
      <c r="B7375" s="1" t="str">
        <f ca="1">IFERROR(__xludf.DUMMYFUNCTION("GOOGLETRANSLATE(A7375, ""zh"", ""en"")"),"staff")</f>
        <v>staff</v>
      </c>
      <c r="C7375" s="1" t="str">
        <f ca="1">IFERROR(__xludf.DUMMYFUNCTION("GOOGLETRANSLATE(E7375, ""zh"", ""en"")"),"Qualitative text")</f>
        <v>Qualitative text</v>
      </c>
    </row>
    <row r="7376" spans="1:3" ht="13" x14ac:dyDescent="0.15">
      <c r="A7376" s="1" t="str">
        <f ca="1">IFERROR(__xludf.DUMMYFUNCTION("GOOGLETRANSLATE(A7376, ""zh"", ""en"")"),"Allocate compensation and performance according to the principles of security, fairness, incentives and efficiency.")</f>
        <v>Allocate compensation and performance according to the principles of security, fairness, incentives and efficiency.</v>
      </c>
      <c r="B7376" s="1" t="str">
        <f ca="1">IFERROR(__xludf.DUMMYFUNCTION("GOOGLETRANSLATE(A7376, ""zh"", ""en"")"),"staff")</f>
        <v>staff</v>
      </c>
      <c r="C7376" s="1" t="str">
        <f ca="1">IFERROR(__xludf.DUMMYFUNCTION("GOOGLETRANSLATE(E7376, ""zh"", ""en"")"),"Qualitative text")</f>
        <v>Qualitative text</v>
      </c>
    </row>
    <row r="7377" spans="1:3" ht="13" x14ac:dyDescent="0.15">
      <c r="A7377" s="1" t="str">
        <f ca="1">IFERROR(__xludf.DUMMYFUNCTION("GOOGLETRANSLATE(A7377, ""zh"", ""en"")"),"The company's social insurance coverage rate is 100%, and the employee labor contract signing rate is 100%.")</f>
        <v>The company's social insurance coverage rate is 100%, and the employee labor contract signing rate is 100%.</v>
      </c>
      <c r="B7377" s="1" t="str">
        <f ca="1">IFERROR(__xludf.DUMMYFUNCTION("GOOGLETRANSLATE(A7377, ""zh"", ""en"")"),"staff")</f>
        <v>staff</v>
      </c>
      <c r="C7377" s="1" t="str">
        <f ca="1">IFERROR(__xludf.DUMMYFUNCTION("GOOGLETRANSLATE(E7377, ""zh"", ""en"")"),"Quantitative Text")</f>
        <v>Quantitative Text</v>
      </c>
    </row>
    <row r="7378" spans="1:3" ht="13" x14ac:dyDescent="0.15">
      <c r="A7378" s="1" t="str">
        <f ca="1">IFERROR(__xludf.DUMMYFUNCTION("GOOGLETRANSLATE(A7378, ""zh"", ""en"")"),"All employees and their dependents have access to HIV treatment through a company-subsidized medical assistance program.")</f>
        <v>All employees and their dependents have access to HIV treatment through a company-subsidized medical assistance program.</v>
      </c>
      <c r="B7378" s="1" t="str">
        <f ca="1">IFERROR(__xludf.DUMMYFUNCTION("GOOGLETRANSLATE(A7378, ""zh"", ""en"")"),"staff")</f>
        <v>staff</v>
      </c>
      <c r="C7378" s="1" t="str">
        <f ca="1">IFERROR(__xludf.DUMMYFUNCTION("GOOGLETRANSLATE(E7378, ""zh"", ""en"")"),"Qualitative text")</f>
        <v>Qualitative text</v>
      </c>
    </row>
    <row r="7379" spans="1:3" ht="13" x14ac:dyDescent="0.15">
      <c r="A7379" s="1" t="str">
        <f ca="1">IFERROR(__xludf.DUMMYFUNCTION("GOOGLETRANSLATE(A7379, ""zh"", ""en"")"),"In 2022, the company continued to carry out the work of establishing files and cards for assistance to the needy. Through the assistance reporting and verification mechanism, it distributed assistance funds to needy employees, carried out the ""Golden Aut"&amp;"umn School Aid"" activities, assisted sick employees, and spent mutual aid funds, totaling 628,000 yuan throughout the year.")</f>
        <v>In 2022, the company continued to carry out the work of establishing files and cards for assistance to the needy. Through the assistance reporting and verification mechanism, it distributed assistance funds to needy employees, carried out the "Golden Autumn School Aid" activities, assisted sick employees, and spent mutual aid funds, totaling 628,000 yuan throughout the year.</v>
      </c>
      <c r="B7379" s="1" t="str">
        <f ca="1">IFERROR(__xludf.DUMMYFUNCTION("GOOGLETRANSLATE(A7379, ""zh"", ""en"")"),"staff")</f>
        <v>staff</v>
      </c>
      <c r="C7379" s="1" t="str">
        <f ca="1">IFERROR(__xludf.DUMMYFUNCTION("GOOGLETRANSLATE(E7379, ""zh"", ""en"")"),"Quantitative Text")</f>
        <v>Quantitative Text</v>
      </c>
    </row>
    <row r="7380" spans="1:3" ht="13" x14ac:dyDescent="0.15">
      <c r="A7380" s="1" t="str">
        <f ca="1">IFERROR(__xludf.DUMMYFUNCTION("GOOGLETRANSLATE(A7380, ""zh"", ""en"")"),"All employees were organized to participate in the publicity and training of the Occupational Disease Prevention and Control Law. The annual inspection of occupational disease hazard factors in production sites, daily monitoring, and occupational disease "&amp;"hazard evaluations for coking, ironmaking and two steelmaking construction projects were completed as planned. 11,220 people were organized for occupational health examinations before taking up their posts, on the job and when leaving their posts, effecti"&amp;"vely preventing the occurrence of occupational diseases.")</f>
        <v>All employees were organized to participate in the publicity and training of the Occupational Disease Prevention and Control Law. The annual inspection of occupational disease hazard factors in production sites, daily monitoring, and occupational disease hazard evaluations for coking, ironmaking and two steelmaking construction projects were completed as planned. 11,220 people were organized for occupational health examinations before taking up their posts, on the job and when leaving their posts, effectively preventing the occurrence of occupational diseases.</v>
      </c>
      <c r="B7380" s="1" t="str">
        <f ca="1">IFERROR(__xludf.DUMMYFUNCTION("GOOGLETRANSLATE(A7380, ""zh"", ""en"")"),"staff")</f>
        <v>staff</v>
      </c>
      <c r="C7380" s="1" t="str">
        <f ca="1">IFERROR(__xludf.DUMMYFUNCTION("GOOGLETRANSLATE(E7380, ""zh"", ""en"")"),"Quantitative Text")</f>
        <v>Quantitative Text</v>
      </c>
    </row>
    <row r="7381" spans="1:3" ht="13" x14ac:dyDescent="0.15">
      <c r="A7381" s="1" t="str">
        <f ca="1">IFERROR(__xludf.DUMMYFUNCTION("GOOGLETRANSLATE(A7381, ""zh"", ""en"")"),"The company attaches great importance to production safety and labor protection, has established a safety committee and EHS department, and has established a strict production safety inspection system and production safety management network.")</f>
        <v>The company attaches great importance to production safety and labor protection, has established a safety committee and EHS department, and has established a strict production safety inspection system and production safety management network.</v>
      </c>
      <c r="B7381" s="1" t="str">
        <f ca="1">IFERROR(__xludf.DUMMYFUNCTION("GOOGLETRANSLATE(A7381, ""zh"", ""en"")"),"staff")</f>
        <v>staff</v>
      </c>
      <c r="C7381" s="1" t="str">
        <f ca="1">IFERROR(__xludf.DUMMYFUNCTION("GOOGLETRANSLATE(E7381, ""zh"", ""en"")"),"Qualitative text")</f>
        <v>Qualitative text</v>
      </c>
    </row>
    <row r="7382" spans="1:3" ht="13" x14ac:dyDescent="0.15">
      <c r="A7382" s="1" t="str">
        <f ca="1">IFERROR(__xludf.DUMMYFUNCTION("GOOGLETRANSLATE(A7382, ""zh"", ""en"")"),"Use the ""Occupational Disease Prevention and Control Law Promotion Week"" to promote occupational disease prevention and control.")</f>
        <v>Use the "Occupational Disease Prevention and Control Law Promotion Week" to promote occupational disease prevention and control.</v>
      </c>
      <c r="B7382" s="1" t="str">
        <f ca="1">IFERROR(__xludf.DUMMYFUNCTION("GOOGLETRANSLATE(A7382, ""zh"", ""en"")"),"staff")</f>
        <v>staff</v>
      </c>
      <c r="C7382" s="1" t="str">
        <f ca="1">IFERROR(__xludf.DUMMYFUNCTION("GOOGLETRANSLATE(E7382, ""zh"", ""en"")"),"Qualitative text")</f>
        <v>Qualitative text</v>
      </c>
    </row>
    <row r="7383" spans="1:3" ht="13" x14ac:dyDescent="0.15">
      <c r="A7383" s="1" t="str">
        <f ca="1">IFERROR(__xludf.DUMMYFUNCTION("GOOGLETRANSLATE(A7383, ""zh"", ""en"")"),"By carrying out new employee training, internal training and empowerment, including quality control training, quality analysis and improvement tool training, we continuously improve the quality skills competency of employees.")</f>
        <v>By carrying out new employee training, internal training and empowerment, including quality control training, quality analysis and improvement tool training, we continuously improve the quality skills competency of employees.</v>
      </c>
      <c r="B7383" s="1" t="str">
        <f ca="1">IFERROR(__xludf.DUMMYFUNCTION("GOOGLETRANSLATE(A7383, ""zh"", ""en"")"),"staff")</f>
        <v>staff</v>
      </c>
      <c r="C7383" s="1" t="str">
        <f ca="1">IFERROR(__xludf.DUMMYFUNCTION("GOOGLETRANSLATE(E7383, ""zh"", ""en"")"),"Qualitative text")</f>
        <v>Qualitative text</v>
      </c>
    </row>
    <row r="7384" spans="1:3" ht="13" x14ac:dyDescent="0.15">
      <c r="A7384" s="1" t="str">
        <f ca="1">IFERROR(__xludf.DUMMYFUNCTION("GOOGLETRANSLATE(A7384, ""zh"", ""en"")"),"In 2022, the company will comprehensively improve its safety management system, and update and revise 57 internal systems including the ""Safety, Environmental Protection and Occupational Health Responsibility System"", ""Safety, Environmental Protection "&amp;"and Occupational Health Charter"", ""Safety and Environmental Management System (Operation Segment)"", ""Safety and Environmental Management System (Engineering Segment)"", and ""Accident and Incident Safety Management Regulations"". It will ""re-sort"" a"&amp;"nd ""re-fine"" the relevant risks involved in the company's production safety, further clarify the safety management goals and the responsibilities of each safety management entity, clarify the production safety process, improve the complete production as"&amp;"sessment, and comprehensively prevent safety hazards.")</f>
        <v>In 2022, the company will comprehensively improve its safety management system, and update and revise 57 internal systems including the "Safety, Environmental Protection and Occupational Health Responsibility System", "Safety, Environmental Protection and Occupational Health Charter", "Safety and Environmental Management System (Operation Segment)", "Safety and Environmental Management System (Engineering Segment)", and "Accident and Incident Safety Management Regulations". It will "re-sort" and "re-fine" the relevant risks involved in the company's production safety, further clarify the safety management goals and the responsibilities of each safety management entity, clarify the production safety process, improve the complete production assessment, and comprehensively prevent safety hazards.</v>
      </c>
      <c r="B7384" s="1" t="str">
        <f ca="1">IFERROR(__xludf.DUMMYFUNCTION("GOOGLETRANSLATE(A7384, ""zh"", ""en"")"),"staff")</f>
        <v>staff</v>
      </c>
      <c r="C7384" s="1" t="str">
        <f ca="1">IFERROR(__xludf.DUMMYFUNCTION("GOOGLETRANSLATE(E7384, ""zh"", ""en"")"),"Quantitative Text")</f>
        <v>Quantitative Text</v>
      </c>
    </row>
    <row r="7385" spans="1:3" ht="13" x14ac:dyDescent="0.15">
      <c r="A7385" s="1" t="str">
        <f ca="1">IFERROR(__xludf.DUMMYFUNCTION("GOOGLETRANSLATE(A7385, ""zh"", ""en"")"),"Organize various cultural and sports clubs such as badminton clubs, dance clubs, chorus clubs, organize dance performances, fitness running activities, organize employees to participate in the ""Little Migrant Birds"" summer exhibition camp organized by t"&amp;"he District Smart New World Park Trade Union Federation, and participate in various competitions and performances.")</f>
        <v>Organize various cultural and sports clubs such as badminton clubs, dance clubs, chorus clubs, organize dance performances, fitness running activities, organize employees to participate in the "Little Migrant Birds" summer exhibition camp organized by the District Smart New World Park Trade Union Federation, and participate in various competitions and performances.</v>
      </c>
      <c r="B7385" s="1" t="str">
        <f ca="1">IFERROR(__xludf.DUMMYFUNCTION("GOOGLETRANSLATE(A7385, ""zh"", ""en"")"),"staff")</f>
        <v>staff</v>
      </c>
      <c r="C7385" s="1" t="str">
        <f ca="1">IFERROR(__xludf.DUMMYFUNCTION("GOOGLETRANSLATE(E7385, ""zh"", ""en"")"),"Qualitative text")</f>
        <v>Qualitative text</v>
      </c>
    </row>
    <row r="7386" spans="1:3" ht="13" x14ac:dyDescent="0.15">
      <c r="A7386" s="1" t="str">
        <f ca="1">IFERROR(__xludf.DUMMYFUNCTION("GOOGLETRANSLATE(A7386, ""zh"", ""en"")"),"Occupational health management measures include providing front-line workers with labor protection supplies that meet national or industry standards.")</f>
        <v>Occupational health management measures include providing front-line workers with labor protection supplies that meet national or industry standards.</v>
      </c>
      <c r="B7386" s="1" t="str">
        <f ca="1">IFERROR(__xludf.DUMMYFUNCTION("GOOGLETRANSLATE(A7386, ""zh"", ""en"")"),"staff")</f>
        <v>staff</v>
      </c>
      <c r="C7386" s="1" t="str">
        <f ca="1">IFERROR(__xludf.DUMMYFUNCTION("GOOGLETRANSLATE(E7386, ""zh"", ""en"")"),"Qualitative text")</f>
        <v>Qualitative text</v>
      </c>
    </row>
    <row r="7387" spans="1:3" ht="13" x14ac:dyDescent="0.15">
      <c r="A7387" s="1" t="str">
        <f ca="1">IFERROR(__xludf.DUMMYFUNCTION("GOOGLETRANSLATE(A7387, ""zh"", ""en"")"),"In accordance with the Law of the People's Republic of China on the Protection of Women's Rights and Interests, the Special Provisions on Labor Protection of Female Employees, the Law of the People's Republic of China on the Protection of Minors, and the "&amp;"Trade Union Law of the People's Republic of China, we have formulated and improved internal management regulations: the ""Procedure for Identifying and Updating Laws and Regulations Related to Labor and Human Rights at SMIC,"" the ""Procedure for Employme"&amp;"nt and Protection of Minor Employees and Interns at SMIC,"" and the ""Procedure for Management of Labor and Human Rights Goals at SMIC."" In our Employee Handbook and other documents on SMIC's labor rights, we emphasize the protection of employees' legiti"&amp;"mate rights and interests and take legal action against any infringement.")</f>
        <v>In accordance with the Law of the People's Republic of China on the Protection of Women's Rights and Interests, the Special Provisions on Labor Protection of Female Employees, the Law of the People's Republic of China on the Protection of Minors, and the Trade Union Law of the People's Republic of China, we have formulated and improved internal management regulations: the "Procedure for Identifying and Updating Laws and Regulations Related to Labor and Human Rights at SMIC," the "Procedure for Employment and Protection of Minor Employees and Interns at SMIC," and the "Procedure for Management of Labor and Human Rights Goals at SMIC." In our Employee Handbook and other documents on SMIC's labor rights, we emphasize the protection of employees' legitimate rights and interests and take legal action against any infringement.</v>
      </c>
      <c r="B7387" s="1" t="str">
        <f ca="1">IFERROR(__xludf.DUMMYFUNCTION("GOOGLETRANSLATE(A7387, ""zh"", ""en"")"),"staff")</f>
        <v>staff</v>
      </c>
      <c r="C7387" s="1" t="str">
        <f ca="1">IFERROR(__xludf.DUMMYFUNCTION("GOOGLETRANSLATE(E7387, ""zh"", ""en"")"),"Qualitative text")</f>
        <v>Qualitative text</v>
      </c>
    </row>
    <row r="7388" spans="1:3" ht="13" x14ac:dyDescent="0.15">
      <c r="A7388" s="1" t="str">
        <f ca="1">IFERROR(__xludf.DUMMYFUNCTION("GOOGLETRANSLATE(A7388, ""zh"", ""en"")"),"We safeguard and guarantee that every employee enjoys equal legal rights and interests in accordance with the law, and provide employees with comprehensive welfare benefits, including six insurances and two funds, holiday subsidies, heating fee subsidies,"&amp;" living allowances for single employees, heatstroke prevention and cooling fees, etc., so that employees can gain a greater sense of happiness.")</f>
        <v>We safeguard and guarantee that every employee enjoys equal legal rights and interests in accordance with the law, and provide employees with comprehensive welfare benefits, including six insurances and two funds, holiday subsidies, heating fee subsidies, living allowances for single employees, heatstroke prevention and cooling fees, etc., so that employees can gain a greater sense of happiness.</v>
      </c>
      <c r="B7388" s="1" t="str">
        <f ca="1">IFERROR(__xludf.DUMMYFUNCTION("GOOGLETRANSLATE(A7388, ""zh"", ""en"")"),"staff")</f>
        <v>staff</v>
      </c>
      <c r="C7388" s="1" t="str">
        <f ca="1">IFERROR(__xludf.DUMMYFUNCTION("GOOGLETRANSLATE(E7388, ""zh"", ""en"")"),"Qualitative text")</f>
        <v>Qualitative text</v>
      </c>
    </row>
    <row r="7389" spans="1:3" ht="13" x14ac:dyDescent="0.15">
      <c r="A7389" s="1" t="str">
        <f ca="1">IFERROR(__xludf.DUMMYFUNCTION("GOOGLETRANSLATE(A7389, ""zh"", ""en"")"),"In addition, we provide holiday benefits to female employees on Women's Day, set up mother-and-child rooms to provide convenience for female employees who are breastfeeding, and purchase supplementary commercial medical insurance for female employees to g"&amp;"ive birth.")</f>
        <v>In addition, we provide holiday benefits to female employees on Women's Day, set up mother-and-child rooms to provide convenience for female employees who are breastfeeding, and purchase supplementary commercial medical insurance for female employees to give birth.</v>
      </c>
      <c r="B7389" s="1" t="str">
        <f ca="1">IFERROR(__xludf.DUMMYFUNCTION("GOOGLETRANSLATE(A7389, ""zh"", ""en"")"),"staff")</f>
        <v>staff</v>
      </c>
      <c r="C7389" s="1" t="str">
        <f ca="1">IFERROR(__xludf.DUMMYFUNCTION("GOOGLETRANSLATE(E7389, ""zh"", ""en"")"),"Qualitative text")</f>
        <v>Qualitative text</v>
      </c>
    </row>
    <row r="7390" spans="1:3" ht="13" x14ac:dyDescent="0.15">
      <c r="A7390" s="1" t="str">
        <f ca="1">IFERROR(__xludf.DUMMYFUNCTION("GOOGLETRANSLATE(A7390, ""zh"", ""en"")"),"The company establishes occupational health files, conducts occupational health examinations for employees every year, equips employees with labor protection equipment that meets regulatory requirements, reduces the impact of dust on employee health by mo"&amp;"difying dust removal equipment, and ensures safe operation of employees by improving catalyst configuration operating procedures and adding video probes.")</f>
        <v>The company establishes occupational health files, conducts occupational health examinations for employees every year, equips employees with labor protection equipment that meets regulatory requirements, reduces the impact of dust on employee health by modifying dust removal equipment, and ensures safe operation of employees by improving catalyst configuration operating procedures and adding video probes.</v>
      </c>
      <c r="B7390" s="1" t="str">
        <f ca="1">IFERROR(__xludf.DUMMYFUNCTION("GOOGLETRANSLATE(A7390, ""zh"", ""en"")"),"staff")</f>
        <v>staff</v>
      </c>
      <c r="C7390" s="1" t="str">
        <f ca="1">IFERROR(__xludf.DUMMYFUNCTION("GOOGLETRANSLATE(E7390, ""zh"", ""en"")"),"Qualitative text")</f>
        <v>Qualitative text</v>
      </c>
    </row>
    <row r="7391" spans="1:3" ht="13" x14ac:dyDescent="0.15">
      <c r="A7391" s="1" t="str">
        <f ca="1">IFERROR(__xludf.DUMMYFUNCTION("GOOGLETRANSLATE(A7391, ""zh"", ""en"")"),"Promotion: The company implements the principles of open, fair and just promotion management, and adheres to the four basic principles when selecting managers: both moral integrity and ability, with moral integrity as the priority.")</f>
        <v>Promotion: The company implements the principles of open, fair and just promotion management, and adheres to the four basic principles when selecting managers: both moral integrity and ability, with moral integrity as the priority.</v>
      </c>
      <c r="B7391" s="1" t="str">
        <f ca="1">IFERROR(__xludf.DUMMYFUNCTION("GOOGLETRANSLATE(A7391, ""zh"", ""en"")"),"staff")</f>
        <v>staff</v>
      </c>
      <c r="C7391" s="1" t="str">
        <f ca="1">IFERROR(__xludf.DUMMYFUNCTION("GOOGLETRANSLATE(E7391, ""zh"", ""en"")"),"Qualitative text")</f>
        <v>Qualitative text</v>
      </c>
    </row>
    <row r="7392" spans="1:3" ht="13" x14ac:dyDescent="0.15">
      <c r="A7392" s="1" t="str">
        <f ca="1">IFERROR(__xludf.DUMMYFUNCTION("GOOGLETRANSLATE(A7392, ""zh"", ""en"")"),"Fenghua Hi-Tech has increased its efforts in cultivating technical personnel and selected outstanding talents for on-the-job training.")</f>
        <v>Fenghua Hi-Tech has increased its efforts in cultivating technical personnel and selected outstanding talents for on-the-job training.</v>
      </c>
      <c r="B7392" s="1" t="str">
        <f ca="1">IFERROR(__xludf.DUMMYFUNCTION("GOOGLETRANSLATE(A7392, ""zh"", ""en"")"),"staff")</f>
        <v>staff</v>
      </c>
      <c r="C7392" s="1" t="str">
        <f ca="1">IFERROR(__xludf.DUMMYFUNCTION("GOOGLETRANSLATE(E7392, ""zh"", ""en"")"),"Qualitative text")</f>
        <v>Qualitative text</v>
      </c>
    </row>
    <row r="7393" spans="1:3" ht="13" x14ac:dyDescent="0.15">
      <c r="A7393" s="1" t="str">
        <f ca="1">IFERROR(__xludf.DUMMYFUNCTION("GOOGLETRANSLATE(A7393, ""zh"", ""en"")"),"Chronic physical risks arise from long-term climate change, such as temperature changes, sea level rise, and water shortages. There are also reputational risks, such as the difficulty a company faces in attracting and retaining customers if their long-ter"&amp;"m impact on the climate causes biodiversity loss and damage to land and soil. There are also technological risks, such as replacing more climate-damaging technologies with less climate-damaging ones.")</f>
        <v>Chronic physical risks arise from long-term climate change, such as temperature changes, sea level rise, and water shortages. There are also reputational risks, such as the difficulty a company faces in attracting and retaining customers if their long-term impact on the climate causes biodiversity loss and damage to land and soil. There are also technological risks, such as replacing more climate-damaging technologies with less climate-damaging ones.</v>
      </c>
      <c r="B7393" s="1" t="str">
        <f ca="1">IFERROR(__xludf.DUMMYFUNCTION("GOOGLETRANSLATE(A7393, ""zh"", ""en"")"),"Addressing climate change")</f>
        <v>Addressing climate change</v>
      </c>
      <c r="C7393" s="1" t="str">
        <f ca="1">IFERROR(__xludf.DUMMYFUNCTION("GOOGLETRANSLATE(E7393, ""zh"", ""en"")"),"Qualitative text")</f>
        <v>Qualitative text</v>
      </c>
    </row>
    <row r="7394" spans="1:3" ht="13" x14ac:dyDescent="0.15">
      <c r="A7394" s="1" t="str">
        <f ca="1">IFERROR(__xludf.DUMMYFUNCTION("GOOGLETRANSLATE(A7394, ""zh"", ""en"")"),"In 2022, the company organized its member companies to assess the severity and likelihood of climate change-related risks based on existing climate change risk management practices, form a risk list, and propose corresponding response measures.")</f>
        <v>In 2022, the company organized its member companies to assess the severity and likelihood of climate change-related risks based on existing climate change risk management practices, form a risk list, and propose corresponding response measures.</v>
      </c>
      <c r="B7394" s="1" t="str">
        <f ca="1">IFERROR(__xludf.DUMMYFUNCTION("GOOGLETRANSLATE(A7394, ""zh"", ""en"")"),"Addressing climate change")</f>
        <v>Addressing climate change</v>
      </c>
      <c r="C7394" s="1" t="str">
        <f ca="1">IFERROR(__xludf.DUMMYFUNCTION("GOOGLETRANSLATE(E7394, ""zh"", ""en"")"),"Qualitative text")</f>
        <v>Qualitative text</v>
      </c>
    </row>
    <row r="7395" spans="1:3" ht="13" x14ac:dyDescent="0.15">
      <c r="A7395" s="1" t="str">
        <f ca="1">IFERROR(__xludf.DUMMYFUNCTION("GOOGLETRANSLATE(A7395, ""zh"", ""en"")"),"Second, identify climate change risks and develop a series of risk prevention, avoidance and response methods, formulate BCP plans in the face of extreme weather and other situations, and achieve production capacity complementarity among production bases "&amp;"with similar categories.")</f>
        <v>Second, identify climate change risks and develop a series of risk prevention, avoidance and response methods, formulate BCP plans in the face of extreme weather and other situations, and achieve production capacity complementarity among production bases with similar categories.</v>
      </c>
      <c r="B7395" s="1" t="str">
        <f ca="1">IFERROR(__xludf.DUMMYFUNCTION("GOOGLETRANSLATE(A7395, ""zh"", ""en"")"),"Addressing climate change")</f>
        <v>Addressing climate change</v>
      </c>
      <c r="C7395" s="1" t="str">
        <f ca="1">IFERROR(__xludf.DUMMYFUNCTION("GOOGLETRANSLATE(E7395, ""zh"", ""en"")"),"Qualitative text")</f>
        <v>Qualitative text</v>
      </c>
    </row>
    <row r="7396" spans="1:3" ht="13" x14ac:dyDescent="0.15">
      <c r="A7396" s="1" t="str">
        <f ca="1">IFERROR(__xludf.DUMMYFUNCTION("GOOGLETRANSLATE(A7396, ""zh"", ""en"")"),"The company actively responds to national strategies and government policies in its operating locations, promotes the establishment of a climate change management system, identifies risks and opportunities related to climate change, and improves managemen"&amp;"t based on the results.")</f>
        <v>The company actively responds to national strategies and government policies in its operating locations, promotes the establishment of a climate change management system, identifies risks and opportunities related to climate change, and improves management based on the results.</v>
      </c>
      <c r="B7396" s="1" t="str">
        <f ca="1">IFERROR(__xludf.DUMMYFUNCTION("GOOGLETRANSLATE(A7396, ""zh"", ""en"")"),"Addressing climate change")</f>
        <v>Addressing climate change</v>
      </c>
      <c r="C7396" s="1" t="str">
        <f ca="1">IFERROR(__xludf.DUMMYFUNCTION("GOOGLETRANSLATE(E7396, ""zh"", ""en"")"),"Qualitative text")</f>
        <v>Qualitative text</v>
      </c>
    </row>
    <row r="7397" spans="1:3" ht="13" x14ac:dyDescent="0.15">
      <c r="A7397" s="1" t="str">
        <f ca="1">IFERROR(__xludf.DUMMYFUNCTION("GOOGLETRANSLATE(A7397, ""zh"", ""en"")"),"During the project bidding stage, the company fully investigates the natural environment of the project site, effectively identifies the risks of climate change or extreme weather, formulates corresponding control measures and emergency plans, clarifies t"&amp;"he emergency rescue command organization and responsibilities, and establishes prevention and early warning mechanisms.")</f>
        <v>During the project bidding stage, the company fully investigates the natural environment of the project site, effectively identifies the risks of climate change or extreme weather, formulates corresponding control measures and emergency plans, clarifies the emergency rescue command organization and responsibilities, and establishes prevention and early warning mechanisms.</v>
      </c>
      <c r="B7397" s="1" t="str">
        <f ca="1">IFERROR(__xludf.DUMMYFUNCTION("GOOGLETRANSLATE(A7397, ""zh"", ""en"")"),"Addressing climate change")</f>
        <v>Addressing climate change</v>
      </c>
      <c r="C7397" s="1" t="str">
        <f ca="1">IFERROR(__xludf.DUMMYFUNCTION("GOOGLETRANSLATE(E7397, ""zh"", ""en"")"),"Qualitative text")</f>
        <v>Qualitative text</v>
      </c>
    </row>
    <row r="7398" spans="1:3" ht="13" x14ac:dyDescent="0.15">
      <c r="A7398" s="1" t="str">
        <f ca="1">IFERROR(__xludf.DUMMYFUNCTION("GOOGLETRANSLATE(A7398, ""zh"", ""en"")"),"Luxshare Precision has formulated a climate change strategy based on the group's business strategy and the actual conditions of each factory in the past three years to meet the company's actual situation and needs. The overall climate change strategy will"&amp;" be reviewed and adjusted in a timely manner every year based on changes in the group.")</f>
        <v>Luxshare Precision has formulated a climate change strategy based on the group's business strategy and the actual conditions of each factory in the past three years to meet the company's actual situation and needs. The overall climate change strategy will be reviewed and adjusted in a timely manner every year based on changes in the group.</v>
      </c>
      <c r="B7398" s="1" t="str">
        <f ca="1">IFERROR(__xludf.DUMMYFUNCTION("GOOGLETRANSLATE(A7398, ""zh"", ""en"")"),"Addressing climate change")</f>
        <v>Addressing climate change</v>
      </c>
      <c r="C7398" s="1" t="str">
        <f ca="1">IFERROR(__xludf.DUMMYFUNCTION("GOOGLETRANSLATE(E7398, ""zh"", ""en"")"),"Qualitative text")</f>
        <v>Qualitative text</v>
      </c>
    </row>
    <row r="7399" spans="1:3" ht="13" x14ac:dyDescent="0.15">
      <c r="A7399" s="1" t="str">
        <f ca="1">IFERROR(__xludf.DUMMYFUNCTION("GOOGLETRANSLATE(A7399, ""zh"", ""en"")"),"By focusing on climate-friendly products and services to develop innovative businesses, issuing ""climate change response"" special bonds, assisting with listings, and conducting equity investments, we support the development of climate-friendly enterpris"&amp;"es, while bringing profits to the companies and guiding social capital to invest in climate-friendly industries to jointly respond to climate change.")</f>
        <v>By focusing on climate-friendly products and services to develop innovative businesses, issuing "climate change response" special bonds, assisting with listings, and conducting equity investments, we support the development of climate-friendly enterprises, while bringing profits to the companies and guiding social capital to invest in climate-friendly industries to jointly respond to climate change.</v>
      </c>
      <c r="B7399" s="1" t="str">
        <f ca="1">IFERROR(__xludf.DUMMYFUNCTION("GOOGLETRANSLATE(A7399, ""zh"", ""en"")"),"Addressing climate change")</f>
        <v>Addressing climate change</v>
      </c>
      <c r="C7399" s="1" t="str">
        <f ca="1">IFERROR(__xludf.DUMMYFUNCTION("GOOGLETRANSLATE(E7399, ""zh"", ""en"")"),"Qualitative text")</f>
        <v>Qualitative text</v>
      </c>
    </row>
    <row r="7400" spans="1:3" ht="13" x14ac:dyDescent="0.15">
      <c r="A7400" s="1" t="str">
        <f ca="1">IFERROR(__xludf.DUMMYFUNCTION("GOOGLETRANSLATE(A7400, ""zh"", ""en"")"),"Promote green development, actively respond to climate change, and strive to reduce the environmental footprint of operations.")</f>
        <v>Promote green development, actively respond to climate change, and strive to reduce the environmental footprint of operations.</v>
      </c>
      <c r="B7400" s="1" t="str">
        <f ca="1">IFERROR(__xludf.DUMMYFUNCTION("GOOGLETRANSLATE(A7400, ""zh"", ""en"")"),"Addressing climate change")</f>
        <v>Addressing climate change</v>
      </c>
      <c r="C7400" s="1" t="str">
        <f ca="1">IFERROR(__xludf.DUMMYFUNCTION("GOOGLETRANSLATE(E7400, ""zh"", ""en"")"),"Qualitative text")</f>
        <v>Qualitative text</v>
      </c>
    </row>
    <row r="7401" spans="1:3" ht="13" x14ac:dyDescent="0.15">
      <c r="A7401" s="1" t="str">
        <f ca="1">IFERROR(__xludf.DUMMYFUNCTION("GOOGLETRANSLATE(A7401, ""zh"", ""en"")"),"In response to climate change, Yuhetian realizes the necessity and urgency of responding to climate change, supports the country's ""3060"" dual carbon goals and takes active action, and is committed to working with customers to respond to climate change "&amp;"through professional services.")</f>
        <v>In response to climate change, Yuhetian realizes the necessity and urgency of responding to climate change, supports the country's "3060" dual carbon goals and takes active action, and is committed to working with customers to respond to climate change through professional services.</v>
      </c>
      <c r="B7401" s="1" t="str">
        <f ca="1">IFERROR(__xludf.DUMMYFUNCTION("GOOGLETRANSLATE(A7401, ""zh"", ""en"")"),"Addressing climate change")</f>
        <v>Addressing climate change</v>
      </c>
      <c r="C7401" s="1" t="str">
        <f ca="1">IFERROR(__xludf.DUMMYFUNCTION("GOOGLETRANSLATE(E7401, ""zh"", ""en"")"),"Qualitative text")</f>
        <v>Qualitative text</v>
      </c>
    </row>
    <row r="7402" spans="1:3" ht="13" x14ac:dyDescent="0.15">
      <c r="A7402" s="1" t="str">
        <f ca="1">IFERROR(__xludf.DUMMYFUNCTION("GOOGLETRANSLATE(A7402, ""zh"", ""en"")"),"In order to respond to climate change, a common challenge facing the world, the company has actively taken measures to mitigate and adapt to climate change.")</f>
        <v>In order to respond to climate change, a common challenge facing the world, the company has actively taken measures to mitigate and adapt to climate change.</v>
      </c>
      <c r="B7402" s="1" t="str">
        <f ca="1">IFERROR(__xludf.DUMMYFUNCTION("GOOGLETRANSLATE(A7402, ""zh"", ""en"")"),"Addressing climate change")</f>
        <v>Addressing climate change</v>
      </c>
      <c r="C7402" s="1" t="str">
        <f ca="1">IFERROR(__xludf.DUMMYFUNCTION("GOOGLETRANSLATE(E7402, ""zh"", ""en"")"),"Qualitative text")</f>
        <v>Qualitative text</v>
      </c>
    </row>
    <row r="7403" spans="1:3" ht="13" x14ac:dyDescent="0.15">
      <c r="A7403" s="1" t="str">
        <f ca="1">IFERROR(__xludf.DUMMYFUNCTION("GOOGLETRANSLATE(A7403, ""zh"", ""en"")"),"By focusing on climate-friendly products and services to develop innovative businesses, issuing ""climate change response"" special bonds, assisting with listings, and conducting equity investments, we support the development of climate-friendly enterpris"&amp;"es, while bringing profits to the companies and guiding social capital to invest in climate-friendly industries to jointly respond to climate change.")</f>
        <v>By focusing on climate-friendly products and services to develop innovative businesses, issuing "climate change response" special bonds, assisting with listings, and conducting equity investments, we support the development of climate-friendly enterprises, while bringing profits to the companies and guiding social capital to invest in climate-friendly industries to jointly respond to climate change.</v>
      </c>
      <c r="B7403" s="1" t="str">
        <f ca="1">IFERROR(__xludf.DUMMYFUNCTION("GOOGLETRANSLATE(A7403, ""zh"", ""en"")"),"Addressing climate change")</f>
        <v>Addressing climate change</v>
      </c>
      <c r="C7403" s="1" t="str">
        <f ca="1">IFERROR(__xludf.DUMMYFUNCTION("GOOGLETRANSLATE(E7403, ""zh"", ""en"")"),"Qualitative text")</f>
        <v>Qualitative text</v>
      </c>
    </row>
    <row r="7404" spans="1:3" ht="13" x14ac:dyDescent="0.15">
      <c r="A7404" s="1" t="str">
        <f ca="1">IFERROR(__xludf.DUMMYFUNCTION("GOOGLETRANSLATE(A7404, ""zh"", ""en"")"),"We will earnestly respond to the national call, closely monitor policy progress related to climate change, seize climate-related opportunities, actively launch climate-friendly products, pay attention to green financial investment opportunities, and provi"&amp;"de financial services for low-carbon, new energy and other companies.")</f>
        <v>We will earnestly respond to the national call, closely monitor policy progress related to climate change, seize climate-related opportunities, actively launch climate-friendly products, pay attention to green financial investment opportunities, and provide financial services for low-carbon, new energy and other companies.</v>
      </c>
      <c r="B7404" s="1" t="str">
        <f ca="1">IFERROR(__xludf.DUMMYFUNCTION("GOOGLETRANSLATE(A7404, ""zh"", ""en"")"),"Addressing climate change")</f>
        <v>Addressing climate change</v>
      </c>
      <c r="C7404" s="1" t="str">
        <f ca="1">IFERROR(__xludf.DUMMYFUNCTION("GOOGLETRANSLATE(E7404, ""zh"", ""en"")"),"Qualitative text")</f>
        <v>Qualitative text</v>
      </c>
    </row>
    <row r="7405" spans="1:3" ht="13" x14ac:dyDescent="0.15">
      <c r="A7405" s="1" t="str">
        <f ca="1">IFERROR(__xludf.DUMMYFUNCTION("GOOGLETRANSLATE(A7405, ""zh"", ""en"")"),"Increase response to continuous attention to climate and environment-related policies and laws and regulations, improve risk identification of climate-sensitive enterprises, screen environmentally and climate-friendly ESG high-quality projects, and streng"&amp;"then business due diligence, approval and subsequent management.")</f>
        <v>Increase response to continuous attention to climate and environment-related policies and laws and regulations, improve risk identification of climate-sensitive enterprises, screen environmentally and climate-friendly ESG high-quality projects, and strengthen business due diligence, approval and subsequent management.</v>
      </c>
      <c r="B7405" s="1" t="str">
        <f ca="1">IFERROR(__xludf.DUMMYFUNCTION("GOOGLETRANSLATE(A7405, ""zh"", ""en"")"),"Addressing climate change")</f>
        <v>Addressing climate change</v>
      </c>
      <c r="C7405" s="1" t="str">
        <f ca="1">IFERROR(__xludf.DUMMYFUNCTION("GOOGLETRANSLATE(E7405, ""zh"", ""en"")"),"Qualitative text")</f>
        <v>Qualitative text</v>
      </c>
    </row>
    <row r="7406" spans="1:3" ht="13" x14ac:dyDescent="0.15">
      <c r="A7406" s="1" t="str">
        <f ca="1">IFERROR(__xludf.DUMMYFUNCTION("GOOGLETRANSLATE(A7406, ""zh"", ""en"")"),"To address the impact of climate change risks, effective measures should be taken to improve the management level of enterprises on climate change and its related risks, evaluate, control and track various climate change related risks, and strengthen the "&amp;"green governance of enterprises.")</f>
        <v>To address the impact of climate change risks, effective measures should be taken to improve the management level of enterprises on climate change and its related risks, evaluate, control and track various climate change related risks, and strengthen the green governance of enterprises.</v>
      </c>
      <c r="B7406" s="1" t="str">
        <f ca="1">IFERROR(__xludf.DUMMYFUNCTION("GOOGLETRANSLATE(A7406, ""zh"", ""en"")"),"Addressing climate change")</f>
        <v>Addressing climate change</v>
      </c>
      <c r="C7406" s="1" t="str">
        <f ca="1">IFERROR(__xludf.DUMMYFUNCTION("GOOGLETRANSLATE(E7406, ""zh"", ""en"")"),"Qualitative text")</f>
        <v>Qualitative text</v>
      </c>
    </row>
    <row r="7407" spans="1:3" ht="13" x14ac:dyDescent="0.15">
      <c r="A7407" s="1" t="str">
        <f ca="1">IFERROR(__xludf.DUMMYFUNCTION("GOOGLETRANSLATE(A7407, ""zh"", ""en"")"),"The Bank fully implements the national ""dual carbon"" strategy and actively responds to the development opportunities and risk challenges brought about by environmental and climate change. Every year, the Bank analyzes the opportunities and challenges br"&amp;"ought about by environmental and climate change based on the latest domestic and international situations and national policy guidance, formulates relevant industry credit policies, improves key points of environmental and climate risk management, seizes "&amp;"business opportunities, comprehensively strengthens environmental and climate risk management, and promotes green and sustainable development.")</f>
        <v>The Bank fully implements the national "dual carbon" strategy and actively responds to the development opportunities and risk challenges brought about by environmental and climate change. Every year, the Bank analyzes the opportunities and challenges brought about by environmental and climate change based on the latest domestic and international situations and national policy guidance, formulates relevant industry credit policies, improves key points of environmental and climate risk management, seizes business opportunities, comprehensively strengthens environmental and climate risk management, and promotes green and sustainable development.</v>
      </c>
      <c r="B7407" s="1" t="str">
        <f ca="1">IFERROR(__xludf.DUMMYFUNCTION("GOOGLETRANSLATE(A7407, ""zh"", ""en"")"),"Addressing climate change")</f>
        <v>Addressing climate change</v>
      </c>
      <c r="C7407" s="1" t="str">
        <f ca="1">IFERROR(__xludf.DUMMYFUNCTION("GOOGLETRANSLATE(E7407, ""zh"", ""en"")"),"Qualitative text")</f>
        <v>Qualitative text</v>
      </c>
    </row>
    <row r="7408" spans="1:3" ht="13" x14ac:dyDescent="0.15">
      <c r="A7408" s="1" t="str">
        <f ca="1">IFERROR(__xludf.DUMMYFUNCTION("GOOGLETRANSLATE(A7408, ""zh"", ""en"")"),"In response to risks that may impact the company's business, such as various disasters caused by extreme weather, we have taken various measures to minimize the losses caused by various climate disasters and ensure the safety of on-site construction perso"&amp;"nnel and property.")</f>
        <v>In response to risks that may impact the company's business, such as various disasters caused by extreme weather, we have taken various measures to minimize the losses caused by various climate disasters and ensure the safety of on-site construction personnel and property.</v>
      </c>
      <c r="B7408" s="1" t="str">
        <f ca="1">IFERROR(__xludf.DUMMYFUNCTION("GOOGLETRANSLATE(A7408, ""zh"", ""en"")"),"Addressing climate change")</f>
        <v>Addressing climate change</v>
      </c>
      <c r="C7408" s="1" t="str">
        <f ca="1">IFERROR(__xludf.DUMMYFUNCTION("GOOGLETRANSLATE(E7408, ""zh"", ""en"")"),"Qualitative text")</f>
        <v>Qualitative text</v>
      </c>
    </row>
    <row r="7409" spans="1:3" ht="13" x14ac:dyDescent="0.15">
      <c r="A7409" s="1" t="str">
        <f ca="1">IFERROR(__xludf.DUMMYFUNCTION("GOOGLETRANSLATE(A7409, ""zh"", ""en"")"),"During the bidding phase, the company thoroughly researched the project site's natural environment, effectively identifying risks from climate change or extreme weather. It then developed corresponding control measures and contingency plans, clarified eme"&amp;"rgency rescue command structures and responsibilities, and established prevention and early warning mechanisms. This was particularly important during the rainy season, as the company took precautions against sudden rainstorms, mudslides, and other extrem"&amp;"e weather events. The company strengthened on-site environmental safety management, increased inspections of the wellsite and surrounding areas, and ensured a stockpile of emergency supplies.")</f>
        <v>During the bidding phase, the company thoroughly researched the project site's natural environment, effectively identifying risks from climate change or extreme weather. It then developed corresponding control measures and contingency plans, clarified emergency rescue command structures and responsibilities, and established prevention and early warning mechanisms. This was particularly important during the rainy season, as the company took precautions against sudden rainstorms, mudslides, and other extreme weather events. The company strengthened on-site environmental safety management, increased inspections of the wellsite and surrounding areas, and ensured a stockpile of emergency supplies.</v>
      </c>
      <c r="B7409" s="1" t="str">
        <f ca="1">IFERROR(__xludf.DUMMYFUNCTION("GOOGLETRANSLATE(A7409, ""zh"", ""en"")"),"Addressing climate change")</f>
        <v>Addressing climate change</v>
      </c>
      <c r="C7409" s="1" t="str">
        <f ca="1">IFERROR(__xludf.DUMMYFUNCTION("GOOGLETRANSLATE(E7409, ""zh"", ""en"")"),"Qualitative text")</f>
        <v>Qualitative text</v>
      </c>
    </row>
    <row r="7410" spans="1:3" ht="13" x14ac:dyDescent="0.15">
      <c r="A7410" s="1" t="str">
        <f ca="1">IFERROR(__xludf.DUMMYFUNCTION("GOOGLETRANSLATE(A7410, ""zh"", ""en"")"),"By establishing mechanisms such as information reporting, early warning, duty management, and emergency material guarantees, we can ensure that the impact of climate change on engineering projects is prevented or reduced to the greatest extent possible.")</f>
        <v>By establishing mechanisms such as information reporting, early warning, duty management, and emergency material guarantees, we can ensure that the impact of climate change on engineering projects is prevented or reduced to the greatest extent possible.</v>
      </c>
      <c r="B7410" s="1" t="str">
        <f ca="1">IFERROR(__xludf.DUMMYFUNCTION("GOOGLETRANSLATE(A7410, ""zh"", ""en"")"),"Addressing climate change")</f>
        <v>Addressing climate change</v>
      </c>
      <c r="C7410" s="1" t="str">
        <f ca="1">IFERROR(__xludf.DUMMYFUNCTION("GOOGLETRANSLATE(E7410, ""zh"", ""en"")"),"Qualitative text")</f>
        <v>Qualitative text</v>
      </c>
    </row>
    <row r="7411" spans="1:3" ht="13" x14ac:dyDescent="0.15">
      <c r="A7411" s="1" t="str">
        <f ca="1">IFERROR(__xludf.DUMMYFUNCTION("GOOGLETRANSLATE(A7411, ""zh"", ""en"")"),"The company actively identifies, analyzes and responds to climate-related risks, and incorporates climate change mitigation and adaptation into its operations and ESG management.")</f>
        <v>The company actively identifies, analyzes and responds to climate-related risks, and incorporates climate change mitigation and adaptation into its operations and ESG management.</v>
      </c>
      <c r="B7411" s="1" t="str">
        <f ca="1">IFERROR(__xludf.DUMMYFUNCTION("GOOGLETRANSLATE(A7411, ""zh"", ""en"")"),"Addressing climate change")</f>
        <v>Addressing climate change</v>
      </c>
      <c r="C7411" s="1" t="str">
        <f ca="1">IFERROR(__xludf.DUMMYFUNCTION("GOOGLETRANSLATE(E7411, ""zh"", ""en"")"),"Qualitative text")</f>
        <v>Qualitative text</v>
      </c>
    </row>
    <row r="7412" spans="1:3" ht="13" x14ac:dyDescent="0.15">
      <c r="A7412" s="1" t="str">
        <f ca="1">IFERROR(__xludf.DUMMYFUNCTION("GOOGLETRANSLATE(A7412, ""zh"", ""en"")"),"The company announced that it has signed and submitted the ""Corporate Ambition Commitment Letter to Support the 1.5°C Temperature Limitation Target"" to SBTi, helping to achieve the long-term goal of the Paris Agreement to ""limit the global average temp"&amp;"erature increase to 1.5°C above pre-industrial levels"", mitigate the impact of warming, and protect our common home, the Earth.")</f>
        <v>The company announced that it has signed and submitted the "Corporate Ambition Commitment Letter to Support the 1.5°C Temperature Limitation Target" to SBTi, helping to achieve the long-term goal of the Paris Agreement to "limit the global average temperature increase to 1.5°C above pre-industrial levels", mitigate the impact of warming, and protect our common home, the Earth.</v>
      </c>
      <c r="B7412" s="1" t="str">
        <f ca="1">IFERROR(__xludf.DUMMYFUNCTION("GOOGLETRANSLATE(A7412, ""zh"", ""en"")"),"Addressing climate change")</f>
        <v>Addressing climate change</v>
      </c>
      <c r="C7412" s="1" t="str">
        <f ca="1">IFERROR(__xludf.DUMMYFUNCTION("GOOGLETRANSLATE(E7412, ""zh"", ""en"")"),"Qualitative text")</f>
        <v>Qualitative text</v>
      </c>
    </row>
    <row r="7413" spans="1:3" ht="13" x14ac:dyDescent="0.15">
      <c r="A7413" s="1" t="str">
        <f ca="1">IFERROR(__xludf.DUMMYFUNCTION("GOOGLETRANSLATE(A7413, ""zh"", ""en"")"),"The company actively identifies relevant climate risks, including environmental and safety accidents caused by extreme weather and the impact on normal production operations.")</f>
        <v>The company actively identifies relevant climate risks, including environmental and safety accidents caused by extreme weather and the impact on normal production operations.</v>
      </c>
      <c r="B7413" s="1" t="str">
        <f ca="1">IFERROR(__xludf.DUMMYFUNCTION("GOOGLETRANSLATE(A7413, ""zh"", ""en"")"),"Addressing climate change")</f>
        <v>Addressing climate change</v>
      </c>
      <c r="C7413" s="1" t="str">
        <f ca="1">IFERROR(__xludf.DUMMYFUNCTION("GOOGLETRANSLATE(E7413, ""zh"", ""en"")"),"Qualitative text")</f>
        <v>Qualitative text</v>
      </c>
    </row>
    <row r="7414" spans="1:3" ht="13" x14ac:dyDescent="0.15">
      <c r="A7414" s="1" t="str">
        <f ca="1">IFERROR(__xludf.DUMMYFUNCTION("GOOGLETRANSLATE(A7414, ""zh"", ""en"")"),"In accordance with the TCFD Climate Risk Disclosure Framework, we identified the potential impacts of climate change on our business segments over different timescales: short-term (1-2 years), medium-term (3-5 years), mid-to-long-term (6-9 years), and lon"&amp;"g-term (10 years and beyond). We used a qualitative assessment approach to rank the identified risks based on their likelihood, impact, adaptability, and resilience, with the severity of the impact being ranked as ""low,"" ""medium,"" or ""high.""")</f>
        <v>In accordance with the TCFD Climate Risk Disclosure Framework, we identified the potential impacts of climate change on our business segments over different timescales: short-term (1-2 years), medium-term (3-5 years), mid-to-long-term (6-9 years), and long-term (10 years and beyond). We used a qualitative assessment approach to rank the identified risks based on their likelihood, impact, adaptability, and resilience, with the severity of the impact being ranked as "low," "medium," or "high."</v>
      </c>
      <c r="B7414" s="1" t="str">
        <f ca="1">IFERROR(__xludf.DUMMYFUNCTION("GOOGLETRANSLATE(A7414, ""zh"", ""en"")"),"Addressing climate change")</f>
        <v>Addressing climate change</v>
      </c>
      <c r="C7414" s="1" t="str">
        <f ca="1">IFERROR(__xludf.DUMMYFUNCTION("GOOGLETRANSLATE(E7414, ""zh"", ""en"")"),"Qualitative text")</f>
        <v>Qualitative text</v>
      </c>
    </row>
    <row r="7415" spans="1:3" ht="13" x14ac:dyDescent="0.15">
      <c r="A7415" s="1" t="str">
        <f ca="1">IFERROR(__xludf.DUMMYFUNCTION("GOOGLETRANSLATE(A7415, ""zh"", ""en"")"),"During heat waves, employees may be unable to work due to heat exhaustion, heat stroke, or other health issues caused by the extreme heat, leading to increased operating costs. Production machinery may also overheat, shortening its service life. Both scen"&amp;"arios can result in lost revenue.")</f>
        <v>During heat waves, employees may be unable to work due to heat exhaustion, heat stroke, or other health issues caused by the extreme heat, leading to increased operating costs. Production machinery may also overheat, shortening its service life. Both scenarios can result in lost revenue.</v>
      </c>
      <c r="B7415" s="1" t="str">
        <f ca="1">IFERROR(__xludf.DUMMYFUNCTION("GOOGLETRANSLATE(A7415, ""zh"", ""en"")"),"Addressing climate change")</f>
        <v>Addressing climate change</v>
      </c>
      <c r="C7415" s="1" t="str">
        <f ca="1">IFERROR(__xludf.DUMMYFUNCTION("GOOGLETRANSLATE(E7415, ""zh"", ""en"")"),"Qualitative text")</f>
        <v>Qualitative text</v>
      </c>
    </row>
    <row r="7416" spans="1:3" ht="13" x14ac:dyDescent="0.15">
      <c r="A7416" s="1" t="str">
        <f ca="1">IFERROR(__xludf.DUMMYFUNCTION("GOOGLETRANSLATE(A7416, ""zh"", ""en"")"),"Long-term Company-wide Acute Typhoon Operational Risk: As 50% of our manufacturing facilities are located in typhoon-prone areas, we face a certain degree of typhoon risk. Long-term Company-wide Chronic Sea Level Rise Operational Risk: As our manufacturin"&amp;"g facilities are not located on the coastline, we face a lower risk of sea level rise.")</f>
        <v>Long-term Company-wide Acute Typhoon Operational Risk: As 50% of our manufacturing facilities are located in typhoon-prone areas, we face a certain degree of typhoon risk. Long-term Company-wide Chronic Sea Level Rise Operational Risk: As our manufacturing facilities are not located on the coastline, we face a lower risk of sea level rise.</v>
      </c>
      <c r="B7416" s="1" t="str">
        <f ca="1">IFERROR(__xludf.DUMMYFUNCTION("GOOGLETRANSLATE(A7416, ""zh"", ""en"")"),"Addressing climate change")</f>
        <v>Addressing climate change</v>
      </c>
      <c r="C7416" s="1" t="str">
        <f ca="1">IFERROR(__xludf.DUMMYFUNCTION("GOOGLETRANSLATE(E7416, ""zh"", ""en"")"),"Quantitative Text")</f>
        <v>Quantitative Text</v>
      </c>
    </row>
    <row r="7417" spans="1:3" ht="13" x14ac:dyDescent="0.15">
      <c r="A7417" s="1" t="str">
        <f ca="1">IFERROR(__xludf.DUMMYFUNCTION("GOOGLETRANSLATE(A7417, ""zh"", ""en"")"),"The company actively responds to the call of national policies and helps achieve carbon peak and carbon neutrality goals by identifying, analyzing and managing climate change risks while responding to the expectations of regulators, investors and other st"&amp;"akeholders.")</f>
        <v>The company actively responds to the call of national policies and helps achieve carbon peak and carbon neutrality goals by identifying, analyzing and managing climate change risks while responding to the expectations of regulators, investors and other stakeholders.</v>
      </c>
      <c r="B7417" s="1" t="str">
        <f ca="1">IFERROR(__xludf.DUMMYFUNCTION("GOOGLETRANSLATE(A7417, ""zh"", ""en"")"),"Addressing climate change")</f>
        <v>Addressing climate change</v>
      </c>
      <c r="C7417" s="1" t="str">
        <f ca="1">IFERROR(__xludf.DUMMYFUNCTION("GOOGLETRANSLATE(E7417, ""zh"", ""en"")"),"Qualitative text")</f>
        <v>Qualitative text</v>
      </c>
    </row>
    <row r="7418" spans="1:3" ht="13" x14ac:dyDescent="0.15">
      <c r="A7418" s="1" t="str">
        <f ca="1">IFERROR(__xludf.DUMMYFUNCTION("GOOGLETRANSLATE(A7418, ""zh"", ""en"")"),"In 2021, the company released a series of reports on carbon neutrality and ESG-related topics, such as ""How ""Carbon Neutrality"" will change the global industrial allocation pattern"", ""With the gradual implementation of carbon neutrality, the industry"&amp;" will once again usher in supply-side reform"", ""ESG investment and its manifestation in carbon neutrality and carbon peak"", etc., focusing on analyzing the impact of carbon neutrality on the future global industrial allocation pattern, financial invest"&amp;"ment, and the prospects of high-energy-consuming industries, and promoting the market to actively respond to climate change.")</f>
        <v>In 2021, the company released a series of reports on carbon neutrality and ESG-related topics, such as "How "Carbon Neutrality" will change the global industrial allocation pattern", "With the gradual implementation of carbon neutrality, the industry will once again usher in supply-side reform", "ESG investment and its manifestation in carbon neutrality and carbon peak", etc., focusing on analyzing the impact of carbon neutrality on the future global industrial allocation pattern, financial investment, and the prospects of high-energy-consuming industries, and promoting the market to actively respond to climate change.</v>
      </c>
      <c r="B7418" s="1" t="str">
        <f ca="1">IFERROR(__xludf.DUMMYFUNCTION("GOOGLETRANSLATE(A7418, ""zh"", ""en"")"),"Addressing climate change")</f>
        <v>Addressing climate change</v>
      </c>
      <c r="C7418" s="1" t="str">
        <f ca="1">IFERROR(__xludf.DUMMYFUNCTION("GOOGLETRANSLATE(E7418, ""zh"", ""en"")"),"Qualitative text")</f>
        <v>Qualitative text</v>
      </c>
    </row>
    <row r="7419" spans="1:3" ht="13" x14ac:dyDescent="0.15">
      <c r="A7419" s="1" t="str">
        <f ca="1">IFERROR(__xludf.DUMMYFUNCTION("GOOGLETRANSLATE(A7419, ""zh"", ""en"")"),"In combination with relevant climate policies, we conduct climate risk assessments on our main business segments and formulate relevant response strategies.")</f>
        <v>In combination with relevant climate policies, we conduct climate risk assessments on our main business segments and formulate relevant response strategies.</v>
      </c>
      <c r="B7419" s="1" t="str">
        <f ca="1">IFERROR(__xludf.DUMMYFUNCTION("GOOGLETRANSLATE(A7419, ""zh"", ""en"")"),"Addressing climate change")</f>
        <v>Addressing climate change</v>
      </c>
      <c r="C7419" s="1" t="str">
        <f ca="1">IFERROR(__xludf.DUMMYFUNCTION("GOOGLETRANSLATE(E7419, ""zh"", ""en"")"),"Qualitative text")</f>
        <v>Qualitative text</v>
      </c>
    </row>
    <row r="7420" spans="1:3" ht="13" x14ac:dyDescent="0.15">
      <c r="A7420" s="1" t="str">
        <f ca="1">IFERROR(__xludf.DUMMYFUNCTION("GOOGLETRANSLATE(A7420, ""zh"", ""en"")"),"The Company actively fulfills its information disclosure obligations, attaches importance to exchanges and interactions with investors, and proactively expands investor communication channels. It strengthens exchanges and interactions with investors throu"&amp;"gh various means such as the Shenzhen Stock Exchange's interactive platform, reception visits, and investor hotlines, and is committed to achieving good communication with investors.")</f>
        <v>The Company actively fulfills its information disclosure obligations, attaches importance to exchanges and interactions with investors, and proactively expands investor communication channels. It strengthens exchanges and interactions with investors through various means such as the Shenzhen Stock Exchange's interactive platform, reception visits, and investor hotlines, and is committed to achieving good communication with investors.</v>
      </c>
      <c r="B7420" s="1" t="str">
        <f ca="1">IFERROR(__xludf.DUMMYFUNCTION("GOOGLETRANSLATE(A7420, ""zh"", ""en"")"),"Information Disclosure and Investor Communication")</f>
        <v>Information Disclosure and Investor Communication</v>
      </c>
      <c r="C7420" s="1" t="str">
        <f ca="1">IFERROR(__xludf.DUMMYFUNCTION("GOOGLETRANSLATE(E7420, ""zh"", ""en"")"),"Qualitative text")</f>
        <v>Qualitative text</v>
      </c>
    </row>
    <row r="7421" spans="1:3" ht="13" x14ac:dyDescent="0.15">
      <c r="A7421" s="1" t="str">
        <f ca="1">IFERROR(__xludf.DUMMYFUNCTION("GOOGLETRANSLATE(A7421, ""zh"", ""en"")"),"In 2020, the company designated China Securities Journal, Securities Times, Shanghai Securities News and Juchao Information Network as designated media for information disclosure, and disclosed 64 announcements throughout the year; the Shenzhen Stock Exch"&amp;"ange Interactive Platform responded to 311 questions of various types in a timely and accurate manner, ensuring that the majority of investors enjoy their legal rights such as the right to know and the right to participate fairly in the process of fulfill"&amp;"ing their information disclosure obligations, and there is no discriminatory treatment or selective and private disclosure of non-public information to specific parties in advance.")</f>
        <v>In 2020, the company designated China Securities Journal, Securities Times, Shanghai Securities News and Juchao Information Network as designated media for information disclosure, and disclosed 64 announcements throughout the year; the Shenzhen Stock Exchange Interactive Platform responded to 311 questions of various types in a timely and accurate manner, ensuring that the majority of investors enjoy their legal rights such as the right to know and the right to participate fairly in the process of fulfilling their information disclosure obligations, and there is no discriminatory treatment or selective and private disclosure of non-public information to specific parties in advance.</v>
      </c>
      <c r="B7421" s="1" t="str">
        <f ca="1">IFERROR(__xludf.DUMMYFUNCTION("GOOGLETRANSLATE(A7421, ""zh"", ""en"")"),"Information Disclosure and Investor Communication")</f>
        <v>Information Disclosure and Investor Communication</v>
      </c>
      <c r="C7421" s="1" t="str">
        <f ca="1">IFERROR(__xludf.DUMMYFUNCTION("GOOGLETRANSLATE(E7421, ""zh"", ""en"")"),"Quantitative Text")</f>
        <v>Quantitative Text</v>
      </c>
    </row>
    <row r="7422" spans="1:3" ht="13" x14ac:dyDescent="0.15">
      <c r="A7422" s="1" t="str">
        <f ca="1">IFERROR(__xludf.DUMMYFUNCTION("GOOGLETRANSLATE(A7422, ""zh"", ""en"")"),"During the reporting period, the Company strengthened communication with investors through various channels such as investor relations management telephone, e-mail, fax, investor relations interactive platform, etc., basically answered all questions and r"&amp;"esolved investors' questions as much as possible.")</f>
        <v>During the reporting period, the Company strengthened communication with investors through various channels such as investor relations management telephone, e-mail, fax, investor relations interactive platform, etc., basically answered all questions and resolved investors' questions as much as possible.</v>
      </c>
      <c r="B7422" s="1" t="str">
        <f ca="1">IFERROR(__xludf.DUMMYFUNCTION("GOOGLETRANSLATE(A7422, ""zh"", ""en"")"),"Information Disclosure and Investor Communication")</f>
        <v>Information Disclosure and Investor Communication</v>
      </c>
      <c r="C7422" s="1" t="str">
        <f ca="1">IFERROR(__xludf.DUMMYFUNCTION("GOOGLETRANSLATE(E7422, ""zh"", ""en"")"),"Qualitative text")</f>
        <v>Qualitative text</v>
      </c>
    </row>
    <row r="7423" spans="1:3" ht="13" x14ac:dyDescent="0.15">
      <c r="A7423" s="1" t="str">
        <f ca="1">IFERROR(__xludf.DUMMYFUNCTION("GOOGLETRANSLATE(A7423, ""zh"", ""en"")"),"The company conducts multi-channel communication with investors and establishes a normalized communication mechanism through regular online or telephone performance briefings, analyst communication meetings, setting up investor relations hotlines, securit"&amp;"ies mailboxes, investor relations websites, investor relations question-and-answer platforms, etc.")</f>
        <v>The company conducts multi-channel communication with investors and establishes a normalized communication mechanism through regular online or telephone performance briefings, analyst communication meetings, setting up investor relations hotlines, securities mailboxes, investor relations websites, investor relations question-and-answer platforms, etc.</v>
      </c>
      <c r="B7423" s="1" t="str">
        <f ca="1">IFERROR(__xludf.DUMMYFUNCTION("GOOGLETRANSLATE(A7423, ""zh"", ""en"")"),"Information Disclosure and Investor Communication")</f>
        <v>Information Disclosure and Investor Communication</v>
      </c>
      <c r="C7423" s="1" t="str">
        <f ca="1">IFERROR(__xludf.DUMMYFUNCTION("GOOGLETRANSLATE(E7423, ""zh"", ""en"")"),"Qualitative text")</f>
        <v>Qualitative text</v>
      </c>
    </row>
    <row r="7424" spans="1:3" ht="13" x14ac:dyDescent="0.15">
      <c r="A7424" s="1" t="str">
        <f ca="1">IFERROR(__xludf.DUMMYFUNCTION("GOOGLETRANSLATE(A7424, ""zh"", ""en"")"),"At the same time, we strengthen communication and exchanges with investors through various means such as the Internet, telephone, and email, respond to Shanghai Stock Exchange interactive questions in a timely manner, and form good interaction with invest"&amp;"ors.")</f>
        <v>At the same time, we strengthen communication and exchanges with investors through various means such as the Internet, telephone, and email, respond to Shanghai Stock Exchange interactive questions in a timely manner, and form good interaction with investors.</v>
      </c>
      <c r="B7424" s="1" t="str">
        <f ca="1">IFERROR(__xludf.DUMMYFUNCTION("GOOGLETRANSLATE(A7424, ""zh"", ""en"")"),"Information Disclosure and Investor Communication")</f>
        <v>Information Disclosure and Investor Communication</v>
      </c>
      <c r="C7424" s="1" t="str">
        <f ca="1">IFERROR(__xludf.DUMMYFUNCTION("GOOGLETRANSLATE(E7424, ""zh"", ""en"")"),"Qualitative text")</f>
        <v>Qualitative text</v>
      </c>
    </row>
    <row r="7425" spans="1:3" ht="13" x14ac:dyDescent="0.15">
      <c r="A7425" s="1" t="str">
        <f ca="1">IFERROR(__xludf.DUMMYFUNCTION("GOOGLETRANSLATE(A7425, ""zh"", ""en"")"),"Innovate the form of information disclosure and strictly abide by the information disclosure rules to ensure that information disclosure is complete, accurate and comprehensive.")</f>
        <v>Innovate the form of information disclosure and strictly abide by the information disclosure rules to ensure that information disclosure is complete, accurate and comprehensive.</v>
      </c>
      <c r="B7425" s="1" t="str">
        <f ca="1">IFERROR(__xludf.DUMMYFUNCTION("GOOGLETRANSLATE(A7425, ""zh"", ""en"")"),"Information Disclosure and Investor Communication")</f>
        <v>Information Disclosure and Investor Communication</v>
      </c>
      <c r="C7425" s="1" t="str">
        <f ca="1">IFERROR(__xludf.DUMMYFUNCTION("GOOGLETRANSLATE(E7425, ""zh"", ""en"")"),"Qualitative text")</f>
        <v>Qualitative text</v>
      </c>
    </row>
    <row r="7426" spans="1:3" ht="13" x14ac:dyDescent="0.15">
      <c r="A7426" s="1" t="str">
        <f ca="1">IFERROR(__xludf.DUMMYFUNCTION("GOOGLETRANSLATE(A7426, ""zh"", ""en"")"),"The company has established a standard information disclosure process for regular announcements, temporary announcements, documents submitted to government departments, and information published on the company's website to ensure that information disclosu"&amp;"re is true, accurate, and compliant.")</f>
        <v>The company has established a standard information disclosure process for regular announcements, temporary announcements, documents submitted to government departments, and information published on the company's website to ensure that information disclosure is true, accurate, and compliant.</v>
      </c>
      <c r="B7426" s="1" t="str">
        <f ca="1">IFERROR(__xludf.DUMMYFUNCTION("GOOGLETRANSLATE(A7426, ""zh"", ""en"")"),"Information Disclosure and Investor Communication")</f>
        <v>Information Disclosure and Investor Communication</v>
      </c>
      <c r="C7426" s="1" t="str">
        <f ca="1">IFERROR(__xludf.DUMMYFUNCTION("GOOGLETRANSLATE(E7426, ""zh"", ""en"")"),"Qualitative text")</f>
        <v>Qualitative text</v>
      </c>
    </row>
    <row r="7427" spans="1:3" ht="13" x14ac:dyDescent="0.15">
      <c r="A7427" s="1" t="str">
        <f ca="1">IFERROR(__xludf.DUMMYFUNCTION("GOOGLETRANSLATE(A7427, ""zh"", ""en"")"),"All information disclosures are strictly in accordance with the Shenzhen Stock Exchange Listing Rules, the company's Information Disclosure Internal Control System and other relevant regulations. Information disclosure documents are complete and traceable"&amp;", and information disclosure is effective and timely, ensuring that all shareholders have equal access to information.")</f>
        <v>All information disclosures are strictly in accordance with the Shenzhen Stock Exchange Listing Rules, the company's Information Disclosure Internal Control System and other relevant regulations. Information disclosure documents are complete and traceable, and information disclosure is effective and timely, ensuring that all shareholders have equal access to information.</v>
      </c>
      <c r="B7427" s="1" t="str">
        <f ca="1">IFERROR(__xludf.DUMMYFUNCTION("GOOGLETRANSLATE(A7427, ""zh"", ""en"")"),"Information Disclosure and Investor Communication")</f>
        <v>Information Disclosure and Investor Communication</v>
      </c>
      <c r="C7427" s="1" t="str">
        <f ca="1">IFERROR(__xludf.DUMMYFUNCTION("GOOGLETRANSLATE(E7427, ""zh"", ""en"")"),"Qualitative text")</f>
        <v>Qualitative text</v>
      </c>
    </row>
    <row r="7428" spans="1:3" ht="13" x14ac:dyDescent="0.15">
      <c r="A7428" s="1" t="str">
        <f ca="1">IFERROR(__xludf.DUMMYFUNCTION("GOOGLETRANSLATE(A7428, ""zh"", ""en"")"),"Key Performance In 2022, Jingsheng Mechanical &amp; Electrical disclosed a total of 186 announcement documents, including 4 periodic reports. In July, Jingsheng Mechanical &amp; Electrical received an A-level rating for information disclosure for listed companies"&amp;" in 2021 from the Shenzhen Stock Exchange. Investor Rights Protection Jingsheng Mechanical &amp; Electrical protects investors' right to know and participate in major matters of the company, safeguards the interests of small and medium-sized investors, and co"&amp;"ntinues to create reasonable investment returns for investors.")</f>
        <v>Key Performance In 2022, Jingsheng Mechanical &amp; Electrical disclosed a total of 186 announcement documents, including 4 periodic reports. In July, Jingsheng Mechanical &amp; Electrical received an A-level rating for information disclosure for listed companies in 2021 from the Shenzhen Stock Exchange. Investor Rights Protection Jingsheng Mechanical &amp; Electrical protects investors' right to know and participate in major matters of the company, safeguards the interests of small and medium-sized investors, and continues to create reasonable investment returns for investors.</v>
      </c>
      <c r="B7428" s="1" t="str">
        <f ca="1">IFERROR(__xludf.DUMMYFUNCTION("GOOGLETRANSLATE(A7428, ""zh"", ""en"")"),"Information Disclosure and Investor Communication")</f>
        <v>Information Disclosure and Investor Communication</v>
      </c>
      <c r="C7428" s="1" t="str">
        <f ca="1">IFERROR(__xludf.DUMMYFUNCTION("GOOGLETRANSLATE(E7428, ""zh"", ""en"")"),"Quantitative Text")</f>
        <v>Quantitative Text</v>
      </c>
    </row>
    <row r="7429" spans="1:3" ht="13" x14ac:dyDescent="0.15">
      <c r="A7429" s="1" t="str">
        <f ca="1">IFERROR(__xludf.DUMMYFUNCTION("GOOGLETRANSLATE(A7429, ""zh"", ""en"")"),"Do a good job in insider information management, treat all shareholders openly, fairly and impartially, and ensure that all investors have equal access to the same information.")</f>
        <v>Do a good job in insider information management, treat all shareholders openly, fairly and impartially, and ensure that all investors have equal access to the same information.</v>
      </c>
      <c r="B7429" s="1" t="str">
        <f ca="1">IFERROR(__xludf.DUMMYFUNCTION("GOOGLETRANSLATE(A7429, ""zh"", ""en"")"),"Information Disclosure and Investor Communication")</f>
        <v>Information Disclosure and Investor Communication</v>
      </c>
      <c r="C7429" s="1" t="str">
        <f ca="1">IFERROR(__xludf.DUMMYFUNCTION("GOOGLETRANSLATE(E7429, ""zh"", ""en"")"),"Qualitative text")</f>
        <v>Qualitative text</v>
      </c>
    </row>
    <row r="7430" spans="1:3" ht="13" x14ac:dyDescent="0.15">
      <c r="A7430" s="1" t="str">
        <f ca="1">IFERROR(__xludf.DUMMYFUNCTION("GOOGLETRANSLATE(A7430, ""zh"", ""en"")"),"At the same time, under the premise of legality and compliance, the disclosure of voluntary announcements has been increased to proactively show investors new trends in the company's business development and improve communication efficiency.")</f>
        <v>At the same time, under the premise of legality and compliance, the disclosure of voluntary announcements has been increased to proactively show investors new trends in the company's business development and improve communication efficiency.</v>
      </c>
      <c r="B7430" s="1" t="str">
        <f ca="1">IFERROR(__xludf.DUMMYFUNCTION("GOOGLETRANSLATE(A7430, ""zh"", ""en"")"),"Information Disclosure and Investor Communication")</f>
        <v>Information Disclosure and Investor Communication</v>
      </c>
      <c r="C7430" s="1" t="str">
        <f ca="1">IFERROR(__xludf.DUMMYFUNCTION("GOOGLETRANSLATE(E7430, ""zh"", ""en"")"),"Qualitative text")</f>
        <v>Qualitative text</v>
      </c>
    </row>
    <row r="7431" spans="1:3" ht="13" x14ac:dyDescent="0.15">
      <c r="A7431" s="1" t="str">
        <f ca="1">IFERROR(__xludf.DUMMYFUNCTION("GOOGLETRANSLATE(A7431, ""zh"", ""en"")"),"As of 2020, the company has received an A-level rating for information disclosure from the Shanghai Stock Exchange for seven consecutive years.")</f>
        <v>As of 2020, the company has received an A-level rating for information disclosure from the Shanghai Stock Exchange for seven consecutive years.</v>
      </c>
      <c r="B7431" s="1" t="str">
        <f ca="1">IFERROR(__xludf.DUMMYFUNCTION("GOOGLETRANSLATE(A7431, ""zh"", ""en"")"),"Information Disclosure and Investor Communication")</f>
        <v>Information Disclosure and Investor Communication</v>
      </c>
      <c r="C7431" s="1" t="str">
        <f ca="1">IFERROR(__xludf.DUMMYFUNCTION("GOOGLETRANSLATE(E7431, ""zh"", ""en"")"),"Quantitative Text")</f>
        <v>Quantitative Text</v>
      </c>
    </row>
    <row r="7432" spans="1:3" ht="13" x14ac:dyDescent="0.15">
      <c r="A7432" s="1" t="str">
        <f ca="1">IFERROR(__xludf.DUMMYFUNCTION("GOOGLETRANSLATE(A7432, ""zh"", ""en"")"),"The company has been listed for twelve years, and its information disclosure work has been rated as excellent by the Shenzhen Stock Exchange for twelve consecutive years.")</f>
        <v>The company has been listed for twelve years, and its information disclosure work has been rated as excellent by the Shenzhen Stock Exchange for twelve consecutive years.</v>
      </c>
      <c r="B7432" s="1" t="str">
        <f ca="1">IFERROR(__xludf.DUMMYFUNCTION("GOOGLETRANSLATE(A7432, ""zh"", ""en"")"),"Information Disclosure and Investor Communication")</f>
        <v>Information Disclosure and Investor Communication</v>
      </c>
      <c r="C7432" s="1" t="str">
        <f ca="1">IFERROR(__xludf.DUMMYFUNCTION("GOOGLETRANSLATE(E7432, ""zh"", ""en"")"),"Quantitative Text")</f>
        <v>Quantitative Text</v>
      </c>
    </row>
    <row r="7433" spans="1:3" ht="13" x14ac:dyDescent="0.15">
      <c r="A7433" s="1" t="str">
        <f ca="1">IFERROR(__xludf.DUMMYFUNCTION("GOOGLETRANSLATE(A7433, ""zh"", ""en"")"),"The Company strictly complies with relevant regulations and discloses relevant information truthfully, accurately, completely, promptly and fairly on designated media and the Internet (China Securities Journal, Shanghai Securities News, Securities Times, "&amp;"Securities Daily and the website of the Shanghai Stock Exchange) to ensure that all investors of the Company have fair access to relevant information about the Company and to safeguard the legitimate rights and interests of investors.")</f>
        <v>The Company strictly complies with relevant regulations and discloses relevant information truthfully, accurately, completely, promptly and fairly on designated media and the Internet (China Securities Journal, Shanghai Securities News, Securities Times, Securities Daily and the website of the Shanghai Stock Exchange) to ensure that all investors of the Company have fair access to relevant information about the Company and to safeguard the legitimate rights and interests of investors.</v>
      </c>
      <c r="B7433" s="1" t="str">
        <f ca="1">IFERROR(__xludf.DUMMYFUNCTION("GOOGLETRANSLATE(A7433, ""zh"", ""en"")"),"Information Disclosure and Investor Communication")</f>
        <v>Information Disclosure and Investor Communication</v>
      </c>
      <c r="C7433" s="1" t="str">
        <f ca="1">IFERROR(__xludf.DUMMYFUNCTION("GOOGLETRANSLATE(E7433, ""zh"", ""en"")"),"Qualitative text")</f>
        <v>Qualitative text</v>
      </c>
    </row>
    <row r="7434" spans="1:3" ht="13" x14ac:dyDescent="0.15">
      <c r="A7434" s="1" t="str">
        <f ca="1">IFERROR(__xludf.DUMMYFUNCTION("GOOGLETRANSLATE(A7434, ""zh"", ""en"")"),"In 2021, the company disclosed a total of 52 announcements and 105 documents, and received an A rating for the eighth consecutive year in the annual information disclosure evaluation conducted by the exchange.")</f>
        <v>In 2021, the company disclosed a total of 52 announcements and 105 documents, and received an A rating for the eighth consecutive year in the annual information disclosure evaluation conducted by the exchange.</v>
      </c>
      <c r="B7434" s="1" t="str">
        <f ca="1">IFERROR(__xludf.DUMMYFUNCTION("GOOGLETRANSLATE(A7434, ""zh"", ""en"")"),"Information Disclosure and Investor Communication")</f>
        <v>Information Disclosure and Investor Communication</v>
      </c>
      <c r="C7434" s="1" t="str">
        <f ca="1">IFERROR(__xludf.DUMMYFUNCTION("GOOGLETRANSLATE(E7434, ""zh"", ""en"")"),"Quantitative Text")</f>
        <v>Quantitative Text</v>
      </c>
    </row>
    <row r="7435" spans="1:3" ht="13" x14ac:dyDescent="0.15">
      <c r="A7435" s="1" t="str">
        <f ca="1">IFERROR(__xludf.DUMMYFUNCTION("GOOGLETRANSLATE(A7435, ""zh"", ""en"")"),"To ensure effective communication with investors and timely information disclosure, we strictly abide by relevant laws and regulations on information disclosure, establish an internal information transmission and disclosure mechanism, and conduct informat"&amp;"ion disclosure training for senior management and employees in various departments to ensure efficient communication with investors.")</f>
        <v>To ensure effective communication with investors and timely information disclosure, we strictly abide by relevant laws and regulations on information disclosure, establish an internal information transmission and disclosure mechanism, and conduct information disclosure training for senior management and employees in various departments to ensure efficient communication with investors.</v>
      </c>
      <c r="B7435" s="1" t="str">
        <f ca="1">IFERROR(__xludf.DUMMYFUNCTION("GOOGLETRANSLATE(A7435, ""zh"", ""en"")"),"Information Disclosure and Investor Communication")</f>
        <v>Information Disclosure and Investor Communication</v>
      </c>
      <c r="C7435" s="1" t="str">
        <f ca="1">IFERROR(__xludf.DUMMYFUNCTION("GOOGLETRANSLATE(E7435, ""zh"", ""en"")"),"Qualitative text")</f>
        <v>Qualitative text</v>
      </c>
    </row>
    <row r="7436" spans="1:3" ht="13" x14ac:dyDescent="0.15">
      <c r="A7436" s="1" t="str">
        <f ca="1">IFERROR(__xludf.DUMMYFUNCTION("GOOGLETRANSLATE(A7436, ""zh"", ""en"")"),"Ensure that the Group discloses all important information truthfully, accurately, completely, promptly and fairly, and safeguard investors' legitimate right to know.")</f>
        <v>Ensure that the Group discloses all important information truthfully, accurately, completely, promptly and fairly, and safeguard investors' legitimate right to know.</v>
      </c>
      <c r="B7436" s="1" t="str">
        <f ca="1">IFERROR(__xludf.DUMMYFUNCTION("GOOGLETRANSLATE(A7436, ""zh"", ""en"")"),"Information Disclosure and Investor Communication")</f>
        <v>Information Disclosure and Investor Communication</v>
      </c>
      <c r="C7436" s="1" t="str">
        <f ca="1">IFERROR(__xludf.DUMMYFUNCTION("GOOGLETRANSLATE(E7436, ""zh"", ""en"")"),"Qualitative text")</f>
        <v>Qualitative text</v>
      </c>
    </row>
    <row r="7437" spans="1:3" ht="13" x14ac:dyDescent="0.15">
      <c r="A7437" s="1" t="str">
        <f ca="1">IFERROR(__xludf.DUMMYFUNCTION("GOOGLETRANSLATE(A7437, ""zh"", ""en"")"),"The company's information disclosure work in 2021-2022 was rated A by the Shanghai Stock Exchange.")</f>
        <v>The company's information disclosure work in 2021-2022 was rated A by the Shanghai Stock Exchange.</v>
      </c>
      <c r="B7437" s="1" t="str">
        <f ca="1">IFERROR(__xludf.DUMMYFUNCTION("GOOGLETRANSLATE(A7437, ""zh"", ""en"")"),"Information Disclosure and Investor Communication")</f>
        <v>Information Disclosure and Investor Communication</v>
      </c>
      <c r="C7437" s="1" t="str">
        <f ca="1">IFERROR(__xludf.DUMMYFUNCTION("GOOGLETRANSLATE(E7437, ""zh"", ""en"")"),"Quantitative Text")</f>
        <v>Quantitative Text</v>
      </c>
    </row>
    <row r="7438" spans="1:3" ht="13" x14ac:dyDescent="0.15">
      <c r="A7438" s="1" t="str">
        <f ca="1">IFERROR(__xludf.DUMMYFUNCTION("GOOGLETRANSLATE(A7438, ""zh"", ""en"")"),"The company continues to pay attention to details in its communications with shareholders and investors, continuously improving the transparency of its operations and safeguarding the right to know and legitimate rights and interests of shareholders, inve"&amp;"stors and the general public.")</f>
        <v>The company continues to pay attention to details in its communications with shareholders and investors, continuously improving the transparency of its operations and safeguarding the right to know and legitimate rights and interests of shareholders, investors and the general public.</v>
      </c>
      <c r="B7438" s="1" t="str">
        <f ca="1">IFERROR(__xludf.DUMMYFUNCTION("GOOGLETRANSLATE(A7438, ""zh"", ""en"")"),"Information Disclosure and Investor Communication")</f>
        <v>Information Disclosure and Investor Communication</v>
      </c>
      <c r="C7438" s="1" t="str">
        <f ca="1">IFERROR(__xludf.DUMMYFUNCTION("GOOGLETRANSLATE(E7438, ""zh"", ""en"")"),"Qualitative text")</f>
        <v>Qualitative text</v>
      </c>
    </row>
    <row r="7439" spans="1:3" ht="13" x14ac:dyDescent="0.15">
      <c r="A7439" s="1" t="str">
        <f ca="1">IFERROR(__xludf.DUMMYFUNCTION("GOOGLETRANSLATE(A7439, ""zh"", ""en"")"),"In 2020, China Nuclear Power's information disclosure work was awarded an A-level rating by the Shanghai Stock Exchange for the fifth consecutive year.")</f>
        <v>In 2020, China Nuclear Power's information disclosure work was awarded an A-level rating by the Shanghai Stock Exchange for the fifth consecutive year.</v>
      </c>
      <c r="B7439" s="1" t="str">
        <f ca="1">IFERROR(__xludf.DUMMYFUNCTION("GOOGLETRANSLATE(A7439, ""zh"", ""en"")"),"Information Disclosure and Investor Communication")</f>
        <v>Information Disclosure and Investor Communication</v>
      </c>
      <c r="C7439" s="1" t="str">
        <f ca="1">IFERROR(__xludf.DUMMYFUNCTION("GOOGLETRANSLATE(E7439, ""zh"", ""en"")"),"Quantitative Text")</f>
        <v>Quantitative Text</v>
      </c>
    </row>
    <row r="7440" spans="1:3" ht="13" x14ac:dyDescent="0.15">
      <c r="A7440" s="1" t="str">
        <f ca="1">IFERROR(__xludf.DUMMYFUNCTION("GOOGLETRANSLATE(A7440, ""zh"", ""en"")"),"In addition, on the basis of ensuring compliance with information disclosure, voluntary information disclosure should be moderately increased to improve the reference value and practicality of company information disclosure.")</f>
        <v>In addition, on the basis of ensuring compliance with information disclosure, voluntary information disclosure should be moderately increased to improve the reference value and practicality of company information disclosure.</v>
      </c>
      <c r="B7440" s="1" t="str">
        <f ca="1">IFERROR(__xludf.DUMMYFUNCTION("GOOGLETRANSLATE(A7440, ""zh"", ""en"")"),"Information Disclosure and Investor Communication")</f>
        <v>Information Disclosure and Investor Communication</v>
      </c>
      <c r="C7440" s="1" t="str">
        <f ca="1">IFERROR(__xludf.DUMMYFUNCTION("GOOGLETRANSLATE(E7440, ""zh"", ""en"")"),"Qualitative text")</f>
        <v>Qualitative text</v>
      </c>
    </row>
    <row r="7441" spans="1:3" ht="13" x14ac:dyDescent="0.15">
      <c r="A7441" s="1" t="str">
        <f ca="1">IFERROR(__xludf.DUMMYFUNCTION("GOOGLETRANSLATE(A7441, ""zh"", ""en"")"),"In addition to statutory information disclosure, the company actively organizes various forms of investor relations activities such as on-site visits, analyst meetings, one-on-one communications, and seminars.")</f>
        <v>In addition to statutory information disclosure, the company actively organizes various forms of investor relations activities such as on-site visits, analyst meetings, one-on-one communications, and seminars.</v>
      </c>
      <c r="B7441" s="1" t="str">
        <f ca="1">IFERROR(__xludf.DUMMYFUNCTION("GOOGLETRANSLATE(A7441, ""zh"", ""en"")"),"Information Disclosure and Investor Communication")</f>
        <v>Information Disclosure and Investor Communication</v>
      </c>
      <c r="C7441" s="1" t="str">
        <f ca="1">IFERROR(__xludf.DUMMYFUNCTION("GOOGLETRANSLATE(E7441, ""zh"", ""en"")"),"Qualitative text")</f>
        <v>Qualitative text</v>
      </c>
    </row>
    <row r="7442" spans="1:3" ht="13" x14ac:dyDescent="0.15">
      <c r="A7442" s="1" t="str">
        <f ca="1">IFERROR(__xludf.DUMMYFUNCTION("GOOGLETRANSLATE(A7442, ""zh"", ""en"")"),"In 2022, the company disclosed a total of 209 announcements and published 7,148 answers through the Shenzhen Stock Exchange Interactive Easy.")</f>
        <v>In 2022, the company disclosed a total of 209 announcements and published 7,148 answers through the Shenzhen Stock Exchange Interactive Easy.</v>
      </c>
      <c r="B7442" s="1" t="str">
        <f ca="1">IFERROR(__xludf.DUMMYFUNCTION("GOOGLETRANSLATE(A7442, ""zh"", ""en"")"),"Information Disclosure and Investor Communication")</f>
        <v>Information Disclosure and Investor Communication</v>
      </c>
      <c r="C7442" s="1" t="str">
        <f ca="1">IFERROR(__xludf.DUMMYFUNCTION("GOOGLETRANSLATE(E7442, ""zh"", ""en"")"),"Quantitative Text")</f>
        <v>Quantitative Text</v>
      </c>
    </row>
    <row r="7443" spans="1:3" ht="13" x14ac:dyDescent="0.15">
      <c r="A7443" s="1" t="str">
        <f ca="1">IFERROR(__xludf.DUMMYFUNCTION("GOOGLETRANSLATE(A7443, ""zh"", ""en"")"),"During the reporting period, there were no cases of insiders illegally buying or selling the company's shares, and no information disclosure violations or the need to disclose supplementary correction reports occurred.")</f>
        <v>During the reporting period, there were no cases of insiders illegally buying or selling the company's shares, and no information disclosure violations or the need to disclose supplementary correction reports occurred.</v>
      </c>
      <c r="B7443" s="1" t="str">
        <f ca="1">IFERROR(__xludf.DUMMYFUNCTION("GOOGLETRANSLATE(A7443, ""zh"", ""en"")"),"Information Disclosure and Investor Communication")</f>
        <v>Information Disclosure and Investor Communication</v>
      </c>
      <c r="C7443" s="1" t="str">
        <f ca="1">IFERROR(__xludf.DUMMYFUNCTION("GOOGLETRANSLATE(E7443, ""zh"", ""en"")"),"Quantitative Text")</f>
        <v>Quantitative Text</v>
      </c>
    </row>
    <row r="7444" spans="1:3" ht="13" x14ac:dyDescent="0.15">
      <c r="A7444" s="1" t="str">
        <f ca="1">IFERROR(__xludf.DUMMYFUNCTION("GOOGLETRANSLATE(A7444, ""zh"", ""en"")"),"During the reporting period, we strictly fulfilled our information disclosure obligations in accordance with the principles of ""fairness, justice and openness"", ensured the truthfulness, timeliness, accuracy and completeness of information disclosed, en"&amp;"hanced the transparency of information disclosure, and ensured that all shareholders had equal opportunities to obtain information.")</f>
        <v>During the reporting period, we strictly fulfilled our information disclosure obligations in accordance with the principles of "fairness, justice and openness", ensured the truthfulness, timeliness, accuracy and completeness of information disclosed, enhanced the transparency of information disclosure, and ensured that all shareholders had equal opportunities to obtain information.</v>
      </c>
      <c r="B7444" s="1" t="str">
        <f ca="1">IFERROR(__xludf.DUMMYFUNCTION("GOOGLETRANSLATE(A7444, ""zh"", ""en"")"),"Information Disclosure and Investor Communication")</f>
        <v>Information Disclosure and Investor Communication</v>
      </c>
      <c r="C7444" s="1" t="str">
        <f ca="1">IFERROR(__xludf.DUMMYFUNCTION("GOOGLETRANSLATE(E7444, ""zh"", ""en"")"),"Qualitative text")</f>
        <v>Qualitative text</v>
      </c>
    </row>
    <row r="7445" spans="1:3" ht="13" x14ac:dyDescent="0.15">
      <c r="A7445" s="1" t="str">
        <f ca="1">IFERROR(__xludf.DUMMYFUNCTION("GOOGLETRANSLATE(A7445, ""zh"", ""en"")"),"During the reporting period, the company disclosed regular reports, interim announcements and other information in accordance with laws and regulations. In 2022, the company disclosed a total of 121 announcements of various types.")</f>
        <v>During the reporting period, the company disclosed regular reports, interim announcements and other information in accordance with laws and regulations. In 2022, the company disclosed a total of 121 announcements of various types.</v>
      </c>
      <c r="B7445" s="1" t="str">
        <f ca="1">IFERROR(__xludf.DUMMYFUNCTION("GOOGLETRANSLATE(A7445, ""zh"", ""en"")"),"Information Disclosure and Investor Communication")</f>
        <v>Information Disclosure and Investor Communication</v>
      </c>
      <c r="C7445" s="1" t="str">
        <f ca="1">IFERROR(__xludf.DUMMYFUNCTION("GOOGLETRANSLATE(E7445, ""zh"", ""en"")"),"Quantitative Text")</f>
        <v>Quantitative Text</v>
      </c>
    </row>
    <row r="7446" spans="1:3" ht="13" x14ac:dyDescent="0.15">
      <c r="A7446" s="1" t="str">
        <f ca="1">IFERROR(__xludf.DUMMYFUNCTION("GOOGLETRANSLATE(A7446, ""zh"", ""en"")"),"The disclosure of various information is completed on time and in compliance with the law. The entire information disclosure process strictly adheres to the principles of fairness, justice, truthfulness and accuracy, ensuring investors' right to know abou"&amp;"t the company's major matters and operating conditions, and greatly safeguarding the legitimate rights and interests of investors.")</f>
        <v>The disclosure of various information is completed on time and in compliance with the law. The entire information disclosure process strictly adheres to the principles of fairness, justice, truthfulness and accuracy, ensuring investors' right to know about the company's major matters and operating conditions, and greatly safeguarding the legitimate rights and interests of investors.</v>
      </c>
      <c r="B7446" s="1" t="str">
        <f ca="1">IFERROR(__xludf.DUMMYFUNCTION("GOOGLETRANSLATE(A7446, ""zh"", ""en"")"),"Information Disclosure and Investor Communication")</f>
        <v>Information Disclosure and Investor Communication</v>
      </c>
      <c r="C7446" s="1" t="str">
        <f ca="1">IFERROR(__xludf.DUMMYFUNCTION("GOOGLETRANSLATE(E7446, ""zh"", ""en"")"),"Qualitative text")</f>
        <v>Qualitative text</v>
      </c>
    </row>
    <row r="7447" spans="1:3" ht="13" x14ac:dyDescent="0.15">
      <c r="A7447" s="1" t="str">
        <f ca="1">IFERROR(__xludf.DUMMYFUNCTION("GOOGLETRANSLATE(A7447, ""zh"", ""en"")"),"In accordance with relevant regulations, the company's information should be disclosed truthfully, accurately, promptly and completely through designated newspapers, websites, etc. Announcements include: annual, semi-annual, quarterly reports and related "&amp;"documents.")</f>
        <v>In accordance with relevant regulations, the company's information should be disclosed truthfully, accurately, promptly and completely through designated newspapers, websites, etc. Announcements include: annual, semi-annual, quarterly reports and related documents.</v>
      </c>
      <c r="B7447" s="1" t="str">
        <f ca="1">IFERROR(__xludf.DUMMYFUNCTION("GOOGLETRANSLATE(A7447, ""zh"", ""en"")"),"Information Disclosure and Investor Communication")</f>
        <v>Information Disclosure and Investor Communication</v>
      </c>
      <c r="C7447" s="1" t="str">
        <f ca="1">IFERROR(__xludf.DUMMYFUNCTION("GOOGLETRANSLATE(E7447, ""zh"", ""en"")"),"Qualitative text")</f>
        <v>Qualitative text</v>
      </c>
    </row>
    <row r="7448" spans="1:3" ht="13" x14ac:dyDescent="0.15">
      <c r="A7448" s="1" t="str">
        <f ca="1">IFERROR(__xludf.DUMMYFUNCTION("GOOGLETRANSLATE(A7448, ""zh"", ""en"")"),"The company strictly fulfills its information disclosure obligations in accordance with relevant laws and regulations, and the relevant regulations of the Shenzhen Stock Exchange and the Hong Kong Stock Exchange.")</f>
        <v>The company strictly fulfills its information disclosure obligations in accordance with relevant laws and regulations, and the relevant regulations of the Shenzhen Stock Exchange and the Hong Kong Stock Exchange.</v>
      </c>
      <c r="B7448" s="1" t="str">
        <f ca="1">IFERROR(__xludf.DUMMYFUNCTION("GOOGLETRANSLATE(A7448, ""zh"", ""en"")"),"Information Disclosure and Investor Communication")</f>
        <v>Information Disclosure and Investor Communication</v>
      </c>
      <c r="C7448" s="1" t="str">
        <f ca="1">IFERROR(__xludf.DUMMYFUNCTION("GOOGLETRANSLATE(E7448, ""zh"", ""en"")"),"Qualitative text")</f>
        <v>Qualitative text</v>
      </c>
    </row>
    <row r="7449" spans="1:3" ht="13" x14ac:dyDescent="0.15">
      <c r="A7449" s="1" t="str">
        <f ca="1">IFERROR(__xludf.DUMMYFUNCTION("GOOGLETRANSLATE(A7449, ""zh"", ""en"")"),"The company has been rated ""B"" for many consecutive years in the Shenzhen Stock Exchange's evaluation of listed companies' information disclosure.")</f>
        <v>The company has been rated "B" for many consecutive years in the Shenzhen Stock Exchange's evaluation of listed companies' information disclosure.</v>
      </c>
      <c r="B7449" s="1" t="str">
        <f ca="1">IFERROR(__xludf.DUMMYFUNCTION("GOOGLETRANSLATE(A7449, ""zh"", ""en"")"),"Information Disclosure and Investor Communication")</f>
        <v>Information Disclosure and Investor Communication</v>
      </c>
      <c r="C7449" s="1" t="str">
        <f ca="1">IFERROR(__xludf.DUMMYFUNCTION("GOOGLETRANSLATE(E7449, ""zh"", ""en"")"),"Quantitative Text")</f>
        <v>Quantitative Text</v>
      </c>
    </row>
    <row r="7450" spans="1:3" ht="13" x14ac:dyDescent="0.15">
      <c r="A7450" s="1" t="str">
        <f ca="1">IFERROR(__xludf.DUMMYFUNCTION("GOOGLETRANSLATE(A7450, ""zh"", ""en"")"),"The company has continued to strengthen its initiative in information disclosure, disclosing its operating conditions, development strategies and other information to the market in a timely and complete manner, ensuring that the information disclosed is t"&amp;"rue, accurate, complete, concise, clear and easy to understand.")</f>
        <v>The company has continued to strengthen its initiative in information disclosure, disclosing its operating conditions, development strategies and other information to the market in a timely and complete manner, ensuring that the information disclosed is true, accurate, complete, concise, clear and easy to understand.</v>
      </c>
      <c r="B7450" s="1" t="str">
        <f ca="1">IFERROR(__xludf.DUMMYFUNCTION("GOOGLETRANSLATE(A7450, ""zh"", ""en"")"),"Information Disclosure and Investor Communication")</f>
        <v>Information Disclosure and Investor Communication</v>
      </c>
      <c r="C7450" s="1" t="str">
        <f ca="1">IFERROR(__xludf.DUMMYFUNCTION("GOOGLETRANSLATE(E7450, ""zh"", ""en"")"),"Qualitative text")</f>
        <v>Qualitative text</v>
      </c>
    </row>
    <row r="7451" spans="1:3" ht="13" x14ac:dyDescent="0.15">
      <c r="A7451" s="1" t="str">
        <f ca="1">IFERROR(__xludf.DUMMYFUNCTION("GOOGLETRANSLATE(A7451, ""zh"", ""en"")"),"The Bank continues to optimize and improve its information disclosure management system and strictly implements relevant regulatory provisions on information disclosure by listed companies.")</f>
        <v>The Bank continues to optimize and improve its information disclosure management system and strictly implements relevant regulatory provisions on information disclosure by listed companies.</v>
      </c>
      <c r="B7451" s="1" t="str">
        <f ca="1">IFERROR(__xludf.DUMMYFUNCTION("GOOGLETRANSLATE(A7451, ""zh"", ""en"")"),"Information Disclosure and Investor Communication")</f>
        <v>Information Disclosure and Investor Communication</v>
      </c>
      <c r="C7451" s="1" t="str">
        <f ca="1">IFERROR(__xludf.DUMMYFUNCTION("GOOGLETRANSLATE(E7451, ""zh"", ""en"")"),"Qualitative text")</f>
        <v>Qualitative text</v>
      </c>
    </row>
    <row r="7452" spans="1:3" ht="13" x14ac:dyDescent="0.15">
      <c r="A7452" s="1" t="str">
        <f ca="1">IFERROR(__xludf.DUMMYFUNCTION("GOOGLETRANSLATE(A7452, ""zh"", ""en"")"),"For more information on the material issues identification process and report boundary setting, please refer to the ""Material Issues Analysis"" section.")</f>
        <v>For more information on the material issues identification process and report boundary setting, please refer to the "Material Issues Analysis" section.</v>
      </c>
      <c r="B7452" s="1" t="str">
        <f ca="1">IFERROR(__xludf.DUMMYFUNCTION("GOOGLETRANSLATE(A7452, ""zh"", ""en"")"),"irrelevant text")</f>
        <v>irrelevant text</v>
      </c>
      <c r="C7452" s="1" t="str">
        <f ca="1">IFERROR(__xludf.DUMMYFUNCTION("GOOGLETRANSLATE(E7452, ""zh"", ""en"")"),"irrelevant text")</f>
        <v>irrelevant text</v>
      </c>
    </row>
    <row r="7453" spans="1:3" ht="13" x14ac:dyDescent="0.15">
      <c r="A7453" s="1" t="str">
        <f ca="1">IFERROR(__xludf.DUMMYFUNCTION("GOOGLETRANSLATE(A7453, ""zh"", ""en"")"),"The data collection period for the report is from January 1, 2022 to December 31, 2022. The financial information in the report is in RMB, while the environmental, health and safety performance is presented in the form of internationally recognized indica"&amp;"tors or units.")</f>
        <v>The data collection period for the report is from January 1, 2022 to December 31, 2022. The financial information in the report is in RMB, while the environmental, health and safety performance is presented in the form of internationally recognized indicators or units.</v>
      </c>
      <c r="B7453" s="1" t="str">
        <f ca="1">IFERROR(__xludf.DUMMYFUNCTION("GOOGLETRANSLATE(A7453, ""zh"", ""en"")"),"irrelevant text")</f>
        <v>irrelevant text</v>
      </c>
      <c r="C7453" s="1" t="str">
        <f ca="1">IFERROR(__xludf.DUMMYFUNCTION("GOOGLETRANSLATE(E7453, ""zh"", ""en"")"),"irrelevant text")</f>
        <v>irrelevant text</v>
      </c>
    </row>
    <row r="7454" spans="1:3" ht="13" x14ac:dyDescent="0.15">
      <c r="A7454" s="1" t="str">
        <f ca="1">IFERROR(__xludf.DUMMYFUNCTION("GOOGLETRANSLATE(A7454, ""zh"", ""en"")"),"If the scope of disclosure is different from the above, please indicate it in the relevant chapter.")</f>
        <v>If the scope of disclosure is different from the above, please indicate it in the relevant chapter.</v>
      </c>
      <c r="B7454" s="1" t="str">
        <f ca="1">IFERROR(__xludf.DUMMYFUNCTION("GOOGLETRANSLATE(A7454, ""zh"", ""en"")"),"irrelevant text")</f>
        <v>irrelevant text</v>
      </c>
      <c r="C7454" s="1" t="str">
        <f ca="1">IFERROR(__xludf.DUMMYFUNCTION("GOOGLETRANSLATE(E7454, ""zh"", ""en"")"),"irrelevant text")</f>
        <v>irrelevant text</v>
      </c>
    </row>
    <row r="7455" spans="1:3" ht="13" x14ac:dyDescent="0.15">
      <c r="A7455" s="1" t="str">
        <f ca="1">IFERROR(__xludf.DUMMYFUNCTION("GOOGLETRANSLATE(A7455, ""zh"", ""en"")"),"The ""parent company or ASE Holding"" mentioned in this report refers to ASE Holding Co., Ltd., the parent company of Universal Scientific Industrial Corporation.")</f>
        <v>The "parent company or ASE Holding" mentioned in this report refers to ASE Holding Co., Ltd., the parent company of Universal Scientific Industrial Corporation.</v>
      </c>
      <c r="B7455" s="1" t="str">
        <f ca="1">IFERROR(__xludf.DUMMYFUNCTION("GOOGLETRANSLATE(A7455, ""zh"", ""en"")"),"irrelevant text")</f>
        <v>irrelevant text</v>
      </c>
      <c r="C7455" s="1" t="str">
        <f ca="1">IFERROR(__xludf.DUMMYFUNCTION("GOOGLETRANSLATE(E7455, ""zh"", ""en"")"),"irrelevant text")</f>
        <v>irrelevant text</v>
      </c>
    </row>
    <row r="7456" spans="1:3" ht="13" x14ac:dyDescent="0.15">
      <c r="A7456" s="1" t="str">
        <f ca="1">IFERROR(__xludf.DUMMYFUNCTION("GOOGLETRANSLATE(A7456, ""zh"", ""en"")"),"These honors are not only a recognition of our work in the past year, but also a spur for us to keep moving forward and never slack off.")</f>
        <v>These honors are not only a recognition of our work in the past year, but also a spur for us to keep moving forward and never slack off.</v>
      </c>
      <c r="B7456" s="1" t="str">
        <f ca="1">IFERROR(__xludf.DUMMYFUNCTION("GOOGLETRANSLATE(A7456, ""zh"", ""en"")"),"irrelevant text")</f>
        <v>irrelevant text</v>
      </c>
      <c r="C7456" s="1" t="str">
        <f ca="1">IFERROR(__xludf.DUMMYFUNCTION("GOOGLETRANSLATE(E7456, ""zh"", ""en"")"),"irrelevant text")</f>
        <v>irrelevant text</v>
      </c>
    </row>
    <row r="7457" spans="1:3" ht="13" x14ac:dyDescent="0.15">
      <c r="A7457" s="1" t="str">
        <f ca="1">IFERROR(__xludf.DUMMYFUNCTION("GOOGLETRANSLATE(A7457, ""zh"", ""en"")"),"For the complete policy content, please refer to the company's official website")</f>
        <v>For the complete policy content, please refer to the company's official website</v>
      </c>
      <c r="B7457" s="1" t="str">
        <f ca="1">IFERROR(__xludf.DUMMYFUNCTION("GOOGLETRANSLATE(A7457, ""zh"", ""en"")"),"irrelevant text")</f>
        <v>irrelevant text</v>
      </c>
      <c r="C7457" s="1" t="str">
        <f ca="1">IFERROR(__xludf.DUMMYFUNCTION("GOOGLETRANSLATE(E7457, ""zh"", ""en"")"),"irrelevant text")</f>
        <v>irrelevant text</v>
      </c>
    </row>
    <row r="7458" spans="1:3" ht="13" x14ac:dyDescent="0.15">
      <c r="A7458" s="1" t="str">
        <f ca="1">IFERROR(__xludf.DUMMYFUNCTION("GOOGLETRANSLATE(A7458, ""zh"", ""en"")"),"Many famous writers such as Zhang Manjuan, Jian Zhen, Hou Wenyong, etc. have won this literary award when they were students.")</f>
        <v>Many famous writers such as Zhang Manjuan, Jian Zhen, Hou Wenyong, etc. have won this literary award when they were students.</v>
      </c>
      <c r="B7458" s="1" t="str">
        <f ca="1">IFERROR(__xludf.DUMMYFUNCTION("GOOGLETRANSLATE(A7458, ""zh"", ""en"")"),"irrelevant text")</f>
        <v>irrelevant text</v>
      </c>
      <c r="C7458" s="1" t="str">
        <f ca="1">IFERROR(__xludf.DUMMYFUNCTION("GOOGLETRANSLATE(E7458, ""zh"", ""en"")"),"irrelevant text")</f>
        <v>irrelevant text</v>
      </c>
    </row>
    <row r="7459" spans="1:3" ht="13" x14ac:dyDescent="0.15">
      <c r="A7459" s="1" t="str">
        <f ca="1">IFERROR(__xludf.DUMMYFUNCTION("GOOGLETRANSLATE(A7459, ""zh"", ""en"")"),"This report is based on Xinjiang Goldwind Science &amp; Technology Co., Ltd. (hereinafter referred to as ""Goldwind"", ""the Company"", ""we"" or ""the Group"") and covers Goldwind and its controlled subsidiaries. The scope is consistent with the annual repor"&amp;"t published by the Company, except for individual organizations with specific explanations.")</f>
        <v>This report is based on Xinjiang Goldwind Science &amp; Technology Co., Ltd. (hereinafter referred to as "Goldwind", "the Company", "we" or "the Group") and covers Goldwind and its controlled subsidiaries. The scope is consistent with the annual report published by the Company, except for individual organizations with specific explanations.</v>
      </c>
      <c r="B7459" s="1" t="str">
        <f ca="1">IFERROR(__xludf.DUMMYFUNCTION("GOOGLETRANSLATE(A7459, ""zh"", ""en"")"),"irrelevant text")</f>
        <v>irrelevant text</v>
      </c>
      <c r="C7459" s="1" t="str">
        <f ca="1">IFERROR(__xludf.DUMMYFUNCTION("GOOGLETRANSLATE(E7459, ""zh"", ""en"")"),"irrelevant text")</f>
        <v>irrelevant text</v>
      </c>
    </row>
    <row r="7460" spans="1:3" ht="13" x14ac:dyDescent="0.15">
      <c r="A7460" s="1" t="str">
        <f ca="1">IFERROR(__xludf.DUMMYFUNCTION("GOOGLETRANSLATE(A7460, ""zh"", ""en"")"),"Report Scope This report is an annual report, and the reporting period is from January 1, 2022 to December 31, 2022")</f>
        <v>Report Scope This report is an annual report, and the reporting period is from January 1, 2022 to December 31, 2022</v>
      </c>
      <c r="B7460" s="1" t="str">
        <f ca="1">IFERROR(__xludf.DUMMYFUNCTION("GOOGLETRANSLATE(A7460, ""zh"", ""en"")"),"irrelevant text")</f>
        <v>irrelevant text</v>
      </c>
      <c r="C7460" s="1" t="str">
        <f ca="1">IFERROR(__xludf.DUMMYFUNCTION("GOOGLETRANSLATE(E7460, ""zh"", ""en"")"),"irrelevant text")</f>
        <v>irrelevant text</v>
      </c>
    </row>
    <row r="7461" spans="1:3" ht="13" x14ac:dyDescent="0.15">
      <c r="A7461" s="1" t="str">
        <f ca="1">IFERROR(__xludf.DUMMYFUNCTION("GOOGLETRANSLATE(A7461, ""zh"", ""en"")"),"In order to ensure the continuity of disclosure, some content may exceed the above time range due to the need for explanation.")</f>
        <v>In order to ensure the continuity of disclosure, some content may exceed the above time range due to the need for explanation.</v>
      </c>
      <c r="B7461" s="1" t="str">
        <f ca="1">IFERROR(__xludf.DUMMYFUNCTION("GOOGLETRANSLATE(A7461, ""zh"", ""en"")"),"irrelevant text")</f>
        <v>irrelevant text</v>
      </c>
      <c r="C7461" s="1" t="str">
        <f ca="1">IFERROR(__xludf.DUMMYFUNCTION("GOOGLETRANSLATE(E7461, ""zh"", ""en"")"),"irrelevant text")</f>
        <v>irrelevant text</v>
      </c>
    </row>
    <row r="7462" spans="1:3" ht="13" x14ac:dyDescent="0.15">
      <c r="A7462" s="1" t="str">
        <f ca="1">IFERROR(__xludf.DUMMYFUNCTION("GOOGLETRANSLATE(A7462, ""zh"", ""en"")"),"Reporting Period This report complies with the relevant requirements of Appendix 27 ""Environmental, Social and Governance Reporting Guide"" of the ""Securities Listing Rules of The Stock Exchange of Hong Kong Limited"" and the ""Self-Regulatory Guideline"&amp;"s for Listed Companies No. 1 on Standardized Operations of Main Board Listed Companies"" of the Shenzhen Stock Exchange, and is prepared with reference to the United Nations Sustainable Development Goals (UNSDGs), the Ten Principles of the United Nations "&amp;"Global Compact (UNGC), and the Global Reporting Initiative (GRI) ""Sustainability Reporting Standards (GRI-Standards).")</f>
        <v>Reporting Period This report complies with the relevant requirements of Appendix 27 "Environmental, Social and Governance Reporting Guide" of the "Securities Listing Rules of The Stock Exchange of Hong Kong Limited" and the "Self-Regulatory Guidelines for Listed Companies No. 1 on Standardized Operations of Main Board Listed Companies" of the Shenzhen Stock Exchange, and is prepared with reference to the United Nations Sustainable Development Goals (UNSDGs), the Ten Principles of the United Nations Global Compact (UNGC), and the Global Reporting Initiative (GRI) "Sustainability Reporting Standards (GRI-Standards).</v>
      </c>
      <c r="B7462" s="1" t="str">
        <f ca="1">IFERROR(__xludf.DUMMYFUNCTION("GOOGLETRANSLATE(A7462, ""zh"", ""en"")"),"irrelevant text")</f>
        <v>irrelevant text</v>
      </c>
      <c r="C7462" s="1" t="str">
        <f ca="1">IFERROR(__xludf.DUMMYFUNCTION("GOOGLETRANSLATE(E7462, ""zh"", ""en"")"),"irrelevant text")</f>
        <v>irrelevant text</v>
      </c>
    </row>
    <row r="7463" spans="1:3" ht="13" x14ac:dyDescent="0.15">
      <c r="A7463" s="1" t="str">
        <f ca="1">IFERROR(__xludf.DUMMYFUNCTION("GOOGLETRANSLATE(A7463, ""zh"", ""en"")"),"This report is prepared based on the principles of materiality, quantification, balance and consistency to ensure the importance, scientificity, objectivity and comparability of the report.")</f>
        <v>This report is prepared based on the principles of materiality, quantification, balance and consistency to ensure the importance, scientificity, objectivity and comparability of the report.</v>
      </c>
      <c r="B7463" s="1" t="str">
        <f ca="1">IFERROR(__xludf.DUMMYFUNCTION("GOOGLETRANSLATE(A7463, ""zh"", ""en"")"),"irrelevant text")</f>
        <v>irrelevant text</v>
      </c>
      <c r="C7463" s="1" t="str">
        <f ca="1">IFERROR(__xludf.DUMMYFUNCTION("GOOGLETRANSLATE(E7463, ""zh"", ""en"")"),"irrelevant text")</f>
        <v>irrelevant text</v>
      </c>
    </row>
    <row r="7464" spans="1:3" ht="13" x14ac:dyDescent="0.15">
      <c r="A7464" s="1" t="str">
        <f ca="1">IFERROR(__xludf.DUMMYFUNCTION("GOOGLETRANSLATE(A7464, ""zh"", ""en"")"),"Quantification: The key quantitative performance indicators in this report follow scientific statistical standards, methods, calculation tools, and conversion factors. Important reference sources, calculation methods, and data changes are explained in the"&amp;" report interpretation.")</f>
        <v>Quantification: The key quantitative performance indicators in this report follow scientific statistical standards, methods, calculation tools, and conversion factors. Important reference sources, calculation methods, and data changes are explained in the report interpretation.</v>
      </c>
      <c r="B7464" s="1" t="str">
        <f ca="1">IFERROR(__xludf.DUMMYFUNCTION("GOOGLETRANSLATE(A7464, ""zh"", ""en"")"),"irrelevant text")</f>
        <v>irrelevant text</v>
      </c>
      <c r="C7464" s="1" t="str">
        <f ca="1">IFERROR(__xludf.DUMMYFUNCTION("GOOGLETRANSLATE(E7464, ""zh"", ""en"")"),"irrelevant text")</f>
        <v>irrelevant text</v>
      </c>
    </row>
    <row r="7465" spans="1:3" ht="13" x14ac:dyDescent="0.15">
      <c r="A7465" s="1" t="str">
        <f ca="1">IFERROR(__xludf.DUMMYFUNCTION("GOOGLETRANSLATE(A7465, ""zh"", ""en"")"),"Balance: This report objectively discloses Goldwind's sustainable development performance during the reporting period, avoiding any reporting format that may inappropriately influence the decision-making judgments of stakeholders.")</f>
        <v>Balance: This report objectively discloses Goldwind's sustainable development performance during the reporting period, avoiding any reporting format that may inappropriately influence the decision-making judgments of stakeholders.</v>
      </c>
      <c r="B7465" s="1" t="str">
        <f ca="1">IFERROR(__xludf.DUMMYFUNCTION("GOOGLETRANSLATE(A7465, ""zh"", ""en"")"),"irrelevant text")</f>
        <v>irrelevant text</v>
      </c>
      <c r="C7465" s="1" t="str">
        <f ca="1">IFERROR(__xludf.DUMMYFUNCTION("GOOGLETRANSLATE(E7465, ""zh"", ""en"")"),"irrelevant text")</f>
        <v>irrelevant text</v>
      </c>
    </row>
    <row r="7466" spans="1:3" ht="13" x14ac:dyDescent="0.15">
      <c r="A7466" s="1" t="str">
        <f ca="1">IFERROR(__xludf.DUMMYFUNCTION("GOOGLETRANSLATE(A7466, ""zh"", ""en"")"),"Consistency: Unless otherwise specified, the content disclosed in this report, the statistical methods and caliber used for the data are consistent with those of previous years.")</f>
        <v>Consistency: Unless otherwise specified, the content disclosed in this report, the statistical methods and caliber used for the data are consistent with those of previous years.</v>
      </c>
      <c r="B7466" s="1" t="str">
        <f ca="1">IFERROR(__xludf.DUMMYFUNCTION("GOOGLETRANSLATE(A7466, ""zh"", ""en"")"),"irrelevant text")</f>
        <v>irrelevant text</v>
      </c>
      <c r="C7466" s="1" t="str">
        <f ca="1">IFERROR(__xludf.DUMMYFUNCTION("GOOGLETRANSLATE(E7466, ""zh"", ""en"")"),"irrelevant text")</f>
        <v>irrelevant text</v>
      </c>
    </row>
    <row r="7467" spans="1:3" ht="13" x14ac:dyDescent="0.15">
      <c r="A7467" s="1" t="str">
        <f ca="1">IFERROR(__xludf.DUMMYFUNCTION("GOOGLETRANSLATE(A7467, ""zh"", ""en"")"),"The financial data in this report are from the company's annual report, and other data are from the company's internal statistics. Unless otherwise specified, the amount is in RMB.")</f>
        <v>The financial data in this report are from the company's annual report, and other data are from the company's internal statistics. Unless otherwise specified, the amount is in RMB.</v>
      </c>
      <c r="B7467" s="1" t="str">
        <f ca="1">IFERROR(__xludf.DUMMYFUNCTION("GOOGLETRANSLATE(A7467, ""zh"", ""en"")"),"irrelevant text")</f>
        <v>irrelevant text</v>
      </c>
      <c r="C7467" s="1" t="str">
        <f ca="1">IFERROR(__xludf.DUMMYFUNCTION("GOOGLETRANSLATE(E7467, ""zh"", ""en"")"),"irrelevant text")</f>
        <v>irrelevant text</v>
      </c>
    </row>
    <row r="7468" spans="1:3" ht="13" x14ac:dyDescent="0.15">
      <c r="A7468" s="1" t="str">
        <f ca="1">IFERROR(__xludf.DUMMYFUNCTION("GOOGLETRANSLATE(A7468, ""zh"", ""en"")"),"Data Description All contents and data disclosed in this report have been reviewed and approved by the Board of Directors of Xinjiang Goldwind Science &amp; Technology Co., Ltd.")</f>
        <v>Data Description All contents and data disclosed in this report have been reviewed and approved by the Board of Directors of Xinjiang Goldwind Science &amp; Technology Co., Ltd.</v>
      </c>
      <c r="B7468" s="1" t="str">
        <f ca="1">IFERROR(__xludf.DUMMYFUNCTION("GOOGLETRANSLATE(A7468, ""zh"", ""en"")"),"irrelevant text")</f>
        <v>irrelevant text</v>
      </c>
      <c r="C7468" s="1" t="str">
        <f ca="1">IFERROR(__xludf.DUMMYFUNCTION("GOOGLETRANSLATE(E7468, ""zh"", ""en"")"),"irrelevant text")</f>
        <v>irrelevant text</v>
      </c>
    </row>
    <row r="7469" spans="1:3" ht="13" x14ac:dyDescent="0.15">
      <c r="A7469" s="1" t="str">
        <f ca="1">IFERROR(__xludf.DUMMYFUNCTION("GOOGLETRANSLATE(A7469, ""zh"", ""en"")"),"Report Guarantee This report has been reviewed and approved by the Board of Directors of Goldwind Science &amp; Technology")</f>
        <v>Report Guarantee This report has been reviewed and approved by the Board of Directors of Goldwind Science &amp; Technology</v>
      </c>
      <c r="B7469" s="1" t="str">
        <f ca="1">IFERROR(__xludf.DUMMYFUNCTION("GOOGLETRANSLATE(A7469, ""zh"", ""en"")"),"irrelevant text")</f>
        <v>irrelevant text</v>
      </c>
      <c r="C7469" s="1" t="str">
        <f ca="1">IFERROR(__xludf.DUMMYFUNCTION("GOOGLETRANSLATE(E7469, ""zh"", ""en"")"),"irrelevant text")</f>
        <v>irrelevant text</v>
      </c>
    </row>
    <row r="7470" spans="1:3" ht="13" x14ac:dyDescent="0.15">
      <c r="A7470" s="1" t="str">
        <f ca="1">IFERROR(__xludf.DUMMYFUNCTION("GOOGLETRANSLATE(A7470, ""zh"", ""en"")"),"The board of directors of the company guarantees that this report does not contain any false records or misleading statements and guarantees the authenticity, accuracy and completeness of its contents.")</f>
        <v>The board of directors of the company guarantees that this report does not contain any false records or misleading statements and guarantees the authenticity, accuracy and completeness of its contents.</v>
      </c>
      <c r="B7470" s="1" t="str">
        <f ca="1">IFERROR(__xludf.DUMMYFUNCTION("GOOGLETRANSLATE(A7470, ""zh"", ""en"")"),"irrelevant text")</f>
        <v>irrelevant text</v>
      </c>
      <c r="C7470" s="1" t="str">
        <f ca="1">IFERROR(__xludf.DUMMYFUNCTION("GOOGLETRANSLATE(E7470, ""zh"", ""en"")"),"irrelevant text")</f>
        <v>irrelevant text</v>
      </c>
    </row>
    <row r="7471" spans="1:3" ht="13" x14ac:dyDescent="0.15">
      <c r="A7471" s="1" t="str">
        <f ca="1">IFERROR(__xludf.DUMMYFUNCTION("GOOGLETRANSLATE(A7471, ""zh"", ""en"")"),"The Board of Directors declares that this report is published in simplified Chinese, traditional Chinese and English versions. In case of any inconsistency, the simplified Chinese version shall prevail.")</f>
        <v>The Board of Directors declares that this report is published in simplified Chinese, traditional Chinese and English versions. In case of any inconsistency, the simplified Chinese version shall prevail.</v>
      </c>
      <c r="B7471" s="1" t="str">
        <f ca="1">IFERROR(__xludf.DUMMYFUNCTION("GOOGLETRANSLATE(A7471, ""zh"", ""en"")"),"irrelevant text")</f>
        <v>irrelevant text</v>
      </c>
      <c r="C7471" s="1" t="str">
        <f ca="1">IFERROR(__xludf.DUMMYFUNCTION("GOOGLETRANSLATE(E7471, ""zh"", ""en"")"),"irrelevant text")</f>
        <v>irrelevant text</v>
      </c>
    </row>
    <row r="7472" spans="1:3" ht="13" x14ac:dyDescent="0.15">
      <c r="A7472" s="1" t="str">
        <f ca="1">IFERROR(__xludf.DUMMYFUNCTION("GOOGLETRANSLATE(A7472, ""zh"", ""en"")"),"The information can be viewed and downloaded from the Goldwind Science &amp; Technology website at www.goldwind.com, the Shenzhen Stock Exchange website at www.szse.cn, or the Hong Kong Exchanges and Clearing Limited (HKEXnews) website at www.hkexnews.hk.")</f>
        <v>The information can be viewed and downloaded from the Goldwind Science &amp; Technology website at www.goldwind.com, the Shenzhen Stock Exchange website at www.szse.cn, or the Hong Kong Exchanges and Clearing Limited (HKEXnews) website at www.hkexnews.hk.</v>
      </c>
      <c r="B7472" s="1" t="str">
        <f ca="1">IFERROR(__xludf.DUMMYFUNCTION("GOOGLETRANSLATE(A7472, ""zh"", ""en"")"),"irrelevant text")</f>
        <v>irrelevant text</v>
      </c>
      <c r="C7472" s="1" t="str">
        <f ca="1">IFERROR(__xludf.DUMMYFUNCTION("GOOGLETRANSLATE(E7472, ""zh"", ""en"")"),"irrelevant text")</f>
        <v>irrelevant text</v>
      </c>
    </row>
    <row r="7473" spans="1:3" ht="13" x14ac:dyDescent="0.15">
      <c r="A7473" s="1" t="str">
        <f ca="1">IFERROR(__xludf.DUMMYFUNCTION("GOOGLETRANSLATE(A7473, ""zh"", ""en"")"),"How to obtain the report: This report is in electronic form. You can download it and obtain more information on corporate social responsibility and sustainable development by logging on to the company's official website www.qianxin.com")</f>
        <v>How to obtain the report: This report is in electronic form. You can download it and obtain more information on corporate social responsibility and sustainable development by logging on to the company's official website www.qianxin.com</v>
      </c>
      <c r="B7473" s="1" t="str">
        <f ca="1">IFERROR(__xludf.DUMMYFUNCTION("GOOGLETRANSLATE(A7473, ""zh"", ""en"")"),"irrelevant text")</f>
        <v>irrelevant text</v>
      </c>
      <c r="C7473" s="1" t="str">
        <f ca="1">IFERROR(__xludf.DUMMYFUNCTION("GOOGLETRANSLATE(E7473, ""zh"", ""en"")"),"irrelevant text")</f>
        <v>irrelevant text</v>
      </c>
    </row>
    <row r="7474" spans="1:3" ht="13" x14ac:dyDescent="0.15">
      <c r="A7474" s="1" t="str">
        <f ca="1">IFERROR(__xludf.DUMMYFUNCTION("GOOGLETRANSLATE(A7474, ""zh"", ""en"")"),"Report data description: The data and cases used in the report are all from the company's official statistical reports and the summary and statistics of responsibility performance.")</f>
        <v>Report data description: The data and cases used in the report are all from the company's official statistical reports and the summary and statistics of responsibility performance.</v>
      </c>
      <c r="B7474" s="1" t="str">
        <f ca="1">IFERROR(__xludf.DUMMYFUNCTION("GOOGLETRANSLATE(A7474, ""zh"", ""en"")"),"irrelevant text")</f>
        <v>irrelevant text</v>
      </c>
      <c r="C7474" s="1" t="str">
        <f ca="1">IFERROR(__xludf.DUMMYFUNCTION("GOOGLETRANSLATE(E7474, ""zh"", ""en"")"),"irrelevant text")</f>
        <v>irrelevant text</v>
      </c>
    </row>
    <row r="7475" spans="1:3" ht="13" x14ac:dyDescent="0.15">
      <c r="A7475" s="1" t="str">
        <f ca="1">IFERROR(__xludf.DUMMYFUNCTION("GOOGLETRANSLATE(A7475, ""zh"", ""en"")"),"This report is the second consecutive year that the Group has published the CSRESG report. The report aims to effectively communicate with stakeholders, systematically respond to their expectations and requirements, and showcase the Group's practices and "&amp;"performance in environmental, social, and governance aspects.")</f>
        <v>This report is the second consecutive year that the Group has published the CSRESG report. The report aims to effectively communicate with stakeholders, systematically respond to their expectations and requirements, and showcase the Group's practices and performance in environmental, social, and governance aspects.</v>
      </c>
      <c r="B7475" s="1" t="str">
        <f ca="1">IFERROR(__xludf.DUMMYFUNCTION("GOOGLETRANSLATE(A7475, ""zh"", ""en"")"),"irrelevant text")</f>
        <v>irrelevant text</v>
      </c>
      <c r="C7475" s="1" t="str">
        <f ca="1">IFERROR(__xludf.DUMMYFUNCTION("GOOGLETRANSLATE(E7475, ""zh"", ""en"")"),"irrelevant text")</f>
        <v>irrelevant text</v>
      </c>
    </row>
    <row r="7476" spans="1:3" ht="13" x14ac:dyDescent="0.15">
      <c r="A7476" s="1" t="str">
        <f ca="1">IFERROR(__xludf.DUMMYFUNCTION("GOOGLETRANSLATE(A7476, ""zh"", ""en"")"),"This report is an annual report and is published annually together with the annual report of Qi'anxin Technology Group Co., Ltd.")</f>
        <v>This report is an annual report and is published annually together with the annual report of Qi'anxin Technology Group Co., Ltd.</v>
      </c>
      <c r="B7476" s="1" t="str">
        <f ca="1">IFERROR(__xludf.DUMMYFUNCTION("GOOGLETRANSLATE(A7476, ""zh"", ""en"")"),"irrelevant text")</f>
        <v>irrelevant text</v>
      </c>
      <c r="C7476" s="1" t="str">
        <f ca="1">IFERROR(__xludf.DUMMYFUNCTION("GOOGLETRANSLATE(E7476, ""zh"", ""en"")"),"irrelevant text")</f>
        <v>irrelevant text</v>
      </c>
    </row>
    <row r="7477" spans="1:3" ht="13" x14ac:dyDescent="0.15">
      <c r="A7477" s="1" t="str">
        <f ca="1">IFERROR(__xludf.DUMMYFUNCTION("GOOGLETRANSLATE(A7477, ""zh"", ""en"")"),"For the convenience of presentation, the term ""Qi'anxin Group, Qi'anxin Company, we"" or ""we"" refers to Qi'anxin Technology Group Co., Ltd.")</f>
        <v>For the convenience of presentation, the term "Qi'anxin Group, Qi'anxin Company, we" or "we" refers to Qi'anxin Technology Group Co., Ltd.</v>
      </c>
      <c r="B7477" s="1" t="str">
        <f ca="1">IFERROR(__xludf.DUMMYFUNCTION("GOOGLETRANSLATE(A7477, ""zh"", ""en"")"),"irrelevant text")</f>
        <v>irrelevant text</v>
      </c>
      <c r="C7477" s="1" t="str">
        <f ca="1">IFERROR(__xludf.DUMMYFUNCTION("GOOGLETRANSLATE(E7477, ""zh"", ""en"")"),"irrelevant text")</f>
        <v>irrelevant text</v>
      </c>
    </row>
    <row r="7478" spans="1:3" ht="13" x14ac:dyDescent="0.15">
      <c r="A7478" s="1" t="str">
        <f ca="1">IFERROR(__xludf.DUMMYFUNCTION("GOOGLETRANSLATE(A7478, ""zh"", ""en"")"),"Describe the training activities")</f>
        <v>Describe the training activities</v>
      </c>
      <c r="B7478" s="1" t="str">
        <f ca="1">IFERROR(__xludf.DUMMYFUNCTION("GOOGLETRANSLATE(A7478, ""zh"", ""en"")"),"irrelevant text")</f>
        <v>irrelevant text</v>
      </c>
      <c r="C7478" s="1" t="str">
        <f ca="1">IFERROR(__xludf.DUMMYFUNCTION("GOOGLETRANSLATE(E7478, ""zh"", ""en"")"),"irrelevant text")</f>
        <v>irrelevant text</v>
      </c>
    </row>
    <row r="7479" spans="1:3" ht="13" x14ac:dyDescent="0.15">
      <c r="A7479" s="1" t="str">
        <f ca="1">IFERROR(__xludf.DUMMYFUNCTION("GOOGLETRANSLATE(A7479, ""zh"", ""en"")"),"The road ahead is long and arduous, but the journey will be long")</f>
        <v>The road ahead is long and arduous, but the journey will be long</v>
      </c>
      <c r="B7479" s="1" t="str">
        <f ca="1">IFERROR(__xludf.DUMMYFUNCTION("GOOGLETRANSLATE(A7479, ""zh"", ""en"")"),"irrelevant text")</f>
        <v>irrelevant text</v>
      </c>
      <c r="C7479" s="1" t="str">
        <f ca="1">IFERROR(__xludf.DUMMYFUNCTION("GOOGLETRANSLATE(E7479, ""zh"", ""en"")"),"irrelevant text")</f>
        <v>irrelevant text</v>
      </c>
    </row>
    <row r="7480" spans="1:3" ht="13" x14ac:dyDescent="0.15">
      <c r="A7480" s="1" t="str">
        <f ca="1">IFERROR(__xludf.DUMMYFUNCTION("GOOGLETRANSLATE(A7480, ""zh"", ""en"")"),"Unless otherwise stated, this report is in RMB.")</f>
        <v>Unless otherwise stated, this report is in RMB.</v>
      </c>
      <c r="B7480" s="1" t="str">
        <f ca="1">IFERROR(__xludf.DUMMYFUNCTION("GOOGLETRANSLATE(A7480, ""zh"", ""en"")"),"irrelevant text")</f>
        <v>irrelevant text</v>
      </c>
      <c r="C7480" s="1" t="str">
        <f ca="1">IFERROR(__xludf.DUMMYFUNCTION("GOOGLETRANSLATE(E7480, ""zh"", ""en"")"),"irrelevant text")</f>
        <v>irrelevant text</v>
      </c>
    </row>
    <row r="7481" spans="1:3" ht="13" x14ac:dyDescent="0.15">
      <c r="A7481" s="1" t="str">
        <f ca="1">IFERROR(__xludf.DUMMYFUNCTION("GOOGLETRANSLATE(A7481, ""zh"", ""en"")"),"In 2022, a static investment of approximately RMB 13 million will be allocated for geological protection and land reclamation projects.")</f>
        <v>In 2022, a static investment of approximately RMB 13 million will be allocated for geological protection and land reclamation projects.</v>
      </c>
      <c r="B7481" s="1" t="str">
        <f ca="1">IFERROR(__xludf.DUMMYFUNCTION("GOOGLETRANSLATE(A7481, ""zh"", ""en"")"),"Land use")</f>
        <v>Land use</v>
      </c>
      <c r="C7481" s="1" t="str">
        <f ca="1">IFERROR(__xludf.DUMMYFUNCTION("GOOGLETRANSLATE(E7481, ""zh"", ""en"")"),"Quantitative Text")</f>
        <v>Quantitative Text</v>
      </c>
    </row>
    <row r="7482" spans="1:3" ht="13" x14ac:dyDescent="0.15">
      <c r="A7482" s="1" t="str">
        <f ca="1">IFERROR(__xludf.DUMMYFUNCTION("GOOGLETRANSLATE(A7482, ""zh"", ""en"")"),"Land reclamation rate in 2022 is 25.35%")</f>
        <v>Land reclamation rate in 2022 is 25.35%</v>
      </c>
      <c r="B7482" s="1" t="str">
        <f ca="1">IFERROR(__xludf.DUMMYFUNCTION("GOOGLETRANSLATE(A7482, ""zh"", ""en"")"),"Land use")</f>
        <v>Land use</v>
      </c>
      <c r="C7482" s="1" t="str">
        <f ca="1">IFERROR(__xludf.DUMMYFUNCTION("GOOGLETRANSLATE(E7482, ""zh"", ""en"")"),"Quantitative Text")</f>
        <v>Quantitative Text</v>
      </c>
    </row>
    <row r="7483" spans="1:3" ht="13" x14ac:dyDescent="0.15">
      <c r="A7483" s="1" t="str">
        <f ca="1">IFERROR(__xludf.DUMMYFUNCTION("GOOGLETRANSLATE(A7483, ""zh"", ""en"")"),"For temporary land use involved in the construction process, the company strictly formulates and implements land use and reclamation plans, pays attention to the protection of environmentally sensitive areas such as densely populated areas and nature rese"&amp;"rves, and restores the land in accordance with regulations after the completion of the project to protect the ecological environment to the greatest extent possible.")</f>
        <v>For temporary land use involved in the construction process, the company strictly formulates and implements land use and reclamation plans, pays attention to the protection of environmentally sensitive areas such as densely populated areas and nature reserves, and restores the land in accordance with regulations after the completion of the project to protect the ecological environment to the greatest extent possible.</v>
      </c>
      <c r="B7483" s="1" t="str">
        <f ca="1">IFERROR(__xludf.DUMMYFUNCTION("GOOGLETRANSLATE(A7483, ""zh"", ""en"")"),"Land use")</f>
        <v>Land use</v>
      </c>
      <c r="C7483" s="1" t="str">
        <f ca="1">IFERROR(__xludf.DUMMYFUNCTION("GOOGLETRANSLATE(E7483, ""zh"", ""en"")"),"Qualitative text")</f>
        <v>Qualitative text</v>
      </c>
    </row>
    <row r="7484" spans="1:3" ht="13" x14ac:dyDescent="0.15">
      <c r="A7484" s="1" t="str">
        <f ca="1">IFERROR(__xludf.DUMMYFUNCTION("GOOGLETRANSLATE(A7484, ""zh"", ""en"")"),"The company strictly abides by a series of laws and regulations including the Environmental Protection Law, the Environmental Impact Assessment Law, the Shaanxi Qinling Ecological Protection Regulations, and the Shaanxi Mine Geological Environment Protect"&amp;"ion Regulations, and stipulates in the JinMo Co., Ltd. Mineral Resources Management Measures that all mines should do a good job in mine geological environment restoration and land reclamation, promote green mine construction, and achieve green developmen"&amp;"t.")</f>
        <v>The company strictly abides by a series of laws and regulations including the Environmental Protection Law, the Environmental Impact Assessment Law, the Shaanxi Qinling Ecological Protection Regulations, and the Shaanxi Mine Geological Environment Protection Regulations, and stipulates in the JinMo Co., Ltd. Mineral Resources Management Measures that all mines should do a good job in mine geological environment restoration and land reclamation, promote green mine construction, and achieve green development.</v>
      </c>
      <c r="B7484" s="1" t="str">
        <f ca="1">IFERROR(__xludf.DUMMYFUNCTION("GOOGLETRANSLATE(A7484, ""zh"", ""en"")"),"Land use")</f>
        <v>Land use</v>
      </c>
      <c r="C7484" s="1" t="str">
        <f ca="1">IFERROR(__xludf.DUMMYFUNCTION("GOOGLETRANSLATE(E7484, ""zh"", ""en"")"),"Qualitative text")</f>
        <v>Qualitative text</v>
      </c>
    </row>
    <row r="7485" spans="1:3" ht="13" x14ac:dyDescent="0.15">
      <c r="A7485" s="1" t="str">
        <f ca="1">IFERROR(__xludf.DUMMYFUNCTION("GOOGLETRANSLATE(A7485, ""zh"", ""en"")"),"The general planning and layout of construction projects should optimize land use and reduce the occupation of land resources.")</f>
        <v>The general planning and layout of construction projects should optimize land use and reduce the occupation of land resources.</v>
      </c>
      <c r="B7485" s="1" t="str">
        <f ca="1">IFERROR(__xludf.DUMMYFUNCTION("GOOGLETRANSLATE(A7485, ""zh"", ""en"")"),"Land use")</f>
        <v>Land use</v>
      </c>
      <c r="C7485" s="1" t="str">
        <f ca="1">IFERROR(__xludf.DUMMYFUNCTION("GOOGLETRANSLATE(E7485, ""zh"", ""en"")"),"Qualitative text")</f>
        <v>Qualitative text</v>
      </c>
    </row>
    <row r="7486" spans="1:3" ht="13" x14ac:dyDescent="0.15">
      <c r="A7486" s="1" t="str">
        <f ca="1">IFERROR(__xludf.DUMMYFUNCTION("GOOGLETRANSLATE(A7486, ""zh"", ""en"")"),"During the production period, soil environmental monitoring is carried out once a year. Three monitoring points are set up near the open-pit mine waste rock dump, tailings pond and dressing plant. The monitoring results all meet the standards.")</f>
        <v>During the production period, soil environmental monitoring is carried out once a year. Three monitoring points are set up near the open-pit mine waste rock dump, tailings pond and dressing plant. The monitoring results all meet the standards.</v>
      </c>
      <c r="B7486" s="1" t="str">
        <f ca="1">IFERROR(__xludf.DUMMYFUNCTION("GOOGLETRANSLATE(A7486, ""zh"", ""en"")"),"Land use")</f>
        <v>Land use</v>
      </c>
      <c r="C7486" s="1" t="str">
        <f ca="1">IFERROR(__xludf.DUMMYFUNCTION("GOOGLETRANSLATE(E7486, ""zh"", ""en"")"),"Quantitative Text")</f>
        <v>Quantitative Text</v>
      </c>
    </row>
    <row r="7487" spans="1:3" ht="13" x14ac:dyDescent="0.15">
      <c r="A7487" s="1" t="str">
        <f ca="1">IFERROR(__xludf.DUMMYFUNCTION("GOOGLETRANSLATE(A7487, ""zh"", ""en"")"),"Reduce the impact of infrastructure projects on the ecological environment from the source through scientific, systematic and reasonable design of land use and construction plans")</f>
        <v>Reduce the impact of infrastructure projects on the ecological environment from the source through scientific, systematic and reasonable design of land use and construction plans</v>
      </c>
      <c r="B7487" s="1" t="str">
        <f ca="1">IFERROR(__xludf.DUMMYFUNCTION("GOOGLETRANSLATE(A7487, ""zh"", ""en"")"),"Land use")</f>
        <v>Land use</v>
      </c>
      <c r="C7487" s="1" t="str">
        <f ca="1">IFERROR(__xludf.DUMMYFUNCTION("GOOGLETRANSLATE(E7487, ""zh"", ""en"")"),"Qualitative text")</f>
        <v>Qualitative text</v>
      </c>
    </row>
    <row r="7488" spans="1:3" ht="13" x14ac:dyDescent="0.15">
      <c r="A7488" s="1" t="str">
        <f ca="1">IFERROR(__xludf.DUMMYFUNCTION("GOOGLETRANSLATE(A7488, ""zh"", ""en"")"),"Reasonable technical measures should be taken in earth excavation construction to reduce the amount of earth excavation, minimize disturbance to the land, and protect the surrounding natural ecological environment.")</f>
        <v>Reasonable technical measures should be taken in earth excavation construction to reduce the amount of earth excavation, minimize disturbance to the land, and protect the surrounding natural ecological environment.</v>
      </c>
      <c r="B7488" s="1" t="str">
        <f ca="1">IFERROR(__xludf.DUMMYFUNCTION("GOOGLETRANSLATE(A7488, ""zh"", ""en"")"),"Land use")</f>
        <v>Land use</v>
      </c>
      <c r="C7488" s="1" t="str">
        <f ca="1">IFERROR(__xludf.DUMMYFUNCTION("GOOGLETRANSLATE(E7488, ""zh"", ""en"")"),"Qualitative text")</f>
        <v>Qualitative text</v>
      </c>
    </row>
    <row r="7489" spans="1:3" ht="13" x14ac:dyDescent="0.15">
      <c r="A7489" s="1" t="str">
        <f ca="1">IFERROR(__xludf.DUMMYFUNCTION("GOOGLETRANSLATE(A7489, ""zh"", ""en"")"),"To minimize the impact, Oino Mining carries out geological environment protection, land reclamation and soil and water conservation during the mining period. It also carries out soil and water conservation monitoring and supervision every year as required"&amp;", and produces quarterly and annual reports on monitoring and supervision.")</f>
        <v>To minimize the impact, Oino Mining carries out geological environment protection, land reclamation and soil and water conservation during the mining period. It also carries out soil and water conservation monitoring and supervision every year as required, and produces quarterly and annual reports on monitoring and supervision.</v>
      </c>
      <c r="B7489" s="1" t="str">
        <f ca="1">IFERROR(__xludf.DUMMYFUNCTION("GOOGLETRANSLATE(A7489, ""zh"", ""en"")"),"Land use")</f>
        <v>Land use</v>
      </c>
      <c r="C7489" s="1" t="str">
        <f ca="1">IFERROR(__xludf.DUMMYFUNCTION("GOOGLETRANSLATE(E7489, ""zh"", ""en"")"),"Qualitative text")</f>
        <v>Qualitative text</v>
      </c>
    </row>
    <row r="7490" spans="1:3" ht="13" x14ac:dyDescent="0.15">
      <c r="A7490" s="1" t="str">
        <f ca="1">IFERROR(__xludf.DUMMYFUNCTION("GOOGLETRANSLATE(A7490, ""zh"", ""en"")"),"The Jinduicheng molybdenum mine beneficiation upgrading and transformation project covers an area of ​​27.6364 hectares, of which 7.7713 hectares are newly acquired land.")</f>
        <v>The Jinduicheng molybdenum mine beneficiation upgrading and transformation project covers an area of ​​27.6364 hectares, of which 7.7713 hectares are newly acquired land.</v>
      </c>
      <c r="B7490" s="1" t="str">
        <f ca="1">IFERROR(__xludf.DUMMYFUNCTION("GOOGLETRANSLATE(A7490, ""zh"", ""en"")"),"Land use")</f>
        <v>Land use</v>
      </c>
      <c r="C7490" s="1" t="str">
        <f ca="1">IFERROR(__xludf.DUMMYFUNCTION("GOOGLETRANSLATE(E7490, ""zh"", ""en"")"),"Quantitative Text")</f>
        <v>Quantitative Text</v>
      </c>
    </row>
    <row r="7491" spans="1:3" ht="13" x14ac:dyDescent="0.15">
      <c r="A7491" s="1" t="str">
        <f ca="1">IFERROR(__xludf.DUMMYFUNCTION("GOOGLETRANSLATE(A7491, ""zh"", ""en"")"),"The project has obtained the preliminary review and site selection opinion for the construction project land.")</f>
        <v>The project has obtained the preliminary review and site selection opinion for the construction project land.</v>
      </c>
      <c r="B7491" s="1" t="str">
        <f ca="1">IFERROR(__xludf.DUMMYFUNCTION("GOOGLETRANSLATE(A7491, ""zh"", ""en"")"),"Land use")</f>
        <v>Land use</v>
      </c>
      <c r="C7491" s="1" t="str">
        <f ca="1">IFERROR(__xludf.DUMMYFUNCTION("GOOGLETRANSLATE(E7491, ""zh"", ""en"")"),"Qualitative text")</f>
        <v>Qualitative text</v>
      </c>
    </row>
    <row r="7492" spans="1:3" ht="13" x14ac:dyDescent="0.15">
      <c r="A7492" s="1" t="str">
        <f ca="1">IFERROR(__xludf.DUMMYFUNCTION("GOOGLETRANSLATE(A7492, ""zh"", ""en"")"),"The planned land area for the upgrading and renovation project is 93.6220 hectares.")</f>
        <v>The planned land area for the upgrading and renovation project is 93.6220 hectares.</v>
      </c>
      <c r="B7492" s="1" t="str">
        <f ca="1">IFERROR(__xludf.DUMMYFUNCTION("GOOGLETRANSLATE(A7492, ""zh"", ""en"")"),"Land use")</f>
        <v>Land use</v>
      </c>
      <c r="C7492" s="1" t="str">
        <f ca="1">IFERROR(__xludf.DUMMYFUNCTION("GOOGLETRANSLATE(E7492, ""zh"", ""en"")"),"Quantitative Text")</f>
        <v>Quantitative Text</v>
      </c>
    </row>
    <row r="7493" spans="1:3" ht="13" x14ac:dyDescent="0.15">
      <c r="A7493" s="1" t="str">
        <f ca="1">IFERROR(__xludf.DUMMYFUNCTION("GOOGLETRANSLATE(A7493, ""zh"", ""en"")"),"Purchased 16.5 acres of land from Huayin Municipal Government for capacity expansion and renovation of the dedicated railway line.")</f>
        <v>Purchased 16.5 acres of land from Huayin Municipal Government for capacity expansion and renovation of the dedicated railway line.</v>
      </c>
      <c r="B7493" s="1" t="str">
        <f ca="1">IFERROR(__xludf.DUMMYFUNCTION("GOOGLETRANSLATE(A7493, ""zh"", ""en"")"),"Land use")</f>
        <v>Land use</v>
      </c>
      <c r="C7493" s="1" t="str">
        <f ca="1">IFERROR(__xludf.DUMMYFUNCTION("GOOGLETRANSLATE(E7493, ""zh"", ""en"")"),"Quantitative Text")</f>
        <v>Quantitative Text</v>
      </c>
    </row>
    <row r="7494" spans="1:3" ht="13" x14ac:dyDescent="0.15">
      <c r="A7494" s="1" t="str">
        <f ca="1">IFERROR(__xludf.DUMMYFUNCTION("GOOGLETRANSLATE(A7494, ""zh"", ""en"")"),"The company (including its holding subsidiaries JinMo Ruyang and JinMo Guangming) has obtained a total of 29 land rights certificates for construction land, with a total area of ​​12,663.78 mu, all of which are within the validity period of the land use r"&amp;"ights certificates.")</f>
        <v>The company (including its holding subsidiaries JinMo Ruyang and JinMo Guangming) has obtained a total of 29 land rights certificates for construction land, with a total area of ​​12,663.78 mu, all of which are within the validity period of the land use rights certificates.</v>
      </c>
      <c r="B7494" s="1" t="str">
        <f ca="1">IFERROR(__xludf.DUMMYFUNCTION("GOOGLETRANSLATE(A7494, ""zh"", ""en"")"),"Land use")</f>
        <v>Land use</v>
      </c>
      <c r="C7494" s="1" t="str">
        <f ca="1">IFERROR(__xludf.DUMMYFUNCTION("GOOGLETRANSLATE(E7494, ""zh"", ""en"")"),"Quantitative Text")</f>
        <v>Quantitative Text</v>
      </c>
    </row>
    <row r="7495" spans="1:3" ht="13" x14ac:dyDescent="0.15">
      <c r="A7495" s="1" t="str">
        <f ca="1">IFERROR(__xludf.DUMMYFUNCTION("GOOGLETRANSLATE(A7495, ""zh"", ""en"")"),"During the process of mining resource development, the company strictly implements the ""JinMo Co., Ltd. Mineral Resource Management Measures"", actively carries out mine geological environment restoration and land reclamation work, promotes green mine co"&amp;"nstruction, and realizes green development.")</f>
        <v>During the process of mining resource development, the company strictly implements the "JinMo Co., Ltd. Mineral Resource Management Measures", actively carries out mine geological environment restoration and land reclamation work, promotes green mine construction, and realizes green development.</v>
      </c>
      <c r="B7495" s="1" t="str">
        <f ca="1">IFERROR(__xludf.DUMMYFUNCTION("GOOGLETRANSLATE(A7495, ""zh"", ""en"")"),"Land use")</f>
        <v>Land use</v>
      </c>
      <c r="C7495" s="1" t="str">
        <f ca="1">IFERROR(__xludf.DUMMYFUNCTION("GOOGLETRANSLATE(E7495, ""zh"", ""en"")"),"Qualitative text")</f>
        <v>Qualitative text</v>
      </c>
    </row>
    <row r="7496" spans="1:3" ht="13" x14ac:dyDescent="0.15">
      <c r="A7496" s="1" t="str">
        <f ca="1">IFERROR(__xludf.DUMMYFUNCTION("GOOGLETRANSLATE(A7496, ""zh"", ""en"")"),"During the reporting period, the Northwest Comprehensive Survey and Design Institute was commissioned to prepare the ""2022 Engineering Management Plan and Design for Geological Environmental Protection and Land Reclamation of the Jinduicheng Molybdenum M"&amp;"ine"", with a total investment of 51.5532 million yuan in ecological management funds and an ecological restoration management area of ​​543.29 acres.")</f>
        <v>During the reporting period, the Northwest Comprehensive Survey and Design Institute was commissioned to prepare the "2022 Engineering Management Plan and Design for Geological Environmental Protection and Land Reclamation of the Jinduicheng Molybdenum Mine", with a total investment of 51.5532 million yuan in ecological management funds and an ecological restoration management area of ​​543.29 acres.</v>
      </c>
      <c r="B7496" s="1" t="str">
        <f ca="1">IFERROR(__xludf.DUMMYFUNCTION("GOOGLETRANSLATE(A7496, ""zh"", ""en"")"),"Land use")</f>
        <v>Land use</v>
      </c>
      <c r="C7496" s="1" t="str">
        <f ca="1">IFERROR(__xludf.DUMMYFUNCTION("GOOGLETRANSLATE(E7496, ""zh"", ""en"")"),"Quantitative Text")</f>
        <v>Quantitative Text</v>
      </c>
    </row>
    <row r="7497" spans="1:3" ht="13" x14ac:dyDescent="0.15">
      <c r="A7497" s="1" t="str">
        <f ca="1">IFERROR(__xludf.DUMMYFUNCTION("GOOGLETRANSLATE(A7497, ""zh"", ""en"")"),"The project was completed after 342 days, with a total of 177 acres of land restored.")</f>
        <v>The project was completed after 342 days, with a total of 177 acres of land restored.</v>
      </c>
      <c r="B7497" s="1" t="str">
        <f ca="1">IFERROR(__xludf.DUMMYFUNCTION("GOOGLETRANSLATE(A7497, ""zh"", ""en"")"),"Land use")</f>
        <v>Land use</v>
      </c>
      <c r="C7497" s="1" t="str">
        <f ca="1">IFERROR(__xludf.DUMMYFUNCTION("GOOGLETRANSLATE(E7497, ""zh"", ""en"")"),"Quantitative Text")</f>
        <v>Quantitative Text</v>
      </c>
    </row>
    <row r="7498" spans="1:3" ht="13" x14ac:dyDescent="0.15">
      <c r="A7498" s="1" t="str">
        <f ca="1">IFERROR(__xludf.DUMMYFUNCTION("GOOGLETRANSLATE(A7498, ""zh"", ""en"")"),"Slope and top treatment of 1,459-1,509m in Xichuan dump")</f>
        <v>Slope and top treatment of 1,459-1,509m in Xichuan dump</v>
      </c>
      <c r="B7498" s="1" t="str">
        <f ca="1">IFERROR(__xludf.DUMMYFUNCTION("GOOGLETRANSLATE(A7498, ""zh"", ""en"")"),"Land use")</f>
        <v>Land use</v>
      </c>
      <c r="C7498" s="1" t="str">
        <f ca="1">IFERROR(__xludf.DUMMYFUNCTION("GOOGLETRANSLATE(E7498, ""zh"", ""en"")"),"Quantitative Text")</f>
        <v>Quantitative Text</v>
      </c>
    </row>
    <row r="7499" spans="1:3" ht="13" x14ac:dyDescent="0.15">
      <c r="A7499" s="1" t="str">
        <f ca="1">IFERROR(__xludf.DUMMYFUNCTION("GOOGLETRANSLATE(A7499, ""zh"", ""en"")"),"Intensive land use, minimize land occupation, strengthen mine geological environment protection, land reclamation, soil and water conservation, etc.")</f>
        <v>Intensive land use, minimize land occupation, strengthen mine geological environment protection, land reclamation, soil and water conservation, etc.</v>
      </c>
      <c r="B7499" s="1" t="str">
        <f ca="1">IFERROR(__xludf.DUMMYFUNCTION("GOOGLETRANSLATE(A7499, ""zh"", ""en"")"),"Land use")</f>
        <v>Land use</v>
      </c>
      <c r="C7499" s="1" t="str">
        <f ca="1">IFERROR(__xludf.DUMMYFUNCTION("GOOGLETRANSLATE(E7499, ""zh"", ""en"")"),"Qualitative text")</f>
        <v>Qualitative text</v>
      </c>
    </row>
    <row r="7500" spans="1:3" ht="13" x14ac:dyDescent="0.15">
      <c r="A7500" s="1" t="str">
        <f ca="1">IFERROR(__xludf.DUMMYFUNCTION("GOOGLETRANSLATE(A7500, ""zh"", ""en"")"),"To strengthen land reserves, land reserves have been set up in Hefei, Bengbu, Wuhu, Ma'anshan, Fuyang, Huaibei, Lujiang, Susong, Linquan, Woyang in the province and Peixian, Shangqiu and other places outside the province.")</f>
        <v>To strengthen land reserves, land reserves have been set up in Hefei, Bengbu, Wuhu, Ma'anshan, Fuyang, Huaibei, Lujiang, Susong, Linquan, Woyang in the province and Peixian, Shangqiu and other places outside the province.</v>
      </c>
      <c r="B7500" s="1" t="str">
        <f ca="1">IFERROR(__xludf.DUMMYFUNCTION("GOOGLETRANSLATE(A7500, ""zh"", ""en"")"),"Land use")</f>
        <v>Land use</v>
      </c>
      <c r="C7500" s="1" t="str">
        <f ca="1">IFERROR(__xludf.DUMMYFUNCTION("GOOGLETRANSLATE(E7500, ""zh"", ""en"")"),"Qualitative text")</f>
        <v>Qualitative text</v>
      </c>
    </row>
    <row r="7501" spans="1:3" ht="13" x14ac:dyDescent="0.15">
      <c r="A7501" s="1" t="str">
        <f ca="1">IFERROR(__xludf.DUMMYFUNCTION("GOOGLETRANSLATE(A7501, ""zh"", ""en"")"),"The ecological restoration company strictly abides by the ""Water and Soil Conservation Law of the People's Republic of China"", ""Mining Geological Environment Protection Regulations"" and other laws and regulations, and builds a waste dump ecological en"&amp;"vironment demonstration project with high standards, organically combining green mine construction with production construction, land reclamation, and water and soil conservation to carry out ecological environment governance.")</f>
        <v>The ecological restoration company strictly abides by the "Water and Soil Conservation Law of the People's Republic of China", "Mining Geological Environment Protection Regulations" and other laws and regulations, and builds a waste dump ecological environment demonstration project with high standards, organically combining green mine construction with production construction, land reclamation, and water and soil conservation to carry out ecological environment governance.</v>
      </c>
      <c r="B7501" s="1" t="str">
        <f ca="1">IFERROR(__xludf.DUMMYFUNCTION("GOOGLETRANSLATE(A7501, ""zh"", ""en"")"),"Land use")</f>
        <v>Land use</v>
      </c>
      <c r="C7501" s="1" t="str">
        <f ca="1">IFERROR(__xludf.DUMMYFUNCTION("GOOGLETRANSLATE(E7501, ""zh"", ""en"")"),"Qualitative text")</f>
        <v>Qualitative text</v>
      </c>
    </row>
    <row r="7502" spans="1:3" ht="13" x14ac:dyDescent="0.15">
      <c r="A7502" s="1" t="str">
        <f ca="1">IFERROR(__xludf.DUMMYFUNCTION("GOOGLETRANSLATE(A7502, ""zh"", ""en"")"),"Over the past 30 years, a total of more than 51,000 mu of land has been reclaimed, more than 20,000 mu of arable land has been restored, more than 20,000 mu of mine subsidence area has been controlled, and more than 60,000 mu of forest has been planted ar"&amp;"ound the mining area. The Pingshuo mining area, which originally had gullies and loess everywhere and vegetation coverage of less than 10%, has been transformed into a green forest, improving the local climate. The vegetation coverage rate of the Pingshuo"&amp;" mining area with an area of ​​380 square kilometers has reached more than 50%, and the vegetation coverage rate of the spoil dump reclamation area has reached more than 95%.")</f>
        <v>Over the past 30 years, a total of more than 51,000 mu of land has been reclaimed, more than 20,000 mu of arable land has been restored, more than 20,000 mu of mine subsidence area has been controlled, and more than 60,000 mu of forest has been planted around the mining area. The Pingshuo mining area, which originally had gullies and loess everywhere and vegetation coverage of less than 10%, has been transformed into a green forest, improving the local climate. The vegetation coverage rate of the Pingshuo mining area with an area of ​​380 square kilometers has reached more than 50%, and the vegetation coverage rate of the spoil dump reclamation area has reached more than 95%.</v>
      </c>
      <c r="B7502" s="1" t="str">
        <f ca="1">IFERROR(__xludf.DUMMYFUNCTION("GOOGLETRANSLATE(A7502, ""zh"", ""en"")"),"Land use")</f>
        <v>Land use</v>
      </c>
      <c r="C7502" s="1" t="str">
        <f ca="1">IFERROR(__xludf.DUMMYFUNCTION("GOOGLETRANSLATE(E7502, ""zh"", ""en"")"),"Quantitative Text")</f>
        <v>Quantitative Text</v>
      </c>
    </row>
    <row r="7503" spans="1:3" ht="13" x14ac:dyDescent="0.15">
      <c r="A7503" s="1" t="str">
        <f ca="1">IFERROR(__xludf.DUMMYFUNCTION("GOOGLETRANSLATE(A7503, ""zh"", ""en"")"),"In addition, the company has taken measures such as greening, hardening and covering the exposed land in the factory area to prevent dust generation.")</f>
        <v>In addition, the company has taken measures such as greening, hardening and covering the exposed land in the factory area to prevent dust generation.</v>
      </c>
      <c r="B7503" s="1" t="str">
        <f ca="1">IFERROR(__xludf.DUMMYFUNCTION("GOOGLETRANSLATE(A7503, ""zh"", ""en"")"),"Land use")</f>
        <v>Land use</v>
      </c>
      <c r="C7503" s="1" t="str">
        <f ca="1">IFERROR(__xludf.DUMMYFUNCTION("GOOGLETRANSLATE(E7503, ""zh"", ""en"")"),"Qualitative text")</f>
        <v>Qualitative text</v>
      </c>
    </row>
    <row r="7504" spans="1:3" ht="13" x14ac:dyDescent="0.15">
      <c r="A7504" s="1" t="str">
        <f ca="1">IFERROR(__xludf.DUMMYFUNCTION("GOOGLETRANSLATE(A7504, ""zh"", ""en"")"),"Pingshuo Group has invested a total of 2.6 billion yuan, completed the greening of 20,000 mu of mining area and surrounding areas, and reclaimed 63,000 mu of land.")</f>
        <v>Pingshuo Group has invested a total of 2.6 billion yuan, completed the greening of 20,000 mu of mining area and surrounding areas, and reclaimed 63,000 mu of land.</v>
      </c>
      <c r="B7504" s="1" t="str">
        <f ca="1">IFERROR(__xludf.DUMMYFUNCTION("GOOGLETRANSLATE(A7504, ""zh"", ""en"")"),"Land use")</f>
        <v>Land use</v>
      </c>
      <c r="C7504" s="1" t="str">
        <f ca="1">IFERROR(__xludf.DUMMYFUNCTION("GOOGLETRANSLATE(E7504, ""zh"", ""en"")"),"Quantitative Text")</f>
        <v>Quantitative Text</v>
      </c>
    </row>
    <row r="7505" spans="1:3" ht="13" x14ac:dyDescent="0.15">
      <c r="A7505" s="1" t="str">
        <f ca="1">IFERROR(__xludf.DUMMYFUNCTION("GOOGLETRANSLATE(A7505, ""zh"", ""en"")"),"In particular, in the past four years, Pingshuo Group has completed the ecological restoration of 29,500 mu of reclaimed land, the East Open-pit Mine spoil dump, 13,800 mu of greening, and 920 mu of nursery planting. A total of more than 13.11 million see"&amp;"dlings of various sizes have been planted in the mining area.")</f>
        <v>In particular, in the past four years, Pingshuo Group has completed the ecological restoration of 29,500 mu of reclaimed land, the East Open-pit Mine spoil dump, 13,800 mu of greening, and 920 mu of nursery planting. A total of more than 13.11 million seedlings of various sizes have been planted in the mining area.</v>
      </c>
      <c r="B7505" s="1" t="str">
        <f ca="1">IFERROR(__xludf.DUMMYFUNCTION("GOOGLETRANSLATE(A7505, ""zh"", ""en"")"),"Land use")</f>
        <v>Land use</v>
      </c>
      <c r="C7505" s="1" t="str">
        <f ca="1">IFERROR(__xludf.DUMMYFUNCTION("GOOGLETRANSLATE(E7505, ""zh"", ""en"")"),"Quantitative Text")</f>
        <v>Quantitative Text</v>
      </c>
    </row>
    <row r="7506" spans="1:3" ht="13" x14ac:dyDescent="0.15">
      <c r="A7506" s="1" t="str">
        <f ca="1">IFERROR(__xludf.DUMMYFUNCTION("GOOGLETRANSLATE(A7506, ""zh"", ""en"")"),"Implement hierarchical and classified management of polluted land, establish a technical system, and gradually promote risk control.")</f>
        <v>Implement hierarchical and classified management of polluted land, establish a technical system, and gradually promote risk control.</v>
      </c>
      <c r="B7506" s="1" t="str">
        <f ca="1">IFERROR(__xludf.DUMMYFUNCTION("GOOGLETRANSLATE(A7506, ""zh"", ""en"")"),"Land use")</f>
        <v>Land use</v>
      </c>
      <c r="C7506" s="1" t="str">
        <f ca="1">IFERROR(__xludf.DUMMYFUNCTION("GOOGLETRANSLATE(E7506, ""zh"", ""en"")"),"Qualitative text")</f>
        <v>Qualitative text</v>
      </c>
    </row>
    <row r="7507" spans="1:3" ht="13" x14ac:dyDescent="0.15">
      <c r="A7507" s="1" t="str">
        <f ca="1">IFERROR(__xludf.DUMMYFUNCTION("GOOGLETRANSLATE(A7507, ""zh"", ""en"")"),"2 Every year on Arbor Day, we organize employees to plant trees to prevent soil erosion and reduce land degradation.")</f>
        <v>2 Every year on Arbor Day, we organize employees to plant trees to prevent soil erosion and reduce land degradation.</v>
      </c>
      <c r="B7507" s="1" t="str">
        <f ca="1">IFERROR(__xludf.DUMMYFUNCTION("GOOGLETRANSLATE(A7507, ""zh"", ""en"")"),"Land use")</f>
        <v>Land use</v>
      </c>
      <c r="C7507" s="1" t="str">
        <f ca="1">IFERROR(__xludf.DUMMYFUNCTION("GOOGLETRANSLATE(E7507, ""zh"", ""en"")"),"Qualitative text")</f>
        <v>Qualitative text</v>
      </c>
    </row>
    <row r="7508" spans="1:3" ht="13" x14ac:dyDescent="0.15">
      <c r="A7508" s="1" t="str">
        <f ca="1">IFERROR(__xludf.DUMMYFUNCTION("GOOGLETRANSLATE(A7508, ""zh"", ""en"")"),"The company will build some idle land into an ecological breeding base, share the development results with employees, actively create a pleasant, livable and suitable working and living environment, and build a harmonious and beautiful home through practi"&amp;"cal actions.")</f>
        <v>The company will build some idle land into an ecological breeding base, share the development results with employees, actively create a pleasant, livable and suitable working and living environment, and build a harmonious and beautiful home through practical actions.</v>
      </c>
      <c r="B7508" s="1" t="str">
        <f ca="1">IFERROR(__xludf.DUMMYFUNCTION("GOOGLETRANSLATE(A7508, ""zh"", ""en"")"),"Land use")</f>
        <v>Land use</v>
      </c>
      <c r="C7508" s="1" t="str">
        <f ca="1">IFERROR(__xludf.DUMMYFUNCTION("GOOGLETRANSLATE(E7508, ""zh"", ""en"")"),"Qualitative text")</f>
        <v>Qualitative text</v>
      </c>
    </row>
    <row r="7509" spans="1:3" ht="13" x14ac:dyDescent="0.15">
      <c r="A7509" s="1" t="str">
        <f ca="1">IFERROR(__xludf.DUMMYFUNCTION("GOOGLETRANSLATE(A7509, ""zh"", ""en"")"),"Guangdong Expressway strictly implements the ""Water and Soil Conservation Law of the People's Republic of China"", ""Environmental Impact Assessment Law of the People's Republic of China"" and other laws and regulations, and plans and utilizes land in a "&amp;"compliant and reasonable manner.")</f>
        <v>Guangdong Expressway strictly implements the "Water and Soil Conservation Law of the People's Republic of China", "Environmental Impact Assessment Law of the People's Republic of China" and other laws and regulations, and plans and utilizes land in a compliant and reasonable manner.</v>
      </c>
      <c r="B7509" s="1" t="str">
        <f ca="1">IFERROR(__xludf.DUMMYFUNCTION("GOOGLETRANSLATE(A7509, ""zh"", ""en"")"),"Land use")</f>
        <v>Land use</v>
      </c>
      <c r="C7509" s="1" t="str">
        <f ca="1">IFERROR(__xludf.DUMMYFUNCTION("GOOGLETRANSLATE(E7509, ""zh"", ""en"")"),"Qualitative text")</f>
        <v>Qualitative text</v>
      </c>
    </row>
    <row r="7510" spans="1:3" ht="13" x14ac:dyDescent="0.15">
      <c r="A7510" s="1" t="str">
        <f ca="1">IFERROR(__xludf.DUMMYFUNCTION("GOOGLETRANSLATE(A7510, ""zh"", ""en"")"),"Reduce the impact of infrastructure projects on the ecological environment from the source through scientific, systematic and reasonable design of land use and construction plans")</f>
        <v>Reduce the impact of infrastructure projects on the ecological environment from the source through scientific, systematic and reasonable design of land use and construction plans</v>
      </c>
      <c r="B7510" s="1" t="str">
        <f ca="1">IFERROR(__xludf.DUMMYFUNCTION("GOOGLETRANSLATE(A7510, ""zh"", ""en"")"),"Land use")</f>
        <v>Land use</v>
      </c>
      <c r="C7510" s="1" t="str">
        <f ca="1">IFERROR(__xludf.DUMMYFUNCTION("GOOGLETRANSLATE(E7510, ""zh"", ""en"")"),"Qualitative text")</f>
        <v>Qualitative text</v>
      </c>
    </row>
    <row r="7511" spans="1:3" ht="13" x14ac:dyDescent="0.15">
      <c r="A7511" s="1" t="str">
        <f ca="1">IFERROR(__xludf.DUMMYFUNCTION("GOOGLETRANSLATE(A7511, ""zh"", ""en"")"),"Protect, restore and promote sustainable use of terrestrial ecosystems, sustainably manage forests, combat desertification, and halt and reverse land degradation.")</f>
        <v>Protect, restore and promote sustainable use of terrestrial ecosystems, sustainably manage forests, combat desertification, and halt and reverse land degradation.</v>
      </c>
      <c r="B7511" s="1" t="str">
        <f ca="1">IFERROR(__xludf.DUMMYFUNCTION("GOOGLETRANSLATE(A7511, ""zh"", ""en"")"),"Land use")</f>
        <v>Land use</v>
      </c>
      <c r="C7511" s="1" t="str">
        <f ca="1">IFERROR(__xludf.DUMMYFUNCTION("GOOGLETRANSLATE(E7511, ""zh"", ""en"")"),"Qualitative text")</f>
        <v>Qualitative text</v>
      </c>
    </row>
    <row r="7512" spans="1:3" ht="13" x14ac:dyDescent="0.15">
      <c r="A7512" s="1" t="str">
        <f ca="1">IFERROR(__xludf.DUMMYFUNCTION("GOOGLETRANSLATE(A7512, ""zh"", ""en"")"),"In 2021, the company organized four companies, including Shanghai Jincun Pharmaceutical Co., Ltd., Shanghai Pharma First Biochemical, Shanghai Pharma Xinya, and Shanghai Pharma Sinopharm, to prepare a formal report on the carbon emissions status of Shangh"&amp;"ai's carbon emissions trading pilot enterprises and a 2021 monitoring plan, and submitted it to the Shanghai Municipal Ecology and Environment Bureau.")</f>
        <v>In 2021, the company organized four companies, including Shanghai Jincun Pharmaceutical Co., Ltd., Shanghai Pharma First Biochemical, Shanghai Pharma Xinya, and Shanghai Pharma Sinopharm, to prepare a formal report on the carbon emissions status of Shanghai's carbon emissions trading pilot enterprises and a 2021 monitoring plan, and submitted it to the Shanghai Municipal Ecology and Environment Bureau.</v>
      </c>
      <c r="B7512" s="1" t="str">
        <f ca="1">IFERROR(__xludf.DUMMYFUNCTION("GOOGLETRANSLATE(A7512, ""zh"", ""en"")"),"carbon emissions")</f>
        <v>carbon emissions</v>
      </c>
      <c r="C7512" s="1" t="str">
        <f ca="1">IFERROR(__xludf.DUMMYFUNCTION("GOOGLETRANSLATE(E7512, ""zh"", ""en"")"),"Qualitative text")</f>
        <v>Qualitative text</v>
      </c>
    </row>
    <row r="7513" spans="1:3" ht="13" x14ac:dyDescent="0.15">
      <c r="A7513" s="1" t="str">
        <f ca="1">IFERROR(__xludf.DUMMYFUNCTION("GOOGLETRANSLATE(A7513, ""zh"", ""en"")"),"In 2021, the company won six Anhui Science and Technology Progress Awards, three of which were related to low-carbon and energy-saving technologies in buildings.")</f>
        <v>In 2021, the company won six Anhui Science and Technology Progress Awards, three of which were related to low-carbon and energy-saving technologies in buildings.</v>
      </c>
      <c r="B7513" s="1" t="str">
        <f ca="1">IFERROR(__xludf.DUMMYFUNCTION("GOOGLETRANSLATE(A7513, ""zh"", ""en"")"),"carbon emissions")</f>
        <v>carbon emissions</v>
      </c>
      <c r="C7513" s="1" t="str">
        <f ca="1">IFERROR(__xludf.DUMMYFUNCTION("GOOGLETRANSLATE(E7513, ""zh"", ""en"")"),"Quantitative Text")</f>
        <v>Quantitative Text</v>
      </c>
    </row>
    <row r="7514" spans="1:3" ht="13" x14ac:dyDescent="0.15">
      <c r="A7514" s="1" t="str">
        <f ca="1">IFERROR(__xludf.DUMMYFUNCTION("GOOGLETRANSLATE(A7514, ""zh"", ""en"")"),"In 2022, Shengtun Mining's total greenhouse gas emissions under Scope 1 and Scope 2 were 4,799,826.81 tons. Of this, direct greenhouse gas emissions within the control of Shengtun Mining (i.e., Scope 1) were 4,029,984.70 tons, including stationary combust"&amp;"ion sources (free boilers, diesel generators, etc.), process emissions (ammonia carbonate calcination, etc.), and mobile emissions (commercial vehicles and trucks of the Group and the Company).")</f>
        <v>In 2022, Shengtun Mining's total greenhouse gas emissions under Scope 1 and Scope 2 were 4,799,826.81 tons. Of this, direct greenhouse gas emissions within the control of Shengtun Mining (i.e., Scope 1) were 4,029,984.70 tons, including stationary combustion sources (free boilers, diesel generators, etc.), process emissions (ammonia carbonate calcination, etc.), and mobile emissions (commercial vehicles and trucks of the Group and the Company).</v>
      </c>
      <c r="B7514" s="1" t="str">
        <f ca="1">IFERROR(__xludf.DUMMYFUNCTION("GOOGLETRANSLATE(A7514, ""zh"", ""en"")"),"carbon emissions")</f>
        <v>carbon emissions</v>
      </c>
      <c r="C7514" s="1" t="str">
        <f ca="1">IFERROR(__xludf.DUMMYFUNCTION("GOOGLETRANSLATE(E7514, ""zh"", ""en"")"),"Quantitative Text")</f>
        <v>Quantitative Text</v>
      </c>
    </row>
    <row r="7515" spans="1:3" ht="13" x14ac:dyDescent="0.15">
      <c r="A7515" s="1" t="str">
        <f ca="1">IFERROR(__xludf.DUMMYFUNCTION("GOOGLETRANSLATE(A7515, ""zh"", ""en"")"),"Baofeng Energy actively implements the national ""dual carbon"" strategy, identifies and responds to climate change-related risks and opportunities, steadily advances greenhouse gas emission reduction actions, and strives to make greater contributions in "&amp;"practicing green and low-carbon development.")</f>
        <v>Baofeng Energy actively implements the national "dual carbon" strategy, identifies and responds to climate change-related risks and opportunities, steadily advances greenhouse gas emission reduction actions, and strives to make greater contributions in practicing green and low-carbon development.</v>
      </c>
      <c r="B7515" s="1" t="str">
        <f ca="1">IFERROR(__xludf.DUMMYFUNCTION("GOOGLETRANSLATE(A7515, ""zh"", ""en"")"),"carbon emissions")</f>
        <v>carbon emissions</v>
      </c>
      <c r="C7515" s="1" t="str">
        <f ca="1">IFERROR(__xludf.DUMMYFUNCTION("GOOGLETRANSLATE(E7515, ""zh"", ""en"")"),"Qualitative text")</f>
        <v>Qualitative text</v>
      </c>
    </row>
    <row r="7516" spans="1:3" ht="13" x14ac:dyDescent="0.15">
      <c r="A7516" s="1" t="str">
        <f ca="1">IFERROR(__xludf.DUMMYFUNCTION("GOOGLETRANSLATE(A7516, ""zh"", ""en"")"),"We fully identify the links in the industrial process that produce greenhouse gases, implement 85 low-carbon actions and environmental protection transformation projects through measures such as raw material substitution, improved production processes, an"&amp;"d improved equipment use, actively control greenhouse gas emissions in industrial processes, and achieve green and low-carbon development.")</f>
        <v>We fully identify the links in the industrial process that produce greenhouse gases, implement 85 low-carbon actions and environmental protection transformation projects through measures such as raw material substitution, improved production processes, and improved equipment use, actively control greenhouse gas emissions in industrial processes, and achieve green and low-carbon development.</v>
      </c>
      <c r="B7516" s="1" t="str">
        <f ca="1">IFERROR(__xludf.DUMMYFUNCTION("GOOGLETRANSLATE(A7516, ""zh"", ""en"")"),"carbon emissions")</f>
        <v>carbon emissions</v>
      </c>
      <c r="C7516" s="1" t="str">
        <f ca="1">IFERROR(__xludf.DUMMYFUNCTION("GOOGLETRANSLATE(E7516, ""zh"", ""en"")"),"Qualitative text")</f>
        <v>Qualitative text</v>
      </c>
    </row>
    <row r="7517" spans="1:3" ht="13" x14ac:dyDescent="0.15">
      <c r="A7517" s="1" t="str">
        <f ca="1">IFERROR(__xludf.DUMMYFUNCTION("GOOGLETRANSLATE(A7517, ""zh"", ""en"")"),"Low-carbon and environmental protection are the only way to achieve sustainable development and an important driving force for high-quality development of enterprises.")</f>
        <v>Low-carbon and environmental protection are the only way to achieve sustainable development and an important driving force for high-quality development of enterprises.</v>
      </c>
      <c r="B7517" s="1" t="str">
        <f ca="1">IFERROR(__xludf.DUMMYFUNCTION("GOOGLETRANSLATE(A7517, ""zh"", ""en"")"),"carbon emissions")</f>
        <v>carbon emissions</v>
      </c>
      <c r="C7517" s="1" t="str">
        <f ca="1">IFERROR(__xludf.DUMMYFUNCTION("GOOGLETRANSLATE(E7517, ""zh"", ""en"")"),"Qualitative text")</f>
        <v>Qualitative text</v>
      </c>
    </row>
    <row r="7518" spans="1:3" ht="13" x14ac:dyDescent="0.15">
      <c r="A7518" s="1" t="str">
        <f ca="1">IFERROR(__xludf.DUMMYFUNCTION("GOOGLETRANSLATE(A7518, ""zh"", ""en"")"),"The carbon footprint of the main product, kaolin concentrate, is verified, covering the stages from the acquisition and transportation of raw materials and energy, product production to product delivery. This provides quantitative support for enterprises "&amp;"to establish product carbon reduction paths and optimize existing process flows, promotes enterprises to reduce greenhouse gas emissions, and helps achieve the ""dual carbon"" goals.")</f>
        <v>The carbon footprint of the main product, kaolin concentrate, is verified, covering the stages from the acquisition and transportation of raw materials and energy, product production to product delivery. This provides quantitative support for enterprises to establish product carbon reduction paths and optimize existing process flows, promotes enterprises to reduce greenhouse gas emissions, and helps achieve the "dual carbon" goals.</v>
      </c>
      <c r="B7518" s="1" t="str">
        <f ca="1">IFERROR(__xludf.DUMMYFUNCTION("GOOGLETRANSLATE(A7518, ""zh"", ""en"")"),"carbon emissions")</f>
        <v>carbon emissions</v>
      </c>
      <c r="C7518" s="1" t="str">
        <f ca="1">IFERROR(__xludf.DUMMYFUNCTION("GOOGLETRANSLATE(E7518, ""zh"", ""en"")"),"Qualitative text")</f>
        <v>Qualitative text</v>
      </c>
    </row>
    <row r="7519" spans="1:3" ht="13" x14ac:dyDescent="0.15">
      <c r="A7519" s="1" t="str">
        <f ca="1">IFERROR(__xludf.DUMMYFUNCTION("GOOGLETRANSLATE(A7519, ""zh"", ""en"")"),"This project is the first carbon dioxide capture and ammonium carbonate carbon sequestration project in the Pearl River Delta region and the first CCUS project in the domestic printing and dyeing industry. It has an annual flue gas carbon dioxide capture "&amp;"and sequestration capacity of 10,000 tons, and can achieve a carbon dioxide capture rate greater than 90% and a carbon dioxide capture concentration greater than 99%. The annual reduction in carbon dioxide emissions is equivalent to planting about 90,000 "&amp;"trees. It has significant environmental and social benefits. The overall performance indicators have reached the international advanced level and have made a positive contribution to my country's ""dual carbon"" strategy.")</f>
        <v>This project is the first carbon dioxide capture and ammonium carbonate carbon sequestration project in the Pearl River Delta region and the first CCUS project in the domestic printing and dyeing industry. It has an annual flue gas carbon dioxide capture and sequestration capacity of 10,000 tons, and can achieve a carbon dioxide capture rate greater than 90% and a carbon dioxide capture concentration greater than 99%. The annual reduction in carbon dioxide emissions is equivalent to planting about 90,000 trees. It has significant environmental and social benefits. The overall performance indicators have reached the international advanced level and have made a positive contribution to my country's "dual carbon" strategy.</v>
      </c>
      <c r="B7519" s="1" t="str">
        <f ca="1">IFERROR(__xludf.DUMMYFUNCTION("GOOGLETRANSLATE(A7519, ""zh"", ""en"")"),"carbon emissions")</f>
        <v>carbon emissions</v>
      </c>
      <c r="C7519" s="1" t="str">
        <f ca="1">IFERROR(__xludf.DUMMYFUNCTION("GOOGLETRANSLATE(E7519, ""zh"", ""en"")"),"Quantitative Text")</f>
        <v>Quantitative Text</v>
      </c>
    </row>
    <row r="7520" spans="1:3" ht="13" x14ac:dyDescent="0.15">
      <c r="A7520" s="1" t="str">
        <f ca="1">IFERROR(__xludf.DUMMYFUNCTION("GOOGLETRANSLATE(A7520, ""zh"", ""en"")"),"Improving transportation methods can reduce total carbon emissions.")</f>
        <v>Improving transportation methods can reduce total carbon emissions.</v>
      </c>
      <c r="B7520" s="1" t="str">
        <f ca="1">IFERROR(__xludf.DUMMYFUNCTION("GOOGLETRANSLATE(A7520, ""zh"", ""en"")"),"carbon emissions")</f>
        <v>carbon emissions</v>
      </c>
      <c r="C7520" s="1" t="str">
        <f ca="1">IFERROR(__xludf.DUMMYFUNCTION("GOOGLETRANSLATE(E7520, ""zh"", ""en"")"),"Qualitative text")</f>
        <v>Qualitative text</v>
      </c>
    </row>
    <row r="7521" spans="1:3" ht="13" x14ac:dyDescent="0.15">
      <c r="A7521" s="1" t="str">
        <f ca="1">IFERROR(__xludf.DUMMYFUNCTION("GOOGLETRANSLATE(A7521, ""zh"", ""en"")"),"The company continues to innovate its energy efficiency management model, carries out transformation of high-energy-consuming equipment, and actively responds to the national carbon peak and carbon neutrality policy guidance.")</f>
        <v>The company continues to innovate its energy efficiency management model, carries out transformation of high-energy-consuming equipment, and actively responds to the national carbon peak and carbon neutrality policy guidance.</v>
      </c>
      <c r="B7521" s="1" t="str">
        <f ca="1">IFERROR(__xludf.DUMMYFUNCTION("GOOGLETRANSLATE(A7521, ""zh"", ""en"")"),"carbon emissions")</f>
        <v>carbon emissions</v>
      </c>
      <c r="C7521" s="1" t="str">
        <f ca="1">IFERROR(__xludf.DUMMYFUNCTION("GOOGLETRANSLATE(E7521, ""zh"", ""en"")"),"Qualitative text")</f>
        <v>Qualitative text</v>
      </c>
    </row>
    <row r="7522" spans="1:3" ht="13" x14ac:dyDescent="0.15">
      <c r="A7522" s="1" t="str">
        <f ca="1">IFERROR(__xludf.DUMMYFUNCTION("GOOGLETRANSLATE(A7522, ""zh"", ""en"")"),"The company continues to strengthen carbon asset management, establish and improve a carbon management system that is internally and externally linked and effective in reducing and controlling emissions; coordinate and promote research on energy conservat"&amp;"ion and carbon reduction, online carbon emission monitoring technology, CCUS, carbon trading, etc., to reduce greenhouse gas emissions in all aspects.")</f>
        <v>The company continues to strengthen carbon asset management, establish and improve a carbon management system that is internally and externally linked and effective in reducing and controlling emissions; coordinate and promote research on energy conservation and carbon reduction, online carbon emission monitoring technology, CCUS, carbon trading, etc., to reduce greenhouse gas emissions in all aspects.</v>
      </c>
      <c r="B7522" s="1" t="str">
        <f ca="1">IFERROR(__xludf.DUMMYFUNCTION("GOOGLETRANSLATE(A7522, ""zh"", ""en"")"),"carbon emissions")</f>
        <v>carbon emissions</v>
      </c>
      <c r="C7522" s="1" t="str">
        <f ca="1">IFERROR(__xludf.DUMMYFUNCTION("GOOGLETRANSLATE(E7522, ""zh"", ""en"")"),"Qualitative text")</f>
        <v>Qualitative text</v>
      </c>
    </row>
    <row r="7523" spans="1:3" ht="13" x14ac:dyDescent="0.15">
      <c r="A7523" s="1" t="str">
        <f ca="1">IFERROR(__xludf.DUMMYFUNCTION("GOOGLETRANSLATE(A7523, ""zh"", ""en"")"),"The company has issued the ""Interim Measures for Carbon Emissions and Carbon Asset Management"" to standardize the construction of a three-level carbon asset management system of ""company headquarters-second-level companies-factories/mines"", effectivel"&amp;"y prevent and control carbon trading and carbon quota compliance risks, promote greenhouse gas emission reduction, and promote the company's green and low-carbon development.")</f>
        <v>The company has issued the "Interim Measures for Carbon Emissions and Carbon Asset Management" to standardize the construction of a three-level carbon asset management system of "company headquarters-second-level companies-factories/mines", effectively prevent and control carbon trading and carbon quota compliance risks, promote greenhouse gas emission reduction, and promote the company's green and low-carbon development.</v>
      </c>
      <c r="B7523" s="1" t="str">
        <f ca="1">IFERROR(__xludf.DUMMYFUNCTION("GOOGLETRANSLATE(A7523, ""zh"", ""en"")"),"carbon emissions")</f>
        <v>carbon emissions</v>
      </c>
      <c r="C7523" s="1" t="str">
        <f ca="1">IFERROR(__xludf.DUMMYFUNCTION("GOOGLETRANSLATE(E7523, ""zh"", ""en"")"),"Qualitative text")</f>
        <v>Qualitative text</v>
      </c>
    </row>
    <row r="7524" spans="1:3" ht="13" x14ac:dyDescent="0.15">
      <c r="A7524" s="1" t="str">
        <f ca="1">IFERROR(__xludf.DUMMYFUNCTION("GOOGLETRANSLATE(A7524, ""zh"", ""en"")"),"Zhejiang Province, where the company's main operations are located, also issued the ""Implementation Opinions of the Zhejiang Provincial Party Committee and the Provincial Government on Fully, Accurately and Comprehensively Implementing the New Developmen"&amp;"t Concept and Doing a Good Job in Carbon Peaking and Carbon Neutrality"" in 2022, which clearly proposed that by 2060, the proportion of non-fossil energy consumption will reach more than 80%, and the carbon neutrality goal will be successfully achieved.")</f>
        <v>Zhejiang Province, where the company's main operations are located, also issued the "Implementation Opinions of the Zhejiang Provincial Party Committee and the Provincial Government on Fully, Accurately and Comprehensively Implementing the New Development Concept and Doing a Good Job in Carbon Peaking and Carbon Neutrality" in 2022, which clearly proposed that by 2060, the proportion of non-fossil energy consumption will reach more than 80%, and the carbon neutrality goal will be successfully achieved.</v>
      </c>
      <c r="B7524" s="1" t="str">
        <f ca="1">IFERROR(__xludf.DUMMYFUNCTION("GOOGLETRANSLATE(A7524, ""zh"", ""en"")"),"carbon emissions")</f>
        <v>carbon emissions</v>
      </c>
      <c r="C7524" s="1" t="str">
        <f ca="1">IFERROR(__xludf.DUMMYFUNCTION("GOOGLETRANSLATE(E7524, ""zh"", ""en"")"),"Quantitative Text")</f>
        <v>Quantitative Text</v>
      </c>
    </row>
    <row r="7525" spans="1:3" ht="13" x14ac:dyDescent="0.15">
      <c r="A7525" s="1" t="str">
        <f ca="1">IFERROR(__xludf.DUMMYFUNCTION("GOOGLETRANSLATE(A7525, ""zh"", ""en"")"),"Strengthen low-carbon technological transformation and process emission reduction optimization, and gradually expand the zero-carbon factory pilot work.")</f>
        <v>Strengthen low-carbon technological transformation and process emission reduction optimization, and gradually expand the zero-carbon factory pilot work.</v>
      </c>
      <c r="B7525" s="1" t="str">
        <f ca="1">IFERROR(__xludf.DUMMYFUNCTION("GOOGLETRANSLATE(A7525, ""zh"", ""en"")"),"carbon emissions")</f>
        <v>carbon emissions</v>
      </c>
      <c r="C7525" s="1" t="str">
        <f ca="1">IFERROR(__xludf.DUMMYFUNCTION("GOOGLETRANSLATE(E7525, ""zh"", ""en"")"),"Qualitative text")</f>
        <v>Qualitative text</v>
      </c>
    </row>
    <row r="7526" spans="1:3" ht="13" x14ac:dyDescent="0.15">
      <c r="A7526" s="1" t="str">
        <f ca="1">IFERROR(__xludf.DUMMYFUNCTION("GOOGLETRANSLATE(A7526, ""zh"", ""en"")"),"According to statistics, the company's total carbon emissions from power and chemical sectors in 2020 were approximately 33.5 million tons, with a carbon emission intensity of 18.12 tons per 10,000 yuan.")</f>
        <v>According to statistics, the company's total carbon emissions from power and chemical sectors in 2020 were approximately 33.5 million tons, with a carbon emission intensity of 18.12 tons per 10,000 yuan.</v>
      </c>
      <c r="B7526" s="1" t="str">
        <f ca="1">IFERROR(__xludf.DUMMYFUNCTION("GOOGLETRANSLATE(A7526, ""zh"", ""en"")"),"carbon emissions")</f>
        <v>carbon emissions</v>
      </c>
      <c r="C7526" s="1" t="str">
        <f ca="1">IFERROR(__xludf.DUMMYFUNCTION("GOOGLETRANSLATE(E7526, ""zh"", ""en"")"),"Quantitative Text")</f>
        <v>Quantitative Text</v>
      </c>
    </row>
    <row r="7527" spans="1:3" ht="13" x14ac:dyDescent="0.15">
      <c r="A7527" s="1" t="str">
        <f ca="1">IFERROR(__xludf.DUMMYFUNCTION("GOOGLETRANSLATE(A7527, ""zh"", ""en"")"),"Carry out carbon inventory work and other work in accordance with the requirements of ISO14064-1.")</f>
        <v>Carry out carbon inventory work and other work in accordance with the requirements of ISO14064-1.</v>
      </c>
      <c r="B7527" s="1" t="str">
        <f ca="1">IFERROR(__xludf.DUMMYFUNCTION("GOOGLETRANSLATE(A7527, ""zh"", ""en"")"),"carbon emissions")</f>
        <v>carbon emissions</v>
      </c>
      <c r="C7527" s="1" t="str">
        <f ca="1">IFERROR(__xludf.DUMMYFUNCTION("GOOGLETRANSLATE(E7527, ""zh"", ""en"")"),"Qualitative text")</f>
        <v>Qualitative text</v>
      </c>
    </row>
    <row r="7528" spans="1:3" ht="13" x14ac:dyDescent="0.15">
      <c r="A7528" s="1" t="str">
        <f ca="1">IFERROR(__xludf.DUMMYFUNCTION("GOOGLETRANSLATE(A7528, ""zh"", ""en"")"),"Greenhouse gas emissions were investigated and, through calculation of the annual usage of electricity, gasoline, kerosene, diesel and natural gas and the relevant emission factor coefficients, the total annual greenhouse gas emissions were calculated to "&amp;"be 17,402.65 tons of carbon dioxide equivalent.")</f>
        <v>Greenhouse gas emissions were investigated and, through calculation of the annual usage of electricity, gasoline, kerosene, diesel and natural gas and the relevant emission factor coefficients, the total annual greenhouse gas emissions were calculated to be 17,402.65 tons of carbon dioxide equivalent.</v>
      </c>
      <c r="B7528" s="1" t="str">
        <f ca="1">IFERROR(__xludf.DUMMYFUNCTION("GOOGLETRANSLATE(A7528, ""zh"", ""en"")"),"carbon emissions")</f>
        <v>carbon emissions</v>
      </c>
      <c r="C7528" s="1" t="str">
        <f ca="1">IFERROR(__xludf.DUMMYFUNCTION("GOOGLETRANSLATE(E7528, ""zh"", ""en"")"),"Quantitative Text")</f>
        <v>Quantitative Text</v>
      </c>
    </row>
    <row r="7529" spans="1:3" ht="13" x14ac:dyDescent="0.15">
      <c r="A7529" s="1" t="str">
        <f ca="1">IFERROR(__xludf.DUMMYFUNCTION("GOOGLETRANSLATE(A7529, ""zh"", ""en"")"),"The carbon sinks generated by the biological isolation zone and the carbon emission reductions generated by the remaining photovoltaic power grid are used to offset the carbon emissions that cannot be reduced, ensuring the achievement of the ""carbon neut"&amp;"rality"" goal.")</f>
        <v>The carbon sinks generated by the biological isolation zone and the carbon emission reductions generated by the remaining photovoltaic power grid are used to offset the carbon emissions that cannot be reduced, ensuring the achievement of the "carbon neutrality" goal.</v>
      </c>
      <c r="B7529" s="1" t="str">
        <f ca="1">IFERROR(__xludf.DUMMYFUNCTION("GOOGLETRANSLATE(A7529, ""zh"", ""en"")"),"carbon emissions")</f>
        <v>carbon emissions</v>
      </c>
      <c r="C7529" s="1" t="str">
        <f ca="1">IFERROR(__xludf.DUMMYFUNCTION("GOOGLETRANSLATE(E7529, ""zh"", ""en"")"),"Qualitative text")</f>
        <v>Qualitative text</v>
      </c>
    </row>
    <row r="7530" spans="1:3" ht="13" x14ac:dyDescent="0.15">
      <c r="A7530" s="1" t="str">
        <f ca="1">IFERROR(__xludf.DUMMYFUNCTION("GOOGLETRANSLATE(A7530, ""zh"", ""en"")"),"Improve low-carbon awareness and low-carbon management skills, strengthen low-carbon basic capacity building, evaluate the progress of suppliers' carbon emission reduction practices, and help suppliers improve carbon emission management.")</f>
        <v>Improve low-carbon awareness and low-carbon management skills, strengthen low-carbon basic capacity building, evaluate the progress of suppliers' carbon emission reduction practices, and help suppliers improve carbon emission management.</v>
      </c>
      <c r="B7530" s="1" t="str">
        <f ca="1">IFERROR(__xludf.DUMMYFUNCTION("GOOGLETRANSLATE(A7530, ""zh"", ""en"")"),"carbon emissions")</f>
        <v>carbon emissions</v>
      </c>
      <c r="C7530" s="1" t="str">
        <f ca="1">IFERROR(__xludf.DUMMYFUNCTION("GOOGLETRANSLATE(E7530, ""zh"", ""en"")"),"Qualitative text")</f>
        <v>Qualitative text</v>
      </c>
    </row>
    <row r="7531" spans="1:3" ht="13" x14ac:dyDescent="0.15">
      <c r="A7531" s="1" t="str">
        <f ca="1">IFERROR(__xludf.DUMMYFUNCTION("GOOGLETRANSLATE(A7531, ""zh"", ""en"")"),"In order to actively respond to climate change, the company has formulated the ""14th Five-Year Plan"" energy conservation and carbon reduction goals in line with the national development plan, established an energy conservation and emission reduction org"&amp;"anization and an energy conservation assessment target responsibility system, equipped full-time and part-time energy conservation management personnel, and maintained a complete record of energy conservation statistical data and a full range of measuring"&amp;" instruments.")</f>
        <v>In order to actively respond to climate change, the company has formulated the "14th Five-Year Plan" energy conservation and carbon reduction goals in line with the national development plan, established an energy conservation and emission reduction organization and an energy conservation assessment target responsibility system, equipped full-time and part-time energy conservation management personnel, and maintained a complete record of energy conservation statistical data and a full range of measuring instruments.</v>
      </c>
      <c r="B7531" s="1" t="str">
        <f ca="1">IFERROR(__xludf.DUMMYFUNCTION("GOOGLETRANSLATE(A7531, ""zh"", ""en"")"),"carbon emissions")</f>
        <v>carbon emissions</v>
      </c>
      <c r="C7531" s="1" t="str">
        <f ca="1">IFERROR(__xludf.DUMMYFUNCTION("GOOGLETRANSLATE(E7531, ""zh"", ""en"")"),"Qualitative text")</f>
        <v>Qualitative text</v>
      </c>
    </row>
    <row r="7532" spans="1:3" ht="13" x14ac:dyDescent="0.15">
      <c r="A7532" s="1" t="str">
        <f ca="1">IFERROR(__xludf.DUMMYFUNCTION("GOOGLETRANSLATE(A7532, ""zh"", ""en"")"),"We have set the ""35·50"" carbon neutrality goal, established a leadership and promotion organization, built a ""1+10+N"" dual-carbon action system, improved the carbon emission accounting system, launched the ""CRRC Energy Carbon Intelligent Cloud Manage"&amp;"ment and Control Platform"", and built a full-level carbon accounting team.")</f>
        <v>We have set the "35·50" carbon neutrality goal, established a leadership and promotion organization, built a "1+10+N" dual-carbon action system, improved the carbon emission accounting system, launched the "CRRC Energy Carbon Intelligent Cloud Management and Control Platform", and built a full-level carbon accounting team.</v>
      </c>
      <c r="B7532" s="1" t="str">
        <f ca="1">IFERROR(__xludf.DUMMYFUNCTION("GOOGLETRANSLATE(A7532, ""zh"", ""en"")"),"carbon emissions")</f>
        <v>carbon emissions</v>
      </c>
      <c r="C7532" s="1" t="str">
        <f ca="1">IFERROR(__xludf.DUMMYFUNCTION("GOOGLETRANSLATE(E7532, ""zh"", ""en"")"),"Qualitative text")</f>
        <v>Qualitative text</v>
      </c>
    </row>
    <row r="7533" spans="1:3" ht="13" x14ac:dyDescent="0.15">
      <c r="A7533" s="1" t="str">
        <f ca="1">IFERROR(__xludf.DUMMYFUNCTION("GOOGLETRANSLATE(A7533, ""zh"", ""en"")"),"At the same time, under the EPC cooperation business, the company delivered a 1.52GW photovoltaic power station to Shanghai Yuanye, and the power generation is equivalent to reducing carbon dioxide emissions by approximately 1.6063 million tons.")</f>
        <v>At the same time, under the EPC cooperation business, the company delivered a 1.52GW photovoltaic power station to Shanghai Yuanye, and the power generation is equivalent to reducing carbon dioxide emissions by approximately 1.6063 million tons.</v>
      </c>
      <c r="B7533" s="1" t="str">
        <f ca="1">IFERROR(__xludf.DUMMYFUNCTION("GOOGLETRANSLATE(A7533, ""zh"", ""en"")"),"carbon emissions")</f>
        <v>carbon emissions</v>
      </c>
      <c r="C7533" s="1" t="str">
        <f ca="1">IFERROR(__xludf.DUMMYFUNCTION("GOOGLETRANSLATE(E7533, ""zh"", ""en"")"),"Quantitative Text")</f>
        <v>Quantitative Text</v>
      </c>
    </row>
    <row r="7534" spans="1:3" ht="13" x14ac:dyDescent="0.15">
      <c r="A7534" s="1" t="str">
        <f ca="1">IFERROR(__xludf.DUMMYFUNCTION("GOOGLETRANSLATE(A7534, ""zh"", ""en"")"),"Focusing on sustainable development, SUPCON Technology is taking active actions and striving to contribute its wisdom and strength to the implementation of the ""dual carbon"" goals and response to global climate change.")</f>
        <v>Focusing on sustainable development, SUPCON Technology is taking active actions and striving to contribute its wisdom and strength to the implementation of the "dual carbon" goals and response to global climate change.</v>
      </c>
      <c r="B7534" s="1" t="str">
        <f ca="1">IFERROR(__xludf.DUMMYFUNCTION("GOOGLETRANSLATE(A7534, ""zh"", ""en"")"),"carbon emissions")</f>
        <v>carbon emissions</v>
      </c>
      <c r="C7534" s="1" t="str">
        <f ca="1">IFERROR(__xludf.DUMMYFUNCTION("GOOGLETRANSLATE(E7534, ""zh"", ""en"")"),"Qualitative text")</f>
        <v>Qualitative text</v>
      </c>
    </row>
    <row r="7535" spans="1:3" ht="13" x14ac:dyDescent="0.15">
      <c r="A7535" s="1" t="str">
        <f ca="1">IFERROR(__xludf.DUMMYFUNCTION("GOOGLETRANSLATE(A7535, ""zh"", ""en"")"),"Sinopec Capital actively participates in the construction of the national carbon market, fully leverages the role of the financial management and control platform, and combines the business advantages of each member unit to provide differentiated carbon f"&amp;"inancial services to the carbon market and trading entities.")</f>
        <v>Sinopec Capital actively participates in the construction of the national carbon market, fully leverages the role of the financial management and control platform, and combines the business advantages of each member unit to provide differentiated carbon financial services to the carbon market and trading entities.</v>
      </c>
      <c r="B7535" s="1" t="str">
        <f ca="1">IFERROR(__xludf.DUMMYFUNCTION("GOOGLETRANSLATE(A7535, ""zh"", ""en"")"),"carbon emissions")</f>
        <v>carbon emissions</v>
      </c>
      <c r="C7535" s="1" t="str">
        <f ca="1">IFERROR(__xludf.DUMMYFUNCTION("GOOGLETRANSLATE(E7535, ""zh"", ""en"")"),"Qualitative text")</f>
        <v>Qualitative text</v>
      </c>
    </row>
    <row r="7536" spans="1:3" ht="13" x14ac:dyDescent="0.15">
      <c r="A7536" s="1" t="str">
        <f ca="1">IFERROR(__xludf.DUMMYFUNCTION("GOOGLETRANSLATE(A7536, ""zh"", ""en"")"),"In 2022, the company will achieve carbon neutrality by purchasing carbon offsets based on energy conservation and consumption reduction and the use of green electricity.")</f>
        <v>In 2022, the company will achieve carbon neutrality by purchasing carbon offsets based on energy conservation and consumption reduction and the use of green electricity.</v>
      </c>
      <c r="B7536" s="1" t="str">
        <f ca="1">IFERROR(__xludf.DUMMYFUNCTION("GOOGLETRANSLATE(A7536, ""zh"", ""en"")"),"carbon emissions")</f>
        <v>carbon emissions</v>
      </c>
      <c r="C7536" s="1" t="str">
        <f ca="1">IFERROR(__xludf.DUMMYFUNCTION("GOOGLETRANSLATE(E7536, ""zh"", ""en"")"),"Qualitative text")</f>
        <v>Qualitative text</v>
      </c>
    </row>
    <row r="7537" spans="1:3" ht="13" x14ac:dyDescent="0.15">
      <c r="A7537" s="1" t="str">
        <f ca="1">IFERROR(__xludf.DUMMYFUNCTION("GOOGLETRANSLATE(A7537, ""zh"", ""en"")"),"The company has deployed wind power, photovoltaic power, and smart microgrids for the manufacturing base, creating a ""three carbon reduction + one platform"" and reducing carbon emissions on the energy consumption, supply, and transaction sides through a"&amp;" digital energy and carbon management platform, achieving energy management and carbon emission management throughout the entire process.")</f>
        <v>The company has deployed wind power, photovoltaic power, and smart microgrids for the manufacturing base, creating a "three carbon reduction + one platform" and reducing carbon emissions on the energy consumption, supply, and transaction sides through a digital energy and carbon management platform, achieving energy management and carbon emission management throughout the entire process.</v>
      </c>
      <c r="B7537" s="1" t="str">
        <f ca="1">IFERROR(__xludf.DUMMYFUNCTION("GOOGLETRANSLATE(A7537, ""zh"", ""en"")"),"carbon emissions")</f>
        <v>carbon emissions</v>
      </c>
      <c r="C7537" s="1" t="str">
        <f ca="1">IFERROR(__xludf.DUMMYFUNCTION("GOOGLETRANSLATE(E7537, ""zh"", ""en"")"),"Qualitative text")</f>
        <v>Qualitative text</v>
      </c>
    </row>
    <row r="7538" spans="1:3" ht="13" x14ac:dyDescent="0.15">
      <c r="A7538" s="1" t="str">
        <f ca="1">IFERROR(__xludf.DUMMYFUNCTION("GOOGLETRANSLATE(A7538, ""zh"", ""en"")"),"It is estimated that the green electricity supply of the entire park will account for 95%, which can reduce the comprehensive energy cost by 15% to 20% and improve the green and low-carbon level of the production process.")</f>
        <v>It is estimated that the green electricity supply of the entire park will account for 95%, which can reduce the comprehensive energy cost by 15% to 20% and improve the green and low-carbon level of the production process.</v>
      </c>
      <c r="B7538" s="1" t="str">
        <f ca="1">IFERROR(__xludf.DUMMYFUNCTION("GOOGLETRANSLATE(A7538, ""zh"", ""en"")"),"carbon emissions")</f>
        <v>carbon emissions</v>
      </c>
      <c r="C7538" s="1" t="str">
        <f ca="1">IFERROR(__xludf.DUMMYFUNCTION("GOOGLETRANSLATE(E7538, ""zh"", ""en"")"),"Quantitative Text")</f>
        <v>Quantitative Text</v>
      </c>
    </row>
    <row r="7539" spans="1:3" ht="13" x14ac:dyDescent="0.15">
      <c r="A7539" s="1" t="str">
        <f ca="1">IFERROR(__xludf.DUMMYFUNCTION("GOOGLETRANSLATE(A7539, ""zh"", ""en"")"),"By the end of 2022, the company's global cumulative installed capacity will exceed 97GW, with an annual power generation of approximately 210 billion kWh, which will reduce carbon dioxide emissions by approximately 178 million tons annually compared to th"&amp;"ermal power.")</f>
        <v>By the end of 2022, the company's global cumulative installed capacity will exceed 97GW, with an annual power generation of approximately 210 billion kWh, which will reduce carbon dioxide emissions by approximately 178 million tons annually compared to thermal power.</v>
      </c>
      <c r="B7539" s="1" t="str">
        <f ca="1">IFERROR(__xludf.DUMMYFUNCTION("GOOGLETRANSLATE(A7539, ""zh"", ""en"")"),"carbon emissions")</f>
        <v>carbon emissions</v>
      </c>
      <c r="C7539" s="1" t="str">
        <f ca="1">IFERROR(__xludf.DUMMYFUNCTION("GOOGLETRANSLATE(E7539, ""zh"", ""en"")"),"Quantitative Text")</f>
        <v>Quantitative Text</v>
      </c>
    </row>
    <row r="7540" spans="1:3" ht="13" x14ac:dyDescent="0.15">
      <c r="A7540" s="1" t="str">
        <f ca="1">IFERROR(__xludf.DUMMYFUNCTION("GOOGLETRANSLATE(A7540, ""zh"", ""en"")"),"In 2022, the company will continue to strengthen carbon emission management, working on consolidating data foundation, implementing emission reduction targets, carrying out carbon market compliance, and achieving annual operational carbon neutrality.")</f>
        <v>In 2022, the company will continue to strengthen carbon emission management, working on consolidating data foundation, implementing emission reduction targets, carrying out carbon market compliance, and achieving annual operational carbon neutrality.</v>
      </c>
      <c r="B7540" s="1" t="str">
        <f ca="1">IFERROR(__xludf.DUMMYFUNCTION("GOOGLETRANSLATE(A7540, ""zh"", ""en"")"),"carbon emissions")</f>
        <v>carbon emissions</v>
      </c>
      <c r="C7540" s="1" t="str">
        <f ca="1">IFERROR(__xludf.DUMMYFUNCTION("GOOGLETRANSLATE(E7540, ""zh"", ""en"")"),"Qualitative text")</f>
        <v>Qualitative text</v>
      </c>
    </row>
    <row r="7541" spans="1:3" ht="13" x14ac:dyDescent="0.15">
      <c r="A7541" s="1" t="str">
        <f ca="1">IFERROR(__xludf.DUMMYFUNCTION("GOOGLETRANSLATE(A7541, ""zh"", ""en"")"),"During the reporting period, the company launched its self-developed ""Goldwind Carbon Account Platform"" system, which has measurable, reportable and verifiable functions. It can effectively analyze and evaluate the changes in carbon emissions and carbon"&amp;" emission intensity of the entire company, various business units and different regions in a high-quality, real-time and effective manner, which helps to explore the value of carbon emission data management and improve the quality of carbon emission data "&amp;"management.")</f>
        <v>During the reporting period, the company launched its self-developed "Goldwind Carbon Account Platform" system, which has measurable, reportable and verifiable functions. It can effectively analyze and evaluate the changes in carbon emissions and carbon emission intensity of the entire company, various business units and different regions in a high-quality, real-time and effective manner, which helps to explore the value of carbon emission data management and improve the quality of carbon emission data management.</v>
      </c>
      <c r="B7541" s="1" t="str">
        <f ca="1">IFERROR(__xludf.DUMMYFUNCTION("GOOGLETRANSLATE(A7541, ""zh"", ""en"")"),"carbon emissions")</f>
        <v>carbon emissions</v>
      </c>
      <c r="C7541" s="1" t="str">
        <f ca="1">IFERROR(__xludf.DUMMYFUNCTION("GOOGLETRANSLATE(E7541, ""zh"", ""en"")"),"Qualitative text")</f>
        <v>Qualitative text</v>
      </c>
    </row>
    <row r="7542" spans="1:3" ht="13" x14ac:dyDescent="0.15">
      <c r="A7542" s="1" t="str">
        <f ca="1">IFERROR(__xludf.DUMMYFUNCTION("GOOGLETRANSLATE(A7542, ""zh"", ""en"")"),"With the support of this system, the company will conduct a comprehensive inventory of greenhouse gas emissions within its operating boundaries in 2022.")</f>
        <v>With the support of this system, the company will conduct a comprehensive inventory of greenhouse gas emissions within its operating boundaries in 2022.</v>
      </c>
      <c r="B7542" s="1" t="str">
        <f ca="1">IFERROR(__xludf.DUMMYFUNCTION("GOOGLETRANSLATE(A7542, ""zh"", ""en"")"),"carbon emissions")</f>
        <v>carbon emissions</v>
      </c>
      <c r="C7542" s="1" t="str">
        <f ca="1">IFERROR(__xludf.DUMMYFUNCTION("GOOGLETRANSLATE(E7542, ""zh"", ""en"")"),"Qualitative text")</f>
        <v>Qualitative text</v>
      </c>
    </row>
    <row r="7543" spans="1:3" ht="13" x14ac:dyDescent="0.15">
      <c r="A7543" s="1" t="str">
        <f ca="1">IFERROR(__xludf.DUMMYFUNCTION("GOOGLETRANSLATE(A7543, ""zh"", ""en"")"),"Greenhouse gas emissions The company's greenhouse gas statistics are calculated in accordance with the requirements of the ""GHG Protocol Corporate Greenhouse Gas Emissions Accounting and Reporting Standard"" and ""ISO14064-1:2018 Guidance on Quantifying "&amp;"and Reporting Greenhouse Gas Emissions or Removals at the Organizational Level"". Emission factors refer to the relevant requirements of technical documents such as the ""2006 IPCC Guidelines for National Greenhouse Gas Inventories"" and the ""Corporate G"&amp;"reenhouse Gas Emissions Accounting and Reporting Guide for Power Generation Facilities (2022 Revised Edition)"".")</f>
        <v>Greenhouse gas emissions The company's greenhouse gas statistics are calculated in accordance with the requirements of the "GHG Protocol Corporate Greenhouse Gas Emissions Accounting and Reporting Standard" and "ISO14064-1:2018 Guidance on Quantifying and Reporting Greenhouse Gas Emissions or Removals at the Organizational Level". Emission factors refer to the relevant requirements of technical documents such as the "2006 IPCC Guidelines for National Greenhouse Gas Inventories" and the "Corporate Greenhouse Gas Emissions Accounting and Reporting Guide for Power Generation Facilities (2022 Revised Edition)".</v>
      </c>
      <c r="B7543" s="1" t="str">
        <f ca="1">IFERROR(__xludf.DUMMYFUNCTION("GOOGLETRANSLATE(A7543, ""zh"", ""en"")"),"carbon emissions")</f>
        <v>carbon emissions</v>
      </c>
      <c r="C7543" s="1" t="str">
        <f ca="1">IFERROR(__xludf.DUMMYFUNCTION("GOOGLETRANSLATE(E7543, ""zh"", ""en"")"),"Qualitative text")</f>
        <v>Qualitative text</v>
      </c>
    </row>
    <row r="7544" spans="1:3" ht="13" x14ac:dyDescent="0.15">
      <c r="A7544" s="1" t="str">
        <f ca="1">IFERROR(__xludf.DUMMYFUNCTION("GOOGLETRANSLATE(A7544, ""zh"", ""en"")"),"The reduction in carbon emissions in 2022 is due to the direct purchase of green electricity and the purchase of green electricity certificates")</f>
        <v>The reduction in carbon emissions in 2022 is due to the direct purchase of green electricity and the purchase of green electricity certificates</v>
      </c>
      <c r="B7544" s="1" t="str">
        <f ca="1">IFERROR(__xludf.DUMMYFUNCTION("GOOGLETRANSLATE(A7544, ""zh"", ""en"")"),"carbon emissions")</f>
        <v>carbon emissions</v>
      </c>
      <c r="C7544" s="1" t="str">
        <f ca="1">IFERROR(__xludf.DUMMYFUNCTION("GOOGLETRANSLATE(E7544, ""zh"", ""en"")"),"Qualitative text")</f>
        <v>Qualitative text</v>
      </c>
    </row>
    <row r="7545" spans="1:3" ht="13" x14ac:dyDescent="0.15">
      <c r="A7545" s="1" t="str">
        <f ca="1">IFERROR(__xludf.DUMMYFUNCTION("GOOGLETRANSLATE(A7545, ""zh"", ""en"")"),"The company's operating income in 2020 and 2021 changed due to retrospective adjustments, which in turn affected the carbon emissions per 10,000 yuan of operating income in 2020 and 2021.")</f>
        <v>The company's operating income in 2020 and 2021 changed due to retrospective adjustments, which in turn affected the carbon emissions per 10,000 yuan of operating income in 2020 and 2021.</v>
      </c>
      <c r="B7545" s="1" t="str">
        <f ca="1">IFERROR(__xludf.DUMMYFUNCTION("GOOGLETRANSLATE(A7545, ""zh"", ""en"")"),"carbon emissions")</f>
        <v>carbon emissions</v>
      </c>
      <c r="C7545" s="1" t="str">
        <f ca="1">IFERROR(__xludf.DUMMYFUNCTION("GOOGLETRANSLATE(E7545, ""zh"", ""en"")"),"Qualitative text")</f>
        <v>Qualitative text</v>
      </c>
    </row>
    <row r="7546" spans="1:3" ht="13" x14ac:dyDescent="0.15">
      <c r="A7546" s="1" t="str">
        <f ca="1">IFERROR(__xludf.DUMMYFUNCTION("GOOGLETRANSLATE(A7546, ""zh"", ""en"")"),"The company has gradually established and improved its internal carbon emission management system in accordance with relevant standards and guidelines for carbon emission management, clarified the responsibilities and authorities of carbon emission-relate"&amp;"d units, and broken down annual targets into various business units, integrating carbon emission reduction work into daily operations and management.")</f>
        <v>The company has gradually established and improved its internal carbon emission management system in accordance with relevant standards and guidelines for carbon emission management, clarified the responsibilities and authorities of carbon emission-related units, and broken down annual targets into various business units, integrating carbon emission reduction work into daily operations and management.</v>
      </c>
      <c r="B7546" s="1" t="str">
        <f ca="1">IFERROR(__xludf.DUMMYFUNCTION("GOOGLETRANSLATE(A7546, ""zh"", ""en"")"),"carbon emissions")</f>
        <v>carbon emissions</v>
      </c>
      <c r="C7546" s="1" t="str">
        <f ca="1">IFERROR(__xludf.DUMMYFUNCTION("GOOGLETRANSLATE(E7546, ""zh"", ""en"")"),"Qualitative text")</f>
        <v>Qualitative text</v>
      </c>
    </row>
    <row r="7547" spans="1:3" ht="13" x14ac:dyDescent="0.15">
      <c r="A7547" s="1" t="str">
        <f ca="1">IFERROR(__xludf.DUMMYFUNCTION("GOOGLETRANSLATE(A7547, ""zh"", ""en"")"),"In 2022, the company will further review its energy consumption, identify factors affecting carbon emissions, and tap into potential for energy conservation and emission reduction. It will further reduce carbon emissions by installing distributed wind pow"&amp;"er/photovoltaic facilities, replacing new energy vehicles, reducing the use of fuel vehicles, carrying out lighting renovations, precise aeration, and paperless office work. It will also actively promote the use of renewable energy, purchase green electri"&amp;"city, and increase the proportion of green electricity used.")</f>
        <v>In 2022, the company will further review its energy consumption, identify factors affecting carbon emissions, and tap into potential for energy conservation and emission reduction. It will further reduce carbon emissions by installing distributed wind power/photovoltaic facilities, replacing new energy vehicles, reducing the use of fuel vehicles, carrying out lighting renovations, precise aeration, and paperless office work. It will also actively promote the use of renewable energy, purchase green electricity, and increase the proportion of green electricity used.</v>
      </c>
      <c r="B7547" s="1" t="str">
        <f ca="1">IFERROR(__xludf.DUMMYFUNCTION("GOOGLETRANSLATE(A7547, ""zh"", ""en"")"),"carbon emissions")</f>
        <v>carbon emissions</v>
      </c>
      <c r="C7547" s="1" t="str">
        <f ca="1">IFERROR(__xludf.DUMMYFUNCTION("GOOGLETRANSLATE(E7547, ""zh"", ""en"")"),"Qualitative text")</f>
        <v>Qualitative text</v>
      </c>
    </row>
    <row r="7548" spans="1:3" ht="13" x14ac:dyDescent="0.15">
      <c r="A7548" s="1" t="str">
        <f ca="1">IFERROR(__xludf.DUMMYFUNCTION("GOOGLETRANSLATE(A7548, ""zh"", ""en"")"),"In 2022, the company's total greenhouse gas emissions were 19,997.28 tons of carbon dioxide equivalent")</f>
        <v>In 2022, the company's total greenhouse gas emissions were 19,997.28 tons of carbon dioxide equivalent</v>
      </c>
      <c r="B7548" s="1" t="str">
        <f ca="1">IFERROR(__xludf.DUMMYFUNCTION("GOOGLETRANSLATE(A7548, ""zh"", ""en"")"),"carbon emissions")</f>
        <v>carbon emissions</v>
      </c>
      <c r="C7548" s="1" t="str">
        <f ca="1">IFERROR(__xludf.DUMMYFUNCTION("GOOGLETRANSLATE(E7548, ""zh"", ""en"")"),"Quantitative Text")</f>
        <v>Quantitative Text</v>
      </c>
    </row>
    <row r="7549" spans="1:3" ht="13" x14ac:dyDescent="0.15">
      <c r="A7549" s="1" t="str">
        <f ca="1">IFERROR(__xludf.DUMMYFUNCTION("GOOGLETRANSLATE(A7549, ""zh"", ""en"")"),"In 2022, the company will achieve carbon neutrality through the purchase of carbon offsets, based on energy conservation and consumption reduction and the use of green electricity, fulfilling its commitment to carbon neutrality at the operational level (s"&amp;"cope 1 and scope 2).")</f>
        <v>In 2022, the company will achieve carbon neutrality through the purchase of carbon offsets, based on energy conservation and consumption reduction and the use of green electricity, fulfilling its commitment to carbon neutrality at the operational level (scope 1 and scope 2).</v>
      </c>
      <c r="B7549" s="1" t="str">
        <f ca="1">IFERROR(__xludf.DUMMYFUNCTION("GOOGLETRANSLATE(A7549, ""zh"", ""en"")"),"carbon emissions")</f>
        <v>carbon emissions</v>
      </c>
      <c r="C7549" s="1" t="str">
        <f ca="1">IFERROR(__xludf.DUMMYFUNCTION("GOOGLETRANSLATE(E7549, ""zh"", ""en"")"),"Qualitative text")</f>
        <v>Qualitative text</v>
      </c>
    </row>
    <row r="7550" spans="1:3" ht="13" x14ac:dyDescent="0.15">
      <c r="A7550" s="1" t="str">
        <f ca="1">IFERROR(__xludf.DUMMYFUNCTION("GOOGLETRANSLATE(A7550, ""zh"", ""en"")"),"In 2022, Beijing Goldwind Science &amp; Technology Co., Ltd., a subsidiary of Goldwind Science &amp; Technology, was included in the Beijing carbon market key emission units and participated in the annual mandatory compliance. The company completed the compliance"&amp;" work in November 2022 by purchasing Beijing's carbon emission quota.")</f>
        <v>In 2022, Beijing Goldwind Science &amp; Technology Co., Ltd., a subsidiary of Goldwind Science &amp; Technology, was included in the Beijing carbon market key emission units and participated in the annual mandatory compliance. The company completed the compliance work in November 2022 by purchasing Beijing's carbon emission quota.</v>
      </c>
      <c r="B7550" s="1" t="str">
        <f ca="1">IFERROR(__xludf.DUMMYFUNCTION("GOOGLETRANSLATE(A7550, ""zh"", ""en"")"),"carbon emissions")</f>
        <v>carbon emissions</v>
      </c>
      <c r="C7550" s="1" t="str">
        <f ca="1">IFERROR(__xludf.DUMMYFUNCTION("GOOGLETRANSLATE(E7550, ""zh"", ""en"")"),"Qualitative text")</f>
        <v>Qualitative text</v>
      </c>
    </row>
    <row r="7551" spans="1:3" ht="13" x14ac:dyDescent="0.15">
      <c r="A7551" s="1" t="str">
        <f ca="1">IFERROR(__xludf.DUMMYFUNCTION("GOOGLETRANSLATE(A7551, ""zh"", ""en"")"),"Based on the continuous implementation of product life cycle assessment (LCA) for many years, the company continues to explore the carbon reduction potential in all aspects of production and reduce the carbon emissions of wind power.")</f>
        <v>Based on the continuous implementation of product life cycle assessment (LCA) for many years, the company continues to explore the carbon reduction potential in all aspects of production and reduce the carbon emissions of wind power.</v>
      </c>
      <c r="B7551" s="1" t="str">
        <f ca="1">IFERROR(__xludf.DUMMYFUNCTION("GOOGLETRANSLATE(A7551, ""zh"", ""en"")"),"carbon emissions")</f>
        <v>carbon emissions</v>
      </c>
      <c r="C7551" s="1" t="str">
        <f ca="1">IFERROR(__xludf.DUMMYFUNCTION("GOOGLETRANSLATE(E7551, ""zh"", ""en"")"),"Qualitative text")</f>
        <v>Qualitative text</v>
      </c>
    </row>
    <row r="7552" spans="1:3" ht="13" x14ac:dyDescent="0.15">
      <c r="A7552" s="1" t="str">
        <f ca="1">IFERROR(__xludf.DUMMYFUNCTION("GOOGLETRANSLATE(A7552, ""zh"", ""en"")"),"In 2022, the company conducted life cycle assessments on three of its own models. The carbon emissions per unit of wind turbine power generation were 5-8 grams, less than 1% of thermal power generation.")</f>
        <v>In 2022, the company conducted life cycle assessments on three of its own models. The carbon emissions per unit of wind turbine power generation were 5-8 grams, less than 1% of thermal power generation.</v>
      </c>
      <c r="B7552" s="1" t="str">
        <f ca="1">IFERROR(__xludf.DUMMYFUNCTION("GOOGLETRANSLATE(A7552, ""zh"", ""en"")"),"carbon emissions")</f>
        <v>carbon emissions</v>
      </c>
      <c r="C7552" s="1" t="str">
        <f ca="1">IFERROR(__xludf.DUMMYFUNCTION("GOOGLETRANSLATE(E7552, ""zh"", ""en"")"),"Quantitative Text")</f>
        <v>Quantitative Text</v>
      </c>
    </row>
    <row r="7553" spans="1:3" ht="13" x14ac:dyDescent="0.15">
      <c r="A7553" s="1" t="str">
        <f ca="1">IFERROR(__xludf.DUMMYFUNCTION("GOOGLETRANSLATE(A7553, ""zh"", ""en"")"),"Compared with other power generation technologies, wind power has the lowest carbon emissions per kilowatt-hour in its life cycle.")</f>
        <v>Compared with other power generation technologies, wind power has the lowest carbon emissions per kilowatt-hour in its life cycle.</v>
      </c>
      <c r="B7553" s="1" t="str">
        <f ca="1">IFERROR(__xludf.DUMMYFUNCTION("GOOGLETRANSLATE(A7553, ""zh"", ""en"")"),"carbon emissions")</f>
        <v>carbon emissions</v>
      </c>
      <c r="C7553" s="1" t="str">
        <f ca="1">IFERROR(__xludf.DUMMYFUNCTION("GOOGLETRANSLATE(E7553, ""zh"", ""en"")"),"Qualitative text")</f>
        <v>Qualitative text</v>
      </c>
    </row>
    <row r="7554" spans="1:3" ht="13" x14ac:dyDescent="0.15">
      <c r="A7554" s="1" t="str">
        <f ca="1">IFERROR(__xludf.DUMMYFUNCTION("GOOGLETRANSLATE(A7554, ""zh"", ""en"")"),"Yuhetian supports the country's ""3060"" dual carbon goals and takes active action, and promotes a low-carbon and environmentally friendly green model in its daily operations.")</f>
        <v>Yuhetian supports the country's "3060" dual carbon goals and takes active action, and promotes a low-carbon and environmentally friendly green model in its daily operations.</v>
      </c>
      <c r="B7554" s="1" t="str">
        <f ca="1">IFERROR(__xludf.DUMMYFUNCTION("GOOGLETRANSLATE(A7554, ""zh"", ""en"")"),"carbon emissions")</f>
        <v>carbon emissions</v>
      </c>
      <c r="C7554" s="1" t="str">
        <f ca="1">IFERROR(__xludf.DUMMYFUNCTION("GOOGLETRANSLATE(E7554, ""zh"", ""en"")"),"Qualitative text")</f>
        <v>Qualitative text</v>
      </c>
    </row>
    <row r="7555" spans="1:3" ht="13" x14ac:dyDescent="0.15">
      <c r="A7555" s="1" t="str">
        <f ca="1">IFERROR(__xludf.DUMMYFUNCTION("GOOGLETRANSLATE(A7555, ""zh"", ""en"")"),"In 2020, the company was committed to development and honest operation, actively contributing to local fiscal revenue and taxation, and paid 3.935 billion yuan in taxes in accordance with the law throughout the year, which strongly supported local finance"&amp;"s.")</f>
        <v>In 2020, the company was committed to development and honest operation, actively contributing to local fiscal revenue and taxation, and paid 3.935 billion yuan in taxes in accordance with the law throughout the year, which strongly supported local finances.</v>
      </c>
      <c r="B7555" s="1" t="str">
        <f ca="1">IFERROR(__xludf.DUMMYFUNCTION("GOOGLETRANSLATE(A7555, ""zh"", ""en"")"),"Tax transparency")</f>
        <v>Tax transparency</v>
      </c>
      <c r="C7555" s="1" t="str">
        <f ca="1">IFERROR(__xludf.DUMMYFUNCTION("GOOGLETRANSLATE(E7555, ""zh"", ""en"")"),"Quantitative Text")</f>
        <v>Quantitative Text</v>
      </c>
    </row>
    <row r="7556" spans="1:3" ht="13" x14ac:dyDescent="0.15">
      <c r="A7556" s="1" t="str">
        <f ca="1">IFERROR(__xludf.DUMMYFUNCTION("GOOGLETRANSLATE(A7556, ""zh"", ""en"")"),"In 2021, the company achieved operating income of 13.607 billion yuan and paid 4.066 billion yuan in taxes. In April 2022, Yageo was awarded the ""Top 50 Manufacturing Taxpayers"" and ""Top 50 Taxpayers"" in Ningbo in 2021.")</f>
        <v>In 2021, the company achieved operating income of 13.607 billion yuan and paid 4.066 billion yuan in taxes. In April 2022, Yageo was awarded the "Top 50 Manufacturing Taxpayers" and "Top 50 Taxpayers" in Ningbo in 2021.</v>
      </c>
      <c r="B7556" s="1" t="str">
        <f ca="1">IFERROR(__xludf.DUMMYFUNCTION("GOOGLETRANSLATE(A7556, ""zh"", ""en"")"),"Tax transparency")</f>
        <v>Tax transparency</v>
      </c>
      <c r="C7556" s="1" t="str">
        <f ca="1">IFERROR(__xludf.DUMMYFUNCTION("GOOGLETRANSLATE(E7556, ""zh"", ""en"")"),"Quantitative Text")</f>
        <v>Quantitative Text</v>
      </c>
    </row>
    <row r="7557" spans="1:3" ht="13" x14ac:dyDescent="0.15">
      <c r="A7557" s="1" t="str">
        <f ca="1">IFERROR(__xludf.DUMMYFUNCTION("GOOGLETRANSLATE(A7557, ""zh"", ""en"")"),"The company shall register for tax, set up account books, keep vouchers, and file tax returns in accordance with the law, strictly abide by the various national tax laws and regulations, truthfully report the company's production and operation conditions "&amp;"and financial status to the tax authorities, pay taxes on time in accordance with the law, actively assume tax responsibilities, and fulfill tax obligations.")</f>
        <v>The company shall register for tax, set up account books, keep vouchers, and file tax returns in accordance with the law, strictly abide by the various national tax laws and regulations, truthfully report the company's production and operation conditions and financial status to the tax authorities, pay taxes on time in accordance with the law, actively assume tax responsibilities, and fulfill tax obligations.</v>
      </c>
      <c r="B7557" s="1" t="str">
        <f ca="1">IFERROR(__xludf.DUMMYFUNCTION("GOOGLETRANSLATE(A7557, ""zh"", ""en"")"),"Tax transparency")</f>
        <v>Tax transparency</v>
      </c>
      <c r="C7557" s="1" t="str">
        <f ca="1">IFERROR(__xludf.DUMMYFUNCTION("GOOGLETRANSLATE(E7557, ""zh"", ""en"")"),"Qualitative text")</f>
        <v>Qualitative text</v>
      </c>
    </row>
    <row r="7558" spans="1:3" ht="13" x14ac:dyDescent="0.15">
      <c r="A7558" s="1" t="str">
        <f ca="1">IFERROR(__xludf.DUMMYFUNCTION("GOOGLETRANSLATE(A7558, ""zh"", ""en"")"),"In 2022, the company paid a total of RMB 952.7679 million in taxes, which strongly supported national and local fiscal and taxation, and promoted and driven the development of its own and local economy.")</f>
        <v>In 2022, the company paid a total of RMB 952.7679 million in taxes, which strongly supported national and local fiscal and taxation, and promoted and driven the development of its own and local economy.</v>
      </c>
      <c r="B7558" s="1" t="str">
        <f ca="1">IFERROR(__xludf.DUMMYFUNCTION("GOOGLETRANSLATE(A7558, ""zh"", ""en"")"),"Tax transparency")</f>
        <v>Tax transparency</v>
      </c>
      <c r="C7558" s="1" t="str">
        <f ca="1">IFERROR(__xludf.DUMMYFUNCTION("GOOGLETRANSLATE(E7558, ""zh"", ""en"")"),"Quantitative Text")</f>
        <v>Quantitative Text</v>
      </c>
    </row>
    <row r="7559" spans="1:3" ht="13" x14ac:dyDescent="0.15">
      <c r="A7559" s="1" t="str">
        <f ca="1">IFERROR(__xludf.DUMMYFUNCTION("GOOGLETRANSLATE(A7559, ""zh"", ""en"")"),"In 2021, the company strictly abided by tax laws and regulations and earnestly fulfilled the responsibilities and obligations of a corporate citizen to pay taxes in accordance with the law. The company and its subsidiaries paid taxes in accordance with th"&amp;"e law, and there was no violation of laws, regulations and normative documents on tax management.")</f>
        <v>In 2021, the company strictly abided by tax laws and regulations and earnestly fulfilled the responsibilities and obligations of a corporate citizen to pay taxes in accordance with the law. The company and its subsidiaries paid taxes in accordance with the law, and there was no violation of laws, regulations and normative documents on tax management.</v>
      </c>
      <c r="B7559" s="1" t="str">
        <f ca="1">IFERROR(__xludf.DUMMYFUNCTION("GOOGLETRANSLATE(A7559, ""zh"", ""en"")"),"Tax transparency")</f>
        <v>Tax transparency</v>
      </c>
      <c r="C7559" s="1" t="str">
        <f ca="1">IFERROR(__xludf.DUMMYFUNCTION("GOOGLETRANSLATE(E7559, ""zh"", ""en"")"),"Qualitative text")</f>
        <v>Qualitative text</v>
      </c>
    </row>
    <row r="7560" spans="1:3" ht="13" x14ac:dyDescent="0.15">
      <c r="A7560" s="1" t="str">
        <f ca="1">IFERROR(__xludf.DUMMYFUNCTION("GOOGLETRANSLATE(A7560, ""zh"", ""en"")"),"Ensure that financial and tax data is timely and accurate, and guarantee the timeliness and accuracy of tax payment in accordance with the law.")</f>
        <v>Ensure that financial and tax data is timely and accurate, and guarantee the timeliness and accuracy of tax payment in accordance with the law.</v>
      </c>
      <c r="B7560" s="1" t="str">
        <f ca="1">IFERROR(__xludf.DUMMYFUNCTION("GOOGLETRANSLATE(A7560, ""zh"", ""en"")"),"Tax transparency")</f>
        <v>Tax transparency</v>
      </c>
      <c r="C7560" s="1" t="str">
        <f ca="1">IFERROR(__xludf.DUMMYFUNCTION("GOOGLETRANSLATE(E7560, ""zh"", ""en"")"),"Qualitative text")</f>
        <v>Qualitative text</v>
      </c>
    </row>
    <row r="7561" spans="1:3" ht="13" x14ac:dyDescent="0.15">
      <c r="A7561" s="1" t="str">
        <f ca="1">IFERROR(__xludf.DUMMYFUNCTION("GOOGLETRANSLATE(A7561, ""zh"", ""en"")"),"The company regards ""operating in accordance with the law and paying taxes in accordance with the law"" as the lifeline of its production and operation activities, firmly establishes the concept of paying taxes in accordance with the law and in good fait"&amp;"h, conscientiously fulfills its tax obligations in accordance with the law, ensures that financial and tax data are timely and accurate, and guarantees the timeliness and accuracy of tax payments in accordance with the law.")</f>
        <v>The company regards "operating in accordance with the law and paying taxes in accordance with the law" as the lifeline of its production and operation activities, firmly establishes the concept of paying taxes in accordance with the law and in good faith, conscientiously fulfills its tax obligations in accordance with the law, ensures that financial and tax data are timely and accurate, and guarantees the timeliness and accuracy of tax payments in accordance with the law.</v>
      </c>
      <c r="B7561" s="1" t="str">
        <f ca="1">IFERROR(__xludf.DUMMYFUNCTION("GOOGLETRANSLATE(A7561, ""zh"", ""en"")"),"Tax transparency")</f>
        <v>Tax transparency</v>
      </c>
      <c r="C7561" s="1" t="str">
        <f ca="1">IFERROR(__xludf.DUMMYFUNCTION("GOOGLETRANSLATE(E7561, ""zh"", ""en"")"),"Qualitative text")</f>
        <v>Qualitative text</v>
      </c>
    </row>
    <row r="7562" spans="1:3" ht="13" x14ac:dyDescent="0.15">
      <c r="A7562" s="1" t="str">
        <f ca="1">IFERROR(__xludf.DUMMYFUNCTION("GOOGLETRANSLATE(A7562, ""zh"", ""en"")"),"In 2022, the company paid 11.7524 million yuan in taxes")</f>
        <v>In 2022, the company paid 11.7524 million yuan in taxes</v>
      </c>
      <c r="B7562" s="1" t="str">
        <f ca="1">IFERROR(__xludf.DUMMYFUNCTION("GOOGLETRANSLATE(A7562, ""zh"", ""en"")"),"Tax transparency")</f>
        <v>Tax transparency</v>
      </c>
      <c r="C7562" s="1" t="str">
        <f ca="1">IFERROR(__xludf.DUMMYFUNCTION("GOOGLETRANSLATE(E7562, ""zh"", ""en"")"),"Quantitative Text")</f>
        <v>Quantitative Text</v>
      </c>
    </row>
    <row r="7563" spans="1:3" ht="13" x14ac:dyDescent="0.15">
      <c r="A7563" s="1" t="str">
        <f ca="1">IFERROR(__xludf.DUMMYFUNCTION("GOOGLETRANSLATE(A7563, ""zh"", ""en"")"),"A total of 2.669 billion yuan in taxes were paid in 2022. This is not only the company's job, but also a powerful move to contribute tax revenue to the country, alleviate government pressure, and ensure social stability.")</f>
        <v>A total of 2.669 billion yuan in taxes were paid in 2022. This is not only the company's job, but also a powerful move to contribute tax revenue to the country, alleviate government pressure, and ensure social stability.</v>
      </c>
      <c r="B7563" s="1" t="str">
        <f ca="1">IFERROR(__xludf.DUMMYFUNCTION("GOOGLETRANSLATE(A7563, ""zh"", ""en"")"),"Tax transparency")</f>
        <v>Tax transparency</v>
      </c>
      <c r="C7563" s="1" t="str">
        <f ca="1">IFERROR(__xludf.DUMMYFUNCTION("GOOGLETRANSLATE(E7563, ""zh"", ""en"")"),"Quantitative Text")</f>
        <v>Quantitative Text</v>
      </c>
    </row>
    <row r="7564" spans="1:3" ht="13" x14ac:dyDescent="0.15">
      <c r="A7564" s="1" t="str">
        <f ca="1">IFERROR(__xludf.DUMMYFUNCTION("GOOGLETRANSLATE(A7564, ""zh"", ""en"")"),"For a long time, the company has been proud of operating in accordance with the law and paying taxes honestly, strictly abiding by various tax laws and regulations, fulfilling its tax obligations in accordance with the law, paying national taxes in a time"&amp;"ly and full manner, and strongly supporting national and local fiscal and taxation, and promoting and driving the development of its own and local economies.")</f>
        <v>For a long time, the company has been proud of operating in accordance with the law and paying taxes honestly, strictly abiding by various tax laws and regulations, fulfilling its tax obligations in accordance with the law, paying national taxes in a timely and full manner, and strongly supporting national and local fiscal and taxation, and promoting and driving the development of its own and local economies.</v>
      </c>
      <c r="B7564" s="1" t="str">
        <f ca="1">IFERROR(__xludf.DUMMYFUNCTION("GOOGLETRANSLATE(A7564, ""zh"", ""en"")"),"Tax transparency")</f>
        <v>Tax transparency</v>
      </c>
      <c r="C7564" s="1" t="str">
        <f ca="1">IFERROR(__xludf.DUMMYFUNCTION("GOOGLETRANSLATE(E7564, ""zh"", ""en"")"),"Qualitative text")</f>
        <v>Qualitative text</v>
      </c>
    </row>
    <row r="7565" spans="1:3" ht="13" x14ac:dyDescent="0.15">
      <c r="A7565" s="1" t="str">
        <f ca="1">IFERROR(__xludf.DUMMYFUNCTION("GOOGLETRANSLATE(A7565, ""zh"", ""en"")"),"The company regards paying taxes in accordance with the law as the most basic requirement for fulfilling its social responsibilities and giving back to society. It strictly abides by various tax laws and regulations and fulfills its tax obligations in acc"&amp;"ordance with the law.")</f>
        <v>The company regards paying taxes in accordance with the law as the most basic requirement for fulfilling its social responsibilities and giving back to society. It strictly abides by various tax laws and regulations and fulfills its tax obligations in accordance with the law.</v>
      </c>
      <c r="B7565" s="1" t="str">
        <f ca="1">IFERROR(__xludf.DUMMYFUNCTION("GOOGLETRANSLATE(A7565, ""zh"", ""en"")"),"Tax transparency")</f>
        <v>Tax transparency</v>
      </c>
      <c r="C7565" s="1" t="str">
        <f ca="1">IFERROR(__xludf.DUMMYFUNCTION("GOOGLETRANSLATE(E7565, ""zh"", ""en"")"),"Qualitative text")</f>
        <v>Qualitative text</v>
      </c>
    </row>
    <row r="7566" spans="1:3" ht="13" x14ac:dyDescent="0.15">
      <c r="A7566" s="1" t="str">
        <f ca="1">IFERROR(__xludf.DUMMYFUNCTION("GOOGLETRANSLATE(A7566, ""zh"", ""en"")"),"As the most basic requirement for fulfilling social responsibilities and giving back to society, we strictly abide by various tax laws and regulations, actively strengthen communication and coordination with local tax departments, and pay various taxes in"&amp;" a timely and full manner.")</f>
        <v>As the most basic requirement for fulfilling social responsibilities and giving back to society, we strictly abide by various tax laws and regulations, actively strengthen communication and coordination with local tax departments, and pay various taxes in a timely and full manner.</v>
      </c>
      <c r="B7566" s="1" t="str">
        <f ca="1">IFERROR(__xludf.DUMMYFUNCTION("GOOGLETRANSLATE(A7566, ""zh"", ""en"")"),"Tax transparency")</f>
        <v>Tax transparency</v>
      </c>
      <c r="C7566" s="1" t="str">
        <f ca="1">IFERROR(__xludf.DUMMYFUNCTION("GOOGLETRANSLATE(E7566, ""zh"", ""en"")"),"Qualitative text")</f>
        <v>Qualitative text</v>
      </c>
    </row>
    <row r="7567" spans="1:3" ht="13" x14ac:dyDescent="0.15">
      <c r="A7567" s="1" t="str">
        <f ca="1">IFERROR(__xludf.DUMMYFUNCTION("GOOGLETRANSLATE(A7567, ""zh"", ""en"")"),"During the reporting period, the company's corporate governance developed, and it operated with integrity, actively contributing to local fiscal and tax revenues and providing strong support to local finances. The company has been awarded the honorary tit"&amp;"le of ""Large Taxpayer"" in Yongjia County, Wenzhou City for many consecutive years, achieving a virtuous interaction between corporate development and local economic development.")</f>
        <v>During the reporting period, the company's corporate governance developed, and it operated with integrity, actively contributing to local fiscal and tax revenues and providing strong support to local finances. The company has been awarded the honorary title of "Large Taxpayer" in Yongjia County, Wenzhou City for many consecutive years, achieving a virtuous interaction between corporate development and local economic development.</v>
      </c>
      <c r="B7567" s="1" t="str">
        <f ca="1">IFERROR(__xludf.DUMMYFUNCTION("GOOGLETRANSLATE(A7567, ""zh"", ""en"")"),"Tax transparency")</f>
        <v>Tax transparency</v>
      </c>
      <c r="C7567" s="1" t="str">
        <f ca="1">IFERROR(__xludf.DUMMYFUNCTION("GOOGLETRANSLATE(E7567, ""zh"", ""en"")"),"Quantitative Text")</f>
        <v>Quantitative Text</v>
      </c>
    </row>
    <row r="7568" spans="1:3" ht="13" x14ac:dyDescent="0.15">
      <c r="A7568" s="1" t="str">
        <f ca="1">IFERROR(__xludf.DUMMYFUNCTION("GOOGLETRANSLATE(A7568, ""zh"", ""en"")"),"In 2019, the company consciously paid taxes in accordance with the law and paid taxes in good faith, paying a total of RMB 68.4371 million in taxes and fees. The total tax paid in the past three years was RMB 242.1003 million, which strongly supported the"&amp;" national and local fiscal and taxation.")</f>
        <v>In 2019, the company consciously paid taxes in accordance with the law and paid taxes in good faith, paying a total of RMB 68.4371 million in taxes and fees. The total tax paid in the past three years was RMB 242.1003 million, which strongly supported the national and local fiscal and taxation.</v>
      </c>
      <c r="B7568" s="1" t="str">
        <f ca="1">IFERROR(__xludf.DUMMYFUNCTION("GOOGLETRANSLATE(A7568, ""zh"", ""en"")"),"Tax transparency")</f>
        <v>Tax transparency</v>
      </c>
      <c r="C7568" s="1" t="str">
        <f ca="1">IFERROR(__xludf.DUMMYFUNCTION("GOOGLETRANSLATE(E7568, ""zh"", ""en"")"),"Quantitative Text")</f>
        <v>Quantitative Text</v>
      </c>
    </row>
    <row r="7569" spans="1:3" ht="13" x14ac:dyDescent="0.15">
      <c r="A7569" s="1" t="str">
        <f ca="1">IFERROR(__xludf.DUMMYFUNCTION("GOOGLETRANSLATE(A7569, ""zh"", ""en"")"),"In 2021, Baili Electric consciously paid taxes in accordance with the law and in good faith, paying a total of 120.5908 million yuan in taxes and fees. The total tax paid in the past three years was 305.3624 million yuan, which strongly supported the nati"&amp;"onal and local fiscal and taxation.")</f>
        <v>In 2021, Baili Electric consciously paid taxes in accordance with the law and in good faith, paying a total of 120.5908 million yuan in taxes and fees. The total tax paid in the past three years was 305.3624 million yuan, which strongly supported the national and local fiscal and taxation.</v>
      </c>
      <c r="B7569" s="1" t="str">
        <f ca="1">IFERROR(__xludf.DUMMYFUNCTION("GOOGLETRANSLATE(A7569, ""zh"", ""en"")"),"Tax transparency")</f>
        <v>Tax transparency</v>
      </c>
      <c r="C7569" s="1" t="str">
        <f ca="1">IFERROR(__xludf.DUMMYFUNCTION("GOOGLETRANSLATE(E7569, ""zh"", ""en"")"),"Quantitative Text")</f>
        <v>Quantitative Text</v>
      </c>
    </row>
    <row r="7570" spans="1:3" ht="13" x14ac:dyDescent="0.15">
      <c r="A7570" s="1" t="str">
        <f ca="1">IFERROR(__xludf.DUMMYFUNCTION("GOOGLETRANSLATE(A7570, ""zh"", ""en"")"),"In 2019, the company strictly followed the business scope approved by the State Administration for Industry and Commerce, and declared and paid taxes in a timely manner in strict accordance with relevant national tax laws and regulations. The company and "&amp;"its subsidiaries paid hundreds of millions of yuan in taxes, making positive contributions to local economic development.")</f>
        <v>In 2019, the company strictly followed the business scope approved by the State Administration for Industry and Commerce, and declared and paid taxes in a timely manner in strict accordance with relevant national tax laws and regulations. The company and its subsidiaries paid hundreds of millions of yuan in taxes, making positive contributions to local economic development.</v>
      </c>
      <c r="B7570" s="1" t="str">
        <f ca="1">IFERROR(__xludf.DUMMYFUNCTION("GOOGLETRANSLATE(A7570, ""zh"", ""en"")"),"Tax transparency")</f>
        <v>Tax transparency</v>
      </c>
      <c r="C7570" s="1" t="str">
        <f ca="1">IFERROR(__xludf.DUMMYFUNCTION("GOOGLETRANSLATE(E7570, ""zh"", ""en"")"),"Qualitative text")</f>
        <v>Qualitative text</v>
      </c>
    </row>
    <row r="7571" spans="1:3" ht="13" x14ac:dyDescent="0.15">
      <c r="A7571" s="1" t="str">
        <f ca="1">IFERROR(__xludf.DUMMYFUNCTION("GOOGLETRANSLATE(A7571, ""zh"", ""en"")"),"In 2021, the company paid 712.6151 million yuan in taxes, making it a major taxpayer in the company's location.")</f>
        <v>In 2021, the company paid 712.6151 million yuan in taxes, making it a major taxpayer in the company's location.</v>
      </c>
      <c r="B7571" s="1" t="str">
        <f ca="1">IFERROR(__xludf.DUMMYFUNCTION("GOOGLETRANSLATE(A7571, ""zh"", ""en"")"),"Tax transparency")</f>
        <v>Tax transparency</v>
      </c>
      <c r="C7571" s="1" t="str">
        <f ca="1">IFERROR(__xludf.DUMMYFUNCTION("GOOGLETRANSLATE(E7571, ""zh"", ""en"")"),"Quantitative Text")</f>
        <v>Quantitative Text</v>
      </c>
    </row>
    <row r="7572" spans="1:3" ht="13" x14ac:dyDescent="0.15">
      <c r="A7572" s="1" t="str">
        <f ca="1">IFERROR(__xludf.DUMMYFUNCTION("GOOGLETRANSLATE(A7572, ""zh"", ""en"")"),"Since the establishment of the company, we have strictly implemented the relevant national financial and tax laws, regulations, rules and related provisions, standardized internal tax management, fulfilled our tax obligations in accordance with the law, p"&amp;"aid taxes in a timely and full manner, and ensured that we paid taxes in accordance with the law and in good faith.")</f>
        <v>Since the establishment of the company, we have strictly implemented the relevant national financial and tax laws, regulations, rules and related provisions, standardized internal tax management, fulfilled our tax obligations in accordance with the law, paid taxes in a timely and full manner, and ensured that we paid taxes in accordance with the law and in good faith.</v>
      </c>
      <c r="B7572" s="1" t="str">
        <f ca="1">IFERROR(__xludf.DUMMYFUNCTION("GOOGLETRANSLATE(A7572, ""zh"", ""en"")"),"Tax transparency")</f>
        <v>Tax transparency</v>
      </c>
      <c r="C7572" s="1" t="str">
        <f ca="1">IFERROR(__xludf.DUMMYFUNCTION("GOOGLETRANSLATE(E7572, ""zh"", ""en"")"),"Qualitative text")</f>
        <v>Qualitative text</v>
      </c>
    </row>
    <row r="7573" spans="1:3" ht="13" x14ac:dyDescent="0.15">
      <c r="A7573" s="1" t="str">
        <f ca="1">IFERROR(__xludf.DUMMYFUNCTION("GOOGLETRANSLATE(A7573, ""zh"", ""en"")"),"The company pays taxes on time and in accordance with the law, registers for tax, sets up account books, keeps vouchers, and declares tax returns in accordance with the law, strictly abides by the various national tax laws and regulations, truthfully repo"&amp;"rts the company's production and operation conditions and financial status to the tax authorities, and pays taxes on time and in accordance with the law.")</f>
        <v>The company pays taxes on time and in accordance with the law, registers for tax, sets up account books, keeps vouchers, and declares tax returns in accordance with the law, strictly abides by the various national tax laws and regulations, truthfully reports the company's production and operation conditions and financial status to the tax authorities, and pays taxes on time and in accordance with the law.</v>
      </c>
      <c r="B7573" s="1" t="str">
        <f ca="1">IFERROR(__xludf.DUMMYFUNCTION("GOOGLETRANSLATE(A7573, ""zh"", ""en"")"),"Tax transparency")</f>
        <v>Tax transparency</v>
      </c>
      <c r="C7573" s="1" t="str">
        <f ca="1">IFERROR(__xludf.DUMMYFUNCTION("GOOGLETRANSLATE(E7573, ""zh"", ""en"")"),"Qualitative text")</f>
        <v>Qualitative text</v>
      </c>
    </row>
    <row r="7574" spans="1:3" ht="13" x14ac:dyDescent="0.15">
      <c r="A7574" s="1" t="str">
        <f ca="1">IFERROR(__xludf.DUMMYFUNCTION("GOOGLETRANSLATE(A7574, ""zh"", ""en"")"),"For a long time, the company has been proud of operating in accordance with the law and paying taxes honestly, strictly abiding by various tax laws and regulations, fulfilling its tax obligations in accordance with the law, and paying national taxes in a "&amp;"timely and full manner.")</f>
        <v>For a long time, the company has been proud of operating in accordance with the law and paying taxes honestly, strictly abiding by various tax laws and regulations, fulfilling its tax obligations in accordance with the law, and paying national taxes in a timely and full manner.</v>
      </c>
      <c r="B7574" s="1" t="str">
        <f ca="1">IFERROR(__xludf.DUMMYFUNCTION("GOOGLETRANSLATE(A7574, ""zh"", ""en"")"),"Tax transparency")</f>
        <v>Tax transparency</v>
      </c>
      <c r="C7574" s="1" t="str">
        <f ca="1">IFERROR(__xludf.DUMMYFUNCTION("GOOGLETRANSLATE(E7574, ""zh"", ""en"")"),"Qualitative text")</f>
        <v>Qualitative text</v>
      </c>
    </row>
    <row r="7575" spans="1:3" ht="13" x14ac:dyDescent="0.15">
      <c r="A7575" s="1" t="str">
        <f ca="1">IFERROR(__xludf.DUMMYFUNCTION("GOOGLETRANSLATE(A7575, ""zh"", ""en"")"),"During the reporting period, the company paid 549 million yuan in taxes to the state, making due contributions to national fiscal revenue and local economic development.")</f>
        <v>During the reporting period, the company paid 549 million yuan in taxes to the state, making due contributions to national fiscal revenue and local economic development.</v>
      </c>
      <c r="B7575" s="1" t="str">
        <f ca="1">IFERROR(__xludf.DUMMYFUNCTION("GOOGLETRANSLATE(A7575, ""zh"", ""en"")"),"Tax transparency")</f>
        <v>Tax transparency</v>
      </c>
      <c r="C7575" s="1" t="str">
        <f ca="1">IFERROR(__xludf.DUMMYFUNCTION("GOOGLETRANSLATE(E7575, ""zh"", ""en"")"),"Quantitative Text")</f>
        <v>Quantitative Text</v>
      </c>
    </row>
    <row r="7576" spans="1:3" ht="13" x14ac:dyDescent="0.15">
      <c r="A7576" s="1" t="str">
        <f ca="1">IFERROR(__xludf.DUMMYFUNCTION("GOOGLETRANSLATE(A7576, ""zh"", ""en"")"),"The company's main business is new energy electricity, based in Meizhou, and contributed 563 million yuan in fiscal taxes in 2019.")</f>
        <v>The company's main business is new energy electricity, based in Meizhou, and contributed 563 million yuan in fiscal taxes in 2019.</v>
      </c>
      <c r="B7576" s="1" t="str">
        <f ca="1">IFERROR(__xludf.DUMMYFUNCTION("GOOGLETRANSLATE(A7576, ""zh"", ""en"")"),"Tax transparency")</f>
        <v>Tax transparency</v>
      </c>
      <c r="C7576" s="1" t="str">
        <f ca="1">IFERROR(__xludf.DUMMYFUNCTION("GOOGLETRANSLATE(E7576, ""zh"", ""en"")"),"Quantitative Text")</f>
        <v>Quantitative Text</v>
      </c>
    </row>
    <row r="7577" spans="1:3" ht="13" x14ac:dyDescent="0.15">
      <c r="A7577" s="1" t="str">
        <f ca="1">IFERROR(__xludf.DUMMYFUNCTION("GOOGLETRANSLATE(A7577, ""zh"", ""en"")"),"In 2019, the company paid 328.2144 million yuan in taxes, making it a major taxpayer in the local area.")</f>
        <v>In 2019, the company paid 328.2144 million yuan in taxes, making it a major taxpayer in the local area.</v>
      </c>
      <c r="B7577" s="1" t="str">
        <f ca="1">IFERROR(__xludf.DUMMYFUNCTION("GOOGLETRANSLATE(A7577, ""zh"", ""en"")"),"Tax transparency")</f>
        <v>Tax transparency</v>
      </c>
      <c r="C7577" s="1" t="str">
        <f ca="1">IFERROR(__xludf.DUMMYFUNCTION("GOOGLETRANSLATE(E7577, ""zh"", ""en"")"),"Quantitative Text")</f>
        <v>Quantitative Text</v>
      </c>
    </row>
    <row r="7578" spans="1:3" ht="13" x14ac:dyDescent="0.15">
      <c r="A7578" s="1" t="str">
        <f ca="1">IFERROR(__xludf.DUMMYFUNCTION("GOOGLETRANSLATE(A7578, ""zh"", ""en"")"),"Since the establishment of the company, we have strictly implemented the relevant national financial and tax laws, regulations, rules and related provisions, standardized internal tax management, fulfilled our tax obligations in accordance with the law, p"&amp;"aid taxes in full and on time, and ensured that we paid taxes in accordance with the law.")</f>
        <v>Since the establishment of the company, we have strictly implemented the relevant national financial and tax laws, regulations, rules and related provisions, standardized internal tax management, fulfilled our tax obligations in accordance with the law, paid taxes in full and on time, and ensured that we paid taxes in accordance with the law.</v>
      </c>
      <c r="B7578" s="1" t="str">
        <f ca="1">IFERROR(__xludf.DUMMYFUNCTION("GOOGLETRANSLATE(A7578, ""zh"", ""en"")"),"Tax transparency")</f>
        <v>Tax transparency</v>
      </c>
      <c r="C7578" s="1" t="str">
        <f ca="1">IFERROR(__xludf.DUMMYFUNCTION("GOOGLETRANSLATE(E7578, ""zh"", ""en"")"),"Qualitative text")</f>
        <v>Qualitative text</v>
      </c>
    </row>
    <row r="7579" spans="1:3" ht="13" x14ac:dyDescent="0.15">
      <c r="A7579" s="1" t="str">
        <f ca="1">IFERROR(__xludf.DUMMYFUNCTION("GOOGLETRANSLATE(A7579, ""zh"", ""en"")"),"During the reporting period, the company conscientiously implemented tax laws and regulations, actively fulfilled its tax obligations, and made due contributions to increasing national fiscal accumulation and serving local economic development.")</f>
        <v>During the reporting period, the company conscientiously implemented tax laws and regulations, actively fulfilled its tax obligations, and made due contributions to increasing national fiscal accumulation and serving local economic development.</v>
      </c>
      <c r="B7579" s="1" t="str">
        <f ca="1">IFERROR(__xludf.DUMMYFUNCTION("GOOGLETRANSLATE(A7579, ""zh"", ""en"")"),"Tax transparency")</f>
        <v>Tax transparency</v>
      </c>
      <c r="C7579" s="1" t="str">
        <f ca="1">IFERROR(__xludf.DUMMYFUNCTION("GOOGLETRANSLATE(E7579, ""zh"", ""en"")"),"Qualitative text")</f>
        <v>Qualitative text</v>
      </c>
    </row>
    <row r="7580" spans="1:3" ht="13" x14ac:dyDescent="0.15">
      <c r="A7580" s="1" t="str">
        <f ca="1">IFERROR(__xludf.DUMMYFUNCTION("GOOGLETRANSLATE(A7580, ""zh"", ""en"")"),"After the company's corporate tax credit rating is upgraded from C to B, it can enjoy relevant preferential policies such as timely adjustment of VAT invoice usage, immediate VAT refund, and VAT end-of-period retained tax refund.")</f>
        <v>After the company's corporate tax credit rating is upgraded from C to B, it can enjoy relevant preferential policies such as timely adjustment of VAT invoice usage, immediate VAT refund, and VAT end-of-period retained tax refund.</v>
      </c>
      <c r="B7580" s="1" t="str">
        <f ca="1">IFERROR(__xludf.DUMMYFUNCTION("GOOGLETRANSLATE(A7580, ""zh"", ""en"")"),"Tax transparency")</f>
        <v>Tax transparency</v>
      </c>
      <c r="C7580" s="1" t="str">
        <f ca="1">IFERROR(__xludf.DUMMYFUNCTION("GOOGLETRANSLATE(E7580, ""zh"", ""en"")"),"Quantitative Text")</f>
        <v>Quantitative Text</v>
      </c>
    </row>
    <row r="7581" spans="1:3" ht="13" x14ac:dyDescent="0.15">
      <c r="A7581" s="1" t="str">
        <f ca="1">IFERROR(__xludf.DUMMYFUNCTION("GOOGLETRANSLATE(A7581, ""zh"", ""en"")"),"Pay taxes in full and on time, creating tax revenue and job opportunities")</f>
        <v>Pay taxes in full and on time, creating tax revenue and job opportunities</v>
      </c>
      <c r="B7581" s="1" t="str">
        <f ca="1">IFERROR(__xludf.DUMMYFUNCTION("GOOGLETRANSLATE(A7581, ""zh"", ""en"")"),"Tax transparency")</f>
        <v>Tax transparency</v>
      </c>
      <c r="C7581" s="1" t="str">
        <f ca="1">IFERROR(__xludf.DUMMYFUNCTION("GOOGLETRANSLATE(E7581, ""zh"", ""en"")"),"Qualitative text")</f>
        <v>Qualitative text</v>
      </c>
    </row>
    <row r="7582" spans="1:3" ht="13" x14ac:dyDescent="0.15">
      <c r="A7582" s="1" t="str">
        <f ca="1">IFERROR(__xludf.DUMMYFUNCTION("GOOGLETRANSLATE(A7582, ""zh"", ""en"")"),"The company strictly abides by tax laws and regulations and conscientiously fulfills its tax obligations.")</f>
        <v>The company strictly abides by tax laws and regulations and conscientiously fulfills its tax obligations.</v>
      </c>
      <c r="B7582" s="1" t="str">
        <f ca="1">IFERROR(__xludf.DUMMYFUNCTION("GOOGLETRANSLATE(A7582, ""zh"", ""en"")"),"Tax transparency")</f>
        <v>Tax transparency</v>
      </c>
      <c r="C7582" s="1" t="str">
        <f ca="1">IFERROR(__xludf.DUMMYFUNCTION("GOOGLETRANSLATE(E7582, ""zh"", ""en"")"),"Qualitative text")</f>
        <v>Qualitative text</v>
      </c>
    </row>
    <row r="7583" spans="1:3" ht="13" x14ac:dyDescent="0.15">
      <c r="A7583" s="1" t="str">
        <f ca="1">IFERROR(__xludf.DUMMYFUNCTION("GOOGLETRANSLATE(A7583, ""zh"", ""en"")"),"The company was selected as one of the top 22 tax contributors in Hunan and one of the top 10 taxpayers among listed companies in Hunan")</f>
        <v>The company was selected as one of the top 22 tax contributors in Hunan and one of the top 10 taxpayers among listed companies in Hunan</v>
      </c>
      <c r="B7583" s="1" t="str">
        <f ca="1">IFERROR(__xludf.DUMMYFUNCTION("GOOGLETRANSLATE(A7583, ""zh"", ""en"")"),"Tax transparency")</f>
        <v>Tax transparency</v>
      </c>
      <c r="C7583" s="1" t="str">
        <f ca="1">IFERROR(__xludf.DUMMYFUNCTION("GOOGLETRANSLATE(E7583, ""zh"", ""en"")"),"Quantitative Text")</f>
        <v>Quantitative Text</v>
      </c>
    </row>
    <row r="7584" spans="1:3" ht="13" x14ac:dyDescent="0.15">
      <c r="A7584" s="1" t="str">
        <f ca="1">IFERROR(__xludf.DUMMYFUNCTION("GOOGLETRANSLATE(A7584, ""zh"", ""en"")"),"Carry out tax registration, set up account books, keep vouchers, and file tax returns in accordance with the law;")</f>
        <v>Carry out tax registration, set up account books, keep vouchers, and file tax returns in accordance with the law;</v>
      </c>
      <c r="B7584" s="1" t="str">
        <f ca="1">IFERROR(__xludf.DUMMYFUNCTION("GOOGLETRANSLATE(A7584, ""zh"", ""en"")"),"Tax transparency")</f>
        <v>Tax transparency</v>
      </c>
      <c r="C7584" s="1" t="str">
        <f ca="1">IFERROR(__xludf.DUMMYFUNCTION("GOOGLETRANSLATE(E7584, ""zh"", ""en"")"),"Qualitative text")</f>
        <v>Qualitative text</v>
      </c>
    </row>
    <row r="7585" spans="1:3" ht="13" x14ac:dyDescent="0.15">
      <c r="A7585" s="1" t="str">
        <f ca="1">IFERROR(__xludf.DUMMYFUNCTION("GOOGLETRANSLATE(A7585, ""zh"", ""en"")"),"The company pays taxes on time in accordance with the law and actively fulfills its obligations as a withholding agent to withhold and remit taxes;")</f>
        <v>The company pays taxes on time in accordance with the law and actively fulfills its obligations as a withholding agent to withhold and remit taxes;</v>
      </c>
      <c r="B7585" s="1" t="str">
        <f ca="1">IFERROR(__xludf.DUMMYFUNCTION("GOOGLETRANSLATE(A7585, ""zh"", ""en"")"),"Tax transparency")</f>
        <v>Tax transparency</v>
      </c>
      <c r="C7585" s="1" t="str">
        <f ca="1">IFERROR(__xludf.DUMMYFUNCTION("GOOGLETRANSLATE(E7585, ""zh"", ""en"")"),"Qualitative text")</f>
        <v>Qualitative text</v>
      </c>
    </row>
    <row r="7586" spans="1:3" ht="13" x14ac:dyDescent="0.15">
      <c r="A7586" s="1" t="str">
        <f ca="1">IFERROR(__xludf.DUMMYFUNCTION("GOOGLETRANSLATE(A7586, ""zh"", ""en"")"),"Report the company's production and operation conditions and the implementation of financial systems to the tax authorities, and provide reports and information in accordance with relevant regulations.")</f>
        <v>Report the company's production and operation conditions and the implementation of financial systems to the tax authorities, and provide reports and information in accordance with relevant regulations.</v>
      </c>
      <c r="B7586" s="1" t="str">
        <f ca="1">IFERROR(__xludf.DUMMYFUNCTION("GOOGLETRANSLATE(A7586, ""zh"", ""en"")"),"Tax transparency")</f>
        <v>Tax transparency</v>
      </c>
      <c r="C7586" s="1" t="str">
        <f ca="1">IFERROR(__xludf.DUMMYFUNCTION("GOOGLETRANSLATE(E7586, ""zh"", ""en"")"),"Qualitative text")</f>
        <v>Qualitative text</v>
      </c>
    </row>
    <row r="7587" spans="1:3" ht="13" x14ac:dyDescent="0.15">
      <c r="A7587" s="1" t="str">
        <f ca="1">IFERROR(__xludf.DUMMYFUNCTION("GOOGLETRANSLATE(A7587, ""zh"", ""en"")"),"From 2018 to 2020, the company's tax payments were RMB 2.808 billion, RMB 4.829 billion, and RMB 3.628 billion, respectively.")</f>
        <v>From 2018 to 2020, the company's tax payments were RMB 2.808 billion, RMB 4.829 billion, and RMB 3.628 billion, respectively.</v>
      </c>
      <c r="B7587" s="1" t="str">
        <f ca="1">IFERROR(__xludf.DUMMYFUNCTION("GOOGLETRANSLATE(A7587, ""zh"", ""en"")"),"Tax transparency")</f>
        <v>Tax transparency</v>
      </c>
      <c r="C7587" s="1" t="str">
        <f ca="1">IFERROR(__xludf.DUMMYFUNCTION("GOOGLETRANSLATE(E7587, ""zh"", ""en"")"),"Quantitative Text")</f>
        <v>Quantitative Text</v>
      </c>
    </row>
    <row r="7588" spans="1:3" ht="13" x14ac:dyDescent="0.15">
      <c r="A7588" s="1" t="str">
        <f ca="1">IFERROR(__xludf.DUMMYFUNCTION("GOOGLETRANSLATE(A7588, ""zh"", ""en"")"),"Apply for water withdrawal permits in accordance with the law, optimize and improve production water use patterns and maintenance processes, control the proportion of circulating water, adopt advanced technologies such as reclaimed water reuse, fully auto"&amp;"matic control, and rainwater collection and utilization systems to improve water resource utilization and eliminate leakage.")</f>
        <v>Apply for water withdrawal permits in accordance with the law, optimize and improve production water use patterns and maintenance processes, control the proportion of circulating water, adopt advanced technologies such as reclaimed water reuse, fully automatic control, and rainwater collection and utilization systems to improve water resource utilization and eliminate leakage.</v>
      </c>
      <c r="B7588" s="1" t="str">
        <f ca="1">IFERROR(__xludf.DUMMYFUNCTION("GOOGLETRANSLATE(A7588, ""zh"", ""en"")"),"Water resources")</f>
        <v>Water resources</v>
      </c>
      <c r="C7588" s="1" t="str">
        <f ca="1">IFERROR(__xludf.DUMMYFUNCTION("GOOGLETRANSLATE(E7588, ""zh"", ""en"")"),"Qualitative text")</f>
        <v>Qualitative text</v>
      </c>
    </row>
    <row r="7589" spans="1:3" ht="13" x14ac:dyDescent="0.15">
      <c r="A7589" s="1" t="str">
        <f ca="1">IFERROR(__xludf.DUMMYFUNCTION("GOOGLETRANSLATE(A7589, ""zh"", ""en"")"),"In combination with relevant laws and regulations, we have formulated the ""Water Saving Management Method"" and adhered to the concept of rational use of water resources. We focus on saving water resources and improving utilization efficiency in all aspe"&amp;"cts of operations, strengthening water management and reducing wastewater discharge.")</f>
        <v>In combination with relevant laws and regulations, we have formulated the "Water Saving Management Method" and adhered to the concept of rational use of water resources. We focus on saving water resources and improving utilization efficiency in all aspects of operations, strengthening water management and reducing wastewater discharge.</v>
      </c>
      <c r="B7589" s="1" t="str">
        <f ca="1">IFERROR(__xludf.DUMMYFUNCTION("GOOGLETRANSLATE(A7589, ""zh"", ""en"")"),"Water resources")</f>
        <v>Water resources</v>
      </c>
      <c r="C7589" s="1" t="str">
        <f ca="1">IFERROR(__xludf.DUMMYFUNCTION("GOOGLETRANSLATE(E7589, ""zh"", ""en"")"),"Qualitative text")</f>
        <v>Qualitative text</v>
      </c>
    </row>
    <row r="7590" spans="1:3" ht="13" x14ac:dyDescent="0.15">
      <c r="A7590" s="1" t="str">
        <f ca="1">IFERROR(__xludf.DUMMYFUNCTION("GOOGLETRANSLATE(A7590, ""zh"", ""en"")"),"Measures: The subsidiary Huakang Pharmaceutical has installed cooling towers in the solid preparation workshop 1, pretreatment and extraction workshop, and comprehensive workshop, which can recycle 1,030 tons of water per hour. The solid preparation works"&amp;"hop 2 is equipped with a modular air-cooled chiller with specification model YCAE6ISMC-3B to ensure water recycling.")</f>
        <v>Measures: The subsidiary Huakang Pharmaceutical has installed cooling towers in the solid preparation workshop 1, pretreatment and extraction workshop, and comprehensive workshop, which can recycle 1,030 tons of water per hour. The solid preparation workshop 2 is equipped with a modular air-cooled chiller with specification model YCAE6ISMC-3B to ensure water recycling.</v>
      </c>
      <c r="B7590" s="1" t="str">
        <f ca="1">IFERROR(__xludf.DUMMYFUNCTION("GOOGLETRANSLATE(A7590, ""zh"", ""en"")"),"Water resources")</f>
        <v>Water resources</v>
      </c>
      <c r="C7590" s="1" t="str">
        <f ca="1">IFERROR(__xludf.DUMMYFUNCTION("GOOGLETRANSLATE(E7590, ""zh"", ""en"")"),"Quantitative Text")</f>
        <v>Quantitative Text</v>
      </c>
    </row>
    <row r="7591" spans="1:3" ht="13" x14ac:dyDescent="0.15">
      <c r="A7591" s="1" t="str">
        <f ca="1">IFERROR(__xludf.DUMMYFUNCTION("GOOGLETRANSLATE(A7591, ""zh"", ""en"")"),"Actively promote water recycling technology in the project to maximize the recycling and utilization of water resources: Yuxi Watson uses a condensate recovery unit to recycle all condensate generated to the boiler room for reuse, strengthen the insulatio"&amp;"n of cooling water circulation pipes, and achieve the recovery of 72,000 tons of hot water waste heat each year.")</f>
        <v>Actively promote water recycling technology in the project to maximize the recycling and utilization of water resources: Yuxi Watson uses a condensate recovery unit to recycle all condensate generated to the boiler room for reuse, strengthen the insulation of cooling water circulation pipes, and achieve the recovery of 72,000 tons of hot water waste heat each year.</v>
      </c>
      <c r="B7591" s="1" t="str">
        <f ca="1">IFERROR(__xludf.DUMMYFUNCTION("GOOGLETRANSLATE(A7591, ""zh"", ""en"")"),"Water resources")</f>
        <v>Water resources</v>
      </c>
      <c r="C7591" s="1" t="str">
        <f ca="1">IFERROR(__xludf.DUMMYFUNCTION("GOOGLETRANSLATE(E7591, ""zh"", ""en"")"),"Quantitative Text")</f>
        <v>Quantitative Text</v>
      </c>
    </row>
    <row r="7592" spans="1:3" ht="13" x14ac:dyDescent="0.15">
      <c r="A7592" s="1" t="str">
        <f ca="1">IFERROR(__xludf.DUMMYFUNCTION("GOOGLETRANSLATE(A7592, ""zh"", ""en"")"),"The working leading group coordinated planning and formulated institutional documents such as the ""Implementation Measures for Water Metering Management"", ""Water Saving Management Quota Reward and Punishment System"", and ""Specific Management System f"&amp;"or Planned Water Use and Water Conservation"".")</f>
        <v>The working leading group coordinated planning and formulated institutional documents such as the "Implementation Measures for Water Metering Management", "Water Saving Management Quota Reward and Punishment System", and "Specific Management System for Planned Water Use and Water Conservation".</v>
      </c>
      <c r="B7592" s="1" t="str">
        <f ca="1">IFERROR(__xludf.DUMMYFUNCTION("GOOGLETRANSLATE(A7592, ""zh"", ""en"")"),"Water resources")</f>
        <v>Water resources</v>
      </c>
      <c r="C7592" s="1" t="str">
        <f ca="1">IFERROR(__xludf.DUMMYFUNCTION("GOOGLETRANSLATE(E7592, ""zh"", ""en"")"),"Qualitative text")</f>
        <v>Qualitative text</v>
      </c>
    </row>
    <row r="7593" spans="1:3" ht="13" x14ac:dyDescent="0.15">
      <c r="A7593" s="1" t="str">
        <f ca="1">IFERROR(__xludf.DUMMYFUNCTION("GOOGLETRANSLATE(A7593, ""zh"", ""en"")"),"Practice water-saving actions, promote high-quality and stable development of cities, respond to the national call, and fulfill the ""Beijing Tong Ren Tang Co., Ltd. Air Pollution Emergency Plan"". The company's water resources mainly come from local muni"&amp;"cipal water supply. In terms of improving water use efficiency, the company adopts a circulating water system in the production process to reduce the use of water resources, and strive to build an ecological civilization and complete the production base.")</f>
        <v>Practice water-saving actions, promote high-quality and stable development of cities, respond to the national call, and fulfill the "Beijing Tong Ren Tang Co., Ltd. Air Pollution Emergency Plan". The company's water resources mainly come from local municipal water supply. In terms of improving water use efficiency, the company adopts a circulating water system in the production process to reduce the use of water resources, and strive to build an ecological civilization and complete the production base.</v>
      </c>
      <c r="B7593" s="1" t="str">
        <f ca="1">IFERROR(__xludf.DUMMYFUNCTION("GOOGLETRANSLATE(A7593, ""zh"", ""en"")"),"Water resources")</f>
        <v>Water resources</v>
      </c>
      <c r="C7593" s="1" t="str">
        <f ca="1">IFERROR(__xludf.DUMMYFUNCTION("GOOGLETRANSLATE(E7593, ""zh"", ""en"")"),"Qualitative text")</f>
        <v>Qualitative text</v>
      </c>
    </row>
    <row r="7594" spans="1:3" ht="13" x14ac:dyDescent="0.15">
      <c r="A7594" s="1" t="str">
        <f ca="1">IFERROR(__xludf.DUMMYFUNCTION("GOOGLETRANSLATE(A7594, ""zh"", ""en"")"),"The bottle washing wastewater generated during the bottle washing production process at the Beijing Watson Pharmaceuticals Center is treated by a grey water treatment unit. The grey water station adopts a ""mechanical filtration + disinfection"" treatment"&amp;" process and all the treated grey water is used for factory greening, road cleaning, and toilet flushing, saving about 10,000 tons of water each year.")</f>
        <v>The bottle washing wastewater generated during the bottle washing production process at the Beijing Watson Pharmaceuticals Center is treated by a grey water treatment unit. The grey water station adopts a "mechanical filtration + disinfection" treatment process and all the treated grey water is used for factory greening, road cleaning, and toilet flushing, saving about 10,000 tons of water each year.</v>
      </c>
      <c r="B7594" s="1" t="str">
        <f ca="1">IFERROR(__xludf.DUMMYFUNCTION("GOOGLETRANSLATE(A7594, ""zh"", ""en"")"),"Water resources")</f>
        <v>Water resources</v>
      </c>
      <c r="C7594" s="1" t="str">
        <f ca="1">IFERROR(__xludf.DUMMYFUNCTION("GOOGLETRANSLATE(E7594, ""zh"", ""en"")"),"Quantitative Text")</f>
        <v>Quantitative Text</v>
      </c>
    </row>
    <row r="7595" spans="1:3" ht="13" x14ac:dyDescent="0.15">
      <c r="A7595" s="1" t="str">
        <f ca="1">IFERROR(__xludf.DUMMYFUNCTION("GOOGLETRANSLATE(A7595, ""zh"", ""en"")"),"For the use of surface water, the company applies for water withdrawal permits in accordance with regulations, pays water resource fees on time, and has no significant impact on the environment in obtaining water sources.")</f>
        <v>For the use of surface water, the company applies for water withdrawal permits in accordance with regulations, pays water resource fees on time, and has no significant impact on the environment in obtaining water sources.</v>
      </c>
      <c r="B7595" s="1" t="str">
        <f ca="1">IFERROR(__xludf.DUMMYFUNCTION("GOOGLETRANSLATE(A7595, ""zh"", ""en"")"),"Water resources")</f>
        <v>Water resources</v>
      </c>
      <c r="C7595" s="1" t="str">
        <f ca="1">IFERROR(__xludf.DUMMYFUNCTION("GOOGLETRANSLATE(E7595, ""zh"", ""en"")"),"Qualitative text")</f>
        <v>Qualitative text</v>
      </c>
    </row>
    <row r="7596" spans="1:3" ht="13" x14ac:dyDescent="0.15">
      <c r="A7596" s="1" t="str">
        <f ca="1">IFERROR(__xludf.DUMMYFUNCTION("GOOGLETRANSLATE(A7596, ""zh"", ""en"")"),"Regarding water resources, the company mainly uses water from the municipal pipeline network in office, construction and operation. Through the use of energy-saving and water-saving equipment, transformation of green irrigation systems, rainwater and sewa"&amp;"ge diversion design and configuration of grey water recycling systems, the company reduces the consumption of water resources and the impact of various business activities on the water environment.")</f>
        <v>Regarding water resources, the company mainly uses water from the municipal pipeline network in office, construction and operation. Through the use of energy-saving and water-saving equipment, transformation of green irrigation systems, rainwater and sewage diversion design and configuration of grey water recycling systems, the company reduces the consumption of water resources and the impact of various business activities on the water environment.</v>
      </c>
      <c r="B7596" s="1" t="str">
        <f ca="1">IFERROR(__xludf.DUMMYFUNCTION("GOOGLETRANSLATE(A7596, ""zh"", ""en"")"),"Water resources")</f>
        <v>Water resources</v>
      </c>
      <c r="C7596" s="1" t="str">
        <f ca="1">IFERROR(__xludf.DUMMYFUNCTION("GOOGLETRANSLATE(E7596, ""zh"", ""en"")"),"Qualitative text")</f>
        <v>Qualitative text</v>
      </c>
    </row>
    <row r="7597" spans="1:3" ht="13" x14ac:dyDescent="0.15">
      <c r="A7597" s="1" t="str">
        <f ca="1">IFERROR(__xludf.DUMMYFUNCTION("GOOGLETRANSLATE(A7597, ""zh"", ""en"")"),"Renovate and recycle water facilities and pipelines for regular inspection and maintenance, use sensor faucets to avoid water resources, make full use of rainwater for road washing, green and reduce waste such as running, bubbling, dripping and leaking.")</f>
        <v>Renovate and recycle water facilities and pipelines for regular inspection and maintenance, use sensor faucets to avoid water resources, make full use of rainwater for road washing, green and reduce waste such as running, bubbling, dripping and leaking.</v>
      </c>
      <c r="B7597" s="1" t="str">
        <f ca="1">IFERROR(__xludf.DUMMYFUNCTION("GOOGLETRANSLATE(A7597, ""zh"", ""en"")"),"Water resources")</f>
        <v>Water resources</v>
      </c>
      <c r="C7597" s="1" t="str">
        <f ca="1">IFERROR(__xludf.DUMMYFUNCTION("GOOGLETRANSLATE(E7597, ""zh"", ""en"")"),"Qualitative text")</f>
        <v>Qualitative text</v>
      </c>
    </row>
    <row r="7598" spans="1:3" ht="13" x14ac:dyDescent="0.15">
      <c r="A7598" s="1" t="str">
        <f ca="1">IFERROR(__xludf.DUMMYFUNCTION("GOOGLETRANSLATE(A7598, ""zh"", ""en"")"),"In accordance with the Water Pollution Prevention and Control Law of the People's Republic of China and relevant laws and regulations, the company actively responded to the water conservation initiative, adhered to the principles of classified collection,"&amp;" quality-based treatment, and staged reuse, and invested more than 50 million yuan in the construction of wastewater station upgrade and reuse projects. The production wastewater is treated through pretreatment (coagulation and sedimentation), MCR membran"&amp;"e treatment, RO membrane treatment, biochemical treatment and other processes. The design capacity is to reuse 80% of the wastewater after it is treated to meet the standards.")</f>
        <v>In accordance with the Water Pollution Prevention and Control Law of the People's Republic of China and relevant laws and regulations, the company actively responded to the water conservation initiative, adhered to the principles of classified collection, quality-based treatment, and staged reuse, and invested more than 50 million yuan in the construction of wastewater station upgrade and reuse projects. The production wastewater is treated through pretreatment (coagulation and sedimentation), MCR membrane treatment, RO membrane treatment, biochemical treatment and other processes. The design capacity is to reuse 80% of the wastewater after it is treated to meet the standards.</v>
      </c>
      <c r="B7598" s="1" t="str">
        <f ca="1">IFERROR(__xludf.DUMMYFUNCTION("GOOGLETRANSLATE(A7598, ""zh"", ""en"")"),"Water resources")</f>
        <v>Water resources</v>
      </c>
      <c r="C7598" s="1" t="str">
        <f ca="1">IFERROR(__xludf.DUMMYFUNCTION("GOOGLETRANSLATE(E7598, ""zh"", ""en"")"),"Quantitative Text")</f>
        <v>Quantitative Text</v>
      </c>
    </row>
    <row r="7599" spans="1:3" ht="13" x14ac:dyDescent="0.15">
      <c r="A7599" s="1" t="str">
        <f ca="1">IFERROR(__xludf.DUMMYFUNCTION("GOOGLETRANSLATE(A7599, ""zh"", ""en"")"),"The company attaches great importance to construction water use measures, develops and uses water-saving automatic sprinkler systems, collects and uses natural precipitation or recycled wastewater for concrete maintenance, vehicle washing and dust suppres"&amp;"sion, thereby strengthening the recycling of water resources, improving wastewater recycling rates, and effectively saving water resources.")</f>
        <v>The company attaches great importance to construction water use measures, develops and uses water-saving automatic sprinkler systems, collects and uses natural precipitation or recycled wastewater for concrete maintenance, vehicle washing and dust suppression, thereby strengthening the recycling of water resources, improving wastewater recycling rates, and effectively saving water resources.</v>
      </c>
      <c r="B7599" s="1" t="str">
        <f ca="1">IFERROR(__xludf.DUMMYFUNCTION("GOOGLETRANSLATE(A7599, ""zh"", ""en"")"),"Water resources")</f>
        <v>Water resources</v>
      </c>
      <c r="C7599" s="1" t="str">
        <f ca="1">IFERROR(__xludf.DUMMYFUNCTION("GOOGLETRANSLATE(E7599, ""zh"", ""en"")"),"Qualitative text")</f>
        <v>Qualitative text</v>
      </c>
    </row>
    <row r="7600" spans="1:3" ht="13" x14ac:dyDescent="0.15">
      <c r="A7600" s="1" t="str">
        <f ca="1">IFERROR(__xludf.DUMMYFUNCTION("GOOGLETRANSLATE(A7600, ""zh"", ""en"")"),"The company also starts from the details such as office water use and reception drinking water to reduce water resource consumption, enhance the water conservation awareness of all employees, and promote the construction of a beautiful home.")</f>
        <v>The company also starts from the details such as office water use and reception drinking water to reduce water resource consumption, enhance the water conservation awareness of all employees, and promote the construction of a beautiful home.</v>
      </c>
      <c r="B7600" s="1" t="str">
        <f ca="1">IFERROR(__xludf.DUMMYFUNCTION("GOOGLETRANSLATE(A7600, ""zh"", ""en"")"),"Water resources")</f>
        <v>Water resources</v>
      </c>
      <c r="C7600" s="1" t="str">
        <f ca="1">IFERROR(__xludf.DUMMYFUNCTION("GOOGLETRANSLATE(E7600, ""zh"", ""en"")"),"Qualitative text")</f>
        <v>Qualitative text</v>
      </c>
    </row>
    <row r="7601" spans="1:3" ht="13" x14ac:dyDescent="0.15">
      <c r="A7601" s="1" t="str">
        <f ca="1">IFERROR(__xludf.DUMMYFUNCTION("GOOGLETRANSLATE(A7601, ""zh"", ""en"")"),"The company's Environmental Protection Department avoids waste of water resources by improving production technology, raising employees' awareness of water conservation, giving priority to purchasing water-saving and water purification equipment, and stre"&amp;"ngthening the inspection and maintenance of water-using equipment.")</f>
        <v>The company's Environmental Protection Department avoids waste of water resources by improving production technology, raising employees' awareness of water conservation, giving priority to purchasing water-saving and water purification equipment, and strengthening the inspection and maintenance of water-using equipment.</v>
      </c>
      <c r="B7601" s="1" t="str">
        <f ca="1">IFERROR(__xludf.DUMMYFUNCTION("GOOGLETRANSLATE(A7601, ""zh"", ""en"")"),"Water resources")</f>
        <v>Water resources</v>
      </c>
      <c r="C7601" s="1" t="str">
        <f ca="1">IFERROR(__xludf.DUMMYFUNCTION("GOOGLETRANSLATE(E7601, ""zh"", ""en"")"),"Qualitative text")</f>
        <v>Qualitative text</v>
      </c>
    </row>
    <row r="7602" spans="1:3" ht="13" x14ac:dyDescent="0.15">
      <c r="A7602" s="1" t="str">
        <f ca="1">IFERROR(__xludf.DUMMYFUNCTION("GOOGLETRANSLATE(A7602, ""zh"", ""en"")"),"The company attaches great importance to sustainable water resources management. Through the overall planning of the company's water conservation leadership group, it has formulated institutional documents such as the ""Implementation Measures for Water M"&amp;"etering Management"", the ""Water Conservation Management Quota Reward and Punishment System"", and the ""Specific Management System for Planned Water Use and Water Conservation"".")</f>
        <v>The company attaches great importance to sustainable water resources management. Through the overall planning of the company's water conservation leadership group, it has formulated institutional documents such as the "Implementation Measures for Water Metering Management", the "Water Conservation Management Quota Reward and Punishment System", and the "Specific Management System for Planned Water Use and Water Conservation".</v>
      </c>
      <c r="B7602" s="1" t="str">
        <f ca="1">IFERROR(__xludf.DUMMYFUNCTION("GOOGLETRANSLATE(A7602, ""zh"", ""en"")"),"Water resources")</f>
        <v>Water resources</v>
      </c>
      <c r="C7602" s="1" t="str">
        <f ca="1">IFERROR(__xludf.DUMMYFUNCTION("GOOGLETRANSLATE(E7602, ""zh"", ""en"")"),"Qualitative text")</f>
        <v>Qualitative text</v>
      </c>
    </row>
    <row r="7603" spans="1:3" ht="13" x14ac:dyDescent="0.15">
      <c r="A7603" s="1" t="str">
        <f ca="1">IFERROR(__xludf.DUMMYFUNCTION("GOOGLETRANSLATE(A7603, ""zh"", ""en"")"),"The company has formulated a water-saving management system and carried out a number of water-saving measures, including water-saving publicity and water-saving technology transformation, to improve water resource utilization and reduce water resource con"&amp;"sumption. It also strengthens water-saving supervision and management by installing water meters in various water-using departments.")</f>
        <v>The company has formulated a water-saving management system and carried out a number of water-saving measures, including water-saving publicity and water-saving technology transformation, to improve water resource utilization and reduce water resource consumption. It also strengthens water-saving supervision and management by installing water meters in various water-using departments.</v>
      </c>
      <c r="B7603" s="1" t="str">
        <f ca="1">IFERROR(__xludf.DUMMYFUNCTION("GOOGLETRANSLATE(A7603, ""zh"", ""en"")"),"Water resources")</f>
        <v>Water resources</v>
      </c>
      <c r="C7603" s="1" t="str">
        <f ca="1">IFERROR(__xludf.DUMMYFUNCTION("GOOGLETRANSLATE(E7603, ""zh"", ""en"")"),"Qualitative text")</f>
        <v>Qualitative text</v>
      </c>
    </row>
    <row r="7604" spans="1:3" ht="13" x14ac:dyDescent="0.15">
      <c r="A7604" s="1" t="str">
        <f ca="1">IFERROR(__xludf.DUMMYFUNCTION("GOOGLETRANSLATE(A7604, ""zh"", ""en"")"),"Two 120-cubic-meter condensation water pools were built, collecting an average of 80 cubic meters of hot water per day, which was then naturally cooled and used for irrigation of greenery. This is expected to save 24,000 tons of tap water annually.")</f>
        <v>Two 120-cubic-meter condensation water pools were built, collecting an average of 80 cubic meters of hot water per day, which was then naturally cooled and used for irrigation of greenery. This is expected to save 24,000 tons of tap water annually.</v>
      </c>
      <c r="B7604" s="1" t="str">
        <f ca="1">IFERROR(__xludf.DUMMYFUNCTION("GOOGLETRANSLATE(A7604, ""zh"", ""en"")"),"Water resources")</f>
        <v>Water resources</v>
      </c>
      <c r="C7604" s="1" t="str">
        <f ca="1">IFERROR(__xludf.DUMMYFUNCTION("GOOGLETRANSLATE(E7604, ""zh"", ""en"")"),"Quantitative Text")</f>
        <v>Quantitative Text</v>
      </c>
    </row>
    <row r="7605" spans="1:3" ht="13" x14ac:dyDescent="0.15">
      <c r="A7605" s="1" t="str">
        <f ca="1">IFERROR(__xludf.DUMMYFUNCTION("GOOGLETRANSLATE(A7605, ""zh"", ""en"")"),"We have implemented a number of water-saving measures, including water-saving publicity and water-saving technology transformation, to improve water resource utilization and reduce water resource consumption. We have also strengthened water-saving supervi"&amp;"sion and management by installing water meters in various water-using departments.")</f>
        <v>We have implemented a number of water-saving measures, including water-saving publicity and water-saving technology transformation, to improve water resource utilization and reduce water resource consumption. We have also strengthened water-saving supervision and management by installing water meters in various water-using departments.</v>
      </c>
      <c r="B7605" s="1" t="str">
        <f ca="1">IFERROR(__xludf.DUMMYFUNCTION("GOOGLETRANSLATE(A7605, ""zh"", ""en"")"),"Water resources")</f>
        <v>Water resources</v>
      </c>
      <c r="C7605" s="1" t="str">
        <f ca="1">IFERROR(__xludf.DUMMYFUNCTION("GOOGLETRANSLATE(E7605, ""zh"", ""en"")"),"Qualitative text")</f>
        <v>Qualitative text</v>
      </c>
    </row>
    <row r="7606" spans="1:3" ht="13" x14ac:dyDescent="0.15">
      <c r="A7606" s="1" t="str">
        <f ca="1">IFERROR(__xludf.DUMMYFUNCTION("GOOGLETRANSLATE(A7606, ""zh"", ""en"")"),"Equipped with two-tank pure water washing and wastewater recycling facilities to achieve countercurrent circulation")</f>
        <v>Equipped with two-tank pure water washing and wastewater recycling facilities to achieve countercurrent circulation</v>
      </c>
      <c r="B7606" s="1" t="str">
        <f ca="1">IFERROR(__xludf.DUMMYFUNCTION("GOOGLETRANSLATE(A7606, ""zh"", ""en"")"),"Water resources")</f>
        <v>Water resources</v>
      </c>
      <c r="C7606" s="1" t="str">
        <f ca="1">IFERROR(__xludf.DUMMYFUNCTION("GOOGLETRANSLATE(E7606, ""zh"", ""en"")"),"Qualitative text")</f>
        <v>Qualitative text</v>
      </c>
    </row>
    <row r="7607" spans="1:3" ht="13" x14ac:dyDescent="0.15">
      <c r="A7607" s="1" t="str">
        <f ca="1">IFERROR(__xludf.DUMMYFUNCTION("GOOGLETRANSLATE(A7607, ""zh"", ""en"")"),"Equipped with rainwater collection pools and rooftop rainwater collection systems to reduce water consumption")</f>
        <v>Equipped with rainwater collection pools and rooftop rainwater collection systems to reduce water consumption</v>
      </c>
      <c r="B7607" s="1" t="str">
        <f ca="1">IFERROR(__xludf.DUMMYFUNCTION("GOOGLETRANSLATE(A7607, ""zh"", ""en"")"),"Water resources")</f>
        <v>Water resources</v>
      </c>
      <c r="C7607" s="1" t="str">
        <f ca="1">IFERROR(__xludf.DUMMYFUNCTION("GOOGLETRANSLATE(E7607, ""zh"", ""en"")"),"Qualitative text")</f>
        <v>Qualitative text</v>
      </c>
    </row>
    <row r="7608" spans="1:3" ht="13" x14ac:dyDescent="0.15">
      <c r="A7608" s="1" t="str">
        <f ca="1">IFERROR(__xludf.DUMMYFUNCTION("GOOGLETRANSLATE(A7608, ""zh"", ""en"")"),"Use condensate recovery units to recycle all condensate back to the boiler room for reuse, strengthen insulation of cooling water circulation pipes, and achieve 72,000 tons of hot water waste heat recovery annually")</f>
        <v>Use condensate recovery units to recycle all condensate back to the boiler room for reuse, strengthen insulation of cooling water circulation pipes, and achieve 72,000 tons of hot water waste heat recovery annually</v>
      </c>
      <c r="B7608" s="1" t="str">
        <f ca="1">IFERROR(__xludf.DUMMYFUNCTION("GOOGLETRANSLATE(A7608, ""zh"", ""en"")"),"Water resources")</f>
        <v>Water resources</v>
      </c>
      <c r="C7608" s="1" t="str">
        <f ca="1">IFERROR(__xludf.DUMMYFUNCTION("GOOGLETRANSLATE(E7608, ""zh"", ""en"")"),"Quantitative Text")</f>
        <v>Quantitative Text</v>
      </c>
    </row>
    <row r="7609" spans="1:3" ht="13" x14ac:dyDescent="0.15">
      <c r="A7609" s="1" t="str">
        <f ca="1">IFERROR(__xludf.DUMMYFUNCTION("GOOGLETRANSLATE(A7609, ""zh"", ""en"")"),"The Sihuan Zinc and Germanium Comprehensive Recovery Plant takes into account the plant's water system and recycling, adopts China ENFI's ENFI-LTE method complete set of technology and equipment, and uses the low-pressure waste heat steam from the plant's"&amp;" fuming furnace as a heat source to evaporate and concentrate the waste acid treatment liquid. This improves the reuse rate of water, reduces wastewater treatment costs, and produces fresh water resources with a conductivity as low as 100us/cm. The acid p"&amp;"roduction circulating water system is reused to reduce the need for circulating water to supplement production water. It treats 300m3/d of waste acid treatment liquid. According to plant calculations, the operating cost of producing 1m3 of water is approx"&amp;"imately 5-7 kWh of electricity. The equipment is currently in the trial operation stage.")</f>
        <v>The Sihuan Zinc and Germanium Comprehensive Recovery Plant takes into account the plant's water system and recycling, adopts China ENFI's ENFI-LTE method complete set of technology and equipment, and uses the low-pressure waste heat steam from the plant's fuming furnace as a heat source to evaporate and concentrate the waste acid treatment liquid. This improves the reuse rate of water, reduces wastewater treatment costs, and produces fresh water resources with a conductivity as low as 100us/cm. The acid production circulating water system is reused to reduce the need for circulating water to supplement production water. It treats 300m3/d of waste acid treatment liquid. According to plant calculations, the operating cost of producing 1m3 of water is approximately 5-7 kWh of electricity. The equipment is currently in the trial operation stage.</v>
      </c>
      <c r="B7609" s="1" t="str">
        <f ca="1">IFERROR(__xludf.DUMMYFUNCTION("GOOGLETRANSLATE(A7609, ""zh"", ""en"")"),"Water resources")</f>
        <v>Water resources</v>
      </c>
      <c r="C7609" s="1" t="str">
        <f ca="1">IFERROR(__xludf.DUMMYFUNCTION("GOOGLETRANSLATE(E7609, ""zh"", ""en"")"),"Quantitative Text")</f>
        <v>Quantitative Text</v>
      </c>
    </row>
    <row r="7610" spans="1:3" ht="13" x14ac:dyDescent="0.15">
      <c r="A7610" s="1" t="str">
        <f ca="1">IFERROR(__xludf.DUMMYFUNCTION("GOOGLETRANSLATE(A7610, ""zh"", ""en"")"),"Through water resource reuse technologies such as comprehensive reuse facilities, rainwater collection systems, and steam condensate reuse facilities, the water recycling and reuse rate can be improved and ineffective water use can be reduced.")</f>
        <v>Through water resource reuse technologies such as comprehensive reuse facilities, rainwater collection systems, and steam condensate reuse facilities, the water recycling and reuse rate can be improved and ineffective water use can be reduced.</v>
      </c>
      <c r="B7610" s="1" t="str">
        <f ca="1">IFERROR(__xludf.DUMMYFUNCTION("GOOGLETRANSLATE(A7610, ""zh"", ""en"")"),"Water resources")</f>
        <v>Water resources</v>
      </c>
      <c r="C7610" s="1" t="str">
        <f ca="1">IFERROR(__xludf.DUMMYFUNCTION("GOOGLETRANSLATE(E7610, ""zh"", ""en"")"),"Qualitative text")</f>
        <v>Qualitative text</v>
      </c>
    </row>
    <row r="7611" spans="1:3" ht="13" x14ac:dyDescent="0.15">
      <c r="A7611" s="1" t="str">
        <f ca="1">IFERROR(__xludf.DUMMYFUNCTION("GOOGLETRANSLATE(A7611, ""zh"", ""en"")"),"At the same time, we vigorously promote the grey water reuse system. Rainwater can be collected and recycled for secondary use after dust and sand filtering, such as for washing vehicles and roads, watering green plants, etc., effectively reducing water r"&amp;"esource consumption.")</f>
        <v>At the same time, we vigorously promote the grey water reuse system. Rainwater can be collected and recycled for secondary use after dust and sand filtering, such as for washing vehicles and roads, watering green plants, etc., effectively reducing water resource consumption.</v>
      </c>
      <c r="B7611" s="1" t="str">
        <f ca="1">IFERROR(__xludf.DUMMYFUNCTION("GOOGLETRANSLATE(A7611, ""zh"", ""en"")"),"Water resources")</f>
        <v>Water resources</v>
      </c>
      <c r="C7611" s="1" t="str">
        <f ca="1">IFERROR(__xludf.DUMMYFUNCTION("GOOGLETRANSLATE(E7611, ""zh"", ""en"")"),"Qualitative text")</f>
        <v>Qualitative text</v>
      </c>
    </row>
    <row r="7612" spans="1:3" ht="13" x14ac:dyDescent="0.15">
      <c r="A7612" s="1" t="str">
        <f ca="1">IFERROR(__xludf.DUMMYFUNCTION("GOOGLETRANSLATE(A7612, ""zh"", ""en"")"),"Promote water conservation measures and new technologies, processes and systems to improve water use efficiency")</f>
        <v>Promote water conservation measures and new technologies, processes and systems to improve water use efficiency</v>
      </c>
      <c r="B7612" s="1" t="str">
        <f ca="1">IFERROR(__xludf.DUMMYFUNCTION("GOOGLETRANSLATE(A7612, ""zh"", ""en"")"),"Water resources")</f>
        <v>Water resources</v>
      </c>
      <c r="C7612" s="1" t="str">
        <f ca="1">IFERROR(__xludf.DUMMYFUNCTION("GOOGLETRANSLATE(E7612, ""zh"", ""en"")"),"Qualitative text")</f>
        <v>Qualitative text</v>
      </c>
    </row>
    <row r="7613" spans="1:3" ht="13" x14ac:dyDescent="0.15">
      <c r="A7613" s="1" t="str">
        <f ca="1">IFERROR(__xludf.DUMMYFUNCTION("GOOGLETRANSLATE(A7613, ""zh"", ""en"")"),"Under the premise of environmental protection, the park has set up a rainwater reuse system and a grey water system to use clean rainwater for road cleaning, greening, toilet flushing, etc.")</f>
        <v>Under the premise of environmental protection, the park has set up a rainwater reuse system and a grey water system to use clean rainwater for road cleaning, greening, toilet flushing, etc.</v>
      </c>
      <c r="B7613" s="1" t="str">
        <f ca="1">IFERROR(__xludf.DUMMYFUNCTION("GOOGLETRANSLATE(A7613, ""zh"", ""en"")"),"Water resources")</f>
        <v>Water resources</v>
      </c>
      <c r="C7613" s="1" t="str">
        <f ca="1">IFERROR(__xludf.DUMMYFUNCTION("GOOGLETRANSLATE(E7613, ""zh"", ""en"")"),"Qualitative text")</f>
        <v>Qualitative text</v>
      </c>
    </row>
    <row r="7614" spans="1:3" ht="13" x14ac:dyDescent="0.15">
      <c r="A7614" s="1" t="str">
        <f ca="1">IFERROR(__xludf.DUMMYFUNCTION("GOOGLETRANSLATE(A7614, ""zh"", ""en"")"),"During the manufacturing process, we adopted concentrated water recycling technology, and the recovered concentrated water was centrally treated and reused for flushing toilets and green irrigation in the park, which promoted the utilization rate of water"&amp;" resources and reduced water intake. At the same time, through the company's WeChat official account ""New Industry Home"", elevator videos and promotional posters, we continue to advocate the concept of water conservation and reduce water waste in daily "&amp;"office work.")</f>
        <v>During the manufacturing process, we adopted concentrated water recycling technology, and the recovered concentrated water was centrally treated and reused for flushing toilets and green irrigation in the park, which promoted the utilization rate of water resources and reduced water intake. At the same time, through the company's WeChat official account "New Industry Home", elevator videos and promotional posters, we continue to advocate the concept of water conservation and reduce water waste in daily office work.</v>
      </c>
      <c r="B7614" s="1" t="str">
        <f ca="1">IFERROR(__xludf.DUMMYFUNCTION("GOOGLETRANSLATE(A7614, ""zh"", ""en"")"),"Water resources")</f>
        <v>Water resources</v>
      </c>
      <c r="C7614" s="1" t="str">
        <f ca="1">IFERROR(__xludf.DUMMYFUNCTION("GOOGLETRANSLATE(E7614, ""zh"", ""en"")"),"Qualitative text")</f>
        <v>Qualitative text</v>
      </c>
    </row>
    <row r="7615" spans="1:3" ht="13" x14ac:dyDescent="0.15">
      <c r="A7615" s="1" t="str">
        <f ca="1">IFERROR(__xludf.DUMMYFUNCTION("GOOGLETRANSLATE(A7615, ""zh"", ""en"")"),"Select water-saving facilities and water-saving appliances during project construction and operation, or reduce water resource consumption through technical optimization and technical transformation; start and stop pharmaceutical water equipment and syste"&amp;"ms in a timely manner according to production conditions, strengthen the maintenance of water systems and special gas systems, and promptly resolve leakage problems to prevent additional waste of water systems and special gases.")</f>
        <v>Select water-saving facilities and water-saving appliances during project construction and operation, or reduce water resource consumption through technical optimization and technical transformation; start and stop pharmaceutical water equipment and systems in a timely manner according to production conditions, strengthen the maintenance of water systems and special gas systems, and promptly resolve leakage problems to prevent additional waste of water systems and special gases.</v>
      </c>
      <c r="B7615" s="1" t="str">
        <f ca="1">IFERROR(__xludf.DUMMYFUNCTION("GOOGLETRANSLATE(A7615, ""zh"", ""en"")"),"Water resources")</f>
        <v>Water resources</v>
      </c>
      <c r="C7615" s="1" t="str">
        <f ca="1">IFERROR(__xludf.DUMMYFUNCTION("GOOGLETRANSLATE(E7615, ""zh"", ""en"")"),"Qualitative text")</f>
        <v>Qualitative text</v>
      </c>
    </row>
    <row r="7616" spans="1:3" ht="13" x14ac:dyDescent="0.15">
      <c r="A7616" s="1" t="str">
        <f ca="1">IFERROR(__xludf.DUMMYFUNCTION("GOOGLETRANSLATE(A7616, ""zh"", ""en"")"),"Actively promote water recycling technology in the project to maximize the recycling and utilization of water resources.")</f>
        <v>Actively promote water recycling technology in the project to maximize the recycling and utilization of water resources.</v>
      </c>
      <c r="B7616" s="1" t="str">
        <f ca="1">IFERROR(__xludf.DUMMYFUNCTION("GOOGLETRANSLATE(A7616, ""zh"", ""en"")"),"Water resources")</f>
        <v>Water resources</v>
      </c>
      <c r="C7616" s="1" t="str">
        <f ca="1">IFERROR(__xludf.DUMMYFUNCTION("GOOGLETRANSLATE(E7616, ""zh"", ""en"")"),"Qualitative text")</f>
        <v>Qualitative text</v>
      </c>
    </row>
    <row r="7617" spans="1:3" ht="13" x14ac:dyDescent="0.15">
      <c r="A7617" s="1" t="str">
        <f ca="1">IFERROR(__xludf.DUMMYFUNCTION("GOOGLETRANSLATE(A7617, ""zh"", ""en"")"),"In view of the water resource situation in each production link, we research and apply water recycling technology, and actively improve production equipment or transform production lines, optimize production process flow, and realize the recycling of wate"&amp;"r resources such as distilled water and washing water.")</f>
        <v>In view of the water resource situation in each production link, we research and apply water recycling technology, and actively improve production equipment or transform production lines, optimize production process flow, and realize the recycling of water resources such as distilled water and washing water.</v>
      </c>
      <c r="B7617" s="1" t="str">
        <f ca="1">IFERROR(__xludf.DUMMYFUNCTION("GOOGLETRANSLATE(A7617, ""zh"", ""en"")"),"Water resources")</f>
        <v>Water resources</v>
      </c>
      <c r="C7617" s="1" t="str">
        <f ca="1">IFERROR(__xludf.DUMMYFUNCTION("GOOGLETRANSLATE(E7617, ""zh"", ""en"")"),"Qualitative text")</f>
        <v>Qualitative text</v>
      </c>
    </row>
    <row r="7618" spans="1:3" ht="13" x14ac:dyDescent="0.15">
      <c r="A7618" s="1" t="str">
        <f ca="1">IFERROR(__xludf.DUMMYFUNCTION("GOOGLETRANSLATE(A7618, ""zh"", ""en"")"),"The company established Goldwind Environmental Protection Co., Ltd. to expand the water and environmental protection industry chain. It specializes in the investment, construction and operation of water projects, as well as technological innovation. Its b"&amp;"usiness scope covers municipal water supply, municipal sewage treatment, industrial sewage treatment, reclaimed water reuse and other fields.")</f>
        <v>The company established Goldwind Environmental Protection Co., Ltd. to expand the water and environmental protection industry chain. It specializes in the investment, construction and operation of water projects, as well as technological innovation. Its business scope covers municipal water supply, municipal sewage treatment, industrial sewage treatment, reclaimed water reuse and other fields.</v>
      </c>
      <c r="B7618" s="1" t="str">
        <f ca="1">IFERROR(__xludf.DUMMYFUNCTION("GOOGLETRANSLATE(A7618, ""zh"", ""en"")"),"Water resources")</f>
        <v>Water resources</v>
      </c>
      <c r="C7618" s="1" t="str">
        <f ca="1">IFERROR(__xludf.DUMMYFUNCTION("GOOGLETRANSLATE(E7618, ""zh"", ""en"")"),"Qualitative text")</f>
        <v>Qualitative text</v>
      </c>
    </row>
    <row r="7619" spans="1:3" ht="13" x14ac:dyDescent="0.15">
      <c r="A7619" s="1" t="str">
        <f ca="1">IFERROR(__xludf.DUMMYFUNCTION("GOOGLETRANSLATE(A7619, ""zh"", ""en"")"),"In response to the rapid growth of water demand and the severe water pollution in my country, Goldwind Technology has utilized its resources and advantages in energy conservation and environmental protection to develop and expand its environmental protect"&amp;"ion business. It is engaged in the investment, design, construction, operation and management of water projects, as well as the development, sales and maintenance of related equipment and materials. Its business covers multiple fields such as tap water, s"&amp;"ewage, sludge, and ecological environment management.")</f>
        <v>In response to the rapid growth of water demand and the severe water pollution in my country, Goldwind Technology has utilized its resources and advantages in energy conservation and environmental protection to develop and expand its environmental protection business. It is engaged in the investment, design, construction, operation and management of water projects, as well as the development, sales and maintenance of related equipment and materials. Its business covers multiple fields such as tap water, sewage, sludge, and ecological environment management.</v>
      </c>
      <c r="B7619" s="1" t="str">
        <f ca="1">IFERROR(__xludf.DUMMYFUNCTION("GOOGLETRANSLATE(A7619, ""zh"", ""en"")"),"Water resources")</f>
        <v>Water resources</v>
      </c>
      <c r="C7619" s="1" t="str">
        <f ca="1">IFERROR(__xludf.DUMMYFUNCTION("GOOGLETRANSLATE(E7619, ""zh"", ""en"")"),"Qualitative text")</f>
        <v>Qualitative text</v>
      </c>
    </row>
    <row r="7620" spans="1:3" ht="13" x14ac:dyDescent="0.15">
      <c r="A7620" s="1" t="str">
        <f ca="1">IFERROR(__xludf.DUMMYFUNCTION("GOOGLETRANSLATE(A7620, ""zh"", ""en"")"),"As of the end of 2022, the company holds 66 water project companies, covering 33 cities across the country, with a cumulative operating contract scale of 2.84 million tons/day")</f>
        <v>As of the end of 2022, the company holds 66 water project companies, covering 33 cities across the country, with a cumulative operating contract scale of 2.84 million tons/day</v>
      </c>
      <c r="B7620" s="1" t="str">
        <f ca="1">IFERROR(__xludf.DUMMYFUNCTION("GOOGLETRANSLATE(A7620, ""zh"", ""en"")"),"Water resources")</f>
        <v>Water resources</v>
      </c>
      <c r="C7620" s="1" t="str">
        <f ca="1">IFERROR(__xludf.DUMMYFUNCTION("GOOGLETRANSLATE(E7620, ""zh"", ""en"")"),"Quantitative Text")</f>
        <v>Quantitative Text</v>
      </c>
    </row>
    <row r="7621" spans="1:3" ht="13" x14ac:dyDescent="0.15">
      <c r="A7621" s="1" t="str">
        <f ca="1">IFERROR(__xludf.DUMMYFUNCTION("GOOGLETRANSLATE(A7621, ""zh"", ""en"")"),"The company takes information firewall measures to limit the flow of insider information between confidential and public businesses, or to prevent it from being improperly disclosed or abused, to prevent insider trading and to ensure the normal developmen"&amp;"t of the company's business activities.")</f>
        <v>The company takes information firewall measures to limit the flow of insider information between confidential and public businesses, or to prevent it from being improperly disclosed or abused, to prevent insider trading and to ensure the normal development of the company's business activities.</v>
      </c>
      <c r="B7621" s="1" t="str">
        <f ca="1">IFERROR(__xludf.DUMMYFUNCTION("GOOGLETRANSLATE(A7621, ""zh"", ""en"")"),"Data security")</f>
        <v>Data security</v>
      </c>
      <c r="C7621" s="1" t="str">
        <f ca="1">IFERROR(__xludf.DUMMYFUNCTION("GOOGLETRANSLATE(E7621, ""zh"", ""en"")"),"Qualitative text")</f>
        <v>Qualitative text</v>
      </c>
    </row>
    <row r="7622" spans="1:3" ht="13" x14ac:dyDescent="0.15">
      <c r="A7622" s="1" t="str">
        <f ca="1">IFERROR(__xludf.DUMMYFUNCTION("GOOGLETRANSLATE(A7622, ""zh"", ""en"")"),"The company's internal information shall not be provided to third parties outside the company at will, and employees have an obligation to keep internal information confidential.")</f>
        <v>The company's internal information shall not be provided to third parties outside the company at will, and employees have an obligation to keep internal information confidential.</v>
      </c>
      <c r="B7622" s="1" t="str">
        <f ca="1">IFERROR(__xludf.DUMMYFUNCTION("GOOGLETRANSLATE(A7622, ""zh"", ""en"")"),"Data security")</f>
        <v>Data security</v>
      </c>
      <c r="C7622" s="1" t="str">
        <f ca="1">IFERROR(__xludf.DUMMYFUNCTION("GOOGLETRANSLATE(E7622, ""zh"", ""en"")"),"Qualitative text")</f>
        <v>Qualitative text</v>
      </c>
    </row>
    <row r="7623" spans="1:3" ht="13" x14ac:dyDescent="0.15">
      <c r="A7623" s="1" t="str">
        <f ca="1">IFERROR(__xludf.DUMMYFUNCTION("GOOGLETRANSLATE(A7623, ""zh"", ""en"")"),"The company regularly conducts information security incident training, covering topics such as email domain name fraud, phishing defense, and company data security training, to strengthen corporate information security from the employees themselves.")</f>
        <v>The company regularly conducts information security incident training, covering topics such as email domain name fraud, phishing defense, and company data security training, to strengthen corporate information security from the employees themselves.</v>
      </c>
      <c r="B7623" s="1" t="str">
        <f ca="1">IFERROR(__xludf.DUMMYFUNCTION("GOOGLETRANSLATE(A7623, ""zh"", ""en"")"),"Data security")</f>
        <v>Data security</v>
      </c>
      <c r="C7623" s="1" t="str">
        <f ca="1">IFERROR(__xludf.DUMMYFUNCTION("GOOGLETRANSLATE(E7623, ""zh"", ""en"")"),"Qualitative text")</f>
        <v>Qualitative text</v>
      </c>
    </row>
    <row r="7624" spans="1:3" ht="13" x14ac:dyDescent="0.15">
      <c r="A7624" s="1" t="str">
        <f ca="1">IFERROR(__xludf.DUMMYFUNCTION("GOOGLETRANSLATE(A7624, ""zh"", ""en"")"),"The company held 24 network information security training sessions, covering 95% of functional personnel")</f>
        <v>The company held 24 network information security training sessions, covering 95% of functional personnel</v>
      </c>
      <c r="B7624" s="1" t="str">
        <f ca="1">IFERROR(__xludf.DUMMYFUNCTION("GOOGLETRANSLATE(A7624, ""zh"", ""en"")"),"Data security")</f>
        <v>Data security</v>
      </c>
      <c r="C7624" s="1" t="str">
        <f ca="1">IFERROR(__xludf.DUMMYFUNCTION("GOOGLETRANSLATE(E7624, ""zh"", ""en"")"),"Quantitative Text")</f>
        <v>Quantitative Text</v>
      </c>
    </row>
    <row r="7625" spans="1:3" ht="13" x14ac:dyDescent="0.15">
      <c r="A7625" s="1" t="str">
        <f ca="1">IFERROR(__xludf.DUMMYFUNCTION("GOOGLETRANSLATE(A7625, ""zh"", ""en"")"),"The company has established internal systems and documents such as the ""Information Security Management System"", ""Data Center Backup Management System"", ""Information System Development Management System"", and ""IT Equipment Maintenance Management Sy"&amp;"stem"" to improve the information security management system, clarify operating standards, and reduce information security risks in various departments.")</f>
        <v>The company has established internal systems and documents such as the "Information Security Management System", "Data Center Backup Management System", "Information System Development Management System", and "IT Equipment Maintenance Management System" to improve the information security management system, clarify operating standards, and reduce information security risks in various departments.</v>
      </c>
      <c r="B7625" s="1" t="str">
        <f ca="1">IFERROR(__xludf.DUMMYFUNCTION("GOOGLETRANSLATE(A7625, ""zh"", ""en"")"),"Data security")</f>
        <v>Data security</v>
      </c>
      <c r="C7625" s="1" t="str">
        <f ca="1">IFERROR(__xludf.DUMMYFUNCTION("GOOGLETRANSLATE(E7625, ""zh"", ""en"")"),"Qualitative text")</f>
        <v>Qualitative text</v>
      </c>
    </row>
    <row r="7626" spans="1:3" ht="13" x14ac:dyDescent="0.15">
      <c r="A7626" s="1" t="str">
        <f ca="1">IFERROR(__xludf.DUMMYFUNCTION("GOOGLETRANSLATE(A7626, ""zh"", ""en"")"),"The company prohibits employees from engaging in insider trading. Any individual with insider information is prohibited from buying or selling the securities of the relevant company, intentionally leaking insider information, or recommending that others b"&amp;"uy or sell the company's securities.")</f>
        <v>The company prohibits employees from engaging in insider trading. Any individual with insider information is prohibited from buying or selling the securities of the relevant company, intentionally leaking insider information, or recommending that others buy or sell the company's securities.</v>
      </c>
      <c r="B7626" s="1" t="str">
        <f ca="1">IFERROR(__xludf.DUMMYFUNCTION("GOOGLETRANSLATE(A7626, ""zh"", ""en"")"),"Data security")</f>
        <v>Data security</v>
      </c>
      <c r="C7626" s="1" t="str">
        <f ca="1">IFERROR(__xludf.DUMMYFUNCTION("GOOGLETRANSLATE(E7626, ""zh"", ""en"")"),"Qualitative text")</f>
        <v>Qualitative text</v>
      </c>
    </row>
    <row r="7627" spans="1:3" ht="13" x14ac:dyDescent="0.15">
      <c r="A7627" s="1" t="str">
        <f ca="1">IFERROR(__xludf.DUMMYFUNCTION("GOOGLETRANSLATE(A7627, ""zh"", ""en"")"),"All personnel in important confidential positions in the company must sign a ""Confidentiality and Non-Competition Agreement"" with the company, and the document should be filed with the Human Resources Department.")</f>
        <v>All personnel in important confidential positions in the company must sign a "Confidentiality and Non-Competition Agreement" with the company, and the document should be filed with the Human Resources Department.</v>
      </c>
      <c r="B7627" s="1" t="str">
        <f ca="1">IFERROR(__xludf.DUMMYFUNCTION("GOOGLETRANSLATE(A7627, ""zh"", ""en"")"),"Data security")</f>
        <v>Data security</v>
      </c>
      <c r="C7627" s="1" t="str">
        <f ca="1">IFERROR(__xludf.DUMMYFUNCTION("GOOGLETRANSLATE(E7627, ""zh"", ""en"")"),"Qualitative text")</f>
        <v>Qualitative text</v>
      </c>
    </row>
    <row r="7628" spans="1:3" ht="13" x14ac:dyDescent="0.15">
      <c r="A7628" s="1" t="str">
        <f ca="1">IFERROR(__xludf.DUMMYFUNCTION("GOOGLETRANSLATE(A7628, ""zh"", ""en"")"),"In accordance with the requirements of the National Cybersecurity Level Protection 2.0, the company continues to optimize its internal network information security software and hardware systems, strengthen employee operations training, and improve the rel"&amp;"iability of the company's data and information security.")</f>
        <v>In accordance with the requirements of the National Cybersecurity Level Protection 2.0, the company continues to optimize its internal network information security software and hardware systems, strengthen employee operations training, and improve the reliability of the company's data and information security.</v>
      </c>
      <c r="B7628" s="1" t="str">
        <f ca="1">IFERROR(__xludf.DUMMYFUNCTION("GOOGLETRANSLATE(A7628, ""zh"", ""en"")"),"Data security")</f>
        <v>Data security</v>
      </c>
      <c r="C7628" s="1" t="str">
        <f ca="1">IFERROR(__xludf.DUMMYFUNCTION("GOOGLETRANSLATE(E7628, ""zh"", ""en"")"),"Qualitative text")</f>
        <v>Qualitative text</v>
      </c>
    </row>
    <row r="7629" spans="1:3" ht="13" x14ac:dyDescent="0.15">
      <c r="A7629" s="1" t="str">
        <f ca="1">IFERROR(__xludf.DUMMYFUNCTION("GOOGLETRANSLATE(A7629, ""zh"", ""en"")"),"New employees undergo a one-month security risk training under the guidance of network engineers, learning and understanding the company's network security knowledge.")</f>
        <v>New employees undergo a one-month security risk training under the guidance of network engineers, learning and understanding the company's network security knowledge.</v>
      </c>
      <c r="B7629" s="1" t="str">
        <f ca="1">IFERROR(__xludf.DUMMYFUNCTION("GOOGLETRANSLATE(A7629, ""zh"", ""en"")"),"Data security")</f>
        <v>Data security</v>
      </c>
      <c r="C7629" s="1" t="str">
        <f ca="1">IFERROR(__xludf.DUMMYFUNCTION("GOOGLETRANSLATE(E7629, ""zh"", ""en"")"),"Quantitative Text")</f>
        <v>Quantitative Text</v>
      </c>
    </row>
    <row r="7630" spans="1:3" ht="13" x14ac:dyDescent="0.15">
      <c r="A7630" s="1" t="str">
        <f ca="1">IFERROR(__xludf.DUMMYFUNCTION("GOOGLETRANSLATE(A7630, ""zh"", ""en"")"),"Information confidentiality management: the company's business strategy, customer business, transaction products, research results, internal management system, and business operation procedures are all the company's internal information.")</f>
        <v>Information confidentiality management: the company's business strategy, customer business, transaction products, research results, internal management system, and business operation procedures are all the company's internal information.</v>
      </c>
      <c r="B7630" s="1" t="str">
        <f ca="1">IFERROR(__xludf.DUMMYFUNCTION("GOOGLETRANSLATE(A7630, ""zh"", ""en"")"),"Data security")</f>
        <v>Data security</v>
      </c>
      <c r="C7630" s="1" t="str">
        <f ca="1">IFERROR(__xludf.DUMMYFUNCTION("GOOGLETRANSLATE(E7630, ""zh"", ""en"")"),"Qualitative text")</f>
        <v>Qualitative text</v>
      </c>
    </row>
    <row r="7631" spans="1:3" ht="13" x14ac:dyDescent="0.15">
      <c r="A7631" s="1" t="str">
        <f ca="1">IFERROR(__xludf.DUMMYFUNCTION("GOOGLETRANSLATE(A7631, ""zh"", ""en"")"),"In accordance with the ""Secrets Law"", ""Regulations for the Implementation of the Law on Guarding State Secrets"", ""Regulations on the Security Protection of Computer Information Systems"", ""Basic Requirements for Information System Security Level Pro"&amp;"tection"" and ""Technical Guidelines for the Security of Commercial Secret Information Systems of Central Enterprises"", the company has formulated the ""Information Security and Confidentiality Management Measures"" to strengthen the company's office com"&amp;"puter information security management, effectively improve the ability to prevent attacks, tampering, viruses, paralysis and theft, and achieve controllable, controllable and under-controllable network and information system security.")</f>
        <v>In accordance with the "Secrets Law", "Regulations for the Implementation of the Law on Guarding State Secrets", "Regulations on the Security Protection of Computer Information Systems", "Basic Requirements for Information System Security Level Protection" and "Technical Guidelines for the Security of Commercial Secret Information Systems of Central Enterprises", the company has formulated the "Information Security and Confidentiality Management Measures" to strengthen the company's office computer information security management, effectively improve the ability to prevent attacks, tampering, viruses, paralysis and theft, and achieve controllable, controllable and under-controllable network and information system security.</v>
      </c>
      <c r="B7631" s="1" t="str">
        <f ca="1">IFERROR(__xludf.DUMMYFUNCTION("GOOGLETRANSLATE(A7631, ""zh"", ""en"")"),"Data security")</f>
        <v>Data security</v>
      </c>
      <c r="C7631" s="1" t="str">
        <f ca="1">IFERROR(__xludf.DUMMYFUNCTION("GOOGLETRANSLATE(E7631, ""zh"", ""en"")"),"Qualitative text")</f>
        <v>Qualitative text</v>
      </c>
    </row>
    <row r="7632" spans="1:3" ht="13" x14ac:dyDescent="0.15">
      <c r="A7632" s="1" t="str">
        <f ca="1">IFERROR(__xludf.DUMMYFUNCTION("GOOGLETRANSLATE(A7632, ""zh"", ""en"")"),"Information system assets should be classified according to their sensitivity and importance, risk assessments should be conducted periodically, and appropriate management measures should be taken.")</f>
        <v>Information system assets should be classified according to their sensitivity and importance, risk assessments should be conducted periodically, and appropriate management measures should be taken.</v>
      </c>
      <c r="B7632" s="1" t="str">
        <f ca="1">IFERROR(__xludf.DUMMYFUNCTION("GOOGLETRANSLATE(A7632, ""zh"", ""en"")"),"Data security")</f>
        <v>Data security</v>
      </c>
      <c r="C7632" s="1" t="str">
        <f ca="1">IFERROR(__xludf.DUMMYFUNCTION("GOOGLETRANSLATE(E7632, ""zh"", ""en"")"),"Qualitative text")</f>
        <v>Qualitative text</v>
      </c>
    </row>
    <row r="7633" spans="1:3" ht="13" x14ac:dyDescent="0.15">
      <c r="A7633" s="1" t="str">
        <f ca="1">IFERROR(__xludf.DUMMYFUNCTION("GOOGLETRANSLATE(A7633, ""zh"", ""en"")"),"We continue to improve our internal information security system, strengthen network security protection and supervision, and effectively enhance our ability to resist risks.")</f>
        <v>We continue to improve our internal information security system, strengthen network security protection and supervision, and effectively enhance our ability to resist risks.</v>
      </c>
      <c r="B7633" s="1" t="str">
        <f ca="1">IFERROR(__xludf.DUMMYFUNCTION("GOOGLETRANSLATE(A7633, ""zh"", ""en"")"),"Data security")</f>
        <v>Data security</v>
      </c>
      <c r="C7633" s="1" t="str">
        <f ca="1">IFERROR(__xludf.DUMMYFUNCTION("GOOGLETRANSLATE(E7633, ""zh"", ""en"")"),"Qualitative text")</f>
        <v>Qualitative text</v>
      </c>
    </row>
    <row r="7634" spans="1:3" ht="13" x14ac:dyDescent="0.15">
      <c r="A7634" s="1" t="str">
        <f ca="1">IFERROR(__xludf.DUMMYFUNCTION("GOOGLETRANSLATE(A7634, ""zh"", ""en"")"),"The activities of administrators and operation and maintenance personnel of information systems and network systems should be logged, and security analysis and assessment should be conducted regularly.")</f>
        <v>The activities of administrators and operation and maintenance personnel of information systems and network systems should be logged, and security analysis and assessment should be conducted regularly.</v>
      </c>
      <c r="B7634" s="1" t="str">
        <f ca="1">IFERROR(__xludf.DUMMYFUNCTION("GOOGLETRANSLATE(A7634, ""zh"", ""en"")"),"Data security")</f>
        <v>Data security</v>
      </c>
      <c r="C7634" s="1" t="str">
        <f ca="1">IFERROR(__xludf.DUMMYFUNCTION("GOOGLETRANSLATE(E7634, ""zh"", ""en"")"),"Qualitative text")</f>
        <v>Qualitative text</v>
      </c>
    </row>
    <row r="7635" spans="1:3" ht="13" x14ac:dyDescent="0.15">
      <c r="A7635" s="1" t="str">
        <f ca="1">IFERROR(__xludf.DUMMYFUNCTION("GOOGLETRANSLATE(A7635, ""zh"", ""en"")"),"The company's office computer information security and confidentiality management follows the principle of ""no confidential information available online, no confidential information available online"", and ""one machine for two purposes"" is strictly pro"&amp;"hibited.")</f>
        <v>The company's office computer information security and confidentiality management follows the principle of "no confidential information available online, no confidential information available online", and "one machine for two purposes" is strictly prohibited.</v>
      </c>
      <c r="B7635" s="1" t="str">
        <f ca="1">IFERROR(__xludf.DUMMYFUNCTION("GOOGLETRANSLATE(A7635, ""zh"", ""en"")"),"Data security")</f>
        <v>Data security</v>
      </c>
      <c r="C7635" s="1" t="str">
        <f ca="1">IFERROR(__xludf.DUMMYFUNCTION("GOOGLETRANSLATE(E7635, ""zh"", ""en"")"),"Qualitative text")</f>
        <v>Qualitative text</v>
      </c>
    </row>
    <row r="7636" spans="1:3" ht="13" x14ac:dyDescent="0.15">
      <c r="A7636" s="1" t="str">
        <f ca="1">IFERROR(__xludf.DUMMYFUNCTION("GOOGLETRANSLATE(A7636, ""zh"", ""en"")"),"The company attaches great importance to information security and data confidentiality, and has established a relatively complete information security management system.")</f>
        <v>The company attaches great importance to information security and data confidentiality, and has established a relatively complete information security management system.</v>
      </c>
      <c r="B7636" s="1" t="str">
        <f ca="1">IFERROR(__xludf.DUMMYFUNCTION("GOOGLETRANSLATE(A7636, ""zh"", ""en"")"),"Data security")</f>
        <v>Data security</v>
      </c>
      <c r="C7636" s="1" t="str">
        <f ca="1">IFERROR(__xludf.DUMMYFUNCTION("GOOGLETRANSLATE(E7636, ""zh"", ""en"")"),"Qualitative text")</f>
        <v>Qualitative text</v>
      </c>
    </row>
    <row r="7637" spans="1:3" ht="13" x14ac:dyDescent="0.15">
      <c r="A7637" s="1" t="str">
        <f ca="1">IFERROR(__xludf.DUMMYFUNCTION("GOOGLETRANSLATE(A7637, ""zh"", ""en"")"),"In accordance with the ""Regulations of the People's Republic of China on the Security Protection of Computer Information Systems"", ""Internet Information Service Management Measures"" and other relevant laws and regulations, the company has formulated t"&amp;"he ""Information Security Management Procedures"" and other systems to provide clear guidance for information security operations involved in daily office operations.")</f>
        <v>In accordance with the "Regulations of the People's Republic of China on the Security Protection of Computer Information Systems", "Internet Information Service Management Measures" and other relevant laws and regulations, the company has formulated the "Information Security Management Procedures" and other systems to provide clear guidance for information security operations involved in daily office operations.</v>
      </c>
      <c r="B7637" s="1" t="str">
        <f ca="1">IFERROR(__xludf.DUMMYFUNCTION("GOOGLETRANSLATE(A7637, ""zh"", ""en"")"),"Data security")</f>
        <v>Data security</v>
      </c>
      <c r="C7637" s="1" t="str">
        <f ca="1">IFERROR(__xludf.DUMMYFUNCTION("GOOGLETRANSLATE(E7637, ""zh"", ""en"")"),"Qualitative text")</f>
        <v>Qualitative text</v>
      </c>
    </row>
    <row r="7638" spans="1:3" ht="13" x14ac:dyDescent="0.15">
      <c r="A7638" s="1" t="str">
        <f ca="1">IFERROR(__xludf.DUMMYFUNCTION("GOOGLETRANSLATE(A7638, ""zh"", ""en"")"),"We conducted information security awareness training for all employees, requiring them to watch videos and take exams covering office security, email security, password security, and personal information protection. In 2021, a total of 9,990 employees par"&amp;"ticipated.")</f>
        <v>We conducted information security awareness training for all employees, requiring them to watch videos and take exams covering office security, email security, password security, and personal information protection. In 2021, a total of 9,990 employees participated.</v>
      </c>
      <c r="B7638" s="1" t="str">
        <f ca="1">IFERROR(__xludf.DUMMYFUNCTION("GOOGLETRANSLATE(A7638, ""zh"", ""en"")"),"Data security")</f>
        <v>Data security</v>
      </c>
      <c r="C7638" s="1" t="str">
        <f ca="1">IFERROR(__xludf.DUMMYFUNCTION("GOOGLETRANSLATE(E7638, ""zh"", ""en"")"),"Quantitative Text")</f>
        <v>Quantitative Text</v>
      </c>
    </row>
    <row r="7639" spans="1:3" ht="13" x14ac:dyDescent="0.15">
      <c r="A7639" s="1" t="str">
        <f ca="1">IFERROR(__xludf.DUMMYFUNCTION("GOOGLETRANSLATE(A7639, ""zh"", ""en"")"),"The company strictly abides by laws and regulations such as the ""Cybersecurity Law of the People's Republic of China"", ""Personal Information Protection Law of the People's Republic of China"", and ""Information Security Level Protection Measures"", imp"&amp;"lements internal systems such as the ""Petroleum Engineering Company Cybersecurity Management Measures"", adopts a variety of network security management measures, and attaches importance to the supervision and inspection of related work to meet the compa"&amp;"ny's network security work goals of ""practical, systematic, and normalized"" and ensure the company's overall network security.")</f>
        <v>The company strictly abides by laws and regulations such as the "Cybersecurity Law of the People's Republic of China", "Personal Information Protection Law of the People's Republic of China", and "Information Security Level Protection Measures", implements internal systems such as the "Petroleum Engineering Company Cybersecurity Management Measures", adopts a variety of network security management measures, and attaches importance to the supervision and inspection of related work to meet the company's network security work goals of "practical, systematic, and normalized" and ensure the company's overall network security.</v>
      </c>
      <c r="B7639" s="1" t="str">
        <f ca="1">IFERROR(__xludf.DUMMYFUNCTION("GOOGLETRANSLATE(A7639, ""zh"", ""en"")"),"Data security")</f>
        <v>Data security</v>
      </c>
      <c r="C7639" s="1" t="str">
        <f ca="1">IFERROR(__xludf.DUMMYFUNCTION("GOOGLETRANSLATE(E7639, ""zh"", ""en"")"),"Qualitative text")</f>
        <v>Qualitative text</v>
      </c>
    </row>
    <row r="7640" spans="1:3" ht="13" x14ac:dyDescent="0.15">
      <c r="A7640" s="1" t="str">
        <f ca="1">IFERROR(__xludf.DUMMYFUNCTION("GOOGLETRANSLATE(A7640, ""zh"", ""en"")"),"During the reporting period, the company's manufacturing management system passed the ""Network Security Level Protection"" Level 3 certification.")</f>
        <v>During the reporting period, the company's manufacturing management system passed the "Network Security Level Protection" Level 3 certification.</v>
      </c>
      <c r="B7640" s="1" t="str">
        <f ca="1">IFERROR(__xludf.DUMMYFUNCTION("GOOGLETRANSLATE(A7640, ""zh"", ""en"")"),"Data security")</f>
        <v>Data security</v>
      </c>
      <c r="C7640" s="1" t="str">
        <f ca="1">IFERROR(__xludf.DUMMYFUNCTION("GOOGLETRANSLATE(E7640, ""zh"", ""en"")"),"Quantitative Text")</f>
        <v>Quantitative Text</v>
      </c>
    </row>
    <row r="7641" spans="1:3" ht="13" x14ac:dyDescent="0.15">
      <c r="A7641" s="1" t="str">
        <f ca="1">IFERROR(__xludf.DUMMYFUNCTION("GOOGLETRANSLATE(A7641, ""zh"", ""en"")"),"This training explained the legislative background and important systems of the ""Data Security Law"" and the ""Personal Information Protection Law"" through detailed and vivid cases, and also provided compliance recommendations to shipping companies and "&amp;"individuals in the application of these two new laws.")</f>
        <v>This training explained the legislative background and important systems of the "Data Security Law" and the "Personal Information Protection Law" through detailed and vivid cases, and also provided compliance recommendations to shipping companies and individuals in the application of these two new laws.</v>
      </c>
      <c r="B7641" s="1" t="str">
        <f ca="1">IFERROR(__xludf.DUMMYFUNCTION("GOOGLETRANSLATE(A7641, ""zh"", ""en"")"),"Data security")</f>
        <v>Data security</v>
      </c>
      <c r="C7641" s="1" t="str">
        <f ca="1">IFERROR(__xludf.DUMMYFUNCTION("GOOGLETRANSLATE(E7641, ""zh"", ""en"")"),"Qualitative text")</f>
        <v>Qualitative text</v>
      </c>
    </row>
    <row r="7642" spans="1:3" ht="13" x14ac:dyDescent="0.15">
      <c r="A7642" s="1" t="str">
        <f ca="1">IFERROR(__xludf.DUMMYFUNCTION("GOOGLETRANSLATE(A7642, ""zh"", ""en"")"),"The company manages the entire life cycle of data, dividing it into six stages: collection, use, transmission, storage, archiving, and destruction. For different stages, it uses data security measures such as regional isolation, access control, user authe"&amp;"ntication, and log auditing to prevent data leakage and damage and ensure information security.")</f>
        <v>The company manages the entire life cycle of data, dividing it into six stages: collection, use, transmission, storage, archiving, and destruction. For different stages, it uses data security measures such as regional isolation, access control, user authentication, and log auditing to prevent data leakage and damage and ensure information security.</v>
      </c>
      <c r="B7642" s="1" t="str">
        <f ca="1">IFERROR(__xludf.DUMMYFUNCTION("GOOGLETRANSLATE(A7642, ""zh"", ""en"")"),"Data security")</f>
        <v>Data security</v>
      </c>
      <c r="C7642" s="1" t="str">
        <f ca="1">IFERROR(__xludf.DUMMYFUNCTION("GOOGLETRANSLATE(E7642, ""zh"", ""en"")"),"Qualitative text")</f>
        <v>Qualitative text</v>
      </c>
    </row>
    <row r="7643" spans="1:3" ht="13" x14ac:dyDescent="0.15">
      <c r="A7643" s="1" t="str">
        <f ca="1">IFERROR(__xludf.DUMMYFUNCTION("GOOGLETRANSLATE(A7643, ""zh"", ""en"")"),"Establish institutional guidelines such as the ""Information Security Management Measures"" to identify key links in business processes where information leakage may occur, and develop clear response procedures.")</f>
        <v>Establish institutional guidelines such as the "Information Security Management Measures" to identify key links in business processes where information leakage may occur, and develop clear response procedures.</v>
      </c>
      <c r="B7643" s="1" t="str">
        <f ca="1">IFERROR(__xludf.DUMMYFUNCTION("GOOGLETRANSLATE(A7643, ""zh"", ""en"")"),"Data security")</f>
        <v>Data security</v>
      </c>
      <c r="C7643" s="1" t="str">
        <f ca="1">IFERROR(__xludf.DUMMYFUNCTION("GOOGLETRANSLATE(E7643, ""zh"", ""en"")"),"Qualitative text")</f>
        <v>Qualitative text</v>
      </c>
    </row>
    <row r="7644" spans="1:3" ht="13" x14ac:dyDescent="0.15">
      <c r="A7644" s="1" t="str">
        <f ca="1">IFERROR(__xludf.DUMMYFUNCTION("GOOGLETRANSLATE(A7644, ""zh"", ""en"")"),"Baosteel Group attaches great importance to information and privacy protection and has established a professional authorization management system to be responsible for the company's network security, host security and data security.")</f>
        <v>Baosteel Group attaches great importance to information and privacy protection and has established a professional authorization management system to be responsible for the company's network security, host security and data security.</v>
      </c>
      <c r="B7644" s="1" t="str">
        <f ca="1">IFERROR(__xludf.DUMMYFUNCTION("GOOGLETRANSLATE(A7644, ""zh"", ""en"")"),"Data security")</f>
        <v>Data security</v>
      </c>
      <c r="C7644" s="1" t="str">
        <f ca="1">IFERROR(__xludf.DUMMYFUNCTION("GOOGLETRANSLATE(E7644, ""zh"", ""en"")"),"Qualitative text")</f>
        <v>Qualitative text</v>
      </c>
    </row>
    <row r="7645" spans="1:3" ht="13" x14ac:dyDescent="0.15">
      <c r="A7645" s="1" t="str">
        <f ca="1">IFERROR(__xludf.DUMMYFUNCTION("GOOGLETRANSLATE(A7645, ""zh"", ""en"")"),"No commercial secret leaks occurred in 2021.")</f>
        <v>No commercial secret leaks occurred in 2021.</v>
      </c>
      <c r="B7645" s="1" t="str">
        <f ca="1">IFERROR(__xludf.DUMMYFUNCTION("GOOGLETRANSLATE(A7645, ""zh"", ""en"")"),"Data security")</f>
        <v>Data security</v>
      </c>
      <c r="C7645" s="1" t="str">
        <f ca="1">IFERROR(__xludf.DUMMYFUNCTION("GOOGLETRANSLATE(E7645, ""zh"", ""en"")"),"Quantitative Text")</f>
        <v>Quantitative Text</v>
      </c>
    </row>
    <row r="7646" spans="1:3" ht="13" x14ac:dyDescent="0.15">
      <c r="A7646" s="1" t="str">
        <f ca="1">IFERROR(__xludf.DUMMYFUNCTION("GOOGLETRANSLATE(A7646, ""zh"", ""en"")"),"In 2022, there was no data leakage incident at Soochow Securities.")</f>
        <v>In 2022, there was no data leakage incident at Soochow Securities.</v>
      </c>
      <c r="B7646" s="1" t="str">
        <f ca="1">IFERROR(__xludf.DUMMYFUNCTION("GOOGLETRANSLATE(A7646, ""zh"", ""en"")"),"Data security")</f>
        <v>Data security</v>
      </c>
      <c r="C7646" s="1" t="str">
        <f ca="1">IFERROR(__xludf.DUMMYFUNCTION("GOOGLETRANSLATE(E7646, ""zh"", ""en"")"),"Quantitative Text")</f>
        <v>Quantitative Text</v>
      </c>
    </row>
    <row r="7647" spans="1:3" ht="13" x14ac:dyDescent="0.15">
      <c r="A7647" s="1" t="str">
        <f ca="1">IFERROR(__xludf.DUMMYFUNCTION("GOOGLETRANSLATE(A7647, ""zh"", ""en"")"),"The company conducts security inspections regularly, continuously improves employees' awareness of information security, strengthens information security training and education reminders, and maintains the company's network information security.")</f>
        <v>The company conducts security inspections regularly, continuously improves employees' awareness of information security, strengthens information security training and education reminders, and maintains the company's network information security.</v>
      </c>
      <c r="B7647" s="1" t="str">
        <f ca="1">IFERROR(__xludf.DUMMYFUNCTION("GOOGLETRANSLATE(A7647, ""zh"", ""en"")"),"Data security")</f>
        <v>Data security</v>
      </c>
      <c r="C7647" s="1" t="str">
        <f ca="1">IFERROR(__xludf.DUMMYFUNCTION("GOOGLETRANSLATE(E7647, ""zh"", ""en"")"),"Qualitative text")</f>
        <v>Qualitative text</v>
      </c>
    </row>
    <row r="7648" spans="1:3" ht="13" x14ac:dyDescent="0.15">
      <c r="A7648" s="1" t="str">
        <f ca="1">IFERROR(__xludf.DUMMYFUNCTION("GOOGLETRANSLATE(A7648, ""zh"", ""en"")"),"The guarantee mechanism uses a variety of means to ensure the security of various types of data in all aspects such as ""storage, management, and use"" in terms of data security. In terms of user security, it relies on the Zhejiang Government Ding identit"&amp;"y authentication mechanism, specific user group restrictions, and a strict organizational structure to ensure access by trusted users.")</f>
        <v>The guarantee mechanism uses a variety of means to ensure the security of various types of data in all aspects such as "storage, management, and use" in terms of data security. In terms of user security, it relies on the Zhejiang Government Ding identity authentication mechanism, specific user group restrictions, and a strict organizational structure to ensure access by trusted users.</v>
      </c>
      <c r="B7648" s="1" t="str">
        <f ca="1">IFERROR(__xludf.DUMMYFUNCTION("GOOGLETRANSLATE(A7648, ""zh"", ""en"")"),"Data security")</f>
        <v>Data security</v>
      </c>
      <c r="C7648" s="1" t="str">
        <f ca="1">IFERROR(__xludf.DUMMYFUNCTION("GOOGLETRANSLATE(E7648, ""zh"", ""en"")"),"Qualitative text")</f>
        <v>Qualitative text</v>
      </c>
    </row>
    <row r="7649" spans="1:3" ht="13" x14ac:dyDescent="0.15">
      <c r="A7649" s="1" t="str">
        <f ca="1">IFERROR(__xludf.DUMMYFUNCTION("GOOGLETRANSLATE(A7649, ""zh"", ""en"")"),"Establish an encrypted cloud disk and monitor it through data leakage prevention software.")</f>
        <v>Establish an encrypted cloud disk and monitor it through data leakage prevention software.</v>
      </c>
      <c r="B7649" s="1" t="str">
        <f ca="1">IFERROR(__xludf.DUMMYFUNCTION("GOOGLETRANSLATE(A7649, ""zh"", ""en"")"),"Data security")</f>
        <v>Data security</v>
      </c>
      <c r="C7649" s="1" t="str">
        <f ca="1">IFERROR(__xludf.DUMMYFUNCTION("GOOGLETRANSLATE(E7649, ""zh"", ""en"")"),"Qualitative text")</f>
        <v>Qualitative text</v>
      </c>
    </row>
    <row r="7650" spans="1:3" ht="13" x14ac:dyDescent="0.15">
      <c r="A7650" s="1" t="str">
        <f ca="1">IFERROR(__xludf.DUMMYFUNCTION("GOOGLETRANSLATE(A7650, ""zh"", ""en"")"),"Carry out information security education, comprehensively enhance employees' awareness of information protection, and establish a reward and punishment mechanism for employees in information security activities.")</f>
        <v>Carry out information security education, comprehensively enhance employees' awareness of information protection, and establish a reward and punishment mechanism for employees in information security activities.</v>
      </c>
      <c r="B7650" s="1" t="str">
        <f ca="1">IFERROR(__xludf.DUMMYFUNCTION("GOOGLETRANSLATE(A7650, ""zh"", ""en"")"),"Data security")</f>
        <v>Data security</v>
      </c>
      <c r="C7650" s="1" t="str">
        <f ca="1">IFERROR(__xludf.DUMMYFUNCTION("GOOGLETRANSLATE(E7650, ""zh"", ""en"")"),"Qualitative text")</f>
        <v>Qualitative text</v>
      </c>
    </row>
    <row r="7651" spans="1:3" ht="13" x14ac:dyDescent="0.15">
      <c r="A7651" s="1" t="str">
        <f ca="1">IFERROR(__xludf.DUMMYFUNCTION("GOOGLETRANSLATE(A7651, ""zh"", ""en"")"),"When company employees leak or illegally use trade secrets, the company will investigate relevant responsibilities in accordance with the law. If the circumstances are serious or cause significant losses or improper impact to the company, or if a crime is"&amp;" suspected, the case will be transferred to judicial authorities for handling in accordance with the law.")</f>
        <v>When company employees leak or illegally use trade secrets, the company will investigate relevant responsibilities in accordance with the law. If the circumstances are serious or cause significant losses or improper impact to the company, or if a crime is suspected, the case will be transferred to judicial authorities for handling in accordance with the law.</v>
      </c>
      <c r="B7651" s="1" t="str">
        <f ca="1">IFERROR(__xludf.DUMMYFUNCTION("GOOGLETRANSLATE(A7651, ""zh"", ""en"")"),"Data security")</f>
        <v>Data security</v>
      </c>
      <c r="C7651" s="1" t="str">
        <f ca="1">IFERROR(__xludf.DUMMYFUNCTION("GOOGLETRANSLATE(E7651, ""zh"", ""en"")"),"Qualitative text")</f>
        <v>Qualitative text</v>
      </c>
    </row>
    <row r="7652" spans="1:3" ht="13" x14ac:dyDescent="0.15">
      <c r="A7652" s="1" t="str">
        <f ca="1">IFERROR(__xludf.DUMMYFUNCTION("GOOGLETRANSLATE(A7652, ""zh"", ""en"")"),"The company has established an independent R&amp;D and production network and management system to ensure the security of critical data. Through terminal access control, network perimeter protection, bastion hosts, data backup, vulnerability protection, and o"&amp;"ther multi-faceted protection measures, the company utilizes a variety of technical means to enhance network security capabilities.")</f>
        <v>The company has established an independent R&amp;D and production network and management system to ensure the security of critical data. Through terminal access control, network perimeter protection, bastion hosts, data backup, vulnerability protection, and other multi-faceted protection measures, the company utilizes a variety of technical means to enhance network security capabilities.</v>
      </c>
      <c r="B7652" s="1" t="str">
        <f ca="1">IFERROR(__xludf.DUMMYFUNCTION("GOOGLETRANSLATE(A7652, ""zh"", ""en"")"),"Data security")</f>
        <v>Data security</v>
      </c>
      <c r="C7652" s="1" t="str">
        <f ca="1">IFERROR(__xludf.DUMMYFUNCTION("GOOGLETRANSLATE(E7652, ""zh"", ""en"")"),"Qualitative text")</f>
        <v>Qualitative text</v>
      </c>
    </row>
    <row r="7653" spans="1:3" ht="13" x14ac:dyDescent="0.15">
      <c r="A7653" s="1" t="str">
        <f ca="1">IFERROR(__xludf.DUMMYFUNCTION("GOOGLETRANSLATE(A7653, ""zh"", ""en"")"),"The Company attaches great importance to data security management and has formulated comprehensive data security management systems, including the ""Confidentiality Management Measures"", ""Confidentiality Management Regulations for Confidential Office Au"&amp;"tomation Equipment"", ""Network Security Management Measures"", and ""Insider Information Management System"". All work is carried out in strict accordance with the corresponding responsibilities and work procedures. No incidents affecting the Company's d"&amp;"ata security occurred during the reporting period.")</f>
        <v>The Company attaches great importance to data security management and has formulated comprehensive data security management systems, including the "Confidentiality Management Measures", "Confidentiality Management Regulations for Confidential Office Automation Equipment", "Network Security Management Measures", and "Insider Information Management System". All work is carried out in strict accordance with the corresponding responsibilities and work procedures. No incidents affecting the Company's data security occurred during the reporting period.</v>
      </c>
      <c r="B7653" s="1" t="str">
        <f ca="1">IFERROR(__xludf.DUMMYFUNCTION("GOOGLETRANSLATE(A7653, ""zh"", ""en"")"),"Data security")</f>
        <v>Data security</v>
      </c>
      <c r="C7653" s="1" t="str">
        <f ca="1">IFERROR(__xludf.DUMMYFUNCTION("GOOGLETRANSLATE(E7653, ""zh"", ""en"")"),"Qualitative text")</f>
        <v>Qualitative text</v>
      </c>
    </row>
    <row r="7654" spans="1:3" ht="13" x14ac:dyDescent="0.15">
      <c r="A7654" s="1" t="str">
        <f ca="1">IFERROR(__xludf.DUMMYFUNCTION("GOOGLETRANSLATE(A7654, ""zh"", ""en"")"),"In accordance with the company's training system, the company arranges internal and external experts to hold various information security-related training courses multiple times a year. Managers and employees at all levels of the company receive informati"&amp;"on security training at different levels. New employee orientation also includes courses related to information security and confidentiality. The employee information security awareness training coverage rate has reached 100%.")</f>
        <v>In accordance with the company's training system, the company arranges internal and external experts to hold various information security-related training courses multiple times a year. Managers and employees at all levels of the company receive information security training at different levels. New employee orientation also includes courses related to information security and confidentiality. The employee information security awareness training coverage rate has reached 100%.</v>
      </c>
      <c r="B7654" s="1" t="str">
        <f ca="1">IFERROR(__xludf.DUMMYFUNCTION("GOOGLETRANSLATE(A7654, ""zh"", ""en"")"),"Data security")</f>
        <v>Data security</v>
      </c>
      <c r="C7654" s="1" t="str">
        <f ca="1">IFERROR(__xludf.DUMMYFUNCTION("GOOGLETRANSLATE(E7654, ""zh"", ""en"")"),"Quantitative Text")</f>
        <v>Quantitative Text</v>
      </c>
    </row>
    <row r="7655" spans="1:3" ht="13" x14ac:dyDescent="0.15">
      <c r="A7655" s="1" t="str">
        <f ca="1">IFERROR(__xludf.DUMMYFUNCTION("GOOGLETRANSLATE(A7655, ""zh"", ""en"")"),"The company's enterprise office information construction has fully completed the replacement of domestic platforms from end to cloud, from hardware to software. In the office information construction, a large number of domestic information equipment and n"&amp;"etwork security products based on Loongson CPU are used. The replacement of independent domestic products has effectively improved the security level of information infrastructure, ensured that data and information are in a controlled state, and prevented"&amp;" various information risk factors to the greatest extent.")</f>
        <v>The company's enterprise office information construction has fully completed the replacement of domestic platforms from end to cloud, from hardware to software. In the office information construction, a large number of domestic information equipment and network security products based on Loongson CPU are used. The replacement of independent domestic products has effectively improved the security level of information infrastructure, ensured that data and information are in a controlled state, and prevented various information risk factors to the greatest extent.</v>
      </c>
      <c r="B7655" s="1" t="str">
        <f ca="1">IFERROR(__xludf.DUMMYFUNCTION("GOOGLETRANSLATE(A7655, ""zh"", ""en"")"),"Data security")</f>
        <v>Data security</v>
      </c>
      <c r="C7655" s="1" t="str">
        <f ca="1">IFERROR(__xludf.DUMMYFUNCTION("GOOGLETRANSLATE(E7655, ""zh"", ""en"")"),"Qualitative text")</f>
        <v>Qualitative text</v>
      </c>
    </row>
    <row r="7656" spans="1:3" ht="13" x14ac:dyDescent="0.15">
      <c r="A7656" s="1" t="str">
        <f ca="1">IFERROR(__xludf.DUMMYFUNCTION("GOOGLETRANSLATE(A7656, ""zh"", ""en"")"),"Formulate and revise systems such as the ""Jiangsu Bank Data Management Measures"" and the ""Jiangsu Bank Information Security Management Measures"" to clarify data security and information protection responsibilities and work requirements.")</f>
        <v>Formulate and revise systems such as the "Jiangsu Bank Data Management Measures" and the "Jiangsu Bank Information Security Management Measures" to clarify data security and information protection responsibilities and work requirements.</v>
      </c>
      <c r="B7656" s="1" t="str">
        <f ca="1">IFERROR(__xludf.DUMMYFUNCTION("GOOGLETRANSLATE(A7656, ""zh"", ""en"")"),"Data security")</f>
        <v>Data security</v>
      </c>
      <c r="C7656" s="1" t="str">
        <f ca="1">IFERROR(__xludf.DUMMYFUNCTION("GOOGLETRANSLATE(E7656, ""zh"", ""en"")"),"Qualitative text")</f>
        <v>Qualitative text</v>
      </c>
    </row>
    <row r="7657" spans="1:3" ht="13" x14ac:dyDescent="0.15">
      <c r="A7657" s="1" t="str">
        <f ca="1">IFERROR(__xludf.DUMMYFUNCTION("GOOGLETRANSLATE(A7657, ""zh"", ""en"")"),"Through data classification and grading, data assets can be sorted out, data sensitivity levels can be distinguished, and targeted protection measures can be implemented.")</f>
        <v>Through data classification and grading, data assets can be sorted out, data sensitivity levels can be distinguished, and targeted protection measures can be implemented.</v>
      </c>
      <c r="B7657" s="1" t="str">
        <f ca="1">IFERROR(__xludf.DUMMYFUNCTION("GOOGLETRANSLATE(A7657, ""zh"", ""en"")"),"Data security")</f>
        <v>Data security</v>
      </c>
      <c r="C7657" s="1" t="str">
        <f ca="1">IFERROR(__xludf.DUMMYFUNCTION("GOOGLETRANSLATE(E7657, ""zh"", ""en"")"),"Qualitative text")</f>
        <v>Qualitative text</v>
      </c>
    </row>
    <row r="7658" spans="1:3" ht="13" x14ac:dyDescent="0.15">
      <c r="A7658" s="1" t="str">
        <f ca="1">IFERROR(__xludf.DUMMYFUNCTION("GOOGLETRANSLATE(A7658, ""zh"", ""en"")"),"The company pays attention to information security protection, actively participates in industry exchanges and cooperation, continuously learns and innovates, and contributes to the development of the industry.")</f>
        <v>The company pays attention to information security protection, actively participates in industry exchanges and cooperation, continuously learns and innovates, and contributes to the development of the industry.</v>
      </c>
      <c r="B7658" s="1" t="str">
        <f ca="1">IFERROR(__xludf.DUMMYFUNCTION("GOOGLETRANSLATE(A7658, ""zh"", ""en"")"),"Data security")</f>
        <v>Data security</v>
      </c>
      <c r="C7658" s="1" t="str">
        <f ca="1">IFERROR(__xludf.DUMMYFUNCTION("GOOGLETRANSLATE(E7658, ""zh"", ""en"")"),"Qualitative text")</f>
        <v>Qualitative text</v>
      </c>
    </row>
    <row r="7659" spans="1:3" ht="13" x14ac:dyDescent="0.15">
      <c r="A7659" s="1" t="str">
        <f ca="1">IFERROR(__xludf.DUMMYFUNCTION("GOOGLETRANSLATE(A7659, ""zh"", ""en"")"),"Establish information system and network security management organizations and security incident response processes to ensure timely assessment and reporting of information security incidents when they occur.")</f>
        <v>Establish information system and network security management organizations and security incident response processes to ensure timely assessment and reporting of information security incidents when they occur.</v>
      </c>
      <c r="B7659" s="1" t="str">
        <f ca="1">IFERROR(__xludf.DUMMYFUNCTION("GOOGLETRANSLATE(A7659, ""zh"", ""en"")"),"Data security")</f>
        <v>Data security</v>
      </c>
      <c r="C7659" s="1" t="str">
        <f ca="1">IFERROR(__xludf.DUMMYFUNCTION("GOOGLETRANSLATE(E7659, ""zh"", ""en"")"),"Qualitative text")</f>
        <v>Qualitative text</v>
      </c>
    </row>
    <row r="7660" spans="1:3" ht="13" x14ac:dyDescent="0.15">
      <c r="A7660" s="1" t="str">
        <f ca="1">IFERROR(__xludf.DUMMYFUNCTION("GOOGLETRANSLATE(A7660, ""zh"", ""en"")"),"We attach great importance to data security, build the company's commercial secret center computer room and national secret computer room, and perform data backup. We build the main data center in the main park and the sub-data center in the production ba"&amp;"se. The two locations use a unified technical architecture to balance business loads to ensure normal data business load and data security.")</f>
        <v>We attach great importance to data security, build the company's commercial secret center computer room and national secret computer room, and perform data backup. We build the main data center in the main park and the sub-data center in the production base. The two locations use a unified technical architecture to balance business loads to ensure normal data business load and data security.</v>
      </c>
      <c r="B7660" s="1" t="str">
        <f ca="1">IFERROR(__xludf.DUMMYFUNCTION("GOOGLETRANSLATE(A7660, ""zh"", ""en"")"),"Data security")</f>
        <v>Data security</v>
      </c>
      <c r="C7660" s="1" t="str">
        <f ca="1">IFERROR(__xludf.DUMMYFUNCTION("GOOGLETRANSLATE(E7660, ""zh"", ""en"")"),"Qualitative text")</f>
        <v>Qualitative text</v>
      </c>
    </row>
    <row r="7661" spans="1:3" ht="13" x14ac:dyDescent="0.15">
      <c r="A7661" s="1" t="str">
        <f ca="1">IFERROR(__xludf.DUMMYFUNCTION("GOOGLETRANSLATE(A7661, ""zh"", ""en"")"),"The ""Zhongtian Technology Application System, Server, and Database Management System"" has been established and improved. In terms of system security management, it is divided into four roles: application system manager, network administrator, server adm"&amp;"inistrator, and database administrator. Each role assumes corresponding information security responsibilities.")</f>
        <v>The "Zhongtian Technology Application System, Server, and Database Management System" has been established and improved. In terms of system security management, it is divided into four roles: application system manager, network administrator, server administrator, and database administrator. Each role assumes corresponding information security responsibilities.</v>
      </c>
      <c r="B7661" s="1" t="str">
        <f ca="1">IFERROR(__xludf.DUMMYFUNCTION("GOOGLETRANSLATE(A7661, ""zh"", ""en"")"),"Data security")</f>
        <v>Data security</v>
      </c>
      <c r="C7661" s="1" t="str">
        <f ca="1">IFERROR(__xludf.DUMMYFUNCTION("GOOGLETRANSLATE(E7661, ""zh"", ""en"")"),"Qualitative text")</f>
        <v>Qualitative text</v>
      </c>
    </row>
    <row r="7662" spans="1:3" ht="13" x14ac:dyDescent="0.15">
      <c r="A7662" s="1" t="str">
        <f ca="1">IFERROR(__xludf.DUMMYFUNCTION("GOOGLETRANSLATE(A7662, ""zh"", ""en"")"),"Through terminal access control, network boundary protection, bastion host, data backup, vulnerability protection and other protection measures, multiple technical means are used together to enhance network security protection capabilities.")</f>
        <v>Through terminal access control, network boundary protection, bastion host, data backup, vulnerability protection and other protection measures, multiple technical means are used together to enhance network security protection capabilities.</v>
      </c>
      <c r="B7662" s="1" t="str">
        <f ca="1">IFERROR(__xludf.DUMMYFUNCTION("GOOGLETRANSLATE(A7662, ""zh"", ""en"")"),"Data security")</f>
        <v>Data security</v>
      </c>
      <c r="C7662" s="1" t="str">
        <f ca="1">IFERROR(__xludf.DUMMYFUNCTION("GOOGLETRANSLATE(E7662, ""zh"", ""en"")"),"Qualitative text")</f>
        <v>Qualitative text</v>
      </c>
    </row>
    <row r="7663" spans="1:3" ht="13" x14ac:dyDescent="0.15">
      <c r="A7663" s="1" t="str">
        <f ca="1">IFERROR(__xludf.DUMMYFUNCTION("GOOGLETRANSLATE(A7663, ""zh"", ""en"")"),"All customer service staff sign a confidentiality agreement.")</f>
        <v>All customer service staff sign a confidentiality agreement.</v>
      </c>
      <c r="B7663" s="1" t="str">
        <f ca="1">IFERROR(__xludf.DUMMYFUNCTION("GOOGLETRANSLATE(A7663, ""zh"", ""en"")"),"Data security")</f>
        <v>Data security</v>
      </c>
      <c r="C7663" s="1" t="str">
        <f ca="1">IFERROR(__xludf.DUMMYFUNCTION("GOOGLETRANSLATE(E7663, ""zh"", ""en"")"),"Quantitative Text")</f>
        <v>Quantitative Text</v>
      </c>
    </row>
    <row r="7664" spans="1:3" ht="13" x14ac:dyDescent="0.15">
      <c r="A7664" s="1" t="str">
        <f ca="1">IFERROR(__xludf.DUMMYFUNCTION("GOOGLETRANSLATE(A7664, ""zh"", ""en"")"),"Protection Satellite Chemistry is well aware of the importance of protecting natural resources and biodiversity, strictly implements relevant national ecological protection requirements, strictly implements ecological protection in the initial evaluation "&amp;"of project construction and production operations, avoids project construction in ecologically fragile areas, and takes effective measures to reduce disturbances to the ecological environment and protect biodiversity.")</f>
        <v>Protection Satellite Chemistry is well aware of the importance of protecting natural resources and biodiversity, strictly implements relevant national ecological protection requirements, strictly implements ecological protection in the initial evaluation of project construction and production operations, avoids project construction in ecologically fragile areas, and takes effective measures to reduce disturbances to the ecological environment and protect biodiversity.</v>
      </c>
      <c r="B7664" s="1" t="str">
        <f ca="1">IFERROR(__xludf.DUMMYFUNCTION("GOOGLETRANSLATE(A7664, ""zh"", ""en"")"),"biodiversity")</f>
        <v>biodiversity</v>
      </c>
      <c r="C7664" s="1" t="str">
        <f ca="1">IFERROR(__xludf.DUMMYFUNCTION("GOOGLETRANSLATE(E7664, ""zh"", ""en"")"),"Qualitative text")</f>
        <v>Qualitative text</v>
      </c>
    </row>
    <row r="7665" spans="1:3" ht="13" x14ac:dyDescent="0.15">
      <c r="A7665" s="1" t="str">
        <f ca="1">IFERROR(__xludf.DUMMYFUNCTION("GOOGLETRANSLATE(A7665, ""zh"", ""en"")"),"Poly Property has officially entered Guangzhou Haizhu National Wetland Park, and is working with the China Green Development Foundation and the Green Foundation to create a model natural base project.")</f>
        <v>Poly Property has officially entered Guangzhou Haizhu National Wetland Park, and is working with the China Green Development Foundation and the Green Foundation to create a model natural base project.</v>
      </c>
      <c r="B7665" s="1" t="str">
        <f ca="1">IFERROR(__xludf.DUMMYFUNCTION("GOOGLETRANSLATE(A7665, ""zh"", ""en"")"),"biodiversity")</f>
        <v>biodiversity</v>
      </c>
      <c r="C7665" s="1" t="str">
        <f ca="1">IFERROR(__xludf.DUMMYFUNCTION("GOOGLETRANSLATE(E7665, ""zh"", ""en"")"),"Qualitative text")</f>
        <v>Qualitative text</v>
      </c>
    </row>
    <row r="7666" spans="1:3" ht="13" x14ac:dyDescent="0.15">
      <c r="A7666" s="1" t="str">
        <f ca="1">IFERROR(__xludf.DUMMYFUNCTION("GOOGLETRANSLATE(A7666, ""zh"", ""en"")"),"During the reporting period, the Company had no production bases or operation sites located in, near or in biodiversity-rich areas within nature reserves.")</f>
        <v>During the reporting period, the Company had no production bases or operation sites located in, near or in biodiversity-rich areas within nature reserves.</v>
      </c>
      <c r="B7666" s="1" t="str">
        <f ca="1">IFERROR(__xludf.DUMMYFUNCTION("GOOGLETRANSLATE(A7666, ""zh"", ""en"")"),"biodiversity")</f>
        <v>biodiversity</v>
      </c>
      <c r="C7666" s="1" t="str">
        <f ca="1">IFERROR(__xludf.DUMMYFUNCTION("GOOGLETRANSLATE(E7666, ""zh"", ""en"")"),"Quantitative Text")</f>
        <v>Quantitative Text</v>
      </c>
    </row>
    <row r="7667" spans="1:3" ht="13" x14ac:dyDescent="0.15">
      <c r="A7667" s="1" t="str">
        <f ca="1">IFERROR(__xludf.DUMMYFUNCTION("GOOGLETRANSLATE(A7667, ""zh"", ""en"")"),"The company is concerned about the impact of power stations on the biodiversity of the basin, and has supplemented and restored fish resources in the basin through methods such as reproduction and release, strengthened environmental remediation of the res"&amp;"ervoir area and waterways, carried out tree planting and forest protection work, and maintained the ecological environment of the reservoir area.")</f>
        <v>The company is concerned about the impact of power stations on the biodiversity of the basin, and has supplemented and restored fish resources in the basin through methods such as reproduction and release, strengthened environmental remediation of the reservoir area and waterways, carried out tree planting and forest protection work, and maintained the ecological environment of the reservoir area.</v>
      </c>
      <c r="B7667" s="1" t="str">
        <f ca="1">IFERROR(__xludf.DUMMYFUNCTION("GOOGLETRANSLATE(A7667, ""zh"", ""en"")"),"biodiversity")</f>
        <v>biodiversity</v>
      </c>
      <c r="C7667" s="1" t="str">
        <f ca="1">IFERROR(__xludf.DUMMYFUNCTION("GOOGLETRANSLATE(E7667, ""zh"", ""en"")"),"Qualitative text")</f>
        <v>Qualitative text</v>
      </c>
    </row>
    <row r="7668" spans="1:3" ht="13" x14ac:dyDescent="0.15">
      <c r="A7668" s="1" t="str">
        <f ca="1">IFERROR(__xludf.DUMMYFUNCTION("GOOGLETRANSLATE(A7668, ""zh"", ""en"")"),"The company incorporates biodiversity protection practices into every aspect of project planning, design, construction, and operation.")</f>
        <v>The company incorporates biodiversity protection practices into every aspect of project planning, design, construction, and operation.</v>
      </c>
      <c r="B7668" s="1" t="str">
        <f ca="1">IFERROR(__xludf.DUMMYFUNCTION("GOOGLETRANSLATE(A7668, ""zh"", ""en"")"),"biodiversity")</f>
        <v>biodiversity</v>
      </c>
      <c r="C7668" s="1" t="str">
        <f ca="1">IFERROR(__xludf.DUMMYFUNCTION("GOOGLETRANSLATE(E7668, ""zh"", ""en"")"),"Qualitative text")</f>
        <v>Qualitative text</v>
      </c>
    </row>
    <row r="7669" spans="1:3" ht="13" x14ac:dyDescent="0.15">
      <c r="A7669" s="1" t="str">
        <f ca="1">IFERROR(__xludf.DUMMYFUNCTION("GOOGLETRANSLATE(A7669, ""zh"", ""en"")"),"The company actively participates in the protection of biodiversity, identifies and manages potential negative impacts on biodiversity and ecosystems during construction, and ensures ecological and environmental protection at construction sites.")</f>
        <v>The company actively participates in the protection of biodiversity, identifies and manages potential negative impacts on biodiversity and ecosystems during construction, and ensures ecological and environmental protection at construction sites.</v>
      </c>
      <c r="B7669" s="1" t="str">
        <f ca="1">IFERROR(__xludf.DUMMYFUNCTION("GOOGLETRANSLATE(A7669, ""zh"", ""en"")"),"biodiversity")</f>
        <v>biodiversity</v>
      </c>
      <c r="C7669" s="1" t="str">
        <f ca="1">IFERROR(__xludf.DUMMYFUNCTION("GOOGLETRANSLATE(E7669, ""zh"", ""en"")"),"Qualitative text")</f>
        <v>Qualitative text</v>
      </c>
    </row>
    <row r="7670" spans="1:3" ht="13" x14ac:dyDescent="0.15">
      <c r="A7670" s="1" t="str">
        <f ca="1">IFERROR(__xludf.DUMMYFUNCTION("GOOGLETRANSLATE(A7670, ""zh"", ""en"")"),"We actively pay attention to biodiversity and give priority to raw materials that have little impact on biodiversity.")</f>
        <v>We actively pay attention to biodiversity and give priority to raw materials that have little impact on biodiversity.</v>
      </c>
      <c r="B7670" s="1" t="str">
        <f ca="1">IFERROR(__xludf.DUMMYFUNCTION("GOOGLETRANSLATE(A7670, ""zh"", ""en"")"),"biodiversity")</f>
        <v>biodiversity</v>
      </c>
      <c r="C7670" s="1" t="str">
        <f ca="1">IFERROR(__xludf.DUMMYFUNCTION("GOOGLETRANSLATE(E7670, ""zh"", ""en"")"),"Qualitative text")</f>
        <v>Qualitative text</v>
      </c>
    </row>
    <row r="7671" spans="1:3" ht="13" x14ac:dyDescent="0.15">
      <c r="A7671" s="1" t="str">
        <f ca="1">IFERROR(__xludf.DUMMYFUNCTION("GOOGLETRANSLATE(A7671, ""zh"", ""en"")"),"The construction of Macaw Mountain and Bird Park Sanctuary provides protection and care for injured and captured macaws. TPV has also actively participated in the project, continuing to provide assistance and support for the ecological environment and bir"&amp;"d survival, bringing help to more creatures in the future and contributing to biodiversity conservation.")</f>
        <v>The construction of Macaw Mountain and Bird Park Sanctuary provides protection and care for injured and captured macaws. TPV has also actively participated in the project, continuing to provide assistance and support for the ecological environment and bird survival, bringing help to more creatures in the future and contributing to biodiversity conservation.</v>
      </c>
      <c r="B7671" s="1" t="str">
        <f ca="1">IFERROR(__xludf.DUMMYFUNCTION("GOOGLETRANSLATE(A7671, ""zh"", ""en"")"),"biodiversity")</f>
        <v>biodiversity</v>
      </c>
      <c r="C7671" s="1" t="str">
        <f ca="1">IFERROR(__xludf.DUMMYFUNCTION("GOOGLETRANSLATE(E7671, ""zh"", ""en"")"),"Qualitative text")</f>
        <v>Qualitative text</v>
      </c>
    </row>
    <row r="7672" spans="1:3" ht="13" x14ac:dyDescent="0.15">
      <c r="A7672" s="1" t="str">
        <f ca="1">IFERROR(__xludf.DUMMYFUNCTION("GOOGLETRANSLATE(A7672, ""zh"", ""en"")"),"Before mining, we will conduct a survey and assessment of the current status of biodiversity in the mining area and areas that may be affected by mining activities. In response to national or local protected animals, plants or ecosystems, we will take in "&amp;"situ or ex situ conservation measures to protect the biodiversity of the mine.")</f>
        <v>Before mining, we will conduct a survey and assessment of the current status of biodiversity in the mining area and areas that may be affected by mining activities. In response to national or local protected animals, plants or ecosystems, we will take in situ or ex situ conservation measures to protect the biodiversity of the mine.</v>
      </c>
      <c r="B7672" s="1" t="str">
        <f ca="1">IFERROR(__xludf.DUMMYFUNCTION("GOOGLETRANSLATE(A7672, ""zh"", ""en"")"),"biodiversity")</f>
        <v>biodiversity</v>
      </c>
      <c r="C7672" s="1" t="str">
        <f ca="1">IFERROR(__xludf.DUMMYFUNCTION("GOOGLETRANSLATE(E7672, ""zh"", ""en"")"),"Qualitative text")</f>
        <v>Qualitative text</v>
      </c>
    </row>
    <row r="7673" spans="1:3" ht="13" x14ac:dyDescent="0.15">
      <c r="A7673" s="1" t="str">
        <f ca="1">IFERROR(__xludf.DUMMYFUNCTION("GOOGLETRANSLATE(A7673, ""zh"", ""en"")"),"Carry out biodiversity publicity activities such as the ""Harmony of Humanity and Nature"" camping and sketching parent-child charity event to enhance the public's awareness of biodiversity conservation")</f>
        <v>Carry out biodiversity publicity activities such as the "Harmony of Humanity and Nature" camping and sketching parent-child charity event to enhance the public's awareness of biodiversity conservation</v>
      </c>
      <c r="B7673" s="1" t="str">
        <f ca="1">IFERROR(__xludf.DUMMYFUNCTION("GOOGLETRANSLATE(A7673, ""zh"", ""en"")"),"biodiversity")</f>
        <v>biodiversity</v>
      </c>
      <c r="C7673" s="1" t="str">
        <f ca="1">IFERROR(__xludf.DUMMYFUNCTION("GOOGLETRANSLATE(E7673, ""zh"", ""en"")"),"Qualitative text")</f>
        <v>Qualitative text</v>
      </c>
    </row>
    <row r="7674" spans="1:3" ht="13" x14ac:dyDescent="0.15">
      <c r="A7674" s="1" t="str">
        <f ca="1">IFERROR(__xludf.DUMMYFUNCTION("GOOGLETRANSLATE(A7674, ""zh"", ""en"")"),"Develop biodiversity action plans and adopt ecological compensation measures for disturbed environments")</f>
        <v>Develop biodiversity action plans and adopt ecological compensation measures for disturbed environments</v>
      </c>
      <c r="B7674" s="1" t="str">
        <f ca="1">IFERROR(__xludf.DUMMYFUNCTION("GOOGLETRANSLATE(A7674, ""zh"", ""en"")"),"biodiversity")</f>
        <v>biodiversity</v>
      </c>
      <c r="C7674" s="1" t="str">
        <f ca="1">IFERROR(__xludf.DUMMYFUNCTION("GOOGLETRANSLATE(E7674, ""zh"", ""en"")"),"Qualitative text")</f>
        <v>Qualitative text</v>
      </c>
    </row>
    <row r="7675" spans="1:3" ht="13" x14ac:dyDescent="0.15">
      <c r="A7675" s="1" t="str">
        <f ca="1">IFERROR(__xludf.DUMMYFUNCTION("GOOGLETRANSLATE(A7675, ""zh"", ""en"")"),"Establishing innovative financial models such as funds to protect migratory bird routes and support biodiversity conservation")</f>
        <v>Establishing innovative financial models such as funds to protect migratory bird routes and support biodiversity conservation</v>
      </c>
      <c r="B7675" s="1" t="str">
        <f ca="1">IFERROR(__xludf.DUMMYFUNCTION("GOOGLETRANSLATE(A7675, ""zh"", ""en"")"),"biodiversity")</f>
        <v>biodiversity</v>
      </c>
      <c r="C7675" s="1" t="str">
        <f ca="1">IFERROR(__xludf.DUMMYFUNCTION("GOOGLETRANSLATE(E7675, ""zh"", ""en"")"),"Qualitative text")</f>
        <v>Qualitative text</v>
      </c>
    </row>
    <row r="7676" spans="1:3" ht="13" x14ac:dyDescent="0.15">
      <c r="A7676" s="1" t="str">
        <f ca="1">IFERROR(__xludf.DUMMYFUNCTION("GOOGLETRANSLATE(A7676, ""zh"", ""en"")"),"Establish egret habitat protection area")</f>
        <v>Establish egret habitat protection area</v>
      </c>
      <c r="B7676" s="1" t="str">
        <f ca="1">IFERROR(__xludf.DUMMYFUNCTION("GOOGLETRANSLATE(A7676, ""zh"", ""en"")"),"biodiversity")</f>
        <v>biodiversity</v>
      </c>
      <c r="C7676" s="1" t="str">
        <f ca="1">IFERROR(__xludf.DUMMYFUNCTION("GOOGLETRANSLATE(E7676, ""zh"", ""en"")"),"Qualitative text")</f>
        <v>Qualitative text</v>
      </c>
    </row>
    <row r="7677" spans="1:3" ht="13" x14ac:dyDescent="0.15">
      <c r="A7677" s="1" t="str">
        <f ca="1">IFERROR(__xludf.DUMMYFUNCTION("GOOGLETRANSLATE(A7677, ""zh"", ""en"")"),"Establish a habitat protection area for mergansers")</f>
        <v>Establish a habitat protection area for mergansers</v>
      </c>
      <c r="B7677" s="1" t="str">
        <f ca="1">IFERROR(__xludf.DUMMYFUNCTION("GOOGLETRANSLATE(A7677, ""zh"", ""en"")"),"biodiversity")</f>
        <v>biodiversity</v>
      </c>
      <c r="C7677" s="1" t="str">
        <f ca="1">IFERROR(__xludf.DUMMYFUNCTION("GOOGLETRANSLATE(E7677, ""zh"", ""en"")"),"Qualitative text")</f>
        <v>Qualitative text</v>
      </c>
    </row>
    <row r="7678" spans="1:3" ht="13" x14ac:dyDescent="0.15">
      <c r="A7678" s="1" t="str">
        <f ca="1">IFERROR(__xludf.DUMMYFUNCTION("GOOGLETRANSLATE(A7678, ""zh"", ""en"")"),"We protect local precious plants by establishing new botanical gardens, reserves, and wetland reserves, or offset and compensate for the damaged forest area by building ecological compensation forests. In addition, we also actively participate in animal p"&amp;"rotection organizations. For example, Continental Gold has joined the Colombian National Animal Protection Organization.")</f>
        <v>We protect local precious plants by establishing new botanical gardens, reserves, and wetland reserves, or offset and compensate for the damaged forest area by building ecological compensation forests. In addition, we also actively participate in animal protection organizations. For example, Continental Gold has joined the Colombian National Animal Protection Organization.</v>
      </c>
      <c r="B7678" s="1" t="str">
        <f ca="1">IFERROR(__xludf.DUMMYFUNCTION("GOOGLETRANSLATE(A7678, ""zh"", ""en"")"),"biodiversity")</f>
        <v>biodiversity</v>
      </c>
      <c r="C7678" s="1" t="str">
        <f ca="1">IFERROR(__xludf.DUMMYFUNCTION("GOOGLETRANSLATE(E7678, ""zh"", ""en"")"),"Qualitative text")</f>
        <v>Qualitative text</v>
      </c>
    </row>
    <row r="7679" spans="1:3" ht="13" x14ac:dyDescent="0.15">
      <c r="A7679" s="1" t="str">
        <f ca="1">IFERROR(__xludf.DUMMYFUNCTION("GOOGLETRANSLATE(A7679, ""zh"", ""en"")"),"The Hunutlu Power Plant in Turkey is located on the Mediterranean coast. Next to the project is the nesting ground of the endangered green turtle. During the turtle nesting season, power plant employees stopped construction on the dock, designed a bridge "&amp;"across the turtle nesting ground, used long-wavelength light sources near the nesting area to control brightness and scattering, and organized volunteers to clean up debris on the beach to facilitate the return of the baby turtles to the sea. During the p"&amp;"roject, the turtle egg production was not affected, which was highly recognized by turtle experts.")</f>
        <v>The Hunutlu Power Plant in Turkey is located on the Mediterranean coast. Next to the project is the nesting ground of the endangered green turtle. During the turtle nesting season, power plant employees stopped construction on the dock, designed a bridge across the turtle nesting ground, used long-wavelength light sources near the nesting area to control brightness and scattering, and organized volunteers to clean up debris on the beach to facilitate the return of the baby turtles to the sea. During the project, the turtle egg production was not affected, which was highly recognized by turtle experts.</v>
      </c>
      <c r="B7679" s="1" t="str">
        <f ca="1">IFERROR(__xludf.DUMMYFUNCTION("GOOGLETRANSLATE(A7679, ""zh"", ""en"")"),"biodiversity")</f>
        <v>biodiversity</v>
      </c>
      <c r="C7679" s="1" t="str">
        <f ca="1">IFERROR(__xludf.DUMMYFUNCTION("GOOGLETRANSLATE(E7679, ""zh"", ""en"")"),"Qualitative text")</f>
        <v>Qualitative text</v>
      </c>
    </row>
    <row r="7680" spans="1:3" ht="13" x14ac:dyDescent="0.15">
      <c r="A7680" s="1" t="str">
        <f ca="1">IFERROR(__xludf.DUMMYFUNCTION("GOOGLETRANSLATE(A7680, ""zh"", ""en"")"),"To maintain the diversity of aquatic life in rivers near the mining area and improve the quality of the regional water environment, we select local fish species every year under the guidance of local fishery departments and professional technicians, and c"&amp;"arry out stocking activities in designated river locations to achieve the goal of using water to support fish and fish to support water.")</f>
        <v>To maintain the diversity of aquatic life in rivers near the mining area and improve the quality of the regional water environment, we select local fish species every year under the guidance of local fishery departments and professional technicians, and carry out stocking activities in designated river locations to achieve the goal of using water to support fish and fish to support water.</v>
      </c>
      <c r="B7680" s="1" t="str">
        <f ca="1">IFERROR(__xludf.DUMMYFUNCTION("GOOGLETRANSLATE(A7680, ""zh"", ""en"")"),"biodiversity")</f>
        <v>biodiversity</v>
      </c>
      <c r="C7680" s="1" t="str">
        <f ca="1">IFERROR(__xludf.DUMMYFUNCTION("GOOGLETRANSLATE(E7680, ""zh"", ""en"")"),"Qualitative text")</f>
        <v>Qualitative text</v>
      </c>
    </row>
    <row r="7681" spans="1:3" ht="13" x14ac:dyDescent="0.15">
      <c r="A7681" s="1" t="str">
        <f ca="1">IFERROR(__xludf.DUMMYFUNCTION("GOOGLETRANSLATE(A7681, ""zh"", ""en"")"),"Our Corporate Social Responsibility Fund also continues to collaborate with the Explorers Foundation to support the Scarlet Macaw Project in Honduras, which aims to protect and restore the bird's population.")</f>
        <v>Our Corporate Social Responsibility Fund also continues to collaborate with the Explorers Foundation to support the Scarlet Macaw Project in Honduras, which aims to protect and restore the bird's population.</v>
      </c>
      <c r="B7681" s="1" t="str">
        <f ca="1">IFERROR(__xludf.DUMMYFUNCTION("GOOGLETRANSLATE(A7681, ""zh"", ""en"")"),"biodiversity")</f>
        <v>biodiversity</v>
      </c>
      <c r="C7681" s="1" t="str">
        <f ca="1">IFERROR(__xludf.DUMMYFUNCTION("GOOGLETRANSLATE(E7681, ""zh"", ""en"")"),"Qualitative text")</f>
        <v>Qualitative text</v>
      </c>
    </row>
    <row r="7682" spans="1:3" ht="13" x14ac:dyDescent="0.15">
      <c r="A7682" s="1" t="str">
        <f ca="1">IFERROR(__xludf.DUMMYFUNCTION("GOOGLETRANSLATE(A7682, ""zh"", ""en"")"),"We strictly abide by the Wildlife Protection Law of the People's Republic of China, the Regulations of the People's Republic of China on Nature Reserves, and the host country's laws and regulations related to biodiversity. At the company level, we have fo"&amp;"rmulated and issued the ""Ecological and Environmental Protection Policy Statement"", ""Biodiversity Work Guidelines"", and ""Basic Standards for Environmental Order Management"" to guide all production and operation sites in ecological protection.")</f>
        <v>We strictly abide by the Wildlife Protection Law of the People's Republic of China, the Regulations of the People's Republic of China on Nature Reserves, and the host country's laws and regulations related to biodiversity. At the company level, we have formulated and issued the "Ecological and Environmental Protection Policy Statement", "Biodiversity Work Guidelines", and "Basic Standards for Environmental Order Management" to guide all production and operation sites in ecological protection.</v>
      </c>
      <c r="B7682" s="1" t="str">
        <f ca="1">IFERROR(__xludf.DUMMYFUNCTION("GOOGLETRANSLATE(A7682, ""zh"", ""en"")"),"biodiversity")</f>
        <v>biodiversity</v>
      </c>
      <c r="C7682" s="1" t="str">
        <f ca="1">IFERROR(__xludf.DUMMYFUNCTION("GOOGLETRANSLATE(E7682, ""zh"", ""en"")"),"Qualitative text")</f>
        <v>Qualitative text</v>
      </c>
    </row>
    <row r="7683" spans="1:3" ht="13" x14ac:dyDescent="0.15">
      <c r="A7683" s="1" t="str">
        <f ca="1">IFERROR(__xludf.DUMMYFUNCTION("GOOGLETRANSLATE(A7683, ""zh"", ""en"")"),"Discreet camera traps were deployed at strategic locations around the mining footprint to ensure minimal disruption to the natural behavior of wildlife and to conduct careful monitoring to understand the ecological status within the mining area.")</f>
        <v>Discreet camera traps were deployed at strategic locations around the mining footprint to ensure minimal disruption to the natural behavior of wildlife and to conduct careful monitoring to understand the ecological status within the mining area.</v>
      </c>
      <c r="B7683" s="1" t="str">
        <f ca="1">IFERROR(__xludf.DUMMYFUNCTION("GOOGLETRANSLATE(A7683, ""zh"", ""en"")"),"biodiversity")</f>
        <v>biodiversity</v>
      </c>
      <c r="C7683" s="1" t="str">
        <f ca="1">IFERROR(__xludf.DUMMYFUNCTION("GOOGLETRANSLATE(E7683, ""zh"", ""en"")"),"Qualitative text")</f>
        <v>Qualitative text</v>
      </c>
    </row>
    <row r="7684" spans="1:3" ht="13" x14ac:dyDescent="0.15">
      <c r="A7684" s="1" t="str">
        <f ca="1">IFERROR(__xludf.DUMMYFUNCTION("GOOGLETRANSLATE(A7684, ""zh"", ""en"")"),"Support the overseas charity organization ImpulsoVerde Foundation to cooperate with the local Pasto indigenous community to assist in forest reconstruction projects in Colombia to improve forest degradation and ecosystem destruction in the region.")</f>
        <v>Support the overseas charity organization ImpulsoVerde Foundation to cooperate with the local Pasto indigenous community to assist in forest reconstruction projects in Colombia to improve forest degradation and ecosystem destruction in the region.</v>
      </c>
      <c r="B7684" s="1" t="str">
        <f ca="1">IFERROR(__xludf.DUMMYFUNCTION("GOOGLETRANSLATE(A7684, ""zh"", ""en"")"),"biodiversity")</f>
        <v>biodiversity</v>
      </c>
      <c r="C7684" s="1" t="str">
        <f ca="1">IFERROR(__xludf.DUMMYFUNCTION("GOOGLETRANSLATE(E7684, ""zh"", ""en"")"),"Qualitative text")</f>
        <v>Qualitative text</v>
      </c>
    </row>
    <row r="7685" spans="1:3" ht="13" x14ac:dyDescent="0.15">
      <c r="A7685" s="1" t="str">
        <f ca="1">IFERROR(__xludf.DUMMYFUNCTION("GOOGLETRANSLATE(A7685, ""zh"", ""en"")"),"Zhongtian Technology's marine information ecosystem platform provides comprehensive perception and intelligent applications to promote sustainable development of the ocean.")</f>
        <v>Zhongtian Technology's marine information ecosystem platform provides comprehensive perception and intelligent applications to promote sustainable development of the ocean.</v>
      </c>
      <c r="B7685" s="1" t="str">
        <f ca="1">IFERROR(__xludf.DUMMYFUNCTION("GOOGLETRANSLATE(A7685, ""zh"", ""en"")"),"biodiversity")</f>
        <v>biodiversity</v>
      </c>
      <c r="C7685" s="1" t="str">
        <f ca="1">IFERROR(__xludf.DUMMYFUNCTION("GOOGLETRANSLATE(E7685, ""zh"", ""en"")"),"Qualitative text")</f>
        <v>Qualitative text</v>
      </c>
    </row>
    <row r="7686" spans="1:3" ht="13" x14ac:dyDescent="0.15">
      <c r="A7686" s="1" t="str">
        <f ca="1">IFERROR(__xludf.DUMMYFUNCTION("GOOGLETRANSLATE(A7686, ""zh"", ""en"")"),"Independently develop ocean monitoring systems to monitor underwater biological activity and protect biodiversity.")</f>
        <v>Independently develop ocean monitoring systems to monitor underwater biological activity and protect biodiversity.</v>
      </c>
      <c r="B7686" s="1" t="str">
        <f ca="1">IFERROR(__xludf.DUMMYFUNCTION("GOOGLETRANSLATE(A7686, ""zh"", ""en"")"),"biodiversity")</f>
        <v>biodiversity</v>
      </c>
      <c r="C7686" s="1" t="str">
        <f ca="1">IFERROR(__xludf.DUMMYFUNCTION("GOOGLETRANSLATE(E7686, ""zh"", ""en"")"),"Qualitative text")</f>
        <v>Qualitative text</v>
      </c>
    </row>
    <row r="7687" spans="1:3" ht="13" x14ac:dyDescent="0.15">
      <c r="A7687" s="1" t="str">
        <f ca="1">IFERROR(__xludf.DUMMYFUNCTION("GOOGLETRANSLATE(A7687, ""zh"", ""en"")"),"The Biodiversity Conservation Company has formulated the ""Measures for the Sustainable Management of Biological Natural Resources"", which stipulates the responsibilities, processes and requirements for biodiversity conservation during project developmen"&amp;"t, construction and operation and maintenance. The system clarifies biodiversity risk identification, impact assessment, monitoring, habitat protection and compensation management measures.")</f>
        <v>The Biodiversity Conservation Company has formulated the "Measures for the Sustainable Management of Biological Natural Resources", which stipulates the responsibilities, processes and requirements for biodiversity conservation during project development, construction and operation and maintenance. The system clarifies biodiversity risk identification, impact assessment, monitoring, habitat protection and compensation management measures.</v>
      </c>
      <c r="B7687" s="1" t="str">
        <f ca="1">IFERROR(__xludf.DUMMYFUNCTION("GOOGLETRANSLATE(A7687, ""zh"", ""en"")"),"biodiversity")</f>
        <v>biodiversity</v>
      </c>
      <c r="C7687" s="1" t="str">
        <f ca="1">IFERROR(__xludf.DUMMYFUNCTION("GOOGLETRANSLATE(E7687, ""zh"", ""en"")"),"Qualitative text")</f>
        <v>Qualitative text</v>
      </c>
    </row>
    <row r="7688" spans="1:3" ht="13" x14ac:dyDescent="0.15">
      <c r="A7688" s="1" t="str">
        <f ca="1">IFERROR(__xludf.DUMMYFUNCTION("GOOGLETRANSLATE(A7688, ""zh"", ""en"")"),"Explain how to identify project-related threats to biodiversity and ecosystems, with a focus on risks such as habitat loss, ecosystem degradation and fragmentation, invasive alien species, over-exploitation, hydrological changes, eutrophication, and envir"&amp;"onmental pollution.")</f>
        <v>Explain how to identify project-related threats to biodiversity and ecosystems, with a focus on risks such as habitat loss, ecosystem degradation and fragmentation, invasive alien species, over-exploitation, hydrological changes, eutrophication, and environmental pollution.</v>
      </c>
      <c r="B7688" s="1" t="str">
        <f ca="1">IFERROR(__xludf.DUMMYFUNCTION("GOOGLETRANSLATE(A7688, ""zh"", ""en"")"),"biodiversity")</f>
        <v>biodiversity</v>
      </c>
      <c r="C7688" s="1" t="str">
        <f ca="1">IFERROR(__xludf.DUMMYFUNCTION("GOOGLETRANSLATE(E7688, ""zh"", ""en"")"),"Qualitative text")</f>
        <v>Qualitative text</v>
      </c>
    </row>
    <row r="7689" spans="1:3" ht="13" x14ac:dyDescent="0.15">
      <c r="A7689" s="1" t="str">
        <f ca="1">IFERROR(__xludf.DUMMYFUNCTION("GOOGLETRANSLATE(A7689, ""zh"", ""en"")"),"Cultivating employees’ awareness of biodiversity conservation is an important foundation for the company to implement biodiversity conservation work")</f>
        <v>Cultivating employees’ awareness of biodiversity conservation is an important foundation for the company to implement biodiversity conservation work</v>
      </c>
      <c r="B7689" s="1" t="str">
        <f ca="1">IFERROR(__xludf.DUMMYFUNCTION("GOOGLETRANSLATE(A7689, ""zh"", ""en"")"),"biodiversity")</f>
        <v>biodiversity</v>
      </c>
      <c r="C7689" s="1" t="str">
        <f ca="1">IFERROR(__xludf.DUMMYFUNCTION("GOOGLETRANSLATE(E7689, ""zh"", ""en"")"),"Qualitative text")</f>
        <v>Qualitative text</v>
      </c>
    </row>
    <row r="7690" spans="1:3" ht="13" x14ac:dyDescent="0.15">
      <c r="A7690" s="1" t="str">
        <f ca="1">IFERROR(__xludf.DUMMYFUNCTION("GOOGLETRANSLATE(A7690, ""zh"", ""en"")"),"On May 22, 2022 (the 29th International Day for Biological Diversity), the company officially launched the ""Feng.Shang"" garden at its Beijing headquarters. In this micro-ecosystem garden that advocates for biodiversity conservation, 43 native plant spec"&amp;"ies were planted, including a variety of Chinese medicinal herbs and nectar plants. Facilities such as insect houses, Benjesus piles, dry creek landscapes, and artificial bird nests were set up to attract animals to settle down and nest. In addition, eart"&amp;"hworm towers were combined with compost bins to produce organic fertilizers, providing nutrients for plant growth and improving soil quality.")</f>
        <v>On May 22, 2022 (the 29th International Day for Biological Diversity), the company officially launched the "Feng.Shang" garden at its Beijing headquarters. In this micro-ecosystem garden that advocates for biodiversity conservation, 43 native plant species were planted, including a variety of Chinese medicinal herbs and nectar plants. Facilities such as insect houses, Benjesus piles, dry creek landscapes, and artificial bird nests were set up to attract animals to settle down and nest. In addition, earthworm towers were combined with compost bins to produce organic fertilizers, providing nutrients for plant growth and improving soil quality.</v>
      </c>
      <c r="B7690" s="1" t="str">
        <f ca="1">IFERROR(__xludf.DUMMYFUNCTION("GOOGLETRANSLATE(A7690, ""zh"", ""en"")"),"biodiversity")</f>
        <v>biodiversity</v>
      </c>
      <c r="C7690" s="1" t="str">
        <f ca="1">IFERROR(__xludf.DUMMYFUNCTION("GOOGLETRANSLATE(E7690, ""zh"", ""en"")"),"Quantitative Text")</f>
        <v>Quantitative Text</v>
      </c>
    </row>
    <row r="7691" spans="1:3" ht="13" x14ac:dyDescent="0.15">
      <c r="A7691" s="1" t="str">
        <f ca="1">IFERROR(__xludf.DUMMYFUNCTION("GOOGLETRANSLATE(A7691, ""zh"", ""en"")"),"The garden introduces eco-friendly concepts into the office park, guiding more employees to recognize and understand biodiversity.")</f>
        <v>The garden introduces eco-friendly concepts into the office park, guiding more employees to recognize and understand biodiversity.</v>
      </c>
      <c r="B7691" s="1" t="str">
        <f ca="1">IFERROR(__xludf.DUMMYFUNCTION("GOOGLETRANSLATE(A7691, ""zh"", ""en"")"),"biodiversity")</f>
        <v>biodiversity</v>
      </c>
      <c r="C7691" s="1" t="str">
        <f ca="1">IFERROR(__xludf.DUMMYFUNCTION("GOOGLETRANSLATE(E7691, ""zh"", ""en"")"),"Qualitative text")</f>
        <v>Qualitative text</v>
      </c>
    </row>
    <row r="7692" spans="1:3" ht="13" x14ac:dyDescent="0.15">
      <c r="A7692" s="1" t="str">
        <f ca="1">IFERROR(__xludf.DUMMYFUNCTION("GOOGLETRANSLATE(A7692, ""zh"", ""en"")"),"Protect, restore and promote sustainable use of terrestrial ecosystems, sustainably manage forests, combat desertification, and curb biodiversity loss.")</f>
        <v>Protect, restore and promote sustainable use of terrestrial ecosystems, sustainably manage forests, combat desertification, and curb biodiversity loss.</v>
      </c>
      <c r="B7692" s="1" t="str">
        <f ca="1">IFERROR(__xludf.DUMMYFUNCTION("GOOGLETRANSLATE(A7692, ""zh"", ""en"")"),"biodiversity")</f>
        <v>biodiversity</v>
      </c>
      <c r="C7692" s="1" t="str">
        <f ca="1">IFERROR(__xludf.DUMMYFUNCTION("GOOGLETRANSLATE(E7692, ""zh"", ""en"")"),"Qualitative text")</f>
        <v>Qualitative text</v>
      </c>
    </row>
    <row r="7693" spans="1:3" ht="13" x14ac:dyDescent="0.15">
      <c r="A7693" s="1" t="str">
        <f ca="1">IFERROR(__xludf.DUMMYFUNCTION("GOOGLETRANSLATE(A7693, ""zh"", ""en"")"),"Take measures at all levels to reduce the degradation of natural habitats around factories and curb biodiversity loss.")</f>
        <v>Take measures at all levels to reduce the degradation of natural habitats around factories and curb biodiversity loss.</v>
      </c>
      <c r="B7693" s="1" t="str">
        <f ca="1">IFERROR(__xludf.DUMMYFUNCTION("GOOGLETRANSLATE(A7693, ""zh"", ""en"")"),"biodiversity")</f>
        <v>biodiversity</v>
      </c>
      <c r="C7693" s="1" t="str">
        <f ca="1">IFERROR(__xludf.DUMMYFUNCTION("GOOGLETRANSLATE(E7693, ""zh"", ""en"")"),"Qualitative text")</f>
        <v>Qualitative text</v>
      </c>
    </row>
    <row r="7694" spans="1:3" ht="13" x14ac:dyDescent="0.15">
      <c r="A7694" s="1" t="str">
        <f ca="1">IFERROR(__xludf.DUMMYFUNCTION("GOOGLETRANSLATE(A7694, ""zh"", ""en"")"),"Temporary construction roads are planned reasonably to reduce vegetation damage, frame protection is used to improve slope stability, and drainage ditches are designed reasonably to avoid soil erosion and protect ecologically sensitive areas.")</f>
        <v>Temporary construction roads are planned reasonably to reduce vegetation damage, frame protection is used to improve slope stability, and drainage ditches are designed reasonably to avoid soil erosion and protect ecologically sensitive areas.</v>
      </c>
      <c r="B7694" s="1" t="str">
        <f ca="1">IFERROR(__xludf.DUMMYFUNCTION("GOOGLETRANSLATE(A7694, ""zh"", ""en"")"),"biodiversity")</f>
        <v>biodiversity</v>
      </c>
      <c r="C7694" s="1" t="str">
        <f ca="1">IFERROR(__xludf.DUMMYFUNCTION("GOOGLETRANSLATE(E7694, ""zh"", ""en"")"),"Qualitative text")</f>
        <v>Qualitative text</v>
      </c>
    </row>
    <row r="7695" spans="1:3" ht="13" x14ac:dyDescent="0.15">
      <c r="A7695" s="1" t="str">
        <f ca="1">IFERROR(__xludf.DUMMYFUNCTION("GOOGLETRANSLATE(A7695, ""zh"", ""en"")"),"In 2022, the company hired Zhongshen Zhonghuan Accounting Firm (Special General Partnership) as the company's internal control audit agency for 2022, and evaluated the effectiveness of internal control of various functional departments of the headquarters"&amp;" and subsidiaries at all levels. The total assets of the units included in the evaluation scope accounted for 93.35% of the total assets of the company's consolidated financial statements, and the total operating income accounted for 98.11% of the total o"&amp;"perating income of the company's consolidated financial statements. No major defects were found in the company's internal control design and implementation throughout the year.")</f>
        <v>In 2022, the company hired Zhongshen Zhonghuan Accounting Firm (Special General Partnership) as the company's internal control audit agency for 2022, and evaluated the effectiveness of internal control of various functional departments of the headquarters and subsidiaries at all levels. The total assets of the units included in the evaluation scope accounted for 93.35% of the total assets of the company's consolidated financial statements, and the total operating income accounted for 98.11% of the total operating income of the company's consolidated financial statements. No major defects were found in the company's internal control design and implementation throughout the year.</v>
      </c>
      <c r="B7695" s="1" t="str">
        <f ca="1">IFERROR(__xludf.DUMMYFUNCTION("GOOGLETRANSLATE(A7695, ""zh"", ""en"")"),"Audit work")</f>
        <v>Audit work</v>
      </c>
      <c r="C7695" s="1" t="str">
        <f ca="1">IFERROR(__xludf.DUMMYFUNCTION("GOOGLETRANSLATE(E7695, ""zh"", ""en"")"),"Quantitative Text")</f>
        <v>Quantitative Text</v>
      </c>
    </row>
    <row r="7696" spans="1:3" ht="13" x14ac:dyDescent="0.15">
      <c r="A7696" s="1" t="str">
        <f ca="1">IFERROR(__xludf.DUMMYFUNCTION("GOOGLETRANSLATE(A7696, ""zh"", ""en"")"),"In 2022, the company's audit department issued a total of 51 audit reports, including 22 special audits, 21 internal audits, and 8 exit audits.")</f>
        <v>In 2022, the company's audit department issued a total of 51 audit reports, including 22 special audits, 21 internal audits, and 8 exit audits.</v>
      </c>
      <c r="B7696" s="1" t="str">
        <f ca="1">IFERROR(__xludf.DUMMYFUNCTION("GOOGLETRANSLATE(A7696, ""zh"", ""en"")"),"Audit work")</f>
        <v>Audit work</v>
      </c>
      <c r="C7696" s="1" t="str">
        <f ca="1">IFERROR(__xludf.DUMMYFUNCTION("GOOGLETRANSLATE(E7696, ""zh"", ""en"")"),"Quantitative Text")</f>
        <v>Quantitative Text</v>
      </c>
    </row>
    <row r="7697" spans="1:3" ht="13" x14ac:dyDescent="0.15">
      <c r="A7697" s="1" t="str">
        <f ca="1">IFERROR(__xludf.DUMMYFUNCTION("GOOGLETRANSLATE(A7697, ""zh"", ""en"")"),"For internal control deficiencies discovered during oversight, the Audit Office investigates the nature and causes of the deficiencies, proposes a corrective action plan, and reports it to the Audit Committee. The Audit Committee reviews the report and su"&amp;"bmits it to the Board of Directors, the Board of Supervisors, and management. The Internal Control Committee then further implements and oversees the corrective action plan.")</f>
        <v>For internal control deficiencies discovered during oversight, the Audit Office investigates the nature and causes of the deficiencies, proposes a corrective action plan, and reports it to the Audit Committee. The Audit Committee reviews the report and submits it to the Board of Directors, the Board of Supervisors, and management. The Internal Control Committee then further implements and oversees the corrective action plan.</v>
      </c>
      <c r="B7697" s="1" t="str">
        <f ca="1">IFERROR(__xludf.DUMMYFUNCTION("GOOGLETRANSLATE(A7697, ""zh"", ""en"")"),"Audit work")</f>
        <v>Audit work</v>
      </c>
      <c r="C7697" s="1" t="str">
        <f ca="1">IFERROR(__xludf.DUMMYFUNCTION("GOOGLETRANSLATE(E7697, ""zh"", ""en"")"),"Qualitative text")</f>
        <v>Qualitative text</v>
      </c>
    </row>
    <row r="7698" spans="1:3" ht="13" x14ac:dyDescent="0.15">
      <c r="A7698" s="1" t="str">
        <f ca="1">IFERROR(__xludf.DUMMYFUNCTION("GOOGLETRANSLATE(A7698, ""zh"", ""en"")"),"Responsible for auditing and supervising the financial revenue and expenditure and economic activities of the entire company and its subsidiaries and departments, and reporting directly to the Audit Committee.")</f>
        <v>Responsible for auditing and supervising the financial revenue and expenditure and economic activities of the entire company and its subsidiaries and departments, and reporting directly to the Audit Committee.</v>
      </c>
      <c r="B7698" s="1" t="str">
        <f ca="1">IFERROR(__xludf.DUMMYFUNCTION("GOOGLETRANSLATE(A7698, ""zh"", ""en"")"),"Audit work")</f>
        <v>Audit work</v>
      </c>
      <c r="C7698" s="1" t="str">
        <f ca="1">IFERROR(__xludf.DUMMYFUNCTION("GOOGLETRANSLATE(E7698, ""zh"", ""en"")"),"Qualitative text")</f>
        <v>Qualitative text</v>
      </c>
    </row>
    <row r="7699" spans="1:3" ht="13" x14ac:dyDescent="0.15">
      <c r="A7699" s="1" t="str">
        <f ca="1">IFERROR(__xludf.DUMMYFUNCTION("GOOGLETRANSLATE(A7699, ""zh"", ""en"")"),"The company has established a complete risk management operation mechanism in accordance with the ""Audit Law"", ""Regulations of the National Audit Office on Internal Audit Work"", ""Stock Listing Rules"", ""Standardized Operation of Main Board Listed Co"&amp;"mpanies"" and other legal risk management measures to improve the company's risk prevention and control capabilities, ensure the company's legal and compliant operations, and formulate the ""Internal Audit System"" in accordance with laws and regulations "&amp;"to strengthen supervision and control of the company's business management activities and improve the level of corporate management.")</f>
        <v>The company has established a complete risk management operation mechanism in accordance with the "Audit Law", "Regulations of the National Audit Office on Internal Audit Work", "Stock Listing Rules", "Standardized Operation of Main Board Listed Companies" and other legal risk management measures to improve the company's risk prevention and control capabilities, ensure the company's legal and compliant operations, and formulate the "Internal Audit System" in accordance with laws and regulations to strengthen supervision and control of the company's business management activities and improve the level of corporate management.</v>
      </c>
      <c r="B7699" s="1" t="str">
        <f ca="1">IFERROR(__xludf.DUMMYFUNCTION("GOOGLETRANSLATE(A7699, ""zh"", ""en"")"),"Audit work")</f>
        <v>Audit work</v>
      </c>
      <c r="C7699" s="1" t="str">
        <f ca="1">IFERROR(__xludf.DUMMYFUNCTION("GOOGLETRANSLATE(E7699, ""zh"", ""en"")"),"Qualitative text")</f>
        <v>Qualitative text</v>
      </c>
    </row>
    <row r="7700" spans="1:3" ht="13" x14ac:dyDescent="0.15">
      <c r="A7700" s="1" t="str">
        <f ca="1">IFERROR(__xludf.DUMMYFUNCTION("GOOGLETRANSLATE(A7700, ""zh"", ""en"")"),"The Group has established an Audit and Supervision Department, which is responsible for formulating and implementing risk-oriented audit and supervision work plans and evaluating the compliance, operational efficiency and effectiveness of established proc"&amp;"ess and system systems.")</f>
        <v>The Group has established an Audit and Supervision Department, which is responsible for formulating and implementing risk-oriented audit and supervision work plans and evaluating the compliance, operational efficiency and effectiveness of established process and system systems.</v>
      </c>
      <c r="B7700" s="1" t="str">
        <f ca="1">IFERROR(__xludf.DUMMYFUNCTION("GOOGLETRANSLATE(A7700, ""zh"", ""en"")"),"Audit work")</f>
        <v>Audit work</v>
      </c>
      <c r="C7700" s="1" t="str">
        <f ca="1">IFERROR(__xludf.DUMMYFUNCTION("GOOGLETRANSLATE(E7700, ""zh"", ""en"")"),"Qualitative text")</f>
        <v>Qualitative text</v>
      </c>
    </row>
    <row r="7701" spans="1:3" ht="13" x14ac:dyDescent="0.15">
      <c r="A7701" s="1" t="str">
        <f ca="1">IFERROR(__xludf.DUMMYFUNCTION("GOOGLETRANSLATE(A7701, ""zh"", ""en"")"),"Focus on the company's core business to carry out comprehensive risk management, continue to conduct compliance audits and supervision, and strictly deal with violations of red lines with a zero-tolerance attitude.")</f>
        <v>Focus on the company's core business to carry out comprehensive risk management, continue to conduct compliance audits and supervision, and strictly deal with violations of red lines with a zero-tolerance attitude.</v>
      </c>
      <c r="B7701" s="1" t="str">
        <f ca="1">IFERROR(__xludf.DUMMYFUNCTION("GOOGLETRANSLATE(A7701, ""zh"", ""en"")"),"Audit work")</f>
        <v>Audit work</v>
      </c>
      <c r="C7701" s="1" t="str">
        <f ca="1">IFERROR(__xludf.DUMMYFUNCTION("GOOGLETRANSLATE(E7701, ""zh"", ""en"")"),"Qualitative text")</f>
        <v>Qualitative text</v>
      </c>
    </row>
    <row r="7702" spans="1:3" ht="13" x14ac:dyDescent="0.15">
      <c r="A7702" s="1" t="str">
        <f ca="1">IFERROR(__xludf.DUMMYFUNCTION("GOOGLETRANSLATE(A7702, ""zh"", ""en"")"),"In terms of internal control, Zhuhai Port has established a relatively complete internal control system and working mechanism, and continuously optimizes the construction of the internal control system through measures such as internal control self-assess"&amp;"ment, internal assessment defect rectification inspection, and special internal control audits.")</f>
        <v>In terms of internal control, Zhuhai Port has established a relatively complete internal control system and working mechanism, and continuously optimizes the construction of the internal control system through measures such as internal control self-assessment, internal assessment defect rectification inspection, and special internal control audits.</v>
      </c>
      <c r="B7702" s="1" t="str">
        <f ca="1">IFERROR(__xludf.DUMMYFUNCTION("GOOGLETRANSLATE(A7702, ""zh"", ""en"")"),"Audit work")</f>
        <v>Audit work</v>
      </c>
      <c r="C7702" s="1" t="str">
        <f ca="1">IFERROR(__xludf.DUMMYFUNCTION("GOOGLETRANSLATE(E7702, ""zh"", ""en"")"),"Qualitative text")</f>
        <v>Qualitative text</v>
      </c>
    </row>
    <row r="7703" spans="1:3" ht="13" x14ac:dyDescent="0.15">
      <c r="A7703" s="1" t="str">
        <f ca="1">IFERROR(__xludf.DUMMYFUNCTION("GOOGLETRANSLATE(A7703, ""zh"", ""en"")"),"Both the Audit Committee and the Remuneration and Appraisal Committee are chaired by independent directors, which effectively ensures the independence and fairness of the audit and appraisal.")</f>
        <v>Both the Audit Committee and the Remuneration and Appraisal Committee are chaired by independent directors, which effectively ensures the independence and fairness of the audit and appraisal.</v>
      </c>
      <c r="B7703" s="1" t="str">
        <f ca="1">IFERROR(__xludf.DUMMYFUNCTION("GOOGLETRANSLATE(A7703, ""zh"", ""en"")"),"Audit work")</f>
        <v>Audit work</v>
      </c>
      <c r="C7703" s="1" t="str">
        <f ca="1">IFERROR(__xludf.DUMMYFUNCTION("GOOGLETRANSLATE(E7703, ""zh"", ""en"")"),"Qualitative text")</f>
        <v>Qualitative text</v>
      </c>
    </row>
    <row r="7704" spans="1:3" ht="13" x14ac:dyDescent="0.15">
      <c r="A7704" s="1" t="str">
        <f ca="1">IFERROR(__xludf.DUMMYFUNCTION("GOOGLETRANSLATE(A7704, ""zh"", ""en"")"),"Both the Audit Committee and the Remuneration and Appraisal Committee are chaired by independent directors, which effectively ensures the independence and fairness of the audit and appraisal.")</f>
        <v>Both the Audit Committee and the Remuneration and Appraisal Committee are chaired by independent directors, which effectively ensures the independence and fairness of the audit and appraisal.</v>
      </c>
      <c r="B7704" s="1" t="str">
        <f ca="1">IFERROR(__xludf.DUMMYFUNCTION("GOOGLETRANSLATE(A7704, ""zh"", ""en"")"),"Audit work")</f>
        <v>Audit work</v>
      </c>
      <c r="C7704" s="1" t="str">
        <f ca="1">IFERROR(__xludf.DUMMYFUNCTION("GOOGLETRANSLATE(E7704, ""zh"", ""en"")"),"Qualitative text")</f>
        <v>Qualitative text</v>
      </c>
    </row>
    <row r="7705" spans="1:3" ht="13" x14ac:dyDescent="0.15">
      <c r="A7705" s="1" t="str">
        <f ca="1">IFERROR(__xludf.DUMMYFUNCTION("GOOGLETRANSLATE(A7705, ""zh"", ""en"")"),"Yunnan Copper has established a closed-loop management system for its internal control system, focusing on carrying out special audits in key areas, and forming a ""three-in-one"" audit supervision system of business supervision, comprehensive supervision"&amp;", and accountability, ensuring that ""all necessary audits are conducted, all departures are audited, all audits are strict, and accountability is strictly enforced.""")</f>
        <v>Yunnan Copper has established a closed-loop management system for its internal control system, focusing on carrying out special audits in key areas, and forming a "three-in-one" audit supervision system of business supervision, comprehensive supervision, and accountability, ensuring that "all necessary audits are conducted, all departures are audited, all audits are strict, and accountability is strictly enforced."</v>
      </c>
      <c r="B7705" s="1" t="str">
        <f ca="1">IFERROR(__xludf.DUMMYFUNCTION("GOOGLETRANSLATE(A7705, ""zh"", ""en"")"),"Audit work")</f>
        <v>Audit work</v>
      </c>
      <c r="C7705" s="1" t="str">
        <f ca="1">IFERROR(__xludf.DUMMYFUNCTION("GOOGLETRANSLATE(E7705, ""zh"", ""en"")"),"Qualitative text")</f>
        <v>Qualitative text</v>
      </c>
    </row>
    <row r="7706" spans="1:3" ht="13" x14ac:dyDescent="0.15">
      <c r="A7706" s="1" t="str">
        <f ca="1">IFERROR(__xludf.DUMMYFUNCTION("GOOGLETRANSLATE(A7706, ""zh"", ""en"")"),"The company has established a sound audit and risk control organizational system and implemented principal responsibilities.")</f>
        <v>The company has established a sound audit and risk control organizational system and implemented principal responsibilities.</v>
      </c>
      <c r="B7706" s="1" t="str">
        <f ca="1">IFERROR(__xludf.DUMMYFUNCTION("GOOGLETRANSLATE(A7706, ""zh"", ""en"")"),"Audit work")</f>
        <v>Audit work</v>
      </c>
      <c r="C7706" s="1" t="str">
        <f ca="1">IFERROR(__xludf.DUMMYFUNCTION("GOOGLETRANSLATE(E7706, ""zh"", ""en"")"),"Qualitative text")</f>
        <v>Qualitative text</v>
      </c>
    </row>
    <row r="7707" spans="1:3" ht="13" x14ac:dyDescent="0.15">
      <c r="A7707" s="1" t="str">
        <f ca="1">IFERROR(__xludf.DUMMYFUNCTION("GOOGLETRANSLATE(A7707, ""zh"", ""en"")"),"We organized internal control evaluations and financial revenue and expenditure audits, and focused on the management of major business decision-making matters, major business risk events, civilian product trade and other major matters. No major business "&amp;"risk events occurred throughout the year.")</f>
        <v>We organized internal control evaluations and financial revenue and expenditure audits, and focused on the management of major business decision-making matters, major business risk events, civilian product trade and other major matters. No major business risk events occurred throughout the year.</v>
      </c>
      <c r="B7707" s="1" t="str">
        <f ca="1">IFERROR(__xludf.DUMMYFUNCTION("GOOGLETRANSLATE(A7707, ""zh"", ""en"")"),"Audit work")</f>
        <v>Audit work</v>
      </c>
      <c r="C7707" s="1" t="str">
        <f ca="1">IFERROR(__xludf.DUMMYFUNCTION("GOOGLETRANSLATE(E7707, ""zh"", ""en"")"),"Quantitative Text")</f>
        <v>Quantitative Text</v>
      </c>
    </row>
    <row r="7708" spans="1:3" ht="13" x14ac:dyDescent="0.15">
      <c r="A7708" s="1" t="str">
        <f ca="1">IFERROR(__xludf.DUMMYFUNCTION("GOOGLETRANSLATE(A7708, ""zh"", ""en"")"),"The company complies with the ""Audit Law of the People's Republic of China"", ""Corporate Governance Guidelines for Listed Companies"", ""Shenzhen Stock Exchange Listing Rules"" and ""Shenzhen Stock Exchange Listed Company Standard Operation Guidelines"""&amp;" to formulate the ""Internal Audit System"" and ""Internal Control System"", establish the Internal Audit Department as the internal audit department, inspect and supervise the establishment and implementation of the company's internal control system, and"&amp;" report to the audit regularly.")</f>
        <v>The company complies with the "Audit Law of the People's Republic of China", "Corporate Governance Guidelines for Listed Companies", "Shenzhen Stock Exchange Listing Rules" and "Shenzhen Stock Exchange Listed Company Standard Operation Guidelines" to formulate the "Internal Audit System" and "Internal Control System", establish the Internal Audit Department as the internal audit department, inspect and supervise the establishment and implementation of the company's internal control system, and report to the audit regularly.</v>
      </c>
      <c r="B7708" s="1" t="str">
        <f ca="1">IFERROR(__xludf.DUMMYFUNCTION("GOOGLETRANSLATE(A7708, ""zh"", ""en"")"),"Audit work")</f>
        <v>Audit work</v>
      </c>
      <c r="C7708" s="1" t="str">
        <f ca="1">IFERROR(__xludf.DUMMYFUNCTION("GOOGLETRANSLATE(E7708, ""zh"", ""en"")"),"Qualitative text")</f>
        <v>Qualitative text</v>
      </c>
    </row>
    <row r="7709" spans="1:3" ht="13" x14ac:dyDescent="0.15">
      <c r="A7709" s="1" t="str">
        <f ca="1">IFERROR(__xludf.DUMMYFUNCTION("GOOGLETRANSLATE(A7709, ""zh"", ""en"")"),"Different audit points were determined for each audit project. A total of 6 risk management audits were carried out this year, and targeted improvement measures were formulated. Audit reports and rectification follow-up plans have been formed.")</f>
        <v>Different audit points were determined for each audit project. A total of 6 risk management audits were carried out this year, and targeted improvement measures were formulated. Audit reports and rectification follow-up plans have been formed.</v>
      </c>
      <c r="B7709" s="1" t="str">
        <f ca="1">IFERROR(__xludf.DUMMYFUNCTION("GOOGLETRANSLATE(A7709, ""zh"", ""en"")"),"Audit work")</f>
        <v>Audit work</v>
      </c>
      <c r="C7709" s="1" t="str">
        <f ca="1">IFERROR(__xludf.DUMMYFUNCTION("GOOGLETRANSLATE(E7709, ""zh"", ""en"")"),"Quantitative Text")</f>
        <v>Quantitative Text</v>
      </c>
    </row>
    <row r="7710" spans="1:3" ht="13" x14ac:dyDescent="0.15">
      <c r="A7710" s="1" t="str">
        <f ca="1">IFERROR(__xludf.DUMMYFUNCTION("GOOGLETRANSLATE(A7710, ""zh"", ""en"")"),"In 2021, internal audits covered 325 subsidiaries, with an internal audit coverage rate of approximately 37%.")</f>
        <v>In 2021, internal audits covered 325 subsidiaries, with an internal audit coverage rate of approximately 37%.</v>
      </c>
      <c r="B7710" s="1" t="str">
        <f ca="1">IFERROR(__xludf.DUMMYFUNCTION("GOOGLETRANSLATE(A7710, ""zh"", ""en"")"),"Audit work")</f>
        <v>Audit work</v>
      </c>
      <c r="C7710" s="1" t="str">
        <f ca="1">IFERROR(__xludf.DUMMYFUNCTION("GOOGLETRANSLATE(E7710, ""zh"", ""en"")"),"Quantitative Text")</f>
        <v>Quantitative Text</v>
      </c>
    </row>
    <row r="7711" spans="1:3" ht="13" x14ac:dyDescent="0.15">
      <c r="A7711" s="1" t="str">
        <f ca="1">IFERROR(__xludf.DUMMYFUNCTION("GOOGLETRANSLATE(A7711, ""zh"", ""en"")"),"Establish an internal audit organization and equip it with full-time auditors to carry out independent and objective supervision and evaluation work in accordance with relevant national laws, regulations and policies as well as the company's internal mana"&amp;"gement regulations, and be responsible to the company's board of directors.")</f>
        <v>Establish an internal audit organization and equip it with full-time auditors to carry out independent and objective supervision and evaluation work in accordance with relevant national laws, regulations and policies as well as the company's internal management regulations, and be responsible to the company's board of directors.</v>
      </c>
      <c r="B7711" s="1" t="str">
        <f ca="1">IFERROR(__xludf.DUMMYFUNCTION("GOOGLETRANSLATE(A7711, ""zh"", ""en"")"),"Audit work")</f>
        <v>Audit work</v>
      </c>
      <c r="C7711" s="1" t="str">
        <f ca="1">IFERROR(__xludf.DUMMYFUNCTION("GOOGLETRANSLATE(E7711, ""zh"", ""en"")"),"Qualitative text")</f>
        <v>Qualitative text</v>
      </c>
    </row>
    <row r="7712" spans="1:3" ht="13" x14ac:dyDescent="0.15">
      <c r="A7712" s="1" t="str">
        <f ca="1">IFERROR(__xludf.DUMMYFUNCTION("GOOGLETRANSLATE(A7712, ""zh"", ""en"")"),"The work always adheres to the functional positioning of ""economic checkup"", and is guided by preventing major risks, strengthening compliant operations, standardizing management behaviors, and promoting the preservation and appreciation of the company'"&amp;"s capital. It continuously innovates audit concepts, accelerates the construction of a centralized, unified, comprehensive, authoritative and efficient internal audit supervision system, keeps a close eye on key positions, key areas and key links, fully p"&amp;"erforms audit supervision duties in accordance with laws and regulations, continuously improves the quality of audit work, deepens the long-term mechanism for audit rectification, enhances the application of audit results, and continuously promotes enterp"&amp;"rises to improve their management level, prevent operational risks, and effectively safeguard the interests of investors.")</f>
        <v>The work always adheres to the functional positioning of "economic checkup", and is guided by preventing major risks, strengthening compliant operations, standardizing management behaviors, and promoting the preservation and appreciation of the company's capital. It continuously innovates audit concepts, accelerates the construction of a centralized, unified, comprehensive, authoritative and efficient internal audit supervision system, keeps a close eye on key positions, key areas and key links, fully performs audit supervision duties in accordance with laws and regulations, continuously improves the quality of audit work, deepens the long-term mechanism for audit rectification, enhances the application of audit results, and continuously promotes enterprises to improve their management level, prevent operational risks, and effectively safeguard the interests of investors.</v>
      </c>
      <c r="B7712" s="1" t="str">
        <f ca="1">IFERROR(__xludf.DUMMYFUNCTION("GOOGLETRANSLATE(A7712, ""zh"", ""en"")"),"Audit work")</f>
        <v>Audit work</v>
      </c>
      <c r="C7712" s="1" t="str">
        <f ca="1">IFERROR(__xludf.DUMMYFUNCTION("GOOGLETRANSLATE(E7712, ""zh"", ""en"")"),"Qualitative text")</f>
        <v>Qualitative text</v>
      </c>
    </row>
    <row r="7713" spans="1:3" ht="13" x14ac:dyDescent="0.15">
      <c r="A7713" s="1" t="str">
        <f ca="1">IFERROR(__xludf.DUMMYFUNCTION("GOOGLETRANSLATE(A7713, ""zh"", ""en"")"),"The company and its member units have included internal audit plans, audit reports, rectification of major audit issues and other matters in the company's decision-making list, clarified the review requirements of the Party Committee and the Board of Dire"&amp;"ctors, and strictly implemented them in accordance with the requirements.")</f>
        <v>The company and its member units have included internal audit plans, audit reports, rectification of major audit issues and other matters in the company's decision-making list, clarified the review requirements of the Party Committee and the Board of Directors, and strictly implemented them in accordance with the requirements.</v>
      </c>
      <c r="B7713" s="1" t="str">
        <f ca="1">IFERROR(__xludf.DUMMYFUNCTION("GOOGLETRANSLATE(A7713, ""zh"", ""en"")"),"Audit work")</f>
        <v>Audit work</v>
      </c>
      <c r="C7713" s="1" t="str">
        <f ca="1">IFERROR(__xludf.DUMMYFUNCTION("GOOGLETRANSLATE(E7713, ""zh"", ""en"")"),"Qualitative text")</f>
        <v>Qualitative text</v>
      </c>
    </row>
    <row r="7714" spans="1:3" ht="13" x14ac:dyDescent="0.15">
      <c r="A7714" s="1" t="str">
        <f ca="1">IFERROR(__xludf.DUMMYFUNCTION("GOOGLETRANSLATE(A7714, ""zh"", ""en"")"),"In addition, the company also strictly implements the ""full coverage"" of economic responsibility audits, attaches great importance to the rectification of problems found in internal audits, establishes a long-term rectification mechanism, and urges the "&amp;"audited units to fulfill their responsibilities.")</f>
        <v>In addition, the company also strictly implements the "full coverage" of economic responsibility audits, attaches great importance to the rectification of problems found in internal audits, establishes a long-term rectification mechanism, and urges the audited units to fulfill their responsibilities.</v>
      </c>
      <c r="B7714" s="1" t="str">
        <f ca="1">IFERROR(__xludf.DUMMYFUNCTION("GOOGLETRANSLATE(A7714, ""zh"", ""en"")"),"Audit work")</f>
        <v>Audit work</v>
      </c>
      <c r="C7714" s="1" t="str">
        <f ca="1">IFERROR(__xludf.DUMMYFUNCTION("GOOGLETRANSLATE(E7714, ""zh"", ""en"")"),"Qualitative text")</f>
        <v>Qualitative text</v>
      </c>
    </row>
    <row r="7715" spans="1:3" ht="13" x14ac:dyDescent="0.15">
      <c r="A7715" s="1" t="str">
        <f ca="1">IFERROR(__xludf.DUMMYFUNCTION("GOOGLETRANSLATE(A7715, ""zh"", ""en"")"),"Establish a semi-annual report and audit meeting mechanism to strengthen headquarters' guidance on internal audit work of each unit")</f>
        <v>Establish a semi-annual report and audit meeting mechanism to strengthen headquarters' guidance on internal audit work of each unit</v>
      </c>
      <c r="B7715" s="1" t="str">
        <f ca="1">IFERROR(__xludf.DUMMYFUNCTION("GOOGLETRANSLATE(A7715, ""zh"", ""en"")"),"Audit work")</f>
        <v>Audit work</v>
      </c>
      <c r="C7715" s="1" t="str">
        <f ca="1">IFERROR(__xludf.DUMMYFUNCTION("GOOGLETRANSLATE(E7715, ""zh"", ""en"")"),"Qualitative text")</f>
        <v>Qualitative text</v>
      </c>
    </row>
    <row r="7716" spans="1:3" ht="13" x14ac:dyDescent="0.15">
      <c r="A7716" s="1" t="str">
        <f ca="1">IFERROR(__xludf.DUMMYFUNCTION("GOOGLETRANSLATE(A7716, ""zh"", ""en"")"),"Undertake the digitalization strategy of AVIC Industrial Finance's ""14th Five-Year Plan"" and promote the construction of the internal audit digital system in an integrated manner")</f>
        <v>Undertake the digitalization strategy of AVIC Industrial Finance's "14th Five-Year Plan" and promote the construction of the internal audit digital system in an integrated manner</v>
      </c>
      <c r="B7716" s="1" t="str">
        <f ca="1">IFERROR(__xludf.DUMMYFUNCTION("GOOGLETRANSLATE(A7716, ""zh"", ""en"")"),"Audit work")</f>
        <v>Audit work</v>
      </c>
      <c r="C7716" s="1" t="str">
        <f ca="1">IFERROR(__xludf.DUMMYFUNCTION("GOOGLETRANSLATE(E7716, ""zh"", ""en"")"),"Qualitative text")</f>
        <v>Qualitative text</v>
      </c>
    </row>
    <row r="7717" spans="1:3" ht="13" x14ac:dyDescent="0.15">
      <c r="A7717" s="1" t="str">
        <f ca="1">IFERROR(__xludf.DUMMYFUNCTION("GOOGLETRANSLATE(A7717, ""zh"", ""en"")"),"Clarify the reporting mechanism for major events and require all units to promptly report major losses, important events and major risks discovered during audits to AVIC Industrial Finance")</f>
        <v>Clarify the reporting mechanism for major events and require all units to promptly report major losses, important events and major risks discovered during audits to AVIC Industrial Finance</v>
      </c>
      <c r="B7717" s="1" t="str">
        <f ca="1">IFERROR(__xludf.DUMMYFUNCTION("GOOGLETRANSLATE(A7717, ""zh"", ""en"")"),"Audit work")</f>
        <v>Audit work</v>
      </c>
      <c r="C7717" s="1" t="str">
        <f ca="1">IFERROR(__xludf.DUMMYFUNCTION("GOOGLETRANSLATE(E7717, ""zh"", ""en"")"),"Qualitative text")</f>
        <v>Qualitative text</v>
      </c>
    </row>
    <row r="7718" spans="1:3" ht="13" x14ac:dyDescent="0.15">
      <c r="A7718" s="1" t="str">
        <f ca="1">IFERROR(__xludf.DUMMYFUNCTION("GOOGLETRANSLATE(A7718, ""zh"", ""en"")"),"The company has established a complete, comprehensive, legally compliant, effective and efficient audit internal control system in accordance with laws and regulations, including 11 audit systems such as the Audit Work Management Measures.")</f>
        <v>The company has established a complete, comprehensive, legally compliant, effective and efficient audit internal control system in accordance with laws and regulations, including 11 audit systems such as the Audit Work Management Measures.</v>
      </c>
      <c r="B7718" s="1" t="str">
        <f ca="1">IFERROR(__xludf.DUMMYFUNCTION("GOOGLETRANSLATE(A7718, ""zh"", ""en"")"),"Audit work")</f>
        <v>Audit work</v>
      </c>
      <c r="C7718" s="1" t="str">
        <f ca="1">IFERROR(__xludf.DUMMYFUNCTION("GOOGLETRANSLATE(E7718, ""zh"", ""en"")"),"Quantitative Text")</f>
        <v>Quantitative Text</v>
      </c>
    </row>
    <row r="7719" spans="1:3" ht="13" x14ac:dyDescent="0.15">
      <c r="A7719" s="1" t="str">
        <f ca="1">IFERROR(__xludf.DUMMYFUNCTION("GOOGLETRANSLATE(A7719, ""zh"", ""en"")"),"During the reporting period, the company formulated and issued two systems, namely the ""Audit Interview Regulations"" and the ""Audit Work Assessment and Evaluation Regulations"", based on actual conditions, and revised seven systems, including the ""Int"&amp;"ernal Control Evaluation Management Measures"", ""Investment Project Audit Regulations"" and ""Internal Audit Work Regulations"", to further standardize the company's internal audit work, strengthen the rectification and accountability of problems discove"&amp;"red in the audit, and improve the effectiveness of the application of audit results.")</f>
        <v>During the reporting period, the company formulated and issued two systems, namely the "Audit Interview Regulations" and the "Audit Work Assessment and Evaluation Regulations", based on actual conditions, and revised seven systems, including the "Internal Control Evaluation Management Measures", "Investment Project Audit Regulations" and "Internal Audit Work Regulations", to further standardize the company's internal audit work, strengthen the rectification and accountability of problems discovered in the audit, and improve the effectiveness of the application of audit results.</v>
      </c>
      <c r="B7719" s="1" t="str">
        <f ca="1">IFERROR(__xludf.DUMMYFUNCTION("GOOGLETRANSLATE(A7719, ""zh"", ""en"")"),"Audit work")</f>
        <v>Audit work</v>
      </c>
      <c r="C7719" s="1" t="str">
        <f ca="1">IFERROR(__xludf.DUMMYFUNCTION("GOOGLETRANSLATE(E7719, ""zh"", ""en"")"),"Quantitative Text")</f>
        <v>Quantitative Text</v>
      </c>
    </row>
    <row r="7720" spans="1:3" ht="13" x14ac:dyDescent="0.15">
      <c r="A7720" s="1" t="str">
        <f ca="1">IFERROR(__xludf.DUMMYFUNCTION("GOOGLETRANSLATE(A7720, ""zh"", ""en"")"),"The company focuses on strengthening centralized and unified management and control capabilities, strengthens centralized and unified leadership of audit work, and adheres to the leadership system in which internal audit work is carried out under the dire"&amp;"ct leadership of the Party Committee.")</f>
        <v>The company focuses on strengthening centralized and unified management and control capabilities, strengthens centralized and unified leadership of audit work, and adheres to the leadership system in which internal audit work is carried out under the direct leadership of the Party Committee.</v>
      </c>
      <c r="B7720" s="1" t="str">
        <f ca="1">IFERROR(__xludf.DUMMYFUNCTION("GOOGLETRANSLATE(A7720, ""zh"", ""en"")"),"Audit work")</f>
        <v>Audit work</v>
      </c>
      <c r="C7720" s="1" t="str">
        <f ca="1">IFERROR(__xludf.DUMMYFUNCTION("GOOGLETRANSLATE(E7720, ""zh"", ""en"")"),"Qualitative text")</f>
        <v>Qualitative text</v>
      </c>
    </row>
    <row r="7721" spans="1:3" ht="13" x14ac:dyDescent="0.15">
      <c r="A7721" s="1" t="str">
        <f ca="1">IFERROR(__xludf.DUMMYFUNCTION("GOOGLETRANSLATE(A7721, ""zh"", ""en"")"),"Strictly implement the working mechanism of being accountable to the board of directors for audit work, accept the supervision and evaluation of the audit and risk management committee of the board of directors, supervise the internal audit institutions a"&amp;"t all levels to carry out their work under the leadership of the party committee of the unit, establish and improve the audit work assessment mechanism for the internal audit institutions and their leaders of the affiliated units to be jointly assessed by"&amp;" the superior audit institutions and the audit work leading group at this level, and build a centralized, unified, comprehensive, authoritative and efficient integrated audit management system.")</f>
        <v>Strictly implement the working mechanism of being accountable to the board of directors for audit work, accept the supervision and evaluation of the audit and risk management committee of the board of directors, supervise the internal audit institutions at all levels to carry out their work under the leadership of the party committee of the unit, establish and improve the audit work assessment mechanism for the internal audit institutions and their leaders of the affiliated units to be jointly assessed by the superior audit institutions and the audit work leading group at this level, and build a centralized, unified, comprehensive, authoritative and efficient integrated audit management system.</v>
      </c>
      <c r="B7721" s="1" t="str">
        <f ca="1">IFERROR(__xludf.DUMMYFUNCTION("GOOGLETRANSLATE(A7721, ""zh"", ""en"")"),"Audit work")</f>
        <v>Audit work</v>
      </c>
      <c r="C7721" s="1" t="str">
        <f ca="1">IFERROR(__xludf.DUMMYFUNCTION("GOOGLETRANSLATE(E7721, ""zh"", ""en"")"),"Qualitative text")</f>
        <v>Qualitative text</v>
      </c>
    </row>
    <row r="7722" spans="1:3" ht="13" x14ac:dyDescent="0.15">
      <c r="A7722" s="1" t="str">
        <f ca="1">IFERROR(__xludf.DUMMYFUNCTION("GOOGLETRANSLATE(A7722, ""zh"", ""en"")"),"First, organize and carry out special audits of the ""3206"" project to reveal shortcomings in business management, strengthen problem rectification, and promote increased revenue and reduced expenditure.")</f>
        <v>First, organize and carry out special audits of the "3206" project to reveal shortcomings in business management, strengthen problem rectification, and promote increased revenue and reduced expenditure.</v>
      </c>
      <c r="B7722" s="1" t="str">
        <f ca="1">IFERROR(__xludf.DUMMYFUNCTION("GOOGLETRANSLATE(A7722, ""zh"", ""en"")"),"Audit work")</f>
        <v>Audit work</v>
      </c>
      <c r="C7722" s="1" t="str">
        <f ca="1">IFERROR(__xludf.DUMMYFUNCTION("GOOGLETRANSLATE(E7722, ""zh"", ""en"")"),"Qualitative text")</f>
        <v>Qualitative text</v>
      </c>
    </row>
    <row r="7723" spans="1:3" ht="13" x14ac:dyDescent="0.15">
      <c r="A7723" s="1" t="str">
        <f ca="1">IFERROR(__xludf.DUMMYFUNCTION("GOOGLETRANSLATE(A7723, ""zh"", ""en"")"),"Strengthen risk prevention and control of overseas projects, and conduct audit supervision on the effectiveness of major decision-making mechanisms, important management systems and internal control systems, focusing on key areas of overseas operations an"&amp;"d investments, as well as important matters such as the use of large amounts of funds and large-scale purchases overseas.")</f>
        <v>Strengthen risk prevention and control of overseas projects, and conduct audit supervision on the effectiveness of major decision-making mechanisms, important management systems and internal control systems, focusing on key areas of overseas operations and investments, as well as important matters such as the use of large amounts of funds and large-scale purchases overseas.</v>
      </c>
      <c r="B7723" s="1" t="str">
        <f ca="1">IFERROR(__xludf.DUMMYFUNCTION("GOOGLETRANSLATE(A7723, ""zh"", ""en"")"),"Audit work")</f>
        <v>Audit work</v>
      </c>
      <c r="C7723" s="1" t="str">
        <f ca="1">IFERROR(__xludf.DUMMYFUNCTION("GOOGLETRANSLATE(E7723, ""zh"", ""en"")"),"Qualitative text")</f>
        <v>Qualitative text</v>
      </c>
    </row>
    <row r="7724" spans="1:3" ht="13" x14ac:dyDescent="0.15">
      <c r="A7724" s="1" t="str">
        <f ca="1">IFERROR(__xludf.DUMMYFUNCTION("GOOGLETRANSLATE(A7724, ""zh"", ""en"")"),"Increase the intensity of audit supervision, prevent major economic risks, achieve in-depth, focused, step-by-step and effective audit ""full coverage"", continue to carry out regular ""economic checkups"", and promote the improvement of corporate governa"&amp;"nce level and risk prevention capabilities.")</f>
        <v>Increase the intensity of audit supervision, prevent major economic risks, achieve in-depth, focused, step-by-step and effective audit "full coverage", continue to carry out regular "economic checkups", and promote the improvement of corporate governance level and risk prevention capabilities.</v>
      </c>
      <c r="B7724" s="1" t="str">
        <f ca="1">IFERROR(__xludf.DUMMYFUNCTION("GOOGLETRANSLATE(A7724, ""zh"", ""en"")"),"Audit work")</f>
        <v>Audit work</v>
      </c>
      <c r="C7724" s="1" t="str">
        <f ca="1">IFERROR(__xludf.DUMMYFUNCTION("GOOGLETRANSLATE(E7724, ""zh"", ""en"")"),"Qualitative text")</f>
        <v>Qualitative text</v>
      </c>
    </row>
    <row r="7725" spans="1:3" ht="13" x14ac:dyDescent="0.15">
      <c r="A7725" s="1" t="str">
        <f ca="1">IFERROR(__xludf.DUMMYFUNCTION("GOOGLETRANSLATE(A7725, ""zh"", ""en"")"),"In 2022, the company carried out a total of 106 audit projects, revised and improved 39 systems, formulated 40 new systems, optimized and improved 70 business processes, put forward 520 rectification suggestions, 520 of which were adopted by the audited u"&amp;"nits, and the audit suggestion adoption rate was 100%, providing a strong guarantee for promoting the high-quality development of the company.")</f>
        <v>In 2022, the company carried out a total of 106 audit projects, revised and improved 39 systems, formulated 40 new systems, optimized and improved 70 business processes, put forward 520 rectification suggestions, 520 of which were adopted by the audited units, and the audit suggestion adoption rate was 100%, providing a strong guarantee for promoting the high-quality development of the company.</v>
      </c>
      <c r="B7725" s="1" t="str">
        <f ca="1">IFERROR(__xludf.DUMMYFUNCTION("GOOGLETRANSLATE(A7725, ""zh"", ""en"")"),"Audit work")</f>
        <v>Audit work</v>
      </c>
      <c r="C7725" s="1" t="str">
        <f ca="1">IFERROR(__xludf.DUMMYFUNCTION("GOOGLETRANSLATE(E7725, ""zh"", ""en"")"),"Quantitative Text")</f>
        <v>Quantitative Text</v>
      </c>
    </row>
    <row r="7726" spans="1:3" ht="13" x14ac:dyDescent="0.15">
      <c r="A7726" s="1" t="str">
        <f ca="1">IFERROR(__xludf.DUMMYFUNCTION("GOOGLETRANSLATE(A7726, ""zh"", ""en"")"),"In 2022, the Zhejiang Provincial Department of Transportation launched the project ""Research on the Composition Design and Road Performance of Step-by-Step Embedded Thin-Layer Asphalt Mixture"" and the major project ""Comprehensive Research and Demonstra"&amp;"tion Application of Key Technologies for Intelligent, Safe and Green Operation and Maintenance of Tunnels"", and gradually deepened the research on asphalt pavement maintenance and cleaning technology.")</f>
        <v>In 2022, the Zhejiang Provincial Department of Transportation launched the project "Research on the Composition Design and Road Performance of Step-by-Step Embedded Thin-Layer Asphalt Mixture" and the major project "Comprehensive Research and Demonstration Application of Key Technologies for Intelligent, Safe and Green Operation and Maintenance of Tunnels", and gradually deepened the research on asphalt pavement maintenance and cleaning technology.</v>
      </c>
      <c r="B7726" s="1" t="str">
        <f ca="1">IFERROR(__xludf.DUMMYFUNCTION("GOOGLETRANSLATE(A7726, ""zh"", ""en"")"),"Clean Technology")</f>
        <v>Clean Technology</v>
      </c>
      <c r="C7726" s="1" t="str">
        <f ca="1">IFERROR(__xludf.DUMMYFUNCTION("GOOGLETRANSLATE(E7726, ""zh"", ""en"")"),"Qualitative text")</f>
        <v>Qualitative text</v>
      </c>
    </row>
    <row r="7727" spans="1:3" ht="13" x14ac:dyDescent="0.15">
      <c r="A7727" s="1" t="str">
        <f ca="1">IFERROR(__xludf.DUMMYFUNCTION("GOOGLETRANSLATE(A7727, ""zh"", ""en"")"),"Seven clean production plans, including five zero/low-cost plans and two medium/high-cost plans, have all been implemented, with a total investment of 8.13 million yuan and an economic benefit of 965,000 yuan per year.")</f>
        <v>Seven clean production plans, including five zero/low-cost plans and two medium/high-cost plans, have all been implemented, with a total investment of 8.13 million yuan and an economic benefit of 965,000 yuan per year.</v>
      </c>
      <c r="B7727" s="1" t="str">
        <f ca="1">IFERROR(__xludf.DUMMYFUNCTION("GOOGLETRANSLATE(A7727, ""zh"", ""en"")"),"Clean Technology")</f>
        <v>Clean Technology</v>
      </c>
      <c r="C7727" s="1" t="str">
        <f ca="1">IFERROR(__xludf.DUMMYFUNCTION("GOOGLETRANSLATE(E7727, ""zh"", ""en"")"),"Quantitative Text")</f>
        <v>Quantitative Text</v>
      </c>
    </row>
    <row r="7728" spans="1:3" ht="13" x14ac:dyDescent="0.15">
      <c r="A7728" s="1" t="str">
        <f ca="1">IFERROR(__xludf.DUMMYFUNCTION("GOOGLETRANSLATE(A7728, ""zh"", ""en"")"),"We continue to promote the research and application of new environmental protection technologies, new processes, new equipment and new materials, and have made substantial progress in sludge drying and replacement of cyanide electroplating. This can effec"&amp;"tively reduce the generation of pollutants and lay a solid foundation for achieving green manufacturing.")</f>
        <v>We continue to promote the research and application of new environmental protection technologies, new processes, new equipment and new materials, and have made substantial progress in sludge drying and replacement of cyanide electroplating. This can effectively reduce the generation of pollutants and lay a solid foundation for achieving green manufacturing.</v>
      </c>
      <c r="B7728" s="1" t="str">
        <f ca="1">IFERROR(__xludf.DUMMYFUNCTION("GOOGLETRANSLATE(A7728, ""zh"", ""en"")"),"Clean Technology")</f>
        <v>Clean Technology</v>
      </c>
      <c r="C7728" s="1" t="str">
        <f ca="1">IFERROR(__xludf.DUMMYFUNCTION("GOOGLETRANSLATE(E7728, ""zh"", ""en"")"),"Qualitative text")</f>
        <v>Qualitative text</v>
      </c>
    </row>
    <row r="7729" spans="1:3" ht="13" x14ac:dyDescent="0.15">
      <c r="A7729" s="1" t="str">
        <f ca="1">IFERROR(__xludf.DUMMYFUNCTION("GOOGLETRANSLATE(A7729, ""zh"", ""en"")"),"As of December 31, 2022, the company has a total of 40 valid patents related to the use of clean technology (reducing energy consumption, saving raw materials, and increasing product service life).")</f>
        <v>As of December 31, 2022, the company has a total of 40 valid patents related to the use of clean technology (reducing energy consumption, saving raw materials, and increasing product service life).</v>
      </c>
      <c r="B7729" s="1" t="str">
        <f ca="1">IFERROR(__xludf.DUMMYFUNCTION("GOOGLETRANSLATE(A7729, ""zh"", ""en"")"),"Clean Technology")</f>
        <v>Clean Technology</v>
      </c>
      <c r="C7729" s="1" t="str">
        <f ca="1">IFERROR(__xludf.DUMMYFUNCTION("GOOGLETRANSLATE(E7729, ""zh"", ""en"")"),"Quantitative Text")</f>
        <v>Quantitative Text</v>
      </c>
    </row>
    <row r="7730" spans="1:3" ht="13" x14ac:dyDescent="0.15">
      <c r="A7730" s="1" t="str">
        <f ca="1">IFERROR(__xludf.DUMMYFUNCTION("GOOGLETRANSLATE(A7730, ""zh"", ""en"")"),"Green Development In order to help the company achieve scientific development, the company has always vigorously promoted clean production as a new pollution prevention measure and environmental protection concept.")</f>
        <v>Green Development In order to help the company achieve scientific development, the company has always vigorously promoted clean production as a new pollution prevention measure and environmental protection concept.</v>
      </c>
      <c r="B7730" s="1" t="str">
        <f ca="1">IFERROR(__xludf.DUMMYFUNCTION("GOOGLETRANSLATE(A7730, ""zh"", ""en"")"),"Clean Technology")</f>
        <v>Clean Technology</v>
      </c>
      <c r="C7730" s="1" t="str">
        <f ca="1">IFERROR(__xludf.DUMMYFUNCTION("GOOGLETRANSLATE(E7730, ""zh"", ""en"")"),"Qualitative text")</f>
        <v>Qualitative text</v>
      </c>
    </row>
    <row r="7731" spans="1:3" ht="13" x14ac:dyDescent="0.15">
      <c r="A7731" s="1" t="str">
        <f ca="1">IFERROR(__xludf.DUMMYFUNCTION("GOOGLETRANSLATE(A7731, ""zh"", ""en"")"),"Through the clean production audit, the company's green production technology has been further improved, production energy consumption and material consumption have been reduced, and the generation and emission of pollutants in production have been reduce"&amp;"d, achieving a win-win situation in economic and environmental benefits.")</f>
        <v>Through the clean production audit, the company's green production technology has been further improved, production energy consumption and material consumption have been reduced, and the generation and emission of pollutants in production have been reduced, achieving a win-win situation in economic and environmental benefits.</v>
      </c>
      <c r="B7731" s="1" t="str">
        <f ca="1">IFERROR(__xludf.DUMMYFUNCTION("GOOGLETRANSLATE(A7731, ""zh"", ""en"")"),"Clean Technology")</f>
        <v>Clean Technology</v>
      </c>
      <c r="C7731" s="1" t="str">
        <f ca="1">IFERROR(__xludf.DUMMYFUNCTION("GOOGLETRANSLATE(E7731, ""zh"", ""en"")"),"Qualitative text")</f>
        <v>Qualitative text</v>
      </c>
    </row>
    <row r="7732" spans="1:3" ht="13" x14ac:dyDescent="0.15">
      <c r="A7732" s="1" t="str">
        <f ca="1">IFERROR(__xludf.DUMMYFUNCTION("GOOGLETRANSLATE(A7732, ""zh"", ""en"")"),"Lead Intelligence participated in the voluntary clean production audit in 2017, passed the audit and acceptance, and obtained a clean production audit certificate with a validity period of five years.")</f>
        <v>Lead Intelligence participated in the voluntary clean production audit in 2017, passed the audit and acceptance, and obtained a clean production audit certificate with a validity period of five years.</v>
      </c>
      <c r="B7732" s="1" t="str">
        <f ca="1">IFERROR(__xludf.DUMMYFUNCTION("GOOGLETRANSLATE(A7732, ""zh"", ""en"")"),"Clean Technology")</f>
        <v>Clean Technology</v>
      </c>
      <c r="C7732" s="1" t="str">
        <f ca="1">IFERROR(__xludf.DUMMYFUNCTION("GOOGLETRANSLATE(E7732, ""zh"", ""en"")"),"Quantitative Text")</f>
        <v>Quantitative Text</v>
      </c>
    </row>
    <row r="7733" spans="1:3" ht="13" x14ac:dyDescent="0.15">
      <c r="A7733" s="1" t="str">
        <f ca="1">IFERROR(__xludf.DUMMYFUNCTION("GOOGLETRANSLATE(A7733, ""zh"", ""en"")"),"In response to the high price and high pollution of heavy oil fuel used in thermal oil boilers, Youngor has actively promoted a water-coal slurry alternative. Water-coal slurry is a new type of clean fuel that uses coal as the main ingredient and water an"&amp;"d chemical additives as auxiliary ingredients. It is made by grinding and refining with special equipment.")</f>
        <v>In response to the high price and high pollution of heavy oil fuel used in thermal oil boilers, Youngor has actively promoted a water-coal slurry alternative. Water-coal slurry is a new type of clean fuel that uses coal as the main ingredient and water and chemical additives as auxiliary ingredients. It is made by grinding and refining with special equipment.</v>
      </c>
      <c r="B7733" s="1" t="str">
        <f ca="1">IFERROR(__xludf.DUMMYFUNCTION("GOOGLETRANSLATE(A7733, ""zh"", ""en"")"),"Clean Technology")</f>
        <v>Clean Technology</v>
      </c>
      <c r="C7733" s="1" t="str">
        <f ca="1">IFERROR(__xludf.DUMMYFUNCTION("GOOGLETRANSLATE(E7733, ""zh"", ""en"")"),"Qualitative text")</f>
        <v>Qualitative text</v>
      </c>
    </row>
    <row r="7734" spans="1:3" ht="13" x14ac:dyDescent="0.15">
      <c r="A7734" s="1" t="str">
        <f ca="1">IFERROR(__xludf.DUMMYFUNCTION("GOOGLETRANSLATE(A7734, ""zh"", ""en"")"),"In 2022, the company will launch a multi-platform intelligent wind turbine based on direct-drive permanent magnet technology, forming a technical route of ""direct-drive permanent magnet + medium-speed permanent magnet"", which can quickly respond to the "&amp;"complex and diverse needs of the market and cover a wider range of more diverse usage scenarios.")</f>
        <v>In 2022, the company will launch a multi-platform intelligent wind turbine based on direct-drive permanent magnet technology, forming a technical route of "direct-drive permanent magnet + medium-speed permanent magnet", which can quickly respond to the complex and diverse needs of the market and cover a wider range of more diverse usage scenarios.</v>
      </c>
      <c r="B7734" s="1" t="str">
        <f ca="1">IFERROR(__xludf.DUMMYFUNCTION("GOOGLETRANSLATE(A7734, ""zh"", ""en"")"),"Clean Technology")</f>
        <v>Clean Technology</v>
      </c>
      <c r="C7734" s="1" t="str">
        <f ca="1">IFERROR(__xludf.DUMMYFUNCTION("GOOGLETRANSLATE(E7734, ""zh"", ""en"")"),"Qualitative text")</f>
        <v>Qualitative text</v>
      </c>
    </row>
    <row r="7735" spans="1:3" ht="13" x14ac:dyDescent="0.15">
      <c r="A7735" s="1" t="str">
        <f ca="1">IFERROR(__xludf.DUMMYFUNCTION("GOOGLETRANSLATE(A7735, ""zh"", ""en"")"),"The company continues to enhance the low-carbon and environmentally friendly attributes of wind power and create environmentally friendly wind turbines. The company considers the impact of wind turbines on the environment during the product development an"&amp;"d design stage. By developing light and shadow flicker control technology, bird protection devices and low noise technology, the company avoids or reduces adverse environmental impacts.")</f>
        <v>The company continues to enhance the low-carbon and environmentally friendly attributes of wind power and create environmentally friendly wind turbines. The company considers the impact of wind turbines on the environment during the product development and design stage. By developing light and shadow flicker control technology, bird protection devices and low noise technology, the company avoids or reduces adverse environmental impacts.</v>
      </c>
      <c r="B7735" s="1" t="str">
        <f ca="1">IFERROR(__xludf.DUMMYFUNCTION("GOOGLETRANSLATE(A7735, ""zh"", ""en"")"),"Clean Technology")</f>
        <v>Clean Technology</v>
      </c>
      <c r="C7735" s="1" t="str">
        <f ca="1">IFERROR(__xludf.DUMMYFUNCTION("GOOGLETRANSLATE(E7735, ""zh"", ""en"")"),"Qualitative text")</f>
        <v>Qualitative text</v>
      </c>
    </row>
    <row r="7736" spans="1:3" ht="13" x14ac:dyDescent="0.15">
      <c r="A7736" s="1" t="str">
        <f ca="1">IFERROR(__xludf.DUMMYFUNCTION("GOOGLETRANSLATE(A7736, ""zh"", ""en"")"),"We continue to promote the research and application of new environmental protection technologies, new processes, new equipment and new materials, and have made substantial progress in sludge drying and replacement of cyanide electroplating. This can effec"&amp;"tively reduce the generation of pollutants and lay a solid foundation for achieving green manufacturing.")</f>
        <v>We continue to promote the research and application of new environmental protection technologies, new processes, new equipment and new materials, and have made substantial progress in sludge drying and replacement of cyanide electroplating. This can effectively reduce the generation of pollutants and lay a solid foundation for achieving green manufacturing.</v>
      </c>
      <c r="B7736" s="1" t="str">
        <f ca="1">IFERROR(__xludf.DUMMYFUNCTION("GOOGLETRANSLATE(A7736, ""zh"", ""en"")"),"Clean Technology")</f>
        <v>Clean Technology</v>
      </c>
      <c r="C7736" s="1" t="str">
        <f ca="1">IFERROR(__xludf.DUMMYFUNCTION("GOOGLETRANSLATE(E7736, ""zh"", ""en"")"),"Qualitative text")</f>
        <v>Qualitative text</v>
      </c>
    </row>
    <row r="7737" spans="1:3" ht="13" x14ac:dyDescent="0.15">
      <c r="A7737" s="1" t="str">
        <f ca="1">IFERROR(__xludf.DUMMYFUNCTION("GOOGLETRANSLATE(A7737, ""zh"", ""en"")"),"As time goes by and the company develops rapidly, in order to continuously seek better and more optimal solutions for clean production and achieve green production and green life, the company has promoted a new round of voluntary clean production audits i"&amp;"n 2023.")</f>
        <v>As time goes by and the company develops rapidly, in order to continuously seek better and more optimal solutions for clean production and achieve green production and green life, the company has promoted a new round of voluntary clean production audits in 2023.</v>
      </c>
      <c r="B7737" s="1" t="str">
        <f ca="1">IFERROR(__xludf.DUMMYFUNCTION("GOOGLETRANSLATE(A7737, ""zh"", ""en"")"),"Clean Technology")</f>
        <v>Clean Technology</v>
      </c>
      <c r="C7737" s="1" t="str">
        <f ca="1">IFERROR(__xludf.DUMMYFUNCTION("GOOGLETRANSLATE(E7737, ""zh"", ""en"")"),"Qualitative text")</f>
        <v>Qualitative text</v>
      </c>
    </row>
    <row r="7738" spans="1:3" ht="13" x14ac:dyDescent="0.15">
      <c r="A7738" s="1" t="str">
        <f ca="1">IFERROR(__xludf.DUMMYFUNCTION("GOOGLETRANSLATE(A7738, ""zh"", ""en"")"),"In October 2021, Chint New Energy's Kubuqi 310MW sand-light complementary power station was selected in the ""Sustainable Soil Governance"" category in the United Nations Industrial Development Organization's global call for innovative solutions for clean"&amp;" technologies and sustainable soil governance.")</f>
        <v>In October 2021, Chint New Energy's Kubuqi 310MW sand-light complementary power station was selected in the "Sustainable Soil Governance" category in the United Nations Industrial Development Organization's global call for innovative solutions for clean technologies and sustainable soil governance.</v>
      </c>
      <c r="B7738" s="1" t="str">
        <f ca="1">IFERROR(__xludf.DUMMYFUNCTION("GOOGLETRANSLATE(A7738, ""zh"", ""en"")"),"Clean Technology")</f>
        <v>Clean Technology</v>
      </c>
      <c r="C7738" s="1" t="str">
        <f ca="1">IFERROR(__xludf.DUMMYFUNCTION("GOOGLETRANSLATE(E7738, ""zh"", ""en"")"),"Qualitative text")</f>
        <v>Qualitative text</v>
      </c>
    </row>
    <row r="7739" spans="1:3" ht="13" x14ac:dyDescent="0.15">
      <c r="A7739" s="1" t="str">
        <f ca="1">IFERROR(__xludf.DUMMYFUNCTION("GOOGLETRANSLATE(A7739, ""zh"", ""en"")"),"In 2022, the company independently developed 27 green and low-carbon technologies, vigorously applied green and clean technologies such as ""zero emission"" cement concrete, drill cuttings recycling, and machine-made sand technology, with significant envi"&amp;"ronmental and economic benefits, realizing a virtuous cycle of ""input-output-reinvestment"" in scientific and technological innovation;")</f>
        <v>In 2022, the company independently developed 27 green and low-carbon technologies, vigorously applied green and clean technologies such as "zero emission" cement concrete, drill cuttings recycling, and machine-made sand technology, with significant environmental and economic benefits, realizing a virtuous cycle of "input-output-reinvestment" in scientific and technological innovation;</v>
      </c>
      <c r="B7739" s="1" t="str">
        <f ca="1">IFERROR(__xludf.DUMMYFUNCTION("GOOGLETRANSLATE(A7739, ""zh"", ""en"")"),"Clean Technology")</f>
        <v>Clean Technology</v>
      </c>
      <c r="C7739" s="1" t="str">
        <f ca="1">IFERROR(__xludf.DUMMYFUNCTION("GOOGLETRANSLATE(E7739, ""zh"", ""en"")"),"Quantitative Text")</f>
        <v>Quantitative Text</v>
      </c>
    </row>
    <row r="7740" spans="1:3" ht="13" x14ac:dyDescent="0.15">
      <c r="A7740" s="1" t="str">
        <f ca="1">IFERROR(__xludf.DUMMYFUNCTION("GOOGLETRANSLATE(A7740, ""zh"", ""en"")"),"In 2022, projects such as ""Research on the Composition Design and Road Performance of Step-by-Step Embedded Thin-Layer Asphalt Mixture"", ""Comprehensive Research and Demonstration Application of Key Technologies for Intelligent, Safe and Green Operation"&amp;" and Maintenance of Tunnels"", and ""Research on Evaluation Standards for Green Maintenance Base Construction"" were approved.")</f>
        <v>In 2022, projects such as "Research on the Composition Design and Road Performance of Step-by-Step Embedded Thin-Layer Asphalt Mixture", "Comprehensive Research and Demonstration Application of Key Technologies for Intelligent, Safe and Green Operation and Maintenance of Tunnels", and "Research on Evaluation Standards for Green Maintenance Base Construction" were approved.</v>
      </c>
      <c r="B7740" s="1" t="str">
        <f ca="1">IFERROR(__xludf.DUMMYFUNCTION("GOOGLETRANSLATE(A7740, ""zh"", ""en"")"),"Clean Technology")</f>
        <v>Clean Technology</v>
      </c>
      <c r="C7740" s="1" t="str">
        <f ca="1">IFERROR(__xludf.DUMMYFUNCTION("GOOGLETRANSLATE(E7740, ""zh"", ""en"")"),"Qualitative text")</f>
        <v>Qualitative text</v>
      </c>
    </row>
    <row r="7741" spans="1:3" ht="13" x14ac:dyDescent="0.15">
      <c r="A7741" s="1" t="str">
        <f ca="1">IFERROR(__xludf.DUMMYFUNCTION("GOOGLETRANSLATE(A7741, ""zh"", ""en"")"),"It has won the titles of ""Guangzhou Drainage Unit Standard-Compliant Unit"" and ""Guangzhou Clean Production Excellent Enterprise"".")</f>
        <v>It has won the titles of "Guangzhou Drainage Unit Standard-Compliant Unit" and "Guangzhou Clean Production Excellent Enterprise".</v>
      </c>
      <c r="B7741" s="1" t="str">
        <f ca="1">IFERROR(__xludf.DUMMYFUNCTION("GOOGLETRANSLATE(A7741, ""zh"", ""en"")"),"Clean Technology")</f>
        <v>Clean Technology</v>
      </c>
      <c r="C7741" s="1" t="str">
        <f ca="1">IFERROR(__xludf.DUMMYFUNCTION("GOOGLETRANSLATE(E7741, ""zh"", ""en"")"),"Quantitative Text")</f>
        <v>Quantitative Text</v>
      </c>
    </row>
    <row r="7742" spans="1:3" ht="13" x14ac:dyDescent="0.15">
      <c r="A7742" s="1" t="str">
        <f ca="1">IFERROR(__xludf.DUMMYFUNCTION("GOOGLETRANSLATE(A7742, ""zh"", ""en"")"),"Carry out clean production and scientific manufacturing to ensure that emissions meet standards, thereby reducing the impact on the environment.")</f>
        <v>Carry out clean production and scientific manufacturing to ensure that emissions meet standards, thereby reducing the impact on the environment.</v>
      </c>
      <c r="B7742" s="1" t="str">
        <f ca="1">IFERROR(__xludf.DUMMYFUNCTION("GOOGLETRANSLATE(A7742, ""zh"", ""en"")"),"Clean Technology")</f>
        <v>Clean Technology</v>
      </c>
      <c r="C7742" s="1" t="str">
        <f ca="1">IFERROR(__xludf.DUMMYFUNCTION("GOOGLETRANSLATE(E7742, ""zh"", ""en"")"),"Qualitative text")</f>
        <v>Qualitative text</v>
      </c>
    </row>
    <row r="7743" spans="1:3" ht="13" x14ac:dyDescent="0.15">
      <c r="A7743" s="1" t="str">
        <f ca="1">IFERROR(__xludf.DUMMYFUNCTION("GOOGLETRANSLATE(A7743, ""zh"", ""en"")"),"Yonghe Co., Ltd. strictly abides by environmental protection laws and regulations such as the Environmental Protection Law and the Clean Production Promotion Law.")</f>
        <v>Yonghe Co., Ltd. strictly abides by environmental protection laws and regulations such as the Environmental Protection Law and the Clean Production Promotion Law.</v>
      </c>
      <c r="B7743" s="1" t="str">
        <f ca="1">IFERROR(__xludf.DUMMYFUNCTION("GOOGLETRANSLATE(A7743, ""zh"", ""en"")"),"Clean Technology")</f>
        <v>Clean Technology</v>
      </c>
      <c r="C7743" s="1" t="str">
        <f ca="1">IFERROR(__xludf.DUMMYFUNCTION("GOOGLETRANSLATE(E7743, ""zh"", ""en"")"),"Qualitative text")</f>
        <v>Qualitative text</v>
      </c>
    </row>
    <row r="7744" spans="1:3" ht="13" x14ac:dyDescent="0.15">
      <c r="A7744" s="1" t="str">
        <f ca="1">IFERROR(__xludf.DUMMYFUNCTION("GOOGLETRANSLATE(A7744, ""zh"", ""en"")"),"11 branches and subsidiaries passed the clean production audit.")</f>
        <v>11 branches and subsidiaries passed the clean production audit.</v>
      </c>
      <c r="B7744" s="1" t="str">
        <f ca="1">IFERROR(__xludf.DUMMYFUNCTION("GOOGLETRANSLATE(A7744, ""zh"", ""en"")"),"Clean Technology")</f>
        <v>Clean Technology</v>
      </c>
      <c r="C7744" s="1" t="str">
        <f ca="1">IFERROR(__xludf.DUMMYFUNCTION("GOOGLETRANSLATE(E7744, ""zh"", ""en"")"),"Quantitative Text")</f>
        <v>Quantitative Text</v>
      </c>
    </row>
    <row r="7745" spans="1:3" ht="13" x14ac:dyDescent="0.15">
      <c r="A7745" s="1" t="str">
        <f ca="1">IFERROR(__xludf.DUMMYFUNCTION("GOOGLETRANSLATE(A7745, ""zh"", ""en"")"),"The company and its subsidiaries gave priority to local poverty alleviation products in the assisted areas or purchased agricultural products from impoverished areas locally, spending more than RMB 7.38 million on local consumption or direct purchase.")</f>
        <v>The company and its subsidiaries gave priority to local poverty alleviation products in the assisted areas or purchased agricultural products from impoverished areas locally, spending more than RMB 7.38 million on local consumption or direct purchase.</v>
      </c>
      <c r="B7745" s="1" t="str">
        <f ca="1">IFERROR(__xludf.DUMMYFUNCTION("GOOGLETRANSLATE(A7745, ""zh"", ""en"")"),"Rural assistance")</f>
        <v>Rural assistance</v>
      </c>
      <c r="C7745" s="1" t="str">
        <f ca="1">IFERROR(__xludf.DUMMYFUNCTION("GOOGLETRANSLATE(E7745, ""zh"", ""en"")"),"Quantitative Text")</f>
        <v>Quantitative Text</v>
      </c>
    </row>
    <row r="7746" spans="1:3" ht="13" x14ac:dyDescent="0.15">
      <c r="A7746" s="1" t="str">
        <f ca="1">IFERROR(__xludf.DUMMYFUNCTION("GOOGLETRANSLATE(A7746, ""zh"", ""en"")"),"The company's subsidiary Tangxian Jidong contracted the factory environmental sanitation cleaning business and bagged cement loading business to the Baihe Village Committee of Baihe Town, a poor village in Tang County, and used industrial cooperation to d"&amp;"rive local villagers to increase their income. During the reporting period, it paid more than 1.31 million yuan in local labor wages, indirectly driving 8 people to be registered and lifted out of poverty.")</f>
        <v>The company's subsidiary Tangxian Jidong contracted the factory environmental sanitation cleaning business and bagged cement loading business to the Baihe Village Committee of Baihe Town, a poor village in Tang County, and used industrial cooperation to drive local villagers to increase their income. During the reporting period, it paid more than 1.31 million yuan in local labor wages, indirectly driving 8 people to be registered and lifted out of poverty.</v>
      </c>
      <c r="B7746" s="1" t="str">
        <f ca="1">IFERROR(__xludf.DUMMYFUNCTION("GOOGLETRANSLATE(A7746, ""zh"", ""en"")"),"Rural assistance")</f>
        <v>Rural assistance</v>
      </c>
      <c r="C7746" s="1" t="str">
        <f ca="1">IFERROR(__xludf.DUMMYFUNCTION("GOOGLETRANSLATE(E7746, ""zh"", ""en"")"),"Quantitative Text")</f>
        <v>Quantitative Text</v>
      </c>
    </row>
    <row r="7747" spans="1:3" ht="13" x14ac:dyDescent="0.15">
      <c r="A7747" s="1" t="str">
        <f ca="1">IFERROR(__xludf.DUMMYFUNCTION("GOOGLETRANSLATE(A7747, ""zh"", ""en"")"),"Qinyang Jinyu set up a ""Love Poverty Alleviation Supermarket"" in the staff restaurant, and Hongshulin Company set up a ""Special Poverty Alleviation Product Consumption"" window in the staff cafeteria to mobilize employees to buy local original ecologic"&amp;"al poverty alleviation agricultural and sideline products.")</f>
        <v>Qinyang Jinyu set up a "Love Poverty Alleviation Supermarket" in the staff restaurant, and Hongshulin Company set up a "Special Poverty Alleviation Product Consumption" window in the staff cafeteria to mobilize employees to buy local original ecological poverty alleviation agricultural and sideline products.</v>
      </c>
      <c r="B7747" s="1" t="str">
        <f ca="1">IFERROR(__xludf.DUMMYFUNCTION("GOOGLETRANSLATE(A7747, ""zh"", ""en"")"),"Rural assistance")</f>
        <v>Rural assistance</v>
      </c>
      <c r="C7747" s="1" t="str">
        <f ca="1">IFERROR(__xludf.DUMMYFUNCTION("GOOGLETRANSLATE(E7747, ""zh"", ""en"")"),"Qualitative text")</f>
        <v>Qualitative text</v>
      </c>
    </row>
    <row r="7748" spans="1:3" ht="13" x14ac:dyDescent="0.15">
      <c r="A7748" s="1" t="str">
        <f ca="1">IFERROR(__xludf.DUMMYFUNCTION("GOOGLETRANSLATE(A7748, ""zh"", ""en"")"),"Deepen the “one enterprise, one village” paired assistance work")</f>
        <v>Deepen the “one enterprise, one village” paired assistance work</v>
      </c>
      <c r="B7748" s="1" t="str">
        <f ca="1">IFERROR(__xludf.DUMMYFUNCTION("GOOGLETRANSLATE(A7748, ""zh"", ""en"")"),"Rural assistance")</f>
        <v>Rural assistance</v>
      </c>
      <c r="C7748" s="1" t="str">
        <f ca="1">IFERROR(__xludf.DUMMYFUNCTION("GOOGLETRANSLATE(E7748, ""zh"", ""en"")"),"Qualitative text")</f>
        <v>Qualitative text</v>
      </c>
    </row>
    <row r="7749" spans="1:3" ht="13" x14ac:dyDescent="0.15">
      <c r="A7749" s="1" t="str">
        <f ca="1">IFERROR(__xludf.DUMMYFUNCTION("GOOGLETRANSLATE(A7749, ""zh"", ""en"")"),"Established direct purchase and supply relationship for poverty alleviation products with the aided areas. The company's subsidiary Tangxian Jidong purchased silicon waste rock, bauxite and other raw materials from Tangxian County, Baoding City, a poverty"&amp;"-stricken county, for a total of RMB 9.55 million.")</f>
        <v>Established direct purchase and supply relationship for poverty alleviation products with the aided areas. The company's subsidiary Tangxian Jidong purchased silicon waste rock, bauxite and other raw materials from Tangxian County, Baoding City, a poverty-stricken county, for a total of RMB 9.55 million.</v>
      </c>
      <c r="B7749" s="1" t="str">
        <f ca="1">IFERROR(__xludf.DUMMYFUNCTION("GOOGLETRANSLATE(A7749, ""zh"", ""en"")"),"Rural assistance")</f>
        <v>Rural assistance</v>
      </c>
      <c r="C7749" s="1" t="str">
        <f ca="1">IFERROR(__xludf.DUMMYFUNCTION("GOOGLETRANSLATE(E7749, ""zh"", ""en"")"),"Quantitative Text")</f>
        <v>Quantitative Text</v>
      </c>
    </row>
    <row r="7750" spans="1:3" ht="13" x14ac:dyDescent="0.15">
      <c r="A7750" s="1" t="str">
        <f ca="1">IFERROR(__xludf.DUMMYFUNCTION("GOOGLETRANSLATE(A7750, ""zh"", ""en"")"),"""It is better to teach a man to fish than to give him a fish."" Targeted assistance is provided to increase economic income and improve the quality of life. The leaders of CCCC Nujiang Construction Industrial Park Company inspected the aid projects and h"&amp;"elped build collective economic projects such as pitaya planting base, cattle farm, Nujiang Xiangwei Economic and Trade Company, to help the development of local agriculture, animal husbandry, clothing industry and other industries.")</f>
        <v>"It is better to teach a man to fish than to give him a fish." Targeted assistance is provided to increase economic income and improve the quality of life. The leaders of CCCC Nujiang Construction Industrial Park Company inspected the aid projects and helped build collective economic projects such as pitaya planting base, cattle farm, Nujiang Xiangwei Economic and Trade Company, to help the development of local agriculture, animal husbandry, clothing industry and other industries.</v>
      </c>
      <c r="B7750" s="1" t="str">
        <f ca="1">IFERROR(__xludf.DUMMYFUNCTION("GOOGLETRANSLATE(A7750, ""zh"", ""en"")"),"Rural assistance")</f>
        <v>Rural assistance</v>
      </c>
      <c r="C7750" s="1" t="str">
        <f ca="1">IFERROR(__xludf.DUMMYFUNCTION("GOOGLETRANSLATE(E7750, ""zh"", ""en"")"),"Qualitative text")</f>
        <v>Qualitative text</v>
      </c>
    </row>
    <row r="7751" spans="1:3" ht="13" x14ac:dyDescent="0.15">
      <c r="A7751" s="1" t="str">
        <f ca="1">IFERROR(__xludf.DUMMYFUNCTION("GOOGLETRANSLATE(A7751, ""zh"", ""en"")"),"Establish a preferential support mechanism, use project implementation to drive assistance, actively participate in the construction of targeted assistance projects in key assistance areas, and help the sustainable development of industries in poor areas.")</f>
        <v>Establish a preferential support mechanism, use project implementation to drive assistance, actively participate in the construction of targeted assistance projects in key assistance areas, and help the sustainable development of industries in poor areas.</v>
      </c>
      <c r="B7751" s="1" t="str">
        <f ca="1">IFERROR(__xludf.DUMMYFUNCTION("GOOGLETRANSLATE(A7751, ""zh"", ""en"")"),"Rural assistance")</f>
        <v>Rural assistance</v>
      </c>
      <c r="C7751" s="1" t="str">
        <f ca="1">IFERROR(__xludf.DUMMYFUNCTION("GOOGLETRANSLATE(E7751, ""zh"", ""en"")"),"Qualitative text")</f>
        <v>Qualitative text</v>
      </c>
    </row>
    <row r="7752" spans="1:3" ht="13" x14ac:dyDescent="0.15">
      <c r="A7752" s="1" t="str">
        <f ca="1">IFERROR(__xludf.DUMMYFUNCTION("GOOGLETRANSLATE(A7752, ""zh"", ""en"")"),"Some of the company's subsidiaries have also actively responded to poverty alleviation work and carried out poverty alleviation activities locally to bring warmth to needy families.")</f>
        <v>Some of the company's subsidiaries have also actively responded to poverty alleviation work and carried out poverty alleviation activities locally to bring warmth to needy families.</v>
      </c>
      <c r="B7752" s="1" t="str">
        <f ca="1">IFERROR(__xludf.DUMMYFUNCTION("GOOGLETRANSLATE(A7752, ""zh"", ""en"")"),"Rural assistance")</f>
        <v>Rural assistance</v>
      </c>
      <c r="C7752" s="1" t="str">
        <f ca="1">IFERROR(__xludf.DUMMYFUNCTION("GOOGLETRANSLATE(E7752, ""zh"", ""en"")"),"Qualitative text")</f>
        <v>Qualitative text</v>
      </c>
    </row>
    <row r="7753" spans="1:3" ht="13" x14ac:dyDescent="0.15">
      <c r="A7753" s="1" t="str">
        <f ca="1">IFERROR(__xludf.DUMMYFUNCTION("GOOGLETRANSLATE(A7753, ""zh"", ""en"")"),"Drive substantial changes in the mental outlook of village cadres and carry out rural revitalization work with high standards.")</f>
        <v>Drive substantial changes in the mental outlook of village cadres and carry out rural revitalization work with high standards.</v>
      </c>
      <c r="B7753" s="1" t="str">
        <f ca="1">IFERROR(__xludf.DUMMYFUNCTION("GOOGLETRANSLATE(A7753, ""zh"", ""en"")"),"Rural assistance")</f>
        <v>Rural assistance</v>
      </c>
      <c r="C7753" s="1" t="str">
        <f ca="1">IFERROR(__xludf.DUMMYFUNCTION("GOOGLETRANSLATE(E7753, ""zh"", ""en"")"),"Qualitative text")</f>
        <v>Qualitative text</v>
      </c>
    </row>
    <row r="7754" spans="1:3" ht="13" x14ac:dyDescent="0.15">
      <c r="A7754" s="1" t="str">
        <f ca="1">IFERROR(__xludf.DUMMYFUNCTION("GOOGLETRANSLATE(A7754, ""zh"", ""en"")"),"We provided targeted assistance to Guanling County and eight other assisted villages, purchased agricultural products worth 900,000 yuan from the assisted counties, and actively promoted consumption-driven poverty alleviation.")</f>
        <v>We provided targeted assistance to Guanling County and eight other assisted villages, purchased agricultural products worth 900,000 yuan from the assisted counties, and actively promoted consumption-driven poverty alleviation.</v>
      </c>
      <c r="B7754" s="1" t="str">
        <f ca="1">IFERROR(__xludf.DUMMYFUNCTION("GOOGLETRANSLATE(A7754, ""zh"", ""en"")"),"Rural assistance")</f>
        <v>Rural assistance</v>
      </c>
      <c r="C7754" s="1" t="str">
        <f ca="1">IFERROR(__xludf.DUMMYFUNCTION("GOOGLETRANSLATE(E7754, ""zh"", ""en"")"),"Quantitative Text")</f>
        <v>Quantitative Text</v>
      </c>
    </row>
    <row r="7755" spans="1:3" ht="13" x14ac:dyDescent="0.15">
      <c r="A7755" s="1" t="str">
        <f ca="1">IFERROR(__xludf.DUMMYFUNCTION("GOOGLETRANSLATE(A7755, ""zh"", ""en"")"),"Social security assistance, asset income poverty alleviation, the introduction of leading agricultural enterprises, and tracking and guidance of poor households have implemented breeding projects to drive the development of Pengcun's characteristic planti"&amp;"ng agriculture.")</f>
        <v>Social security assistance, asset income poverty alleviation, the introduction of leading agricultural enterprises, and tracking and guidance of poor households have implemented breeding projects to drive the development of Pengcun's characteristic planting agriculture.</v>
      </c>
      <c r="B7755" s="1" t="str">
        <f ca="1">IFERROR(__xludf.DUMMYFUNCTION("GOOGLETRANSLATE(A7755, ""zh"", ""en"")"),"Rural assistance")</f>
        <v>Rural assistance</v>
      </c>
      <c r="C7755" s="1" t="str">
        <f ca="1">IFERROR(__xludf.DUMMYFUNCTION("GOOGLETRANSLATE(E7755, ""zh"", ""en"")"),"Qualitative text")</f>
        <v>Qualitative text</v>
      </c>
    </row>
    <row r="7756" spans="1:3" ht="13" x14ac:dyDescent="0.15">
      <c r="A7756" s="1" t="str">
        <f ca="1">IFERROR(__xludf.DUMMYFUNCTION("GOOGLETRANSLATE(A7756, ""zh"", ""en"")"),"""Dual support of will and wisdom"" helps rural revitalization. The company continues to consolidate the results of the ""one company, one county"" paired assistance, consolidates and expands the assistance results of poverty-stricken areas connected with"&amp;" Sichuan Province and Xinjiang Uygur Autonomous Region, helps to build agricultural industries, promotes urban and rural economic circulation, and cultivates talents for rural revitalization. ""Dual support of will and wisdom"" helps rural revitalization.")</f>
        <v>"Dual support of will and wisdom" helps rural revitalization. The company continues to consolidate the results of the "one company, one county" paired assistance, consolidates and expands the assistance results of poverty-stricken areas connected with Sichuan Province and Xinjiang Uygur Autonomous Region, helps to build agricultural industries, promotes urban and rural economic circulation, and cultivates talents for rural revitalization. "Dual support of will and wisdom" helps rural revitalization.</v>
      </c>
      <c r="B7756" s="1" t="str">
        <f ca="1">IFERROR(__xludf.DUMMYFUNCTION("GOOGLETRANSLATE(A7756, ""zh"", ""en"")"),"Rural assistance")</f>
        <v>Rural assistance</v>
      </c>
      <c r="C7756" s="1" t="str">
        <f ca="1">IFERROR(__xludf.DUMMYFUNCTION("GOOGLETRANSLATE(E7756, ""zh"", ""en"")"),"Qualitative text")</f>
        <v>Qualitative text</v>
      </c>
    </row>
    <row r="7757" spans="1:3" ht="13" x14ac:dyDescent="0.15">
      <c r="A7757" s="1" t="str">
        <f ca="1">IFERROR(__xludf.DUMMYFUNCTION("GOOGLETRANSLATE(A7757, ""zh"", ""en"")"),"The company has a total of 151 institutional outlets in the local area, providing insurance services to the people in the deeply impoverished areas of the ""Three Districts and Three Prefectures"".")</f>
        <v>The company has a total of 151 institutional outlets in the local area, providing insurance services to the people in the deeply impoverished areas of the "Three Districts and Three Prefectures".</v>
      </c>
      <c r="B7757" s="1" t="str">
        <f ca="1">IFERROR(__xludf.DUMMYFUNCTION("GOOGLETRANSLATE(A7757, ""zh"", ""en"")"),"Rural assistance")</f>
        <v>Rural assistance</v>
      </c>
      <c r="C7757" s="1" t="str">
        <f ca="1">IFERROR(__xludf.DUMMYFUNCTION("GOOGLETRANSLATE(E7757, ""zh"", ""en"")"),"Quantitative Text")</f>
        <v>Quantitative Text</v>
      </c>
    </row>
    <row r="7758" spans="1:3" ht="13" x14ac:dyDescent="0.15">
      <c r="A7758" s="1" t="str">
        <f ca="1">IFERROR(__xludf.DUMMYFUNCTION("GOOGLETRANSLATE(A7758, ""zh"", ""en"")"),"Community Development Support Actions We adhere to the concept of ""local, for local"", actively helping the development of local rural enterprises, supporting local specialty industries and supporting the local population.")</f>
        <v>Community Development Support Actions We adhere to the concept of "local, for local", actively helping the development of local rural enterprises, supporting local specialty industries and supporting the local population.</v>
      </c>
      <c r="B7758" s="1" t="str">
        <f ca="1">IFERROR(__xludf.DUMMYFUNCTION("GOOGLETRANSLATE(A7758, ""zh"", ""en"")"),"Rural assistance")</f>
        <v>Rural assistance</v>
      </c>
      <c r="C7758" s="1" t="str">
        <f ca="1">IFERROR(__xludf.DUMMYFUNCTION("GOOGLETRANSLATE(E7758, ""zh"", ""en"")"),"Qualitative text")</f>
        <v>Qualitative text</v>
      </c>
    </row>
    <row r="7759" spans="1:3" ht="13" x14ac:dyDescent="0.15">
      <c r="A7759" s="1" t="str">
        <f ca="1">IFERROR(__xludf.DUMMYFUNCTION("GOOGLETRANSLATE(A7759, ""zh"", ""en"")"),"Through the group company's ""Hui Cai Mall"" platform, trade unions carried out collective purchasing and consumption assistance in four designated counties for rural revitalization, with a procurement amount of 637,000 yuan.")</f>
        <v>Through the group company's "Hui Cai Mall" platform, trade unions carried out collective purchasing and consumption assistance in four designated counties for rural revitalization, with a procurement amount of 637,000 yuan.</v>
      </c>
      <c r="B7759" s="1" t="str">
        <f ca="1">IFERROR(__xludf.DUMMYFUNCTION("GOOGLETRANSLATE(A7759, ""zh"", ""en"")"),"Rural assistance")</f>
        <v>Rural assistance</v>
      </c>
      <c r="C7759" s="1" t="str">
        <f ca="1">IFERROR(__xludf.DUMMYFUNCTION("GOOGLETRANSLATE(E7759, ""zh"", ""en"")"),"Quantitative Text")</f>
        <v>Quantitative Text</v>
      </c>
    </row>
    <row r="7760" spans="1:3" ht="13" x14ac:dyDescent="0.15">
      <c r="A7760" s="1" t="str">
        <f ca="1">IFERROR(__xludf.DUMMYFUNCTION("GOOGLETRANSLATE(A7760, ""zh"", ""en"")"),"In 2021, a total amount of 125,780 yuan was invested in consumption assistance, and a total of 39,637 people were assisted.")</f>
        <v>In 2021, a total amount of 125,780 yuan was invested in consumption assistance, and a total of 39,637 people were assisted.</v>
      </c>
      <c r="B7760" s="1" t="str">
        <f ca="1">IFERROR(__xludf.DUMMYFUNCTION("GOOGLETRANSLATE(A7760, ""zh"", ""en"")"),"Rural assistance")</f>
        <v>Rural assistance</v>
      </c>
      <c r="C7760" s="1" t="str">
        <f ca="1">IFERROR(__xludf.DUMMYFUNCTION("GOOGLETRANSLATE(E7760, ""zh"", ""en"")"),"Quantitative Text")</f>
        <v>Quantitative Text</v>
      </c>
    </row>
    <row r="7761" spans="1:3" ht="13" x14ac:dyDescent="0.15">
      <c r="A7761" s="1" t="str">
        <f ca="1">IFERROR(__xludf.DUMMYFUNCTION("GOOGLETRANSLATE(A7761, ""zh"", ""en"")"),"The company's leadership team visited the designated assistance units to carry out condolences and develop county-level industries that enrich the people. The company adapted to local conditions and transferred land to the designated assistance village Yi"&amp;"nliu Community to develop the peanut planting industry, establish black peanut and high oleic acid peanut planting bases, and adopt grid management to promote quality improvement.")</f>
        <v>The company's leadership team visited the designated assistance units to carry out condolences and develop county-level industries that enrich the people. The company adapted to local conditions and transferred land to the designated assistance village Yinliu Community to develop the peanut planting industry, establish black peanut and high oleic acid peanut planting bases, and adopt grid management to promote quality improvement.</v>
      </c>
      <c r="B7761" s="1" t="str">
        <f ca="1">IFERROR(__xludf.DUMMYFUNCTION("GOOGLETRANSLATE(A7761, ""zh"", ""en"")"),"Rural assistance")</f>
        <v>Rural assistance</v>
      </c>
      <c r="C7761" s="1" t="str">
        <f ca="1">IFERROR(__xludf.DUMMYFUNCTION("GOOGLETRANSLATE(E7761, ""zh"", ""en"")"),"Qualitative text")</f>
        <v>Qualitative text</v>
      </c>
    </row>
    <row r="7762" spans="1:3" ht="13" x14ac:dyDescent="0.15">
      <c r="A7762" s="1" t="str">
        <f ca="1">IFERROR(__xludf.DUMMYFUNCTION("GOOGLETRANSLATE(A7762, ""zh"", ""en"")"),"61 Shanghai Bailian Group Co., Ltd. contributes to the society and creates harmonious Bailian 62. Procurement of agricultural and sideline products from poverty-stricken areas. The company establishes the concept of ""buying products from poverty-stricken"&amp;" areas and donating love to help the poor"", takes the lead in donating products to assist villages and poor households, and increases the income of poor people by purchasing products from poverty-stricken areas.")</f>
        <v>61 Shanghai Bailian Group Co., Ltd. contributes to the society and creates harmonious Bailian 62. Procurement of agricultural and sideline products from poverty-stricken areas. The company establishes the concept of "buying products from poverty-stricken areas and donating love to help the poor", takes the lead in donating products to assist villages and poor households, and increases the income of poor people by purchasing products from poverty-stricken areas.</v>
      </c>
      <c r="B7762" s="1" t="str">
        <f ca="1">IFERROR(__xludf.DUMMYFUNCTION("GOOGLETRANSLATE(A7762, ""zh"", ""en"")"),"Rural assistance")</f>
        <v>Rural assistance</v>
      </c>
      <c r="C7762" s="1" t="str">
        <f ca="1">IFERROR(__xludf.DUMMYFUNCTION("GOOGLETRANSLATE(E7762, ""zh"", ""en"")"),"Qualitative text")</f>
        <v>Qualitative text</v>
      </c>
    </row>
    <row r="7763" spans="1:3" ht="13" x14ac:dyDescent="0.15">
      <c r="A7763" s="1" t="str">
        <f ca="1">IFERROR(__xludf.DUMMYFUNCTION("GOOGLETRANSLATE(A7763, ""zh"", ""en"")"),"Shanghai Pharma's subsidiaries, including Shanghai Pharma Sinopharm, Shanghai Pharma Holdings, and Shanghai Pharma Medicinal Materials, partnered with Shijia Village, Xianfeng Village, and Kanglang Village in Niujie Township, Midu County, Dali Prefecture,"&amp;" Yunnan Province, respectively. From 2018 to 2020, these targeted poverty alleviation efforts boosted local economic development, improved healthcare, and enhanced the quality of life for the people of Yunnan. Under the leadership of the CPC Central Commi"&amp;"ttee, with the dedicated support of the Yunnan Provincial Party Committee and Government, and with the long-term assistance of Shanghai Pharma, and the tireless efforts of the entire Midu County population, Midu County officially exited the list of impove"&amp;"rished counties on May 17, 2020.")</f>
        <v>Shanghai Pharma's subsidiaries, including Shanghai Pharma Sinopharm, Shanghai Pharma Holdings, and Shanghai Pharma Medicinal Materials, partnered with Shijia Village, Xianfeng Village, and Kanglang Village in Niujie Township, Midu County, Dali Prefecture, Yunnan Province, respectively. From 2018 to 2020, these targeted poverty alleviation efforts boosted local economic development, improved healthcare, and enhanced the quality of life for the people of Yunnan. Under the leadership of the CPC Central Committee, with the dedicated support of the Yunnan Provincial Party Committee and Government, and with the long-term assistance of Shanghai Pharma, and the tireless efforts of the entire Midu County population, Midu County officially exited the list of impoverished counties on May 17, 2020.</v>
      </c>
      <c r="B7763" s="1" t="str">
        <f ca="1">IFERROR(__xludf.DUMMYFUNCTION("GOOGLETRANSLATE(A7763, ""zh"", ""en"")"),"Rural assistance")</f>
        <v>Rural assistance</v>
      </c>
      <c r="C7763" s="1" t="str">
        <f ca="1">IFERROR(__xludf.DUMMYFUNCTION("GOOGLETRANSLATE(E7763, ""zh"", ""en"")"),"Qualitative text")</f>
        <v>Qualitative text</v>
      </c>
    </row>
    <row r="7764" spans="1:3" ht="13" x14ac:dyDescent="0.15">
      <c r="A7764" s="1" t="str">
        <f ca="1">IFERROR(__xludf.DUMMYFUNCTION("GOOGLETRANSLATE(A7764, ""zh"", ""en"")"),"Shanghai Pharma Sinopharm, Shanghai Pharma Holdings, and Shanghai Pharma Medicinal Materials continue to carry out a series of targeted assistance work. On the basis of public welfare assistance such as assisting in building medical service stations in he"&amp;"alth clinics, training rural doctors, rescuing children with congenital heart disease, building kindergartens, schools, roads, and helping to plant Chinese medicinal materials in the local area, Shanghai Pharma combines its own characteristics with the ac"&amp;"tual needs of the targeted assistance areas, scientifically formulates work plans, clarifies work priorities, promotes local economic development in Yunnan, improves medical and health conditions, and enhances people's quality of life. It helps the target"&amp;"ed assistance areas achieve the goal of poverty alleviation and preventing relapse into poverty, comprehensively promotes rural revitalization, and adds fuel to the realization of all-round common prosperity.")</f>
        <v>Shanghai Pharma Sinopharm, Shanghai Pharma Holdings, and Shanghai Pharma Medicinal Materials continue to carry out a series of targeted assistance work. On the basis of public welfare assistance such as assisting in building medical service stations in health clinics, training rural doctors, rescuing children with congenital heart disease, building kindergartens, schools, roads, and helping to plant Chinese medicinal materials in the local area, Shanghai Pharma combines its own characteristics with the actual needs of the targeted assistance areas, scientifically formulates work plans, clarifies work priorities, promotes local economic development in Yunnan, improves medical and health conditions, and enhances people's quality of life. It helps the targeted assistance areas achieve the goal of poverty alleviation and preventing relapse into poverty, comprehensively promotes rural revitalization, and adds fuel to the realization of all-round common prosperity.</v>
      </c>
      <c r="B7764" s="1" t="str">
        <f ca="1">IFERROR(__xludf.DUMMYFUNCTION("GOOGLETRANSLATE(A7764, ""zh"", ""en"")"),"Rural assistance")</f>
        <v>Rural assistance</v>
      </c>
      <c r="C7764" s="1" t="str">
        <f ca="1">IFERROR(__xludf.DUMMYFUNCTION("GOOGLETRANSLATE(E7764, ""zh"", ""en"")"),"Qualitative text")</f>
        <v>Qualitative text</v>
      </c>
    </row>
    <row r="7765" spans="1:3" ht="13" x14ac:dyDescent="0.15">
      <c r="A7765" s="1" t="str">
        <f ca="1">IFERROR(__xludf.DUMMYFUNCTION("GOOGLETRANSLATE(A7765, ""zh"", ""en"")"),"In November 2020, Oriental Fortune Securities awarded 30,000 yuan in scholarships to each of Medog County, Nyingchi City, Cuomei County, Shannan City, Qushui County, Lhasa City, and Jiali County, Nagqu City, totaling 120,000 yuan, and continued to advance"&amp;".")</f>
        <v>In November 2020, Oriental Fortune Securities awarded 30,000 yuan in scholarships to each of Medog County, Nyingchi City, Cuomei County, Shannan City, Qushui County, Lhasa City, and Jiali County, Nagqu City, totaling 120,000 yuan, and continued to advance.</v>
      </c>
      <c r="B7765" s="1" t="str">
        <f ca="1">IFERROR(__xludf.DUMMYFUNCTION("GOOGLETRANSLATE(A7765, ""zh"", ""en"")"),"Rural assistance")</f>
        <v>Rural assistance</v>
      </c>
      <c r="C7765" s="1" t="str">
        <f ca="1">IFERROR(__xludf.DUMMYFUNCTION("GOOGLETRANSLATE(E7765, ""zh"", ""en"")"),"Quantitative Text")</f>
        <v>Quantitative Text</v>
      </c>
    </row>
    <row r="7766" spans="1:3" ht="13" x14ac:dyDescent="0.15">
      <c r="A7766" s="1" t="str">
        <f ca="1">IFERROR(__xludf.DUMMYFUNCTION("GOOGLETRANSLATE(A7766, ""zh"", ""en"")"),"To do a good job in assisting Xinjiang and Tibet, our company adheres to the important instructions of General Secretary Xi Jinping on Xinjiang and Tibet work, thoroughly implements the spirit of the Third Central Xinjiang Work Symposium and the Seventh C"&amp;"entral Tibet Work Symposium, conscientiously implements the deployment requirements of the Central Enterprises' Xinjiang and Tibet Assistance Work Conference, pragmatically promotes industrial assistance to Xinjiang and Tibet, and carries out counterpart "&amp;"support with heart, emotion and effort.")</f>
        <v>To do a good job in assisting Xinjiang and Tibet, our company adheres to the important instructions of General Secretary Xi Jinping on Xinjiang and Tibet work, thoroughly implements the spirit of the Third Central Xinjiang Work Symposium and the Seventh Central Tibet Work Symposium, conscientiously implements the deployment requirements of the Central Enterprises' Xinjiang and Tibet Assistance Work Conference, pragmatically promotes industrial assistance to Xinjiang and Tibet, and carries out counterpart support with heart, emotion and effort.</v>
      </c>
      <c r="B7766" s="1" t="str">
        <f ca="1">IFERROR(__xludf.DUMMYFUNCTION("GOOGLETRANSLATE(A7766, ""zh"", ""en"")"),"Rural assistance")</f>
        <v>Rural assistance</v>
      </c>
      <c r="C7766" s="1" t="str">
        <f ca="1">IFERROR(__xludf.DUMMYFUNCTION("GOOGLETRANSLATE(E7766, ""zh"", ""en"")"),"Qualitative text")</f>
        <v>Qualitative text</v>
      </c>
    </row>
    <row r="7767" spans="1:3" ht="13" x14ac:dyDescent="0.15">
      <c r="A7767" s="1" t="str">
        <f ca="1">IFERROR(__xludf.DUMMYFUNCTION("GOOGLETRANSLATE(A7767, ""zh"", ""en"")"),"Xiaoming Co., Ltd. bears in mind General Secretary Xi Jinping's cordial care and earnest instructions to Min Ning Town, and solidly promotes the effective connection between consolidating the results of poverty alleviation and rural revitalization, accele"&amp;"rates rural environmental governance, cultivates and expands people-enriching industries, and serves as a good model and sets an example in comprehensively promoting rural revitalization.")</f>
        <v>Xiaoming Co., Ltd. bears in mind General Secretary Xi Jinping's cordial care and earnest instructions to Min Ning Town, and solidly promotes the effective connection between consolidating the results of poverty alleviation and rural revitalization, accelerates rural environmental governance, cultivates and expands people-enriching industries, and serves as a good model and sets an example in comprehensively promoting rural revitalization.</v>
      </c>
      <c r="B7767" s="1" t="str">
        <f ca="1">IFERROR(__xludf.DUMMYFUNCTION("GOOGLETRANSLATE(A7767, ""zh"", ""en"")"),"Rural assistance")</f>
        <v>Rural assistance</v>
      </c>
      <c r="C7767" s="1" t="str">
        <f ca="1">IFERROR(__xludf.DUMMYFUNCTION("GOOGLETRANSLATE(E7767, ""zh"", ""en"")"),"Qualitative text")</f>
        <v>Qualitative text</v>
      </c>
    </row>
    <row r="7768" spans="1:3" ht="13" x14ac:dyDescent="0.15">
      <c r="A7768" s="1" t="str">
        <f ca="1">IFERROR(__xludf.DUMMYFUNCTION("GOOGLETRANSLATE(A7768, ""zh"", ""en"")"),"The company conscientiously implements the central government's requirements on targeted poverty alleviation, actively fulfills its social responsibilities as a mixed-ownership listed company controlled by a military-industrial central enterprise, and mob"&amp;"ilizes all employees to carry out consumption-based poverty alleviation. The total consumption in 2020 was more than 163,000 yuan.")</f>
        <v>The company conscientiously implements the central government's requirements on targeted poverty alleviation, actively fulfills its social responsibilities as a mixed-ownership listed company controlled by a military-industrial central enterprise, and mobilizes all employees to carry out consumption-based poverty alleviation. The total consumption in 2020 was more than 163,000 yuan.</v>
      </c>
      <c r="B7768" s="1" t="str">
        <f ca="1">IFERROR(__xludf.DUMMYFUNCTION("GOOGLETRANSLATE(A7768, ""zh"", ""en"")"),"Rural assistance")</f>
        <v>Rural assistance</v>
      </c>
      <c r="C7768" s="1" t="str">
        <f ca="1">IFERROR(__xludf.DUMMYFUNCTION("GOOGLETRANSLATE(E7768, ""zh"", ""en"")"),"Quantitative Text")</f>
        <v>Quantitative Text</v>
      </c>
    </row>
    <row r="7769" spans="1:3" ht="13" x14ac:dyDescent="0.15">
      <c r="A7769" s="1" t="str">
        <f ca="1">IFERROR(__xludf.DUMMYFUNCTION("GOOGLETRANSLATE(A7769, ""zh"", ""en"")"),"Rural revitalization consumption assistance, educational assistance and donations insist on carrying out targeted assistance. In 2022, a total of 2.672 million yuan in assistance funds were provided for the renovation of infrastructure, updating of drinki"&amp;"ng water equipment, purchase of office equipment and student uniforms for the Gutanhe Rural Revitalization Demonstration Project in Sanhe Village, Luzhang Town, Lushui City.")</f>
        <v>Rural revitalization consumption assistance, educational assistance and donations insist on carrying out targeted assistance. In 2022, a total of 2.672 million yuan in assistance funds were provided for the renovation of infrastructure, updating of drinking water equipment, purchase of office equipment and student uniforms for the Gutanhe Rural Revitalization Demonstration Project in Sanhe Village, Luzhang Town, Lushui City.</v>
      </c>
      <c r="B7769" s="1" t="str">
        <f ca="1">IFERROR(__xludf.DUMMYFUNCTION("GOOGLETRANSLATE(A7769, ""zh"", ""en"")"),"Rural assistance")</f>
        <v>Rural assistance</v>
      </c>
      <c r="C7769" s="1" t="str">
        <f ca="1">IFERROR(__xludf.DUMMYFUNCTION("GOOGLETRANSLATE(E7769, ""zh"", ""en"")"),"Quantitative Text")</f>
        <v>Quantitative Text</v>
      </c>
    </row>
    <row r="7770" spans="1:3" ht="13" x14ac:dyDescent="0.15">
      <c r="A7770" s="1" t="str">
        <f ca="1">IFERROR(__xludf.DUMMYFUNCTION("GOOGLETRANSLATE(A7770, ""zh"", ""en"")"),"""Party building + targeted assistance"" helps the rural revitalization of Nujiang. In 2022, the Party branch of Kunming City Company, with the appearance of ""I will help farmers"", created the momentum of ""I will develop agriculture"", and with the res"&amp;"ponsibility of ""I will enrich farmers"", went to various places in Nujiang for party building exchanges and investigations many times, and signed co-construction agreements with three party organizations in Pianma Town and Daxindi Town, Lushui, Nujiang. "&amp;"It adopted support methods such as investing in real estate development projects and setting up agricultural product sales booths in the local area, from party building co-construction, industrial assistance, agricultural product assistance, and provision"&amp;".")</f>
        <v>"Party building + targeted assistance" helps the rural revitalization of Nujiang. In 2022, the Party branch of Kunming City Company, with the appearance of "I will help farmers", created the momentum of "I will develop agriculture", and with the responsibility of "I will enrich farmers", went to various places in Nujiang for party building exchanges and investigations many times, and signed co-construction agreements with three party organizations in Pianma Town and Daxindi Town, Lushui, Nujiang. It adopted support methods such as investing in real estate development projects and setting up agricultural product sales booths in the local area, from party building co-construction, industrial assistance, agricultural product assistance, and provision.</v>
      </c>
      <c r="B7770" s="1" t="str">
        <f ca="1">IFERROR(__xludf.DUMMYFUNCTION("GOOGLETRANSLATE(A7770, ""zh"", ""en"")"),"Rural assistance")</f>
        <v>Rural assistance</v>
      </c>
      <c r="C7770" s="1" t="str">
        <f ca="1">IFERROR(__xludf.DUMMYFUNCTION("GOOGLETRANSLATE(E7770, ""zh"", ""en"")"),"Quantitative Text")</f>
        <v>Quantitative Text</v>
      </c>
    </row>
    <row r="7771" spans="1:3" ht="13" x14ac:dyDescent="0.15">
      <c r="A7771" s="1" t="str">
        <f ca="1">IFERROR(__xludf.DUMMYFUNCTION("GOOGLETRANSLATE(A7771, ""zh"", ""en"")"),"It is better to teach a man how to fish than to fish. Targeted assistance is provided to increase economic income and improve the quality of life. The leaders of CCCC Nujiang Construction Industrial Park Company inspected the aid projects and helped build"&amp;" collective economic projects such as dragon fruit planting bases, cattle farms, and Nujiang Xiangwei Economic and Trade Company, helping the development of local agriculture, animal husbandry, clothing and other industries.")</f>
        <v>It is better to teach a man how to fish than to fish. Targeted assistance is provided to increase economic income and improve the quality of life. The leaders of CCCC Nujiang Construction Industrial Park Company inspected the aid projects and helped build collective economic projects such as dragon fruit planting bases, cattle farms, and Nujiang Xiangwei Economic and Trade Company, helping the development of local agriculture, animal husbandry, clothing and other industries.</v>
      </c>
      <c r="B7771" s="1" t="str">
        <f ca="1">IFERROR(__xludf.DUMMYFUNCTION("GOOGLETRANSLATE(A7771, ""zh"", ""en"")"),"Rural assistance")</f>
        <v>Rural assistance</v>
      </c>
      <c r="C7771" s="1" t="str">
        <f ca="1">IFERROR(__xludf.DUMMYFUNCTION("GOOGLETRANSLATE(E7771, ""zh"", ""en"")"),"Qualitative text")</f>
        <v>Qualitative text</v>
      </c>
    </row>
    <row r="7772" spans="1:3" ht="13" x14ac:dyDescent="0.15">
      <c r="A7772" s="1" t="str">
        <f ca="1">IFERROR(__xludf.DUMMYFUNCTION("GOOGLETRANSLATE(A7772, ""zh"", ""en"")"),"We have achieved a centralized display of specialty products from designated counties, and continued to expand consumption of products and services from poverty-stricken areas, especially those areas severely affected by the epidemic last year, in order t"&amp;"o increase farmers' income, prevent them from falling back into poverty, and cultivate and strengthen regional specialty and advantageous industries.")</f>
        <v>We have achieved a centralized display of specialty products from designated counties, and continued to expand consumption of products and services from poverty-stricken areas, especially those areas severely affected by the epidemic last year, in order to increase farmers' income, prevent them from falling back into poverty, and cultivate and strengthen regional specialty and advantageous industries.</v>
      </c>
      <c r="B7772" s="1" t="str">
        <f ca="1">IFERROR(__xludf.DUMMYFUNCTION("GOOGLETRANSLATE(A7772, ""zh"", ""en"")"),"Rural assistance")</f>
        <v>Rural assistance</v>
      </c>
      <c r="C7772" s="1" t="str">
        <f ca="1">IFERROR(__xludf.DUMMYFUNCTION("GOOGLETRANSLATE(E7772, ""zh"", ""en"")"),"Qualitative text")</f>
        <v>Qualitative text</v>
      </c>
    </row>
    <row r="7773" spans="1:3" ht="13" x14ac:dyDescent="0.15">
      <c r="A7773" s="1" t="str">
        <f ca="1">IFERROR(__xludf.DUMMYFUNCTION("GOOGLETRANSLATE(A7773, ""zh"", ""en"")"),"To solve the problem of unsold ginger in Baohe Village, Zhonghe Town, Ningyuan County, Yongzhou City, Hunan Province, we called on employees to purchase agricultural products in an accumulated manner to help farmers increase their income.")</f>
        <v>To solve the problem of unsold ginger in Baohe Village, Zhonghe Town, Ningyuan County, Yongzhou City, Hunan Province, we called on employees to purchase agricultural products in an accumulated manner to help farmers increase their income.</v>
      </c>
      <c r="B7773" s="1" t="str">
        <f ca="1">IFERROR(__xludf.DUMMYFUNCTION("GOOGLETRANSLATE(A7773, ""zh"", ""en"")"),"Rural assistance")</f>
        <v>Rural assistance</v>
      </c>
      <c r="C7773" s="1" t="str">
        <f ca="1">IFERROR(__xludf.DUMMYFUNCTION("GOOGLETRANSLATE(E7773, ""zh"", ""en"")"),"Qualitative text")</f>
        <v>Qualitative text</v>
      </c>
    </row>
    <row r="7774" spans="1:3" ht="13" x14ac:dyDescent="0.15">
      <c r="A7774" s="1" t="str">
        <f ca="1">IFERROR(__xludf.DUMMYFUNCTION("GOOGLETRANSLATE(A7774, ""zh"", ""en"")"),"In 2022, 10 assistance projects will be implemented, 2 assistance projects will be introduced, 2 leading enterprises and 5 rural cooperatives will be supported, and the transfer of people out of poverty will be helped.")</f>
        <v>In 2022, 10 assistance projects will be implemented, 2 assistance projects will be introduced, 2 leading enterprises and 5 rural cooperatives will be supported, and the transfer of people out of poverty will be helped.</v>
      </c>
      <c r="B7774" s="1" t="str">
        <f ca="1">IFERROR(__xludf.DUMMYFUNCTION("GOOGLETRANSLATE(A7774, ""zh"", ""en"")"),"Rural assistance")</f>
        <v>Rural assistance</v>
      </c>
      <c r="C7774" s="1" t="str">
        <f ca="1">IFERROR(__xludf.DUMMYFUNCTION("GOOGLETRANSLATE(E7774, ""zh"", ""en"")"),"Quantitative Text")</f>
        <v>Quantitative Text</v>
      </c>
    </row>
    <row r="7775" spans="1:3" ht="13" x14ac:dyDescent="0.15">
      <c r="A7775" s="1" t="str">
        <f ca="1">IFERROR(__xludf.DUMMYFUNCTION("GOOGLETRANSLATE(A7775, ""zh"", ""en"")"),"In 2022, China XD continued to increase its efforts in consumer assistance. The company's affiliated units actively purchased 1.88 million yuan of agricultural products from industrial assistance projects in designated poverty alleviation counties, and di"&amp;"stributed them to employees as New Year's benefits, helping to fight poverty through consumer poverty alleviation.")</f>
        <v>In 2022, China XD continued to increase its efforts in consumer assistance. The company's affiliated units actively purchased 1.88 million yuan of agricultural products from industrial assistance projects in designated poverty alleviation counties, and distributed them to employees as New Year's benefits, helping to fight poverty through consumer poverty alleviation.</v>
      </c>
      <c r="B7775" s="1" t="str">
        <f ca="1">IFERROR(__xludf.DUMMYFUNCTION("GOOGLETRANSLATE(A7775, ""zh"", ""en"")"),"Rural assistance")</f>
        <v>Rural assistance</v>
      </c>
      <c r="C7775" s="1" t="str">
        <f ca="1">IFERROR(__xludf.DUMMYFUNCTION("GOOGLETRANSLATE(E7775, ""zh"", ""en"")"),"Quantitative Text")</f>
        <v>Quantitative Text</v>
      </c>
    </row>
    <row r="7776" spans="1:3" ht="13" x14ac:dyDescent="0.15">
      <c r="A7776" s="1" t="str">
        <f ca="1">IFERROR(__xludf.DUMMYFUNCTION("GOOGLETRANSLATE(A7776, ""zh"", ""en"")"),"The company actively contacted the Xi'an Branch of the Chinese Academy of Sciences to develop characteristic planting industries, and piloted the planting of 20 acres of black corn and two greenhouses of edible fungi that are suitable for the geographical"&amp;" environment of Linyou, exploring new ways for the development of rural planting industries.")</f>
        <v>The company actively contacted the Xi'an Branch of the Chinese Academy of Sciences to develop characteristic planting industries, and piloted the planting of 20 acres of black corn and two greenhouses of edible fungi that are suitable for the geographical environment of Linyou, exploring new ways for the development of rural planting industries.</v>
      </c>
      <c r="B7776" s="1" t="str">
        <f ca="1">IFERROR(__xludf.DUMMYFUNCTION("GOOGLETRANSLATE(A7776, ""zh"", ""en"")"),"Rural assistance")</f>
        <v>Rural assistance</v>
      </c>
      <c r="C7776" s="1" t="str">
        <f ca="1">IFERROR(__xludf.DUMMYFUNCTION("GOOGLETRANSLATE(E7776, ""zh"", ""en"")"),"Quantitative Text")</f>
        <v>Quantitative Text</v>
      </c>
    </row>
    <row r="7777" spans="1:3" ht="13" x14ac:dyDescent="0.15">
      <c r="A7777" s="1" t="str">
        <f ca="1">IFERROR(__xludf.DUMMYFUNCTION("GOOGLETRANSLATE(A7777, ""zh"", ""en"")"),"Extend the existing industrial chain, build an organic fertilizer processing plant, solve the problem of manure disposal in village farms, provide organic fertilizer for crops, and promote the development of planting and breeding industries in Wanjiacheng"&amp;" Village.")</f>
        <v>Extend the existing industrial chain, build an organic fertilizer processing plant, solve the problem of manure disposal in village farms, provide organic fertilizer for crops, and promote the development of planting and breeding industries in Wanjiacheng Village.</v>
      </c>
      <c r="B7777" s="1" t="str">
        <f ca="1">IFERROR(__xludf.DUMMYFUNCTION("GOOGLETRANSLATE(A7777, ""zh"", ""en"")"),"Rural assistance")</f>
        <v>Rural assistance</v>
      </c>
      <c r="C7777" s="1" t="str">
        <f ca="1">IFERROR(__xludf.DUMMYFUNCTION("GOOGLETRANSLATE(E7777, ""zh"", ""en"")"),"Qualitative text")</f>
        <v>Qualitative text</v>
      </c>
    </row>
    <row r="7778" spans="1:3" ht="13" x14ac:dyDescent="0.15">
      <c r="A7778" s="1" t="str">
        <f ca="1">IFERROR(__xludf.DUMMYFUNCTION("GOOGLETRANSLATE(A7778, ""zh"", ""en"")"),"Create a circular economy, build a biomass pellet processing plant, utilize local forestry waste, etc., to meet the raw material needs of nearly 100 solar thermal clean heating users in the village for auxiliary heating, and at the same time provide fuel "&amp;"for biomass fuel users in the county, turning waste into treasure and taking the path of sustainable development.")</f>
        <v>Create a circular economy, build a biomass pellet processing plant, utilize local forestry waste, etc., to meet the raw material needs of nearly 100 solar thermal clean heating users in the village for auxiliary heating, and at the same time provide fuel for biomass fuel users in the county, turning waste into treasure and taking the path of sustainable development.</v>
      </c>
      <c r="B7778" s="1" t="str">
        <f ca="1">IFERROR(__xludf.DUMMYFUNCTION("GOOGLETRANSLATE(A7778, ""zh"", ""en"")"),"Rural assistance")</f>
        <v>Rural assistance</v>
      </c>
      <c r="C7778" s="1" t="str">
        <f ca="1">IFERROR(__xludf.DUMMYFUNCTION("GOOGLETRANSLATE(E7778, ""zh"", ""en"")"),"Quantitative Text")</f>
        <v>Quantitative Text</v>
      </c>
    </row>
    <row r="7779" spans="1:3" ht="13" x14ac:dyDescent="0.15">
      <c r="A7779" s="1" t="str">
        <f ca="1">IFERROR(__xludf.DUMMYFUNCTION("GOOGLETRANSLATE(A7779, ""zh"", ""en"")"),"During the reporting period, the company continued to respond to the ""whole-county promotion"" policy, dedicated itself to serving the household distributed market, and worked hard to build the distributed photovoltaic whole-county promotion project into"&amp;" a people-oriented project with high-quality development. This not only promoted the further development of green energy, but also increased farmers' income sources, contributing its own strength to helping rural revitalization.")</f>
        <v>During the reporting period, the company continued to respond to the "whole-county promotion" policy, dedicated itself to serving the household distributed market, and worked hard to build the distributed photovoltaic whole-county promotion project into a people-oriented project with high-quality development. This not only promoted the further development of green energy, but also increased farmers' income sources, contributing its own strength to helping rural revitalization.</v>
      </c>
      <c r="B7779" s="1" t="str">
        <f ca="1">IFERROR(__xludf.DUMMYFUNCTION("GOOGLETRANSLATE(A7779, ""zh"", ""en"")"),"Rural assistance")</f>
        <v>Rural assistance</v>
      </c>
      <c r="C7779" s="1" t="str">
        <f ca="1">IFERROR(__xludf.DUMMYFUNCTION("GOOGLETRANSLATE(E7779, ""zh"", ""en"")"),"Qualitative text")</f>
        <v>Qualitative text</v>
      </c>
    </row>
    <row r="7780" spans="1:3" ht="13" x14ac:dyDescent="0.15">
      <c r="A7780" s="1" t="str">
        <f ca="1">IFERROR(__xludf.DUMMYFUNCTION("GOOGLETRANSLATE(A7780, ""zh"", ""en"")"),"Live streaming to help farmers and drive regional economic development COSCO Shipping Development actively responded to the ""Central Enterprises Consumption Assistance for Agricultural Development Week"" event organized by the Social Responsibility Burea"&amp;"u of the State-owned Assets Supervision and Administration Commission of the State Council, the Regional Revitalization Department of the National Development and Reform Commission, and the Social Assistance Department of the National Rural Revitalization"&amp;" Bureau, and gave full play to the sales advantages of the central enterprises' consumption assistance platform and the group's e-commerce platform. It jointly organized the ""Live Streaming to Help Rural Revitalization, Agricultural Products Go Out of th"&amp;"e Mountains"" live streaming to help farmers with Anhua, Hunan. The total transaction volume of goods brought in the live streaming room was nearly 1.4 million yuan, which helped increase local people's income and lift them out of poverty, and actively co"&amp;"ntributed to the development of rural revitalization.")</f>
        <v>Live streaming to help farmers and drive regional economic development COSCO Shipping Development actively responded to the "Central Enterprises Consumption Assistance for Agricultural Development Week" event organized by the Social Responsibility Bureau of the State-owned Assets Supervision and Administration Commission of the State Council, the Regional Revitalization Department of the National Development and Reform Commission, and the Social Assistance Department of the National Rural Revitalization Bureau, and gave full play to the sales advantages of the central enterprises' consumption assistance platform and the group's e-commerce platform. It jointly organized the "Live Streaming to Help Rural Revitalization, Agricultural Products Go Out of the Mountains" live streaming to help farmers with Anhua, Hunan. The total transaction volume of goods brought in the live streaming room was nearly 1.4 million yuan, which helped increase local people's income and lift them out of poverty, and actively contributed to the development of rural revitalization.</v>
      </c>
      <c r="B7780" s="1" t="str">
        <f ca="1">IFERROR(__xludf.DUMMYFUNCTION("GOOGLETRANSLATE(A7780, ""zh"", ""en"")"),"Rural assistance")</f>
        <v>Rural assistance</v>
      </c>
      <c r="C7780" s="1" t="str">
        <f ca="1">IFERROR(__xludf.DUMMYFUNCTION("GOOGLETRANSLATE(E7780, ""zh"", ""en"")"),"Quantitative Text")</f>
        <v>Quantitative Text</v>
      </c>
    </row>
    <row r="7781" spans="1:3" ht="13" x14ac:dyDescent="0.15">
      <c r="A7781" s="1" t="str">
        <f ca="1">IFERROR(__xludf.DUMMYFUNCTION("GOOGLETRANSLATE(A7781, ""zh"", ""en"")"),"In 2022, the company will take multiple measures based on the actual work situation to further increase consumption-driven poverty alleviation and extend poverty alleviation procurement channels. The original procurement model of the head office of the en"&amp;"trepreneurship and innovation center will be directly connected with the regional entrepreneurship and innovation center branch for procurement based on the actual situation of the enterprise. The original focus on key breakthroughs and assistance in five"&amp;" provinces will be increased to increase direct procurement efforts through multiple channels in four provinces including Inner Mongolia, Xinjiang, Qinghai and Tibet.")</f>
        <v>In 2022, the company will take multiple measures based on the actual work situation to further increase consumption-driven poverty alleviation and extend poverty alleviation procurement channels. The original procurement model of the head office of the entrepreneurship and innovation center will be directly connected with the regional entrepreneurship and innovation center branch for procurement based on the actual situation of the enterprise. The original focus on key breakthroughs and assistance in five provinces will be increased to increase direct procurement efforts through multiple channels in four provinces including Inner Mongolia, Xinjiang, Qinghai and Tibet.</v>
      </c>
      <c r="B7781" s="1" t="str">
        <f ca="1">IFERROR(__xludf.DUMMYFUNCTION("GOOGLETRANSLATE(A7781, ""zh"", ""en"")"),"Rural assistance")</f>
        <v>Rural assistance</v>
      </c>
      <c r="C7781" s="1" t="str">
        <f ca="1">IFERROR(__xludf.DUMMYFUNCTION("GOOGLETRANSLATE(E7781, ""zh"", ""en"")"),"Qualitative text")</f>
        <v>Qualitative text</v>
      </c>
    </row>
    <row r="7782" spans="1:3" ht="13" x14ac:dyDescent="0.15">
      <c r="A7782" s="1" t="str">
        <f ca="1">IFERROR(__xludf.DUMMYFUNCTION("GOOGLETRANSLATE(A7782, ""zh"", ""en"")"),"The company's subsidiary Tong Ren Tang Technology has actively deployed rural revitalization work in accordance with the requirements of the Municipal State-owned Assets Supervision and Administration Commission to promote rural revitalization, and formul"&amp;"ated a ""Science and Technology to Revitalize Inner Mongolia"" work plan in the counterpart assistance area of ​​Xing'an League, Inner Mongolia. It aims to solve key technical problems such as ""seed sources, seeds, and seedlings"" by screening key variet"&amp;"ies of local Chinese medicinal materials. When conditions are ripe, it plans to establish an authentic, standardized, and traceable planting and processing base to promote in-depth and practical industrial assistance work.")</f>
        <v>The company's subsidiary Tong Ren Tang Technology has actively deployed rural revitalization work in accordance with the requirements of the Municipal State-owned Assets Supervision and Administration Commission to promote rural revitalization, and formulated a "Science and Technology to Revitalize Inner Mongolia" work plan in the counterpart assistance area of ​​Xing'an League, Inner Mongolia. It aims to solve key technical problems such as "seed sources, seeds, and seedlings" by screening key varieties of local Chinese medicinal materials. When conditions are ripe, it plans to establish an authentic, standardized, and traceable planting and processing base to promote in-depth and practical industrial assistance work.</v>
      </c>
      <c r="B7782" s="1" t="str">
        <f ca="1">IFERROR(__xludf.DUMMYFUNCTION("GOOGLETRANSLATE(A7782, ""zh"", ""en"")"),"Rural assistance")</f>
        <v>Rural assistance</v>
      </c>
      <c r="C7782" s="1" t="str">
        <f ca="1">IFERROR(__xludf.DUMMYFUNCTION("GOOGLETRANSLATE(E7782, ""zh"", ""en"")"),"Qualitative text")</f>
        <v>Qualitative text</v>
      </c>
    </row>
    <row r="7783" spans="1:3" ht="13" x14ac:dyDescent="0.15">
      <c r="A7783" s="1" t="str">
        <f ca="1">IFERROR(__xludf.DUMMYFUNCTION("GOOGLETRANSLATE(A7783, ""zh"", ""en"")"),"In terms of consumption-driven poverty alleviation, we continued to support the consumption of agricultural products. During the reporting period, we organized trade unions at all levels and canteens to actively purchase poverty alleviation products such "&amp;"as rice, noodles, and non-staple foods worth approximately RMB 3 million, further consolidating the results of poverty alleviation and continuously contributing to rural revitalization.")</f>
        <v>In terms of consumption-driven poverty alleviation, we continued to support the consumption of agricultural products. During the reporting period, we organized trade unions at all levels and canteens to actively purchase poverty alleviation products such as rice, noodles, and non-staple foods worth approximately RMB 3 million, further consolidating the results of poverty alleviation and continuously contributing to rural revitalization.</v>
      </c>
      <c r="B7783" s="1" t="str">
        <f ca="1">IFERROR(__xludf.DUMMYFUNCTION("GOOGLETRANSLATE(A7783, ""zh"", ""en"")"),"Rural assistance")</f>
        <v>Rural assistance</v>
      </c>
      <c r="C7783" s="1" t="str">
        <f ca="1">IFERROR(__xludf.DUMMYFUNCTION("GOOGLETRANSLATE(E7783, ""zh"", ""en"")"),"Quantitative Text")</f>
        <v>Quantitative Text</v>
      </c>
    </row>
    <row r="7784" spans="1:3" ht="13" x14ac:dyDescent="0.15">
      <c r="A7784" s="1" t="str">
        <f ca="1">IFERROR(__xludf.DUMMYFUNCTION("GOOGLETRANSLATE(A7784, ""zh"", ""en"")"),"In 2021, the company established pairing and assistance relationships with Tashan Village, Zhangcun Township, Jiangshan City, Zhejiang Province and Huoshan Village, Waluo Township, Puge County, Liangshan Prefecture, Sichuan Province, to help the economic "&amp;"development of the assisted areas.")</f>
        <v>In 2021, the company established pairing and assistance relationships with Tashan Village, Zhangcun Township, Jiangshan City, Zhejiang Province and Huoshan Village, Waluo Township, Puge County, Liangshan Prefecture, Sichuan Province, to help the economic development of the assisted areas.</v>
      </c>
      <c r="B7784" s="1" t="str">
        <f ca="1">IFERROR(__xludf.DUMMYFUNCTION("GOOGLETRANSLATE(A7784, ""zh"", ""en"")"),"Rural assistance")</f>
        <v>Rural assistance</v>
      </c>
      <c r="C7784" s="1" t="str">
        <f ca="1">IFERROR(__xludf.DUMMYFUNCTION("GOOGLETRANSLATE(E7784, ""zh"", ""en"")"),"Qualitative text")</f>
        <v>Qualitative text</v>
      </c>
    </row>
    <row r="7785" spans="1:3" ht="13" x14ac:dyDescent="0.15">
      <c r="A7785" s="1" t="str">
        <f ca="1">IFERROR(__xludf.DUMMYFUNCTION("GOOGLETRANSLATE(A7785, ""zh"", ""en"")"),"We will solidly establish an oil tea cooperative and jointly establish it with Yanhou Village to develop oil tea bases, cultivate oil tea seedlings, produce, process and sell oil tea. We plan to generate stable profits after the cultivation period, effect"&amp;"ively eliminate economic weaknesses, and form a long-term function to promote the economy.")</f>
        <v>We will solidly establish an oil tea cooperative and jointly establish it with Yanhou Village to develop oil tea bases, cultivate oil tea seedlings, produce, process and sell oil tea. We plan to generate stable profits after the cultivation period, effectively eliminate economic weaknesses, and form a long-term function to promote the economy.</v>
      </c>
      <c r="B7785" s="1" t="str">
        <f ca="1">IFERROR(__xludf.DUMMYFUNCTION("GOOGLETRANSLATE(A7785, ""zh"", ""en"")"),"Rural assistance")</f>
        <v>Rural assistance</v>
      </c>
      <c r="C7785" s="1" t="str">
        <f ca="1">IFERROR(__xludf.DUMMYFUNCTION("GOOGLETRANSLATE(E7785, ""zh"", ""en"")"),"Qualitative text")</f>
        <v>Qualitative text</v>
      </c>
    </row>
    <row r="7786" spans="1:3" ht="13" x14ac:dyDescent="0.15">
      <c r="A7786" s="1" t="str">
        <f ca="1">IFERROR(__xludf.DUMMYFUNCTION("GOOGLETRANSLATE(A7786, ""zh"", ""en"")"),"Build a supply and demand docking platform for agricultural and specialty products in Yanhou Village, encourage all party general branches, party branches, trade union groups, etc. to establish long-term and stable supply and marketing relationships with "&amp;"Lishui Yanhou Village, and give priority to purchasing agricultural and specialty products from counterpart regions under the same conditions. Yanhou Village provides edible fungi, organic vegetables, livestock and poultry and other specialty agricultural"&amp;" products.")</f>
        <v>Build a supply and demand docking platform for agricultural and specialty products in Yanhou Village, encourage all party general branches, party branches, trade union groups, etc. to establish long-term and stable supply and marketing relationships with Lishui Yanhou Village, and give priority to purchasing agricultural and specialty products from counterpart regions under the same conditions. Yanhou Village provides edible fungi, organic vegetables, livestock and poultry and other specialty agricultural products.</v>
      </c>
      <c r="B7786" s="1" t="str">
        <f ca="1">IFERROR(__xludf.DUMMYFUNCTION("GOOGLETRANSLATE(A7786, ""zh"", ""en"")"),"Rural assistance")</f>
        <v>Rural assistance</v>
      </c>
      <c r="C7786" s="1" t="str">
        <f ca="1">IFERROR(__xludf.DUMMYFUNCTION("GOOGLETRANSLATE(E7786, ""zh"", ""en"")"),"Qualitative text")</f>
        <v>Qualitative text</v>
      </c>
    </row>
    <row r="7787" spans="1:3" ht="13" x14ac:dyDescent="0.15">
      <c r="A7787" s="1" t="str">
        <f ca="1">IFERROR(__xludf.DUMMYFUNCTION("GOOGLETRANSLATE(A7787, ""zh"", ""en"")"),"In 2018, Rongzu Company began to actively participate in the special action of ""Thousand Enterprises Connecting with Thousand Villages and Eliminating Weak Villages"" and signed a pairing agreement with Zhuzhou Village, Chatian Town, Longquan City. Throu"&amp;"gh measures such as jointly building oil tea bases and supporting poor families, it helped weak villages develop and strengthen their collective economy.")</f>
        <v>In 2018, Rongzu Company began to actively participate in the special action of "Thousand Enterprises Connecting with Thousand Villages and Eliminating Weak Villages" and signed a pairing agreement with Zhuzhou Village, Chatian Town, Longquan City. Through measures such as jointly building oil tea bases and supporting poor families, it helped weak villages develop and strengthen their collective economy.</v>
      </c>
      <c r="B7787" s="1" t="str">
        <f ca="1">IFERROR(__xludf.DUMMYFUNCTION("GOOGLETRANSLATE(A7787, ""zh"", ""en"")"),"Rural assistance")</f>
        <v>Rural assistance</v>
      </c>
      <c r="C7787" s="1" t="str">
        <f ca="1">IFERROR(__xludf.DUMMYFUNCTION("GOOGLETRANSLATE(E7787, ""zh"", ""en"")"),"Qualitative text")</f>
        <v>Qualitative text</v>
      </c>
    </row>
    <row r="7788" spans="1:3" ht="13" x14ac:dyDescent="0.15">
      <c r="A7788" s="1" t="str">
        <f ca="1">IFERROR(__xludf.DUMMYFUNCTION("GOOGLETRANSLATE(A7788, ""zh"", ""en"")"),"In 2021, the company will focus on supporting Chengtian Town's ""consolidation of poverty alleviation achievements and anti-poverty monitoring"" assistance work and the Tian Central Community Leisure Experience ""Agricultural Complex"" two projects, assis"&amp;"ting the local area to improve infrastructure and improve people's living standards.")</f>
        <v>In 2021, the company will focus on supporting Chengtian Town's "consolidation of poverty alleviation achievements and anti-poverty monitoring" assistance work and the Tian Central Community Leisure Experience "Agricultural Complex" two projects, assisting the local area to improve infrastructure and improve people's living standards.</v>
      </c>
      <c r="B7788" s="1" t="str">
        <f ca="1">IFERROR(__xludf.DUMMYFUNCTION("GOOGLETRANSLATE(A7788, ""zh"", ""en"")"),"Rural assistance")</f>
        <v>Rural assistance</v>
      </c>
      <c r="C7788" s="1" t="str">
        <f ca="1">IFERROR(__xludf.DUMMYFUNCTION("GOOGLETRANSLATE(E7788, ""zh"", ""en"")"),"Quantitative Text")</f>
        <v>Quantitative Text</v>
      </c>
    </row>
    <row r="7789" spans="1:3" ht="13" x14ac:dyDescent="0.15">
      <c r="A7789" s="1" t="str">
        <f ca="1">IFERROR(__xludf.DUMMYFUNCTION("GOOGLETRANSLATE(A7789, ""zh"", ""en"")"),"Key Resource Utilization in 2022: Gasoline consumption: approximately 39,035.41 tons, approximately 381,900 kWh; Diesel consumption: approximately 12,450.48 tons, approximately 4,617,300 standard cubic meters; Solar energy consumption: approximately 17.23"&amp;" million kWh. The above data is an internal estimate and covers Jolywood, Taizhou Jolywood Optoelectronics, and Shanxi Jolywood Optoelectronics. Suzhou Jolywood Photovoltaic New Materials Co., Ltd. Resource Utilization, Environmental Management, and Energ"&amp;"y Consumption Targets: To strengthen effective energy management, maximize the efficient utilization of resources and energy, and integrate green development throughout the entire production and operation process, the company has formulated the ""Energy a"&amp;"nd Resource Conservation Control Procedure."" Based on the current development of energy-saving technologies, taking into account financial investment and actual energy conservation results, necessary energy-saving technology upgrades will be implemented "&amp;"on existing equipment and facilities.")</f>
        <v>Key Resource Utilization in 2022: Gasoline consumption: approximately 39,035.41 tons, approximately 381,900 kWh; Diesel consumption: approximately 12,450.48 tons, approximately 4,617,300 standard cubic meters; Solar energy consumption: approximately 17.23 million kWh. The above data is an internal estimate and covers Jolywood, Taizhou Jolywood Optoelectronics, and Shanxi Jolywood Optoelectronics. Suzhou Jolywood Photovoltaic New Materials Co., Ltd. Resource Utilization, Environmental Management, and Energy Consumption Targets: To strengthen effective energy management, maximize the efficient utilization of resources and energy, and integrate green development throughout the entire production and operation process, the company has formulated the "Energy and Resource Conservation Control Procedure." Based on the current development of energy-saving technologies, taking into account financial investment and actual energy conservation results, necessary energy-saving technology upgrades will be implemented on existing equipment and facilities.</v>
      </c>
      <c r="B7789" s="1" t="str">
        <f ca="1">IFERROR(__xludf.DUMMYFUNCTION("GOOGLETRANSLATE(A7789, ""zh"", ""en"")"),"Energy and resource consumption")</f>
        <v>Energy and resource consumption</v>
      </c>
      <c r="C7789" s="1" t="str">
        <f ca="1">IFERROR(__xludf.DUMMYFUNCTION("GOOGLETRANSLATE(E7789, ""zh"", ""en"")"),"Quantitative Text")</f>
        <v>Quantitative Text</v>
      </c>
    </row>
    <row r="7790" spans="1:3" ht="13" x14ac:dyDescent="0.15">
      <c r="A7790" s="1" t="str">
        <f ca="1">IFERROR(__xludf.DUMMYFUNCTION("GOOGLETRANSLATE(A7790, ""zh"", ""en"")"),"In terms of energy conservation and consumption reduction, the company has continuously introduced internationally advanced papermaking equipment, realizing the upgrading of the papermaking industry. A number of excellent energy-saving technologies and eq"&amp;"uipment such as magnetic levitation fans and turbine vacuum pumps have been vigorously promoted on the production line, which has enabled the company's energy consumption level to continue to decline. It is currently far better than the national and Shand"&amp;"ong provincial standard limits. The company has been awarded the title of advanced energy-saving enterprise by provincial and municipal governments many times.")</f>
        <v>In terms of energy conservation and consumption reduction, the company has continuously introduced internationally advanced papermaking equipment, realizing the upgrading of the papermaking industry. A number of excellent energy-saving technologies and equipment such as magnetic levitation fans and turbine vacuum pumps have been vigorously promoted on the production line, which has enabled the company's energy consumption level to continue to decline. It is currently far better than the national and Shandong provincial standard limits. The company has been awarded the title of advanced energy-saving enterprise by provincial and municipal governments many times.</v>
      </c>
      <c r="B7790" s="1" t="str">
        <f ca="1">IFERROR(__xludf.DUMMYFUNCTION("GOOGLETRANSLATE(A7790, ""zh"", ""en"")"),"Energy and resource consumption")</f>
        <v>Energy and resource consumption</v>
      </c>
      <c r="C7790" s="1" t="str">
        <f ca="1">IFERROR(__xludf.DUMMYFUNCTION("GOOGLETRANSLATE(E7790, ""zh"", ""en"")"),"Quantitative Text")</f>
        <v>Quantitative Text</v>
      </c>
    </row>
    <row r="7791" spans="1:3" ht="13" x14ac:dyDescent="0.15">
      <c r="A7791" s="1" t="str">
        <f ca="1">IFERROR(__xludf.DUMMYFUNCTION("GOOGLETRANSLATE(A7791, ""zh"", ""en"")"),"The company uses an intelligent system to collect and monitor energy consumption data, and has designated personnel to record, compile, analyze, and report various energy consumption statistics daily. Furthermore, the company has established an energy con"&amp;"sumption scoring system.")</f>
        <v>The company uses an intelligent system to collect and monitor energy consumption data, and has designated personnel to record, compile, analyze, and report various energy consumption statistics daily. Furthermore, the company has established an energy consumption scoring system.</v>
      </c>
      <c r="B7791" s="1" t="str">
        <f ca="1">IFERROR(__xludf.DUMMYFUNCTION("GOOGLETRANSLATE(A7791, ""zh"", ""en"")"),"Energy and resource consumption")</f>
        <v>Energy and resource consumption</v>
      </c>
      <c r="C7791" s="1" t="str">
        <f ca="1">IFERROR(__xludf.DUMMYFUNCTION("GOOGLETRANSLATE(E7791, ""zh"", ""en"")"),"Qualitative text")</f>
        <v>Qualitative text</v>
      </c>
    </row>
    <row r="7792" spans="1:3" ht="13" x14ac:dyDescent="0.15">
      <c r="A7792" s="1" t="str">
        <f ca="1">IFERROR(__xludf.DUMMYFUNCTION("GOOGLETRANSLATE(A7792, ""zh"", ""en"")"),"Adhering to the national dual carbon will, we will earnestly implement the work requirements of the ""Shanghai Industrial Green Development '14th Five-Year Plan'"" and the ""Shanghai Carbon Peak Implementation Plan"", guided by the professional level of i"&amp;"mproving the value of carriers and aiming to build a high-quality park, and strive to promote the greening of park buildings, the cleaning of energy structure, the efficient utilization of energy, the circular utilization of resources, the intelligent man"&amp;"agement of the park, and the green investment and financing.")</f>
        <v>Adhering to the national dual carbon will, we will earnestly implement the work requirements of the "Shanghai Industrial Green Development '14th Five-Year Plan'" and the "Shanghai Carbon Peak Implementation Plan", guided by the professional level of improving the value of carriers and aiming to build a high-quality park, and strive to promote the greening of park buildings, the cleaning of energy structure, the efficient utilization of energy, the circular utilization of resources, the intelligent management of the park, and the green investment and financing.</v>
      </c>
      <c r="B7792" s="1" t="str">
        <f ca="1">IFERROR(__xludf.DUMMYFUNCTION("GOOGLETRANSLATE(A7792, ""zh"", ""en"")"),"Energy and resource consumption")</f>
        <v>Energy and resource consumption</v>
      </c>
      <c r="C7792" s="1" t="str">
        <f ca="1">IFERROR(__xludf.DUMMYFUNCTION("GOOGLETRANSLATE(E7792, ""zh"", ""en"")"),"Qualitative text")</f>
        <v>Qualitative text</v>
      </c>
    </row>
    <row r="7793" spans="1:3" ht="13" x14ac:dyDescent="0.15">
      <c r="A7793" s="1" t="str">
        <f ca="1">IFERROR(__xludf.DUMMYFUNCTION("GOOGLETRANSLATE(A7793, ""zh"", ""en"")"),"The company has established the ""Energy Management and Energy Consumption Control Management Procedures"", an enterprise standard for energy consumption, and has established an infrastructure equipment ledger and energy database for each park.")</f>
        <v>The company has established the "Energy Management and Energy Consumption Control Management Procedures", an enterprise standard for energy consumption, and has established an infrastructure equipment ledger and energy database for each park.</v>
      </c>
      <c r="B7793" s="1" t="str">
        <f ca="1">IFERROR(__xludf.DUMMYFUNCTION("GOOGLETRANSLATE(A7793, ""zh"", ""en"")"),"Energy and resource consumption")</f>
        <v>Energy and resource consumption</v>
      </c>
      <c r="C7793" s="1" t="str">
        <f ca="1">IFERROR(__xludf.DUMMYFUNCTION("GOOGLETRANSLATE(E7793, ""zh"", ""en"")"),"Qualitative text")</f>
        <v>Qualitative text</v>
      </c>
    </row>
    <row r="7794" spans="1:3" ht="13" x14ac:dyDescent="0.15">
      <c r="A7794" s="1" t="str">
        <f ca="1">IFERROR(__xludf.DUMMYFUNCTION("GOOGLETRANSLATE(A7794, ""zh"", ""en"")"),"The office sets up a paper recycling bin at the front desk of the company, and sorts the reusable paper by size to increase the secondary utilization rate of paper.")</f>
        <v>The office sets up a paper recycling bin at the front desk of the company, and sorts the reusable paper by size to increase the secondary utilization rate of paper.</v>
      </c>
      <c r="B7794" s="1" t="str">
        <f ca="1">IFERROR(__xludf.DUMMYFUNCTION("GOOGLETRANSLATE(A7794, ""zh"", ""en"")"),"Energy and resource consumption")</f>
        <v>Energy and resource consumption</v>
      </c>
      <c r="C7794" s="1" t="str">
        <f ca="1">IFERROR(__xludf.DUMMYFUNCTION("GOOGLETRANSLATE(E7794, ""zh"", ""en"")"),"Qualitative text")</f>
        <v>Qualitative text</v>
      </c>
    </row>
    <row r="7795" spans="1:3" ht="13" x14ac:dyDescent="0.15">
      <c r="A7795" s="1" t="str">
        <f ca="1">IFERROR(__xludf.DUMMYFUNCTION("GOOGLETRANSLATE(A7795, ""zh"", ""en"")"),"Double-sided copy paper for copying and printing. If the single-sided copy paper is not suitable for reuse, the blank space can be cut into note paper or draft paper.")</f>
        <v>Double-sided copy paper for copying and printing. If the single-sided copy paper is not suitable for reuse, the blank space can be cut into note paper or draft paper.</v>
      </c>
      <c r="B7795" s="1" t="str">
        <f ca="1">IFERROR(__xludf.DUMMYFUNCTION("GOOGLETRANSLATE(A7795, ""zh"", ""en"")"),"Energy and resource consumption")</f>
        <v>Energy and resource consumption</v>
      </c>
      <c r="C7795" s="1" t="str">
        <f ca="1">IFERROR(__xludf.DUMMYFUNCTION("GOOGLETRANSLATE(E7795, ""zh"", ""en"")"),"Qualitative text")</f>
        <v>Qualitative text</v>
      </c>
    </row>
    <row r="7796" spans="1:3" ht="13" x14ac:dyDescent="0.15">
      <c r="A7796" s="1" t="str">
        <f ca="1">IFERROR(__xludf.DUMMYFUNCTION("GOOGLETRANSLATE(A7796, ""zh"", ""en"")"),"All offices, meeting rooms, and dormitories should make full use of natural light, turn off lights when people are away, eliminate daylight and long-lasting lights, and minimize unnecessary lighting in public areas.")</f>
        <v>All offices, meeting rooms, and dormitories should make full use of natural light, turn off lights when people are away, eliminate daylight and long-lasting lights, and minimize unnecessary lighting in public areas.</v>
      </c>
      <c r="B7796" s="1" t="str">
        <f ca="1">IFERROR(__xludf.DUMMYFUNCTION("GOOGLETRANSLATE(A7796, ""zh"", ""en"")"),"Energy and resource consumption")</f>
        <v>Energy and resource consumption</v>
      </c>
      <c r="C7796" s="1" t="str">
        <f ca="1">IFERROR(__xludf.DUMMYFUNCTION("GOOGLETRANSLATE(E7796, ""zh"", ""en"")"),"Qualitative text")</f>
        <v>Qualitative text</v>
      </c>
    </row>
    <row r="7797" spans="1:3" ht="13" x14ac:dyDescent="0.15">
      <c r="A7797" s="1" t="str">
        <f ca="1">IFERROR(__xludf.DUMMYFUNCTION("GOOGLETRANSLATE(A7797, ""zh"", ""en"")"),"All departments should use energy-saving lamps as much as possible, and should ""turn off the lights when no one is around to save electricity""")</f>
        <v>All departments should use energy-saving lamps as much as possible, and should "turn off the lights when no one is around to save electricity"</v>
      </c>
      <c r="B7797" s="1" t="str">
        <f ca="1">IFERROR(__xludf.DUMMYFUNCTION("GOOGLETRANSLATE(A7797, ""zh"", ""en"")"),"Energy and resource consumption")</f>
        <v>Energy and resource consumption</v>
      </c>
      <c r="C7797" s="1" t="str">
        <f ca="1">IFERROR(__xludf.DUMMYFUNCTION("GOOGLETRANSLATE(E7797, ""zh"", ""en"")"),"Qualitative text")</f>
        <v>Qualitative text</v>
      </c>
    </row>
    <row r="7798" spans="1:3" ht="13" x14ac:dyDescent="0.15">
      <c r="A7798" s="1" t="str">
        <f ca="1">IFERROR(__xludf.DUMMYFUNCTION("GOOGLETRANSLATE(A7798, ""zh"", ""en"")"),"The company has also increased its layout in the field of energy conservation. The company has invested in and established a contract energy management platform with its long-term partner Johnson Controls - Guolian Johnson Controls Green Technology (Wuxi)"&amp;" Co., Ltd.")</f>
        <v>The company has also increased its layout in the field of energy conservation. The company has invested in and established a contract energy management platform with its long-term partner Johnson Controls - Guolian Johnson Controls Green Technology (Wuxi) Co., Ltd.</v>
      </c>
      <c r="B7798" s="1" t="str">
        <f ca="1">IFERROR(__xludf.DUMMYFUNCTION("GOOGLETRANSLATE(A7798, ""zh"", ""en"")"),"Energy and resource consumption")</f>
        <v>Energy and resource consumption</v>
      </c>
      <c r="C7798" s="1" t="str">
        <f ca="1">IFERROR(__xludf.DUMMYFUNCTION("GOOGLETRANSLATE(E7798, ""zh"", ""en"")"),"Qualitative text")</f>
        <v>Qualitative text</v>
      </c>
    </row>
    <row r="7799" spans="1:3" ht="13" x14ac:dyDescent="0.15">
      <c r="A7799" s="1" t="str">
        <f ca="1">IFERROR(__xludf.DUMMYFUNCTION("GOOGLETRANSLATE(A7799, ""zh"", ""en"")"),"Strengthen fine management, optimize vehicle use, avoid overlapping routes, and save unnecessary fuel consumption")</f>
        <v>Strengthen fine management, optimize vehicle use, avoid overlapping routes, and save unnecessary fuel consumption</v>
      </c>
      <c r="B7799" s="1" t="str">
        <f ca="1">IFERROR(__xludf.DUMMYFUNCTION("GOOGLETRANSLATE(A7799, ""zh"", ""en"")"),"Energy and resource consumption")</f>
        <v>Energy and resource consumption</v>
      </c>
      <c r="C7799" s="1" t="str">
        <f ca="1">IFERROR(__xludf.DUMMYFUNCTION("GOOGLETRANSLATE(E7799, ""zh"", ""en"")"),"Qualitative text")</f>
        <v>Qualitative text</v>
      </c>
    </row>
    <row r="7800" spans="1:3" ht="13" x14ac:dyDescent="0.15">
      <c r="A7800" s="1" t="str">
        <f ca="1">IFERROR(__xludf.DUMMYFUNCTION("GOOGLETRANSLATE(A7800, ""zh"", ""en"")"),"Strengthen lighting and power conservation management: All places within the company's mining area and other places use energy-saving lamps to reduce the power consumption of lighting equipment;")</f>
        <v>Strengthen lighting and power conservation management: All places within the company's mining area and other places use energy-saving lamps to reduce the power consumption of lighting equipment;</v>
      </c>
      <c r="B7800" s="1" t="str">
        <f ca="1">IFERROR(__xludf.DUMMYFUNCTION("GOOGLETRANSLATE(A7800, ""zh"", ""en"")"),"Energy and resource consumption")</f>
        <v>Energy and resource consumption</v>
      </c>
      <c r="C7800" s="1" t="str">
        <f ca="1">IFERROR(__xludf.DUMMYFUNCTION("GOOGLETRANSLATE(E7800, ""zh"", ""en"")"),"Quantitative Text")</f>
        <v>Quantitative Text</v>
      </c>
    </row>
    <row r="7801" spans="1:3" ht="13" x14ac:dyDescent="0.15">
      <c r="A7801" s="1" t="str">
        <f ca="1">IFERROR(__xludf.DUMMYFUNCTION("GOOGLETRANSLATE(A7801, ""zh"", ""en"")"),"Set the air conditioner to an energy-saving temperature of 25 degrees in summer and 20 degrees in winter")</f>
        <v>Set the air conditioner to an energy-saving temperature of 25 degrees in summer and 20 degrees in winter</v>
      </c>
      <c r="B7801" s="1" t="str">
        <f ca="1">IFERROR(__xludf.DUMMYFUNCTION("GOOGLETRANSLATE(A7801, ""zh"", ""en"")"),"Energy and resource consumption")</f>
        <v>Energy and resource consumption</v>
      </c>
      <c r="C7801" s="1" t="str">
        <f ca="1">IFERROR(__xludf.DUMMYFUNCTION("GOOGLETRANSLATE(E7801, ""zh"", ""en"")"),"Quantitative Text")</f>
        <v>Quantitative Text</v>
      </c>
    </row>
    <row r="7802" spans="1:3" ht="13" x14ac:dyDescent="0.15">
      <c r="A7802" s="1" t="str">
        <f ca="1">IFERROR(__xludf.DUMMYFUNCTION("GOOGLETRANSLATE(A7802, ""zh"", ""en"")"),"The annual steam generation capacity is approximately 18,000 tons/year, saving 1,530 tons of standard coal annually, which is equivalent to reducing carbon dioxide emissions by 4,242 tons.")</f>
        <v>The annual steam generation capacity is approximately 18,000 tons/year, saving 1,530 tons of standard coal annually, which is equivalent to reducing carbon dioxide emissions by 4,242 tons.</v>
      </c>
      <c r="B7802" s="1" t="str">
        <f ca="1">IFERROR(__xludf.DUMMYFUNCTION("GOOGLETRANSLATE(A7802, ""zh"", ""en"")"),"Energy and resource consumption")</f>
        <v>Energy and resource consumption</v>
      </c>
      <c r="C7802" s="1" t="str">
        <f ca="1">IFERROR(__xludf.DUMMYFUNCTION("GOOGLETRANSLATE(E7802, ""zh"", ""en"")"),"Quantitative Text")</f>
        <v>Quantitative Text</v>
      </c>
    </row>
    <row r="7803" spans="1:3" ht="13" x14ac:dyDescent="0.15">
      <c r="A7803" s="1" t="str">
        <f ca="1">IFERROR(__xludf.DUMMYFUNCTION("GOOGLETRANSLATE(A7803, ""zh"", ""en"")"),"Production electrical equipment should be operated as little as possible without idling, and the main power supply should be cut off immediately after work is completed.")</f>
        <v>Production electrical equipment should be operated as little as possible without idling, and the main power supply should be cut off immediately after work is completed.</v>
      </c>
      <c r="B7803" s="1" t="str">
        <f ca="1">IFERROR(__xludf.DUMMYFUNCTION("GOOGLETRANSLATE(A7803, ""zh"", ""en"")"),"Energy and resource consumption")</f>
        <v>Energy and resource consumption</v>
      </c>
      <c r="C7803" s="1" t="str">
        <f ca="1">IFERROR(__xludf.DUMMYFUNCTION("GOOGLETRANSLATE(E7803, ""zh"", ""en"")"),"Qualitative text")</f>
        <v>Qualitative text</v>
      </c>
    </row>
    <row r="7804" spans="1:3" ht="13" x14ac:dyDescent="0.15">
      <c r="A7804" s="1" t="str">
        <f ca="1">IFERROR(__xludf.DUMMYFUNCTION("GOOGLETRANSLATE(A7804, ""zh"", ""en"")"),"Promote electronic office work and use email and the Internet instead of paper documents as much as possible")</f>
        <v>Promote electronic office work and use email and the Internet instead of paper documents as much as possible</v>
      </c>
      <c r="B7804" s="1" t="str">
        <f ca="1">IFERROR(__xludf.DUMMYFUNCTION("GOOGLETRANSLATE(A7804, ""zh"", ""en"")"),"Energy and resource consumption")</f>
        <v>Energy and resource consumption</v>
      </c>
      <c r="C7804" s="1" t="str">
        <f ca="1">IFERROR(__xludf.DUMMYFUNCTION("GOOGLETRANSLATE(E7804, ""zh"", ""en"")"),"Qualitative text")</f>
        <v>Qualitative text</v>
      </c>
    </row>
    <row r="7805" spans="1:3" ht="13" x14ac:dyDescent="0.15">
      <c r="A7805" s="1" t="str">
        <f ca="1">IFERROR(__xludf.DUMMYFUNCTION("GOOGLETRANSLATE(A7805, ""zh"", ""en"")"),"In order to better recover waste heat, make full use of waste heat to produce steam, reduce the use of coal-fired boilers, thereby reducing coal consumption and achieving energy conservation and consumption reduction, an investment of more than 9 million "&amp;"yuan was made to build two waste heat boilers at the rear section of the two rotary kilns in the first workshop of the Resource Recycling Plant.")</f>
        <v>In order to better recover waste heat, make full use of waste heat to produce steam, reduce the use of coal-fired boilers, thereby reducing coal consumption and achieving energy conservation and consumption reduction, an investment of more than 9 million yuan was made to build two waste heat boilers at the rear section of the two rotary kilns in the first workshop of the Resource Recycling Plant.</v>
      </c>
      <c r="B7805" s="1" t="str">
        <f ca="1">IFERROR(__xludf.DUMMYFUNCTION("GOOGLETRANSLATE(A7805, ""zh"", ""en"")"),"Energy and resource consumption")</f>
        <v>Energy and resource consumption</v>
      </c>
      <c r="C7805" s="1" t="str">
        <f ca="1">IFERROR(__xludf.DUMMYFUNCTION("GOOGLETRANSLATE(E7805, ""zh"", ""en"")"),"Quantitative Text")</f>
        <v>Quantitative Text</v>
      </c>
    </row>
    <row r="7806" spans="1:3" ht="13" x14ac:dyDescent="0.15">
      <c r="A7806" s="1" t="str">
        <f ca="1">IFERROR(__xludf.DUMMYFUNCTION("GOOGLETRANSLATE(A7806, ""zh"", ""en"")"),"Systematically check high-energy-consuming equipment and facilities in each production area and gradually replace or eliminate them in a planned manner")</f>
        <v>Systematically check high-energy-consuming equipment and facilities in each production area and gradually replace or eliminate them in a planned manner</v>
      </c>
      <c r="B7806" s="1" t="str">
        <f ca="1">IFERROR(__xludf.DUMMYFUNCTION("GOOGLETRANSLATE(A7806, ""zh"", ""en"")"),"Energy and resource consumption")</f>
        <v>Energy and resource consumption</v>
      </c>
      <c r="C7806" s="1" t="str">
        <f ca="1">IFERROR(__xludf.DUMMYFUNCTION("GOOGLETRANSLATE(E7806, ""zh"", ""en"")"),"Qualitative text")</f>
        <v>Qualitative text</v>
      </c>
    </row>
    <row r="7807" spans="1:3" ht="13" x14ac:dyDescent="0.15">
      <c r="A7807" s="1" t="str">
        <f ca="1">IFERROR(__xludf.DUMMYFUNCTION("GOOGLETRANSLATE(A7807, ""zh"", ""en"")"),"Electrical equipment such as water dispensers should be turned off promptly when not in use;")</f>
        <v>Electrical equipment such as water dispensers should be turned off promptly when not in use;</v>
      </c>
      <c r="B7807" s="1" t="str">
        <f ca="1">IFERROR(__xludf.DUMMYFUNCTION("GOOGLETRANSLATE(A7807, ""zh"", ""en"")"),"Energy and resource consumption")</f>
        <v>Energy and resource consumption</v>
      </c>
      <c r="C7807" s="1" t="str">
        <f ca="1">IFERROR(__xludf.DUMMYFUNCTION("GOOGLETRANSLATE(E7807, ""zh"", ""en"")"),"Qualitative text")</f>
        <v>Qualitative text</v>
      </c>
    </row>
    <row r="7808" spans="1:3" ht="13" x14ac:dyDescent="0.15">
      <c r="A7808" s="1" t="str">
        <f ca="1">IFERROR(__xludf.DUMMYFUNCTION("GOOGLETRANSLATE(A7808, ""zh"", ""en"")"),"Formulate energy-saving and environmental protection behavior norms, encourage and advocate employees' energy-saving behaviors, and improve employees' energy-saving and environmental protection awareness")</f>
        <v>Formulate energy-saving and environmental protection behavior norms, encourage and advocate employees' energy-saving behaviors, and improve employees' energy-saving and environmental protection awareness</v>
      </c>
      <c r="B7808" s="1" t="str">
        <f ca="1">IFERROR(__xludf.DUMMYFUNCTION("GOOGLETRANSLATE(A7808, ""zh"", ""en"")"),"Energy and resource consumption")</f>
        <v>Energy and resource consumption</v>
      </c>
      <c r="C7808" s="1" t="str">
        <f ca="1">IFERROR(__xludf.DUMMYFUNCTION("GOOGLETRANSLATE(E7808, ""zh"", ""en"")"),"Qualitative text")</f>
        <v>Qualitative text</v>
      </c>
    </row>
    <row r="7809" spans="1:3" ht="13" x14ac:dyDescent="0.15">
      <c r="A7809" s="1" t="str">
        <f ca="1">IFERROR(__xludf.DUMMYFUNCTION("GOOGLETRANSLATE(A7809, ""zh"", ""en"")"),"Energy resource usage Main energy and resource usage and density indicators Unit 2022 2021 2020 Total electricity consumption 100 million kWh 6.87 5.87 4.88 Wind power and photovoltaic self-generation and self-consumption 100 million kWh 3.64 3.14 3.08 Ga"&amp;"soline 1,000 liters 2,958.10 2,554.30 2,154.38 Diesel 1,000 liters 1,648.69 1,651.56 2,555.19 Liquefied petroleum gas tons 160.36 107.77 21.92 Natural gas 10,000 cubic meters 77.86 84.67 48.61 RMB Operating income Comprehensive energy consumption 2 tons o"&amp;"f standard coal/10,000 yuan 0.01980.015230.0118 Water consumption in 10,000 tons 82.8576.8547.82 Per capita water consumption in tons/person 55.8157.2353.33 Water density for production and operation in tons/1,000 tons Water treatment capacity 0.700.720.6"&amp;"6 Packaging - wood tons 887.211,283.543,199.57 Density of wood packaging use in tons/unit 0.280.450.672 Energy consumption calculations for various energy and resources refer to GB/T2589-2020 ""General Rules for Comprehensive Energy Consumption Calculatio"&amp;"n""")</f>
        <v>Energy resource usage Main energy and resource usage and density indicators Unit 2022 2021 2020 Total electricity consumption 100 million kWh 6.87 5.87 4.88 Wind power and photovoltaic self-generation and self-consumption 100 million kWh 3.64 3.14 3.08 Gasoline 1,000 liters 2,958.10 2,554.30 2,154.38 Diesel 1,000 liters 1,648.69 1,651.56 2,555.19 Liquefied petroleum gas tons 160.36 107.77 21.92 Natural gas 10,000 cubic meters 77.86 84.67 48.61 RMB Operating income Comprehensive energy consumption 2 tons of standard coal/10,000 yuan 0.01980.015230.0118 Water consumption in 10,000 tons 82.8576.8547.82 Per capita water consumption in tons/person 55.8157.2353.33 Water density for production and operation in tons/1,000 tons Water treatment capacity 0.700.720.66 Packaging - wood tons 887.211,283.543,199.57 Density of wood packaging use in tons/unit 0.280.450.672 Energy consumption calculations for various energy and resources refer to GB/T2589-2020 "General Rules for Comprehensive Energy Consumption Calculation"</v>
      </c>
      <c r="B7809" s="1" t="str">
        <f ca="1">IFERROR(__xludf.DUMMYFUNCTION("GOOGLETRANSLATE(A7809, ""zh"", ""en"")"),"Energy and resource consumption")</f>
        <v>Energy and resource consumption</v>
      </c>
      <c r="C7809" s="1" t="str">
        <f ca="1">IFERROR(__xludf.DUMMYFUNCTION("GOOGLETRANSLATE(E7809, ""zh"", ""en"")"),"Quantitative Text")</f>
        <v>Quantitative Text</v>
      </c>
    </row>
    <row r="7810" spans="1:3" ht="13" x14ac:dyDescent="0.15">
      <c r="A7810" s="1" t="str">
        <f ca="1">IFERROR(__xludf.DUMMYFUNCTION("GOOGLETRANSLATE(A7810, ""zh"", ""en"")"),"By the end of 2022, eight of the company's factories have developed the Energy Management Manual and passed the ISO50001 Energy Management System Certification.")</f>
        <v>By the end of 2022, eight of the company's factories have developed the Energy Management Manual and passed the ISO50001 Energy Management System Certification.</v>
      </c>
      <c r="B7810" s="1" t="str">
        <f ca="1">IFERROR(__xludf.DUMMYFUNCTION("GOOGLETRANSLATE(A7810, ""zh"", ""en"")"),"Energy and resource consumption")</f>
        <v>Energy and resource consumption</v>
      </c>
      <c r="C7810" s="1" t="str">
        <f ca="1">IFERROR(__xludf.DUMMYFUNCTION("GOOGLETRANSLATE(E7810, ""zh"", ""en"")"),"Quantitative Text")</f>
        <v>Quantitative Text</v>
      </c>
    </row>
    <row r="7811" spans="1:3" ht="13" x14ac:dyDescent="0.15">
      <c r="A7811" s="1" t="str">
        <f ca="1">IFERROR(__xludf.DUMMYFUNCTION("GOOGLETRANSLATE(A7811, ""zh"", ""en"")"),"In terms of optimizing energy management, we promote the construction of energy management systems, formulate energy management systems, energy goals and implementation plans, regularly monitor energy performance, conduct energy reviews, strictly control "&amp;"production energy consumption, and build an energy management platform to implement online monitoring and management of energy data.")</f>
        <v>In terms of optimizing energy management, we promote the construction of energy management systems, formulate energy management systems, energy goals and implementation plans, regularly monitor energy performance, conduct energy reviews, strictly control production energy consumption, and build an energy management platform to implement online monitoring and management of energy data.</v>
      </c>
      <c r="B7811" s="1" t="str">
        <f ca="1">IFERROR(__xludf.DUMMYFUNCTION("GOOGLETRANSLATE(A7811, ""zh"", ""en"")"),"Energy and resource consumption")</f>
        <v>Energy and resource consumption</v>
      </c>
      <c r="C7811" s="1" t="str">
        <f ca="1">IFERROR(__xludf.DUMMYFUNCTION("GOOGLETRANSLATE(E7811, ""zh"", ""en"")"),"Qualitative text")</f>
        <v>Qualitative text</v>
      </c>
    </row>
    <row r="7812" spans="1:3" ht="13" x14ac:dyDescent="0.15">
      <c r="A7812" s="1" t="str">
        <f ca="1">IFERROR(__xludf.DUMMYFUNCTION("GOOGLETRANSLATE(A7812, ""zh"", ""en"")"),"In terms of energy conservation, by adopting energy-saving equipment such as air suspension fans, energy-saving technologies such as frequency conversion control, and developing agitators with direct-drive permanent magnet as the core technology, we can a"&amp;"chieve high-efficiency operation and management of the system and reduce environmental impact.")</f>
        <v>In terms of energy conservation, by adopting energy-saving equipment such as air suspension fans, energy-saving technologies such as frequency conversion control, and developing agitators with direct-drive permanent magnet as the core technology, we can achieve high-efficiency operation and management of the system and reduce environmental impact.</v>
      </c>
      <c r="B7812" s="1" t="str">
        <f ca="1">IFERROR(__xludf.DUMMYFUNCTION("GOOGLETRANSLATE(A7812, ""zh"", ""en"")"),"Energy and resource consumption")</f>
        <v>Energy and resource consumption</v>
      </c>
      <c r="C7812" s="1" t="str">
        <f ca="1">IFERROR(__xludf.DUMMYFUNCTION("GOOGLETRANSLATE(E7812, ""zh"", ""en"")"),"Qualitative text")</f>
        <v>Qualitative text</v>
      </c>
    </row>
    <row r="7813" spans="1:3" ht="13" x14ac:dyDescent="0.15">
      <c r="A7813" s="1" t="str">
        <f ca="1">IFERROR(__xludf.DUMMYFUNCTION("GOOGLETRANSLATE(A7813, ""zh"", ""en"")"),"In 2021, the Bank invested RMB 4.493 billion in green loans to the green upgrade industry of infrastructure, RMB 2.56 billion in green loans to the ecological environment industry, RMB 1.734 billion in green loans to the energy-saving and environmental pr"&amp;"otection industry, RMB 201 million in green loans to the clean energy industry, RMB 458 million in green loans to the clean production industry, and RMB 55 million in green loans to the green service industry.")</f>
        <v>In 2021, the Bank invested RMB 4.493 billion in green loans to the green upgrade industry of infrastructure, RMB 2.56 billion in green loans to the ecological environment industry, RMB 1.734 billion in green loans to the energy-saving and environmental protection industry, RMB 201 million in green loans to the clean energy industry, RMB 458 million in green loans to the clean production industry, and RMB 55 million in green loans to the green service industry.</v>
      </c>
      <c r="B7813" s="1" t="str">
        <f ca="1">IFERROR(__xludf.DUMMYFUNCTION("GOOGLETRANSLATE(A7813, ""zh"", ""en"")"),"Green Finance")</f>
        <v>Green Finance</v>
      </c>
      <c r="C7813" s="1" t="str">
        <f ca="1">IFERROR(__xludf.DUMMYFUNCTION("GOOGLETRANSLATE(E7813, ""zh"", ""en"")"),"Quantitative Text")</f>
        <v>Quantitative Text</v>
      </c>
    </row>
    <row r="7814" spans="1:3" ht="13" x14ac:dyDescent="0.15">
      <c r="A7814" s="1" t="str">
        <f ca="1">IFERROR(__xludf.DUMMYFUNCTION("GOOGLETRANSLATE(A7814, ""zh"", ""en"")"),"In accordance with the requirements of the People's Bank of China's ""Notice on Revising the Special Statistical System for Green Loans"", relevant departments within the bank have been organized to transform the relevant functions of the green loan credi"&amp;"t system, and the relevant functions of the credit system have been put online.")</f>
        <v>In accordance with the requirements of the People's Bank of China's "Notice on Revising the Special Statistical System for Green Loans", relevant departments within the bank have been organized to transform the relevant functions of the green loan credit system, and the relevant functions of the credit system have been put online.</v>
      </c>
      <c r="B7814" s="1" t="str">
        <f ca="1">IFERROR(__xludf.DUMMYFUNCTION("GOOGLETRANSLATE(A7814, ""zh"", ""en"")"),"Green Finance")</f>
        <v>Green Finance</v>
      </c>
      <c r="C7814" s="1" t="str">
        <f ca="1">IFERROR(__xludf.DUMMYFUNCTION("GOOGLETRANSLATE(E7814, ""zh"", ""en"")"),"Qualitative text")</f>
        <v>Qualitative text</v>
      </c>
    </row>
    <row r="7815" spans="1:3" ht="13" x14ac:dyDescent="0.15">
      <c r="A7815" s="1" t="str">
        <f ca="1">IFERROR(__xludf.DUMMYFUNCTION("GOOGLETRANSLATE(A7815, ""zh"", ""en"")"),"During the reporting period, Minmetals Securities completed the underwriting and issuance of three green bonds, including the ""Yueyang Urban Construction Investment Group Co., Ltd. 2022 Private Placement of Green Corporate Bonds to Professional Investors"&amp;""", with a total underwriting scale of 1.92 billion yuan, making positive contributions to improving the regional human settlement and ecological environment and promoting the development of a harmonious society.")</f>
        <v>During the reporting period, Minmetals Securities completed the underwriting and issuance of three green bonds, including the "Yueyang Urban Construction Investment Group Co., Ltd. 2022 Private Placement of Green Corporate Bonds to Professional Investors", with a total underwriting scale of 1.92 billion yuan, making positive contributions to improving the regional human settlement and ecological environment and promoting the development of a harmonious society.</v>
      </c>
      <c r="B7815" s="1" t="str">
        <f ca="1">IFERROR(__xludf.DUMMYFUNCTION("GOOGLETRANSLATE(A7815, ""zh"", ""en"")"),"Green Finance")</f>
        <v>Green Finance</v>
      </c>
      <c r="C7815" s="1" t="str">
        <f ca="1">IFERROR(__xludf.DUMMYFUNCTION("GOOGLETRANSLATE(E7815, ""zh"", ""en"")"),"Quantitative Text")</f>
        <v>Quantitative Text</v>
      </c>
    </row>
    <row r="7816" spans="1:3" ht="13" x14ac:dyDescent="0.15">
      <c r="A7816" s="1" t="str">
        <f ca="1">IFERROR(__xludf.DUMMYFUNCTION("GOOGLETRANSLATE(A7816, ""zh"", ""en"")"),"This year, as a member of the Asian Financial Alliance, the Company participated in the establishment of the Asian Financial Cooperation Alliance Green Finance Committee.")</f>
        <v>This year, as a member of the Asian Financial Alliance, the Company participated in the establishment of the Asian Financial Cooperation Alliance Green Finance Committee.</v>
      </c>
      <c r="B7816" s="1" t="str">
        <f ca="1">IFERROR(__xludf.DUMMYFUNCTION("GOOGLETRANSLATE(A7816, ""zh"", ""en"")"),"Green Finance")</f>
        <v>Green Finance</v>
      </c>
      <c r="C7816" s="1" t="str">
        <f ca="1">IFERROR(__xludf.DUMMYFUNCTION("GOOGLETRANSLATE(E7816, ""zh"", ""en"")"),"Qualitative text")</f>
        <v>Qualitative text</v>
      </c>
    </row>
    <row r="7817" spans="1:3" ht="13" x14ac:dyDescent="0.15">
      <c r="A7817" s="1" t="str">
        <f ca="1">IFERROR(__xludf.DUMMYFUNCTION("GOOGLETRANSLATE(A7817, ""zh"", ""en"")"),"In recent years, the Bank has accelerated the innovation of green credit products and has gradually formed a multi-level and multi-category green loan product system with ""Greening Loan"", an industrial chain financing solution specifically serving the l"&amp;"andscaping industry, ""Green Energy Saving Loan"" specifically used to support energy-saving industry corporate customers, ""Environmental Protection Loan"" to support local enterprises in pollution prevention and control, ecological protection and restor"&amp;"ation, and environmental protection infrastructure construction, and ""Carbon Emission Rights"" pledge loans serving the dual carbon goals as the core products.")</f>
        <v>In recent years, the Bank has accelerated the innovation of green credit products and has gradually formed a multi-level and multi-category green loan product system with "Greening Loan", an industrial chain financing solution specifically serving the landscaping industry, "Green Energy Saving Loan" specifically used to support energy-saving industry corporate customers, "Environmental Protection Loan" to support local enterprises in pollution prevention and control, ecological protection and restoration, and environmental protection infrastructure construction, and "Carbon Emission Rights" pledge loans serving the dual carbon goals as the core products.</v>
      </c>
      <c r="B7817" s="1" t="str">
        <f ca="1">IFERROR(__xludf.DUMMYFUNCTION("GOOGLETRANSLATE(A7817, ""zh"", ""en"")"),"Green Finance")</f>
        <v>Green Finance</v>
      </c>
      <c r="C7817" s="1" t="str">
        <f ca="1">IFERROR(__xludf.DUMMYFUNCTION("GOOGLETRANSLATE(E7817, ""zh"", ""en"")"),"Qualitative text")</f>
        <v>Qualitative text</v>
      </c>
    </row>
    <row r="7818" spans="1:3" ht="13" x14ac:dyDescent="0.15">
      <c r="A7818" s="1" t="str">
        <f ca="1">IFERROR(__xludf.DUMMYFUNCTION("GOOGLETRANSLATE(A7818, ""zh"", ""en"")"),"The Green Finance Innovation Center and the Yixing Green Finance Specialty Branch were established to further deepen green finance innovation through practical actions. As of the end of the year, the bank's green credit balance was 2.888 billion yuan, an "&amp;"increase of 595 million yuan from the beginning of the year, an increase of 25.92%.")</f>
        <v>The Green Finance Innovation Center and the Yixing Green Finance Specialty Branch were established to further deepen green finance innovation through practical actions. As of the end of the year, the bank's green credit balance was 2.888 billion yuan, an increase of 595 million yuan from the beginning of the year, an increase of 25.92%.</v>
      </c>
      <c r="B7818" s="1" t="str">
        <f ca="1">IFERROR(__xludf.DUMMYFUNCTION("GOOGLETRANSLATE(A7818, ""zh"", ""en"")"),"Green Finance")</f>
        <v>Green Finance</v>
      </c>
      <c r="C7818" s="1" t="str">
        <f ca="1">IFERROR(__xludf.DUMMYFUNCTION("GOOGLETRANSLATE(E7818, ""zh"", ""en"")"),"Quantitative Text")</f>
        <v>Quantitative Text</v>
      </c>
    </row>
    <row r="7819" spans="1:3" ht="13" x14ac:dyDescent="0.15">
      <c r="A7819" s="1" t="str">
        <f ca="1">IFERROR(__xludf.DUMMYFUNCTION("GOOGLETRANSLATE(A7819, ""zh"", ""en"")"),"We will promote the development of green finance from a macro-strategic perspective, clearly put forward the requirement to accelerate the layout of green finance at the policy level, and formulate qualitative and quantitative goals for the annual develop"&amp;"ment of green credit.")</f>
        <v>We will promote the development of green finance from a macro-strategic perspective, clearly put forward the requirement to accelerate the layout of green finance at the policy level, and formulate qualitative and quantitative goals for the annual development of green credit.</v>
      </c>
      <c r="B7819" s="1" t="str">
        <f ca="1">IFERROR(__xludf.DUMMYFUNCTION("GOOGLETRANSLATE(A7819, ""zh"", ""en"")"),"Green Finance")</f>
        <v>Green Finance</v>
      </c>
      <c r="C7819" s="1" t="str">
        <f ca="1">IFERROR(__xludf.DUMMYFUNCTION("GOOGLETRANSLATE(E7819, ""zh"", ""en"")"),"Qualitative text")</f>
        <v>Qualitative text</v>
      </c>
    </row>
    <row r="7820" spans="1:3" ht="13" x14ac:dyDescent="0.15">
      <c r="A7820" s="1" t="str">
        <f ca="1">IFERROR(__xludf.DUMMYFUNCTION("GOOGLETRANSLATE(A7820, ""zh"", ""en"")"),"Issued green medium-term notes 21 Shanghai Environment MTN001 (Green) with an issue amount of RMB 300 million and a term of 3 years")</f>
        <v>Issued green medium-term notes 21 Shanghai Environment MTN001 (Green) with an issue amount of RMB 300 million and a term of 3 years</v>
      </c>
      <c r="B7820" s="1" t="str">
        <f ca="1">IFERROR(__xludf.DUMMYFUNCTION("GOOGLETRANSLATE(A7820, ""zh"", ""en"")"),"Green Finance")</f>
        <v>Green Finance</v>
      </c>
      <c r="C7820" s="1" t="str">
        <f ca="1">IFERROR(__xludf.DUMMYFUNCTION("GOOGLETRANSLATE(E7820, ""zh"", ""en"")"),"Quantitative Text")</f>
        <v>Quantitative Text</v>
      </c>
    </row>
    <row r="7821" spans="1:3" ht="13" x14ac:dyDescent="0.15">
      <c r="A7821" s="1" t="str">
        <f ca="1">IFERROR(__xludf.DUMMYFUNCTION("GOOGLETRANSLATE(A7821, ""zh"", ""en"")"),"CRRC Finance Company has released the ""Green Credit Financial Service Plan"", and launched a series of measures, including establishing a green financial service team, innovating ""green loan"" special products, opening up green approval channels, and im"&amp;"proving loan efficiency through corporate account overdrafts and revolving credit loans. It supports member companies in the production and manufacturing of green and low-carbon products, green and low-carbon technology innovation, and the construction of"&amp;" green and low-carbon industrial base projects, and provides a certain degree of discount on loan interest rate pricing.")</f>
        <v>CRRC Finance Company has released the "Green Credit Financial Service Plan", and launched a series of measures, including establishing a green financial service team, innovating "green loan" special products, opening up green approval channels, and improving loan efficiency through corporate account overdrafts and revolving credit loans. It supports member companies in the production and manufacturing of green and low-carbon products, green and low-carbon technology innovation, and the construction of green and low-carbon industrial base projects, and provides a certain degree of discount on loan interest rate pricing.</v>
      </c>
      <c r="B7821" s="1" t="str">
        <f ca="1">IFERROR(__xludf.DUMMYFUNCTION("GOOGLETRANSLATE(A7821, ""zh"", ""en"")"),"Green Finance")</f>
        <v>Green Finance</v>
      </c>
      <c r="C7821" s="1" t="str">
        <f ca="1">IFERROR(__xludf.DUMMYFUNCTION("GOOGLETRANSLATE(E7821, ""zh"", ""en"")"),"Qualitative text")</f>
        <v>Qualitative text</v>
      </c>
    </row>
    <row r="7822" spans="1:3" ht="13" x14ac:dyDescent="0.15">
      <c r="A7822" s="1" t="str">
        <f ca="1">IFERROR(__xludf.DUMMYFUNCTION("GOOGLETRANSLATE(A7822, ""zh"", ""en"")"),"Taking green finance as an opportunity, the company actively explores and promotes innovative carbon finance products. While reducing financing costs, it effectively promotes the company's green development through market mechanisms and explores a new pat"&amp;"h that can be replicated and promoted.")</f>
        <v>Taking green finance as an opportunity, the company actively explores and promotes innovative carbon finance products. While reducing financing costs, it effectively promotes the company's green development through market mechanisms and explores a new path that can be replicated and promoted.</v>
      </c>
      <c r="B7822" s="1" t="str">
        <f ca="1">IFERROR(__xludf.DUMMYFUNCTION("GOOGLETRANSLATE(A7822, ""zh"", ""en"")"),"Green Finance")</f>
        <v>Green Finance</v>
      </c>
      <c r="C7822" s="1" t="str">
        <f ca="1">IFERROR(__xludf.DUMMYFUNCTION("GOOGLETRANSLATE(E7822, ""zh"", ""en"")"),"Qualitative text")</f>
        <v>Qualitative text</v>
      </c>
    </row>
    <row r="7823" spans="1:3" ht="13" x14ac:dyDescent="0.15">
      <c r="A7823" s="1" t="str">
        <f ca="1">IFERROR(__xludf.DUMMYFUNCTION("GOOGLETRANSLATE(A7823, ""zh"", ""en"")"),"Actively carry out green trust business and implement 7 trusts within the year.")</f>
        <v>Actively carry out green trust business and implement 7 trusts within the year.</v>
      </c>
      <c r="B7823" s="1" t="str">
        <f ca="1">IFERROR(__xludf.DUMMYFUNCTION("GOOGLETRANSLATE(A7823, ""zh"", ""en"")"),"Green Finance")</f>
        <v>Green Finance</v>
      </c>
      <c r="C7823" s="1" t="str">
        <f ca="1">IFERROR(__xludf.DUMMYFUNCTION("GOOGLETRANSLATE(E7823, ""zh"", ""en"")"),"Quantitative Text")</f>
        <v>Quantitative Text</v>
      </c>
    </row>
    <row r="7824" spans="1:3" ht="13" x14ac:dyDescent="0.15">
      <c r="A7824" s="1" t="str">
        <f ca="1">IFERROR(__xludf.DUMMYFUNCTION("GOOGLETRANSLATE(A7824, ""zh"", ""en"")"),"Reduce the economic capital cost of green credit and increase assessment requirements related to green finance.")</f>
        <v>Reduce the economic capital cost of green credit and increase assessment requirements related to green finance.</v>
      </c>
      <c r="B7824" s="1" t="str">
        <f ca="1">IFERROR(__xludf.DUMMYFUNCTION("GOOGLETRANSLATE(A7824, ""zh"", ""en"")"),"Green Finance")</f>
        <v>Green Finance</v>
      </c>
      <c r="C7824" s="1" t="str">
        <f ca="1">IFERROR(__xludf.DUMMYFUNCTION("GOOGLETRANSLATE(E7824, ""zh"", ""en"")"),"Qualitative text")</f>
        <v>Qualitative text</v>
      </c>
    </row>
    <row r="7825" spans="1:3" ht="13" x14ac:dyDescent="0.15">
      <c r="A7825" s="1" t="str">
        <f ca="1">IFERROR(__xludf.DUMMYFUNCTION("GOOGLETRANSLATE(A7825, ""zh"", ""en"")"),"In line with market customer needs, we will revise green loan products to adapt to the needs of our bank's business development.")</f>
        <v>In line with market customer needs, we will revise green loan products to adapt to the needs of our bank's business development.</v>
      </c>
      <c r="B7825" s="1" t="str">
        <f ca="1">IFERROR(__xludf.DUMMYFUNCTION("GOOGLETRANSLATE(A7825, ""zh"", ""en"")"),"Green Finance")</f>
        <v>Green Finance</v>
      </c>
      <c r="C7825" s="1" t="str">
        <f ca="1">IFERROR(__xludf.DUMMYFUNCTION("GOOGLETRANSLATE(E7825, ""zh"", ""en"")"),"Qualitative text")</f>
        <v>Qualitative text</v>
      </c>
    </row>
    <row r="7826" spans="1:3" ht="13" x14ac:dyDescent="0.15">
      <c r="A7826" s="1" t="str">
        <f ca="1">IFERROR(__xludf.DUMMYFUNCTION("GOOGLETRANSLATE(A7826, ""zh"", ""en"")"),"As of the end of 2022, CRRC Finance Company has issued more than 1.4 billion yuan in ""green loans"" to meet the needs of member companies in high-efficiency motors, green urban rail, wind power equipment, etc.")</f>
        <v>As of the end of 2022, CRRC Finance Company has issued more than 1.4 billion yuan in "green loans" to meet the needs of member companies in high-efficiency motors, green urban rail, wind power equipment, etc.</v>
      </c>
      <c r="B7826" s="1" t="str">
        <f ca="1">IFERROR(__xludf.DUMMYFUNCTION("GOOGLETRANSLATE(A7826, ""zh"", ""en"")"),"Green Finance")</f>
        <v>Green Finance</v>
      </c>
      <c r="C7826" s="1" t="str">
        <f ca="1">IFERROR(__xludf.DUMMYFUNCTION("GOOGLETRANSLATE(E7826, ""zh"", ""en"")"),"Quantitative Text")</f>
        <v>Quantitative Text</v>
      </c>
    </row>
    <row r="7827" spans="1:3" ht="13" x14ac:dyDescent="0.15">
      <c r="A7827" s="1" t="str">
        <f ca="1">IFERROR(__xludf.DUMMYFUNCTION("GOOGLETRANSLATE(A7827, ""zh"", ""en"")"),"At present, the industries invested by AVIC Trust’s Green Trust have covered the six major categories of the ""Green Industry Guidance Catalogue (2019)"", with a cumulative asset scale of more than 42.808 billion yuan.")</f>
        <v>At present, the industries invested by AVIC Trust’s Green Trust have covered the six major categories of the "Green Industry Guidance Catalogue (2019)", with a cumulative asset scale of more than 42.808 billion yuan.</v>
      </c>
      <c r="B7827" s="1" t="str">
        <f ca="1">IFERROR(__xludf.DUMMYFUNCTION("GOOGLETRANSLATE(A7827, ""zh"", ""en"")"),"Green Finance")</f>
        <v>Green Finance</v>
      </c>
      <c r="C7827" s="1" t="str">
        <f ca="1">IFERROR(__xludf.DUMMYFUNCTION("GOOGLETRANSLATE(E7827, ""zh"", ""en"")"),"Quantitative Text")</f>
        <v>Quantitative Text</v>
      </c>
    </row>
    <row r="7828" spans="1:3" ht="13" x14ac:dyDescent="0.15">
      <c r="A7828" s="1" t="str">
        <f ca="1">IFERROR(__xludf.DUMMYFUNCTION("GOOGLETRANSLATE(A7828, ""zh"", ""en"")"),"Completed the issuance of 1 billion yuan of green corporate bonds within the year")</f>
        <v>Completed the issuance of 1 billion yuan of green corporate bonds within the year</v>
      </c>
      <c r="B7828" s="1" t="str">
        <f ca="1">IFERROR(__xludf.DUMMYFUNCTION("GOOGLETRANSLATE(A7828, ""zh"", ""en"")"),"Green Finance")</f>
        <v>Green Finance</v>
      </c>
      <c r="C7828" s="1" t="str">
        <f ca="1">IFERROR(__xludf.DUMMYFUNCTION("GOOGLETRANSLATE(E7828, ""zh"", ""en"")"),"Quantitative Text")</f>
        <v>Quantitative Text</v>
      </c>
    </row>
    <row r="7829" spans="1:3" ht="13" x14ac:dyDescent="0.15">
      <c r="A7829" s="1" t="str">
        <f ca="1">IFERROR(__xludf.DUMMYFUNCTION("GOOGLETRANSLATE(A7829, ""zh"", ""en"")"),"Annual green investment completed 527.5 million yuan")</f>
        <v>Annual green investment completed 527.5 million yuan</v>
      </c>
      <c r="B7829" s="1" t="str">
        <f ca="1">IFERROR(__xludf.DUMMYFUNCTION("GOOGLETRANSLATE(A7829, ""zh"", ""en"")"),"Green Finance")</f>
        <v>Green Finance</v>
      </c>
      <c r="C7829" s="1" t="str">
        <f ca="1">IFERROR(__xludf.DUMMYFUNCTION("GOOGLETRANSLATE(E7829, ""zh"", ""en"")"),"Quantitative Text")</f>
        <v>Quantitative Text</v>
      </c>
    </row>
    <row r="7830" spans="1:3" ht="13" x14ac:dyDescent="0.15">
      <c r="A7830" s="1" t="str">
        <f ca="1">IFERROR(__xludf.DUMMYFUNCTION("GOOGLETRANSLATE(A7830, ""zh"", ""en"")"),"As the first green finance pilot project within the Lizhong Group, Shandong Lizhong New Energy Materials Co., Ltd.'s new energy lithium battery and new materials project has obtained a green project assessment report and has obtained approval from the Ind"&amp;"ustrial and Commercial Bank of China for a total green credit financing of 600 million yuan.")</f>
        <v>As the first green finance pilot project within the Lizhong Group, Shandong Lizhong New Energy Materials Co., Ltd.'s new energy lithium battery and new materials project has obtained a green project assessment report and has obtained approval from the Industrial and Commercial Bank of China for a total green credit financing of 600 million yuan.</v>
      </c>
      <c r="B7830" s="1" t="str">
        <f ca="1">IFERROR(__xludf.DUMMYFUNCTION("GOOGLETRANSLATE(A7830, ""zh"", ""en"")"),"Green Finance")</f>
        <v>Green Finance</v>
      </c>
      <c r="C7830" s="1" t="str">
        <f ca="1">IFERROR(__xludf.DUMMYFUNCTION("GOOGLETRANSLATE(E7830, ""zh"", ""en"")"),"Quantitative Text")</f>
        <v>Quantitative Text</v>
      </c>
    </row>
    <row r="7831" spans="1:3" ht="13" x14ac:dyDescent="0.15">
      <c r="A7831" s="1" t="str">
        <f ca="1">IFERROR(__xludf.DUMMYFUNCTION("GOOGLETRANSLATE(A7831, ""zh"", ""en"")"),"Shanghai Environment issued its first green ultra-short-term bond, 21 Shanghai Environment SCP010 (Green), with an issuance amount of 200 million yuan.")</f>
        <v>Shanghai Environment issued its first green ultra-short-term bond, 21 Shanghai Environment SCP010 (Green), with an issuance amount of 200 million yuan.</v>
      </c>
      <c r="B7831" s="1" t="str">
        <f ca="1">IFERROR(__xludf.DUMMYFUNCTION("GOOGLETRANSLATE(A7831, ""zh"", ""en"")"),"Green Finance")</f>
        <v>Green Finance</v>
      </c>
      <c r="C7831" s="1" t="str">
        <f ca="1">IFERROR(__xludf.DUMMYFUNCTION("GOOGLETRANSLATE(E7831, ""zh"", ""en"")"),"Quantitative Text")</f>
        <v>Quantitative Text</v>
      </c>
    </row>
    <row r="7832" spans="1:3" ht="13" x14ac:dyDescent="0.15">
      <c r="A7832" s="1" t="str">
        <f ca="1">IFERROR(__xludf.DUMMYFUNCTION("GOOGLETRANSLATE(A7832, ""zh"", ""en"")"),"The Shanghai Securities News' special report ""Zhejiang Oriental focuses on the national dual carbon goals to enhance green financial service capabilities"" leverages the advantages of its multi-license business to enhance green and low-carbon financial s"&amp;"ervice capabilities, promote green trust business, and use futures to provide financial derivative services for the green recycling of scrap copper resources. Insurance invests in green industries such as photovoltaics and wind power, funds are deployed i"&amp;"n the new energy field, and plans to establish digital economy funds and ESG funds. Financial leasing is deeply engaged in full-cycle and full-chain green financing business.")</f>
        <v>The Shanghai Securities News' special report "Zhejiang Oriental focuses on the national dual carbon goals to enhance green financial service capabilities" leverages the advantages of its multi-license business to enhance green and low-carbon financial service capabilities, promote green trust business, and use futures to provide financial derivative services for the green recycling of scrap copper resources. Insurance invests in green industries such as photovoltaics and wind power, funds are deployed in the new energy field, and plans to establish digital economy funds and ESG funds. Financial leasing is deeply engaged in full-cycle and full-chain green financing business.</v>
      </c>
      <c r="B7832" s="1" t="str">
        <f ca="1">IFERROR(__xludf.DUMMYFUNCTION("GOOGLETRANSLATE(A7832, ""zh"", ""en"")"),"Green Finance")</f>
        <v>Green Finance</v>
      </c>
      <c r="C7832" s="1" t="str">
        <f ca="1">IFERROR(__xludf.DUMMYFUNCTION("GOOGLETRANSLATE(E7832, ""zh"", ""en"")"),"Qualitative text")</f>
        <v>Qualitative text</v>
      </c>
    </row>
    <row r="7833" spans="1:3" ht="13" x14ac:dyDescent="0.15">
      <c r="A7833" s="1" t="str">
        <f ca="1">IFERROR(__xludf.DUMMYFUNCTION("GOOGLETRANSLATE(A7833, ""zh"", ""en"")"),"The balance of Zhejiang Jin Trust's existing green environmental protection financial business is 2.141 billion yuan, which is mainly invested in forest restoration and development in forest parks, resource utilization of construction waste, and comprehen"&amp;"sive environmental management of small towns.")</f>
        <v>The balance of Zhejiang Jin Trust's existing green environmental protection financial business is 2.141 billion yuan, which is mainly invested in forest restoration and development in forest parks, resource utilization of construction waste, and comprehensive environmental management of small towns.</v>
      </c>
      <c r="B7833" s="1" t="str">
        <f ca="1">IFERROR(__xludf.DUMMYFUNCTION("GOOGLETRANSLATE(A7833, ""zh"", ""en"")"),"Green Finance")</f>
        <v>Green Finance</v>
      </c>
      <c r="C7833" s="1" t="str">
        <f ca="1">IFERROR(__xludf.DUMMYFUNCTION("GOOGLETRANSLATE(E7833, ""zh"", ""en"")"),"Quantitative Text")</f>
        <v>Quantitative Text</v>
      </c>
    </row>
    <row r="7834" spans="1:3" ht="13" x14ac:dyDescent="0.15">
      <c r="A7834" s="1" t="str">
        <f ca="1">IFERROR(__xludf.DUMMYFUNCTION("GOOGLETRANSLATE(A7834, ""zh"", ""en"")"),"AVIC Trust regulates the operability of the company's green trust business. Based on the ""Green Industry Guidance Catalogue (2019)"", it formulates the ""Green Trust Business Guidelines of AVIC Trust Co., Ltd."" to constrain the access conditions for gre"&amp;"en projects. All green trust businesses will undergo ESG due diligence to avoid ""greenwashing"" of projects.")</f>
        <v>AVIC Trust regulates the operability of the company's green trust business. Based on the "Green Industry Guidance Catalogue (2019)", it formulates the "Green Trust Business Guidelines of AVIC Trust Co., Ltd." to constrain the access conditions for green projects. All green trust businesses will undergo ESG due diligence to avoid "greenwashing" of projects.</v>
      </c>
      <c r="B7834" s="1" t="str">
        <f ca="1">IFERROR(__xludf.DUMMYFUNCTION("GOOGLETRANSLATE(A7834, ""zh"", ""en"")"),"Green Finance")</f>
        <v>Green Finance</v>
      </c>
      <c r="C7834" s="1" t="str">
        <f ca="1">IFERROR(__xludf.DUMMYFUNCTION("GOOGLETRANSLATE(E7834, ""zh"", ""en"")"),"Qualitative text")</f>
        <v>Qualitative text</v>
      </c>
    </row>
    <row r="7835" spans="1:3" ht="13" x14ac:dyDescent="0.15">
      <c r="A7835" s="1" t="str">
        <f ca="1">IFERROR(__xludf.DUMMYFUNCTION("GOOGLETRANSLATE(A7835, ""zh"", ""en"")"),"Gradually enrich the company's green loan product system.")</f>
        <v>Gradually enrich the company's green loan product system.</v>
      </c>
      <c r="B7835" s="1" t="str">
        <f ca="1">IFERROR(__xludf.DUMMYFUNCTION("GOOGLETRANSLATE(A7835, ""zh"", ""en"")"),"Green Finance")</f>
        <v>Green Finance</v>
      </c>
      <c r="C7835" s="1" t="str">
        <f ca="1">IFERROR(__xludf.DUMMYFUNCTION("GOOGLETRANSLATE(E7835, ""zh"", ""en"")"),"Qualitative text")</f>
        <v>Qualitative text</v>
      </c>
    </row>
    <row r="7836" spans="1:3" ht="13" x14ac:dyDescent="0.15">
      <c r="A7836" s="1" t="str">
        <f ca="1">IFERROR(__xludf.DUMMYFUNCTION("GOOGLETRANSLATE(A7836, ""zh"", ""en"")"),"China Energy Engineering Group was approved to build the Anhui Provincial Building Energy Conservation and Green Construction Technology Engineering Research Center, and carried out research and development of ten key projects in the two directions of bui"&amp;"lding energy conservation and green construction, and formed 30 intellectual property rights such as patents, and participated in the compilation of 5 standards and other scientific research results.")</f>
        <v>China Energy Engineering Group was approved to build the Anhui Provincial Building Energy Conservation and Green Construction Technology Engineering Research Center, and carried out research and development of ten key projects in the two directions of building energy conservation and green construction, and formed 30 intellectual property rights such as patents, and participated in the compilation of 5 standards and other scientific research results.</v>
      </c>
      <c r="B7836" s="1" t="str">
        <f ca="1">IFERROR(__xludf.DUMMYFUNCTION("GOOGLETRANSLATE(A7836, ""zh"", ""en"")"),"Green Building")</f>
        <v>Green Building</v>
      </c>
      <c r="C7836" s="1" t="str">
        <f ca="1">IFERROR(__xludf.DUMMYFUNCTION("GOOGLETRANSLATE(E7836, ""zh"", ""en"")"),"Quantitative Text")</f>
        <v>Quantitative Text</v>
      </c>
    </row>
    <row r="7837" spans="1:3" ht="13" x14ac:dyDescent="0.15">
      <c r="A7837" s="1" t="str">
        <f ca="1">IFERROR(__xludf.DUMMYFUNCTION("GOOGLETRANSLATE(A7837, ""zh"", ""en"")"),"By tackling key issues in green and low-carbon building technologies, the center's research and development content and achievements will run through the entire life cycle of green buildings, striving to reach an industry-leading level.")</f>
        <v>By tackling key issues in green and low-carbon building technologies, the center's research and development content and achievements will run through the entire life cycle of green buildings, striving to reach an industry-leading level.</v>
      </c>
      <c r="B7837" s="1" t="str">
        <f ca="1">IFERROR(__xludf.DUMMYFUNCTION("GOOGLETRANSLATE(A7837, ""zh"", ""en"")"),"Green Building")</f>
        <v>Green Building</v>
      </c>
      <c r="C7837" s="1" t="str">
        <f ca="1">IFERROR(__xludf.DUMMYFUNCTION("GOOGLETRANSLATE(E7837, ""zh"", ""en"")"),"Qualitative text")</f>
        <v>Qualitative text</v>
      </c>
    </row>
    <row r="7838" spans="1:3" ht="13" x14ac:dyDescent="0.15">
      <c r="A7838" s="1" t="str">
        <f ca="1">IFERROR(__xludf.DUMMYFUNCTION("GOOGLETRANSLATE(A7838, ""zh"", ""en"")"),"Green building is the current development trend of the industry, which can minimize energy consumption and resource waste.")</f>
        <v>Green building is the current development trend of the industry, which can minimize energy consumption and resource waste.</v>
      </c>
      <c r="B7838" s="1" t="str">
        <f ca="1">IFERROR(__xludf.DUMMYFUNCTION("GOOGLETRANSLATE(A7838, ""zh"", ""en"")"),"Green Building")</f>
        <v>Green Building</v>
      </c>
      <c r="C7838" s="1" t="str">
        <f ca="1">IFERROR(__xludf.DUMMYFUNCTION("GOOGLETRANSLATE(E7838, ""zh"", ""en"")"),"Qualitative text")</f>
        <v>Qualitative text</v>
      </c>
    </row>
    <row r="7839" spans="1:3" ht="13" x14ac:dyDescent="0.15">
      <c r="A7839" s="1" t="str">
        <f ca="1">IFERROR(__xludf.DUMMYFUNCTION("GOOGLETRANSLATE(A7839, ""zh"", ""en"")"),"At the beginning of planning and construction, Hebei Sanyuan Industrial Park conscientiously implemented environmental protection requirements, selected environmentally friendly materials and products, and conducted environmental assessments on constructi"&amp;"on content, floor plan, construction scale, pollution control, etc., to create a green and environmentally friendly factory.")</f>
        <v>At the beginning of planning and construction, Hebei Sanyuan Industrial Park conscientiously implemented environmental protection requirements, selected environmentally friendly materials and products, and conducted environmental assessments on construction content, floor plan, construction scale, pollution control, etc., to create a green and environmentally friendly factory.</v>
      </c>
      <c r="B7839" s="1" t="str">
        <f ca="1">IFERROR(__xludf.DUMMYFUNCTION("GOOGLETRANSLATE(A7839, ""zh"", ""en"")"),"Green Building")</f>
        <v>Green Building</v>
      </c>
      <c r="C7839" s="1" t="str">
        <f ca="1">IFERROR(__xludf.DUMMYFUNCTION("GOOGLETRANSLATE(E7839, ""zh"", ""en"")"),"Qualitative text")</f>
        <v>Qualitative text</v>
      </c>
    </row>
    <row r="7840" spans="1:3" ht="13" x14ac:dyDescent="0.15">
      <c r="A7840" s="1" t="str">
        <f ca="1">IFERROR(__xludf.DUMMYFUNCTION("GOOGLETRANSLATE(A7840, ""zh"", ""en"")"),"Sanyuan Foods conducts feasibility analysis before planning and constructing projects, fully considers the impact of construction projects on the surrounding environment, and conducts environmental impact assessments.")</f>
        <v>Sanyuan Foods conducts feasibility analysis before planning and constructing projects, fully considers the impact of construction projects on the surrounding environment, and conducts environmental impact assessments.</v>
      </c>
      <c r="B7840" s="1" t="str">
        <f ca="1">IFERROR(__xludf.DUMMYFUNCTION("GOOGLETRANSLATE(A7840, ""zh"", ""en"")"),"Green Building")</f>
        <v>Green Building</v>
      </c>
      <c r="C7840" s="1" t="str">
        <f ca="1">IFERROR(__xludf.DUMMYFUNCTION("GOOGLETRANSLATE(E7840, ""zh"", ""en"")"),"Qualitative text")</f>
        <v>Qualitative text</v>
      </c>
    </row>
    <row r="7841" spans="1:3" ht="13" x14ac:dyDescent="0.15">
      <c r="A7841" s="1" t="str">
        <f ca="1">IFERROR(__xludf.DUMMYFUNCTION("GOOGLETRANSLATE(A7841, ""zh"", ""en"")"),"China Metallurgical Construction Corporation focuses on green building materials technology and applications, firmly grasps the ""green gate"" of building materials, and integrates steel structures, photovoltaic systems, and thermal insulation wall panels"&amp;" with buildings, effectively reducing building energy consumption and promoting deep carbon reduction and energy conservation in buildings.")</f>
        <v>China Metallurgical Construction Corporation focuses on green building materials technology and applications, firmly grasps the "green gate" of building materials, and integrates steel structures, photovoltaic systems, and thermal insulation wall panels with buildings, effectively reducing building energy consumption and promoting deep carbon reduction and energy conservation in buildings.</v>
      </c>
      <c r="B7841" s="1" t="str">
        <f ca="1">IFERROR(__xludf.DUMMYFUNCTION("GOOGLETRANSLATE(A7841, ""zh"", ""en"")"),"Green Building")</f>
        <v>Green Building</v>
      </c>
      <c r="C7841" s="1" t="str">
        <f ca="1">IFERROR(__xludf.DUMMYFUNCTION("GOOGLETRANSLATE(E7841, ""zh"", ""en"")"),"Qualitative text")</f>
        <v>Qualitative text</v>
      </c>
    </row>
    <row r="7842" spans="1:3" ht="13" x14ac:dyDescent="0.15">
      <c r="A7842" s="1" t="str">
        <f ca="1">IFERROR(__xludf.DUMMYFUNCTION("GOOGLETRANSLATE(A7842, ""zh"", ""en"")"),"Won the first ""China Green Building Materials Product Certification"" in China's ready-mixed concrete industry")</f>
        <v>Won the first "China Green Building Materials Product Certification" in China's ready-mixed concrete industry</v>
      </c>
      <c r="B7842" s="1" t="str">
        <f ca="1">IFERROR(__xludf.DUMMYFUNCTION("GOOGLETRANSLATE(A7842, ""zh"", ""en"")"),"Green Building")</f>
        <v>Green Building</v>
      </c>
      <c r="C7842" s="1" t="str">
        <f ca="1">IFERROR(__xludf.DUMMYFUNCTION("GOOGLETRANSLATE(E7842, ""zh"", ""en"")"),"Quantitative Text")</f>
        <v>Quantitative Text</v>
      </c>
    </row>
    <row r="7843" spans="1:3" ht="13" x14ac:dyDescent="0.15">
      <c r="A7843" s="1" t="str">
        <f ca="1">IFERROR(__xludf.DUMMYFUNCTION("GOOGLETRANSLATE(A7843, ""zh"", ""en"")"),"In 2022, 40 of the company's projects received green construction level evaluation from the China Construction Enterprises Association.")</f>
        <v>In 2022, 40 of the company's projects received green construction level evaluation from the China Construction Enterprises Association.</v>
      </c>
      <c r="B7843" s="1" t="str">
        <f ca="1">IFERROR(__xludf.DUMMYFUNCTION("GOOGLETRANSLATE(A7843, ""zh"", ""en"")"),"Green Building")</f>
        <v>Green Building</v>
      </c>
      <c r="C7843" s="1" t="str">
        <f ca="1">IFERROR(__xludf.DUMMYFUNCTION("GOOGLETRANSLATE(E7843, ""zh"", ""en"")"),"Quantitative Text")</f>
        <v>Quantitative Text</v>
      </c>
    </row>
    <row r="7844" spans="1:3" ht="13" x14ac:dyDescent="0.15">
      <c r="A7844" s="1" t="str">
        <f ca="1">IFERROR(__xludf.DUMMYFUNCTION("GOOGLETRANSLATE(A7844, ""zh"", ""en"")"),"China Metallurgical Construction Corporation actively practices green construction and continuously strengthens the management of various factors such as people, machines, objects and materials. Through various methods such as prefabricated construction, "&amp;"the use of energy-saving equipment, and the combination of ""permanent"" and ""temporary"" construction, it effectively achieves energy conservation and emission reduction, carbon reduction and efficiency improvement.")</f>
        <v>China Metallurgical Construction Corporation actively practices green construction and continuously strengthens the management of various factors such as people, machines, objects and materials. Through various methods such as prefabricated construction, the use of energy-saving equipment, and the combination of "permanent" and "temporary" construction, it effectively achieves energy conservation and emission reduction, carbon reduction and efficiency improvement.</v>
      </c>
      <c r="B7844" s="1" t="str">
        <f ca="1">IFERROR(__xludf.DUMMYFUNCTION("GOOGLETRANSLATE(A7844, ""zh"", ""en"")"),"Green Building")</f>
        <v>Green Building</v>
      </c>
      <c r="C7844" s="1" t="str">
        <f ca="1">IFERROR(__xludf.DUMMYFUNCTION("GOOGLETRANSLATE(E7844, ""zh"", ""en"")"),"Qualitative text")</f>
        <v>Qualitative text</v>
      </c>
    </row>
    <row r="7845" spans="1:3" ht="13" x14ac:dyDescent="0.15">
      <c r="A7845" s="1" t="str">
        <f ca="1">IFERROR(__xludf.DUMMYFUNCTION("GOOGLETRANSLATE(A7845, ""zh"", ""en"")"),"Vigorously develop energy-saving and low-carbon buildings, fully implement green and low-carbon building standards for newly built public buildings, promote the implementation of green building standards for industrial buildings, pilot the construction of"&amp;" ultra-low energy consumption and low-carbon buildings, and ensure that the photovoltaic coverage rate on the roofs of newly built buildings meets the requirements of relevant national documents.")</f>
        <v>Vigorously develop energy-saving and low-carbon buildings, fully implement green and low-carbon building standards for newly built public buildings, promote the implementation of green building standards for industrial buildings, pilot the construction of ultra-low energy consumption and low-carbon buildings, and ensure that the photovoltaic coverage rate on the roofs of newly built buildings meets the requirements of relevant national documents.</v>
      </c>
      <c r="B7845" s="1" t="str">
        <f ca="1">IFERROR(__xludf.DUMMYFUNCTION("GOOGLETRANSLATE(A7845, ""zh"", ""en"")"),"Green Building")</f>
        <v>Green Building</v>
      </c>
      <c r="C7845" s="1" t="str">
        <f ca="1">IFERROR(__xludf.DUMMYFUNCTION("GOOGLETRANSLATE(E7845, ""zh"", ""en"")"),"Qualitative text")</f>
        <v>Qualitative text</v>
      </c>
    </row>
    <row r="7846" spans="1:3" ht="13" x14ac:dyDescent="0.15">
      <c r="A7846" s="1" t="str">
        <f ca="1">IFERROR(__xludf.DUMMYFUNCTION("GOOGLETRANSLATE(A7846, ""zh"", ""en"")"),"Promote energy-saving renovation of existing buildings in enterprises and improve the energy-saving and low-carbon level of buildings.")</f>
        <v>Promote energy-saving renovation of existing buildings in enterprises and improve the energy-saving and low-carbon level of buildings.</v>
      </c>
      <c r="B7846" s="1" t="str">
        <f ca="1">IFERROR(__xludf.DUMMYFUNCTION("GOOGLETRANSLATE(A7846, ""zh"", ""en"")"),"Green Building")</f>
        <v>Green Building</v>
      </c>
      <c r="C7846" s="1" t="str">
        <f ca="1">IFERROR(__xludf.DUMMYFUNCTION("GOOGLETRANSLATE(E7846, ""zh"", ""en"")"),"Qualitative text")</f>
        <v>Qualitative text</v>
      </c>
    </row>
    <row r="7847" spans="1:3" ht="13" x14ac:dyDescent="0.15">
      <c r="A7847" s="1" t="str">
        <f ca="1">IFERROR(__xludf.DUMMYFUNCTION("GOOGLETRANSLATE(A7847, ""zh"", ""en"")"),"Carry out building energy-saving diagnosis, promote the use of new envelope structures, LED lighting, high-efficiency air-conditioning and heating technologies, etc., and improve the energy efficiency of building facilities through system energy-saving op"&amp;"timization and facility transformation.")</f>
        <v>Carry out building energy-saving diagnosis, promote the use of new envelope structures, LED lighting, high-efficiency air-conditioning and heating technologies, etc., and improve the energy efficiency of building facilities through system energy-saving optimization and facility transformation.</v>
      </c>
      <c r="B7847" s="1" t="str">
        <f ca="1">IFERROR(__xludf.DUMMYFUNCTION("GOOGLETRANSLATE(A7847, ""zh"", ""en"")"),"Green Building")</f>
        <v>Green Building</v>
      </c>
      <c r="C7847" s="1" t="str">
        <f ca="1">IFERROR(__xludf.DUMMYFUNCTION("GOOGLETRANSLATE(E7847, ""zh"", ""en"")"),"Qualitative text")</f>
        <v>Qualitative text</v>
      </c>
    </row>
    <row r="7848" spans="1:3" ht="13" x14ac:dyDescent="0.15">
      <c r="A7848" s="1" t="str">
        <f ca="1">IFERROR(__xludf.DUMMYFUNCTION("GOOGLETRANSLATE(A7848, ""zh"", ""en"")"),"New projects strictly implement the requirements of green building specifications, and incorporate healthy living concepts such as green energy saving, low carbon and environmental protection into everything from material application to fine decoration br"&amp;"and configuration, lifestyle guidance and scene construction.")</f>
        <v>New projects strictly implement the requirements of green building specifications, and incorporate healthy living concepts such as green energy saving, low carbon and environmental protection into everything from material application to fine decoration brand configuration, lifestyle guidance and scene construction.</v>
      </c>
      <c r="B7848" s="1" t="str">
        <f ca="1">IFERROR(__xludf.DUMMYFUNCTION("GOOGLETRANSLATE(A7848, ""zh"", ""en"")"),"Green Building")</f>
        <v>Green Building</v>
      </c>
      <c r="C7848" s="1" t="str">
        <f ca="1">IFERROR(__xludf.DUMMYFUNCTION("GOOGLETRANSLATE(E7848, ""zh"", ""en"")"),"Qualitative text")</f>
        <v>Qualitative text</v>
      </c>
    </row>
    <row r="7849" spans="1:3" ht="13" x14ac:dyDescent="0.15">
      <c r="A7849" s="1" t="str">
        <f ca="1">IFERROR(__xludf.DUMMYFUNCTION("GOOGLETRANSLATE(A7849, ""zh"", ""en"")"),"In terms of project construction management, the company implements various environmental protection and civilized construction requirements with high standards, strictly implements environmental protection measures such as dust control, noise monitoring,"&amp;" energy conservation and consumption reduction, and three wastes treatment, to minimize resource consumption and pollutant emissions during project construction.")</f>
        <v>In terms of project construction management, the company implements various environmental protection and civilized construction requirements with high standards, strictly implements environmental protection measures such as dust control, noise monitoring, energy conservation and consumption reduction, and three wastes treatment, to minimize resource consumption and pollutant emissions during project construction.</v>
      </c>
      <c r="B7849" s="1" t="str">
        <f ca="1">IFERROR(__xludf.DUMMYFUNCTION("GOOGLETRANSLATE(A7849, ""zh"", ""en"")"),"Green Building")</f>
        <v>Green Building</v>
      </c>
      <c r="C7849" s="1" t="str">
        <f ca="1">IFERROR(__xludf.DUMMYFUNCTION("GOOGLETRANSLATE(E7849, ""zh"", ""en"")"),"Qualitative text")</f>
        <v>Qualitative text</v>
      </c>
    </row>
    <row r="7850" spans="1:3" ht="13" x14ac:dyDescent="0.15">
      <c r="A7850" s="1" t="str">
        <f ca="1">IFERROR(__xludf.DUMMYFUNCTION("GOOGLETRANSLATE(A7850, ""zh"", ""en"")"),"Continuously improving the level of green building design, many projects such as the ""Beijing New Airport Cargo Area Cargo Comprehensive Service Building Project"" have obtained green building certification.")</f>
        <v>Continuously improving the level of green building design, many projects such as the "Beijing New Airport Cargo Area Cargo Comprehensive Service Building Project" have obtained green building certification.</v>
      </c>
      <c r="B7850" s="1" t="str">
        <f ca="1">IFERROR(__xludf.DUMMYFUNCTION("GOOGLETRANSLATE(A7850, ""zh"", ""en"")"),"Green Building")</f>
        <v>Green Building</v>
      </c>
      <c r="C7850" s="1" t="str">
        <f ca="1">IFERROR(__xludf.DUMMYFUNCTION("GOOGLETRANSLATE(E7850, ""zh"", ""en"")"),"Quantitative Text")</f>
        <v>Quantitative Text</v>
      </c>
    </row>
    <row r="7851" spans="1:3" ht="13" x14ac:dyDescent="0.15">
      <c r="A7851" s="1" t="str">
        <f ca="1">IFERROR(__xludf.DUMMYFUNCTION("GOOGLETRANSLATE(A7851, ""zh"", ""en"")"),"Undertaken 46 green building design projects")</f>
        <v>Undertaken 46 green building design projects</v>
      </c>
      <c r="B7851" s="1" t="str">
        <f ca="1">IFERROR(__xludf.DUMMYFUNCTION("GOOGLETRANSLATE(A7851, ""zh"", ""en"")"),"Green Building")</f>
        <v>Green Building</v>
      </c>
      <c r="C7851" s="1" t="str">
        <f ca="1">IFERROR(__xludf.DUMMYFUNCTION("GOOGLETRANSLATE(E7851, ""zh"", ""en"")"),"Quantitative Text")</f>
        <v>Quantitative Text</v>
      </c>
    </row>
    <row r="7852" spans="1:3" ht="13" x14ac:dyDescent="0.15">
      <c r="A7852" s="1" t="str">
        <f ca="1">IFERROR(__xludf.DUMMYFUNCTION("GOOGLETRANSLATE(A7852, ""zh"", ""en"")"),"In 2022, the ""Beijing New Airport Cargo Area Cargo Comprehensive Service Building Project"" designed by China IPPR Design, a subsidiary of the company, was completed in compliance with the three-star design standard for green buildings. With the concept "&amp;"of flexible cargo area functional planning, efficient logistics process design, intelligent cargo information management, and humanistic cargo building design, it aims to create a carrier platform to promote the construction of a ""civil aviation power"" "&amp;"in the new era and has been certified by the Beijing Municipal Commission of Planning and Natural Resources.")</f>
        <v>In 2022, the "Beijing New Airport Cargo Area Cargo Comprehensive Service Building Project" designed by China IPPR Design, a subsidiary of the company, was completed in compliance with the three-star design standard for green buildings. With the concept of flexible cargo area functional planning, efficient logistics process design, intelligent cargo information management, and humanistic cargo building design, it aims to create a carrier platform to promote the construction of a "civil aviation power" in the new era and has been certified by the Beijing Municipal Commission of Planning and Natural Resources.</v>
      </c>
      <c r="B7852" s="1" t="str">
        <f ca="1">IFERROR(__xludf.DUMMYFUNCTION("GOOGLETRANSLATE(A7852, ""zh"", ""en"")"),"Green Building")</f>
        <v>Green Building</v>
      </c>
      <c r="C7852" s="1" t="str">
        <f ca="1">IFERROR(__xludf.DUMMYFUNCTION("GOOGLETRANSLATE(E7852, ""zh"", ""en"")"),"Quantitative Text")</f>
        <v>Quantitative Text</v>
      </c>
    </row>
    <row r="7853" spans="1:3" ht="13" x14ac:dyDescent="0.15">
      <c r="A7853" s="1" t="str">
        <f ca="1">IFERROR(__xludf.DUMMYFUNCTION("GOOGLETRANSLATE(A7853, ""zh"", ""en"")"),"China IPPR, a subsidiary of the company, has established a Green Building Technology Research Center to support green design and consulting services by representing the first-class level of green buildings.")</f>
        <v>China IPPR, a subsidiary of the company, has established a Green Building Technology Research Center to support green design and consulting services by representing the first-class level of green buildings.</v>
      </c>
      <c r="B7853" s="1" t="str">
        <f ca="1">IFERROR(__xludf.DUMMYFUNCTION("GOOGLETRANSLATE(A7853, ""zh"", ""en"")"),"Green Building")</f>
        <v>Green Building</v>
      </c>
      <c r="C7853" s="1" t="str">
        <f ca="1">IFERROR(__xludf.DUMMYFUNCTION("GOOGLETRANSLATE(E7853, ""zh"", ""en"")"),"Qualitative text")</f>
        <v>Qualitative text</v>
      </c>
    </row>
    <row r="7854" spans="1:3" ht="13" x14ac:dyDescent="0.15">
      <c r="A7854" s="1" t="str">
        <f ca="1">IFERROR(__xludf.DUMMYFUNCTION("GOOGLETRANSLATE(A7854, ""zh"", ""en"")"),"From July 14th to 16th, Asia Cuanon brought its main businesses such as functional building coatings, thermal insulation decorative finished boards, new fireproof and thermal insulation materials, as well as Asia Cuanon's SOK business line products to the"&amp;" 2021 International Green Building Materials (Shanghai) Expo.")</f>
        <v>From July 14th to 16th, Asia Cuanon brought its main businesses such as functional building coatings, thermal insulation decorative finished boards, new fireproof and thermal insulation materials, as well as Asia Cuanon's SOK business line products to the 2021 International Green Building Materials (Shanghai) Expo.</v>
      </c>
      <c r="B7854" s="1" t="str">
        <f ca="1">IFERROR(__xludf.DUMMYFUNCTION("GOOGLETRANSLATE(A7854, ""zh"", ""en"")"),"Green Building")</f>
        <v>Green Building</v>
      </c>
      <c r="C7854" s="1" t="str">
        <f ca="1">IFERROR(__xludf.DUMMYFUNCTION("GOOGLETRANSLATE(E7854, ""zh"", ""en"")"),"Qualitative text")</f>
        <v>Qualitative text</v>
      </c>
    </row>
    <row r="7855" spans="1:3" ht="13" x14ac:dyDescent="0.15">
      <c r="A7855" s="1" t="str">
        <f ca="1">IFERROR(__xludf.DUMMYFUNCTION("GOOGLETRANSLATE(A7855, ""zh"", ""en"")"),"In November 2022, the ""15th Jiangsu Green Building Development Conference-5th Green Underground Space Forum"" with the theme of ""Supporting the 'Dual Carbon' Goals and Empowering Green Underground Buildings"" was successfully held in Nanjing.")</f>
        <v>In November 2022, the "15th Jiangsu Green Building Development Conference-5th Green Underground Space Forum" with the theme of "Supporting the 'Dual Carbon' Goals and Empowering Green Underground Buildings" was successfully held in Nanjing.</v>
      </c>
      <c r="B7855" s="1" t="str">
        <f ca="1">IFERROR(__xludf.DUMMYFUNCTION("GOOGLETRANSLATE(A7855, ""zh"", ""en"")"),"Green Building")</f>
        <v>Green Building</v>
      </c>
      <c r="C7855" s="1" t="str">
        <f ca="1">IFERROR(__xludf.DUMMYFUNCTION("GOOGLETRANSLATE(E7855, ""zh"", ""en"")"),"Qualitative text")</f>
        <v>Qualitative text</v>
      </c>
    </row>
    <row r="7856" spans="1:3" ht="13" x14ac:dyDescent="0.15">
      <c r="A7856" s="1" t="str">
        <f ca="1">IFERROR(__xludf.DUMMYFUNCTION("GOOGLETRANSLATE(A7856, ""zh"", ""en"")"),"The Science and Technology Cloud Corridor has successfully obtained the LEED Platinum certification issued by the U.S. Green Building Council, and a number of its cutting-edge technologies have obtained national ministerial project certification. It has b"&amp;"een highly recognized by the industry in the fields of green building design and technology application. It is currently well-known in the industry for its world-class labels of ""Science and Technology Cloud Corridor, Industry Cloud Corridor, and Craftsm"&amp;"anship Cloud Corridor.""")</f>
        <v>The Science and Technology Cloud Corridor has successfully obtained the LEED Platinum certification issued by the U.S. Green Building Council, and a number of its cutting-edge technologies have obtained national ministerial project certification. It has been highly recognized by the industry in the fields of green building design and technology application. It is currently well-known in the industry for its world-class labels of "Science and Technology Cloud Corridor, Industry Cloud Corridor, and Craftsmanship Cloud Corridor."</v>
      </c>
      <c r="B7856" s="1" t="str">
        <f ca="1">IFERROR(__xludf.DUMMYFUNCTION("GOOGLETRANSLATE(A7856, ""zh"", ""en"")"),"Green Building")</f>
        <v>Green Building</v>
      </c>
      <c r="C7856" s="1" t="str">
        <f ca="1">IFERROR(__xludf.DUMMYFUNCTION("GOOGLETRANSLATE(E7856, ""zh"", ""en"")"),"Quantitative Text")</f>
        <v>Quantitative Text</v>
      </c>
    </row>
    <row r="7857" spans="1:3" ht="13" x14ac:dyDescent="0.15">
      <c r="A7857" s="1" t="str">
        <f ca="1">IFERROR(__xludf.DUMMYFUNCTION("GOOGLETRANSLATE(A7857, ""zh"", ""en"")"),"In terms of architecture, we actively benchmark domestic and international green building design standards, and put forward strict requirements on the building layout and orientation, enclosure structure, lighting and shading, ventilation structure, energ"&amp;"y supply, etc.")</f>
        <v>In terms of architecture, we actively benchmark domestic and international green building design standards, and put forward strict requirements on the building layout and orientation, enclosure structure, lighting and shading, ventilation structure, energy supply, etc.</v>
      </c>
      <c r="B7857" s="1" t="str">
        <f ca="1">IFERROR(__xludf.DUMMYFUNCTION("GOOGLETRANSLATE(A7857, ""zh"", ""en"")"),"Green Building")</f>
        <v>Green Building</v>
      </c>
      <c r="C7857" s="1" t="str">
        <f ca="1">IFERROR(__xludf.DUMMYFUNCTION("GOOGLETRANSLATE(E7857, ""zh"", ""en"")"),"Qualitative text")</f>
        <v>Qualitative text</v>
      </c>
    </row>
    <row r="7858" spans="1:3" ht="13" x14ac:dyDescent="0.15">
      <c r="A7858" s="1" t="str">
        <f ca="1">IFERROR(__xludf.DUMMYFUNCTION("GOOGLETRANSLATE(A7858, ""zh"", ""en"")"),"Shanghai Lingang's various platform companies continue to deepen their involvement in the green construction field, integrating green concepts into the entire project cycle, from new project review to later operations, creating a full-process green buildi"&amp;"ng management system, and promoting the construction of the company's green park with practical actions.")</f>
        <v>Shanghai Lingang's various platform companies continue to deepen their involvement in the green construction field, integrating green concepts into the entire project cycle, from new project review to later operations, creating a full-process green building management system, and promoting the construction of the company's green park with practical actions.</v>
      </c>
      <c r="B7858" s="1" t="str">
        <f ca="1">IFERROR(__xludf.DUMMYFUNCTION("GOOGLETRANSLATE(A7858, ""zh"", ""en"")"),"Green Building")</f>
        <v>Green Building</v>
      </c>
      <c r="C7858" s="1" t="str">
        <f ca="1">IFERROR(__xludf.DUMMYFUNCTION("GOOGLETRANSLATE(E7858, ""zh"", ""en"")"),"Qualitative text")</f>
        <v>Qualitative text</v>
      </c>
    </row>
    <row r="7859" spans="1:3" ht="13" x14ac:dyDescent="0.15">
      <c r="A7859" s="1" t="str">
        <f ca="1">IFERROR(__xludf.DUMMYFUNCTION("GOOGLETRANSLATE(A7859, ""zh"", ""en"")"),"The C Cultural Building in Dishui Lake Financial Bay is planned to be a zero-carbon/ultra-low energy consumption building, a three-star green building, a US LEED building platinum level, and a US WELL building platinum level, creating the first zero-carbo"&amp;"n building demonstration in the Lingang New Area.")</f>
        <v>The C Cultural Building in Dishui Lake Financial Bay is planned to be a zero-carbon/ultra-low energy consumption building, a three-star green building, a US LEED building platinum level, and a US WELL building platinum level, creating the first zero-carbon building demonstration in the Lingang New Area.</v>
      </c>
      <c r="B7859" s="1" t="str">
        <f ca="1">IFERROR(__xludf.DUMMYFUNCTION("GOOGLETRANSLATE(A7859, ""zh"", ""en"")"),"Green Building")</f>
        <v>Green Building</v>
      </c>
      <c r="C7859" s="1" t="str">
        <f ca="1">IFERROR(__xludf.DUMMYFUNCTION("GOOGLETRANSLATE(E7859, ""zh"", ""en"")"),"Qualitative text")</f>
        <v>Qualitative text</v>
      </c>
    </row>
    <row r="7860" spans="1:3" ht="13" x14ac:dyDescent="0.15">
      <c r="A7860" s="1" t="str">
        <f ca="1">IFERROR(__xludf.DUMMYFUNCTION("GOOGLETRANSLATE(A7860, ""zh"", ""en"")"),"The project's orientation, shape, window-to-wall ratio and other aspects are optimized, and the energy demand of the building itself is reduced through self-shading design.")</f>
        <v>The project's orientation, shape, window-to-wall ratio and other aspects are optimized, and the energy demand of the building itself is reduced through self-shading design.</v>
      </c>
      <c r="B7860" s="1" t="str">
        <f ca="1">IFERROR(__xludf.DUMMYFUNCTION("GOOGLETRANSLATE(A7860, ""zh"", ""en"")"),"Green Building")</f>
        <v>Green Building</v>
      </c>
      <c r="C7860" s="1" t="str">
        <f ca="1">IFERROR(__xludf.DUMMYFUNCTION("GOOGLETRANSLATE(E7860, ""zh"", ""en"")"),"Qualitative text")</f>
        <v>Qualitative text</v>
      </c>
    </row>
    <row r="7861" spans="1:3" ht="13" x14ac:dyDescent="0.15">
      <c r="A7861" s="1" t="str">
        <f ca="1">IFERROR(__xludf.DUMMYFUNCTION("GOOGLETRANSLATE(A7861, ""zh"", ""en"")"),"High-performance thermal insulation materials are used to construct the building's surface, reducing the building's air conditioning and heating needs.")</f>
        <v>High-performance thermal insulation materials are used to construct the building's surface, reducing the building's air conditioning and heating needs.</v>
      </c>
      <c r="B7861" s="1" t="str">
        <f ca="1">IFERROR(__xludf.DUMMYFUNCTION("GOOGLETRANSLATE(A7861, ""zh"", ""en"")"),"Green Building")</f>
        <v>Green Building</v>
      </c>
      <c r="C7861" s="1" t="str">
        <f ca="1">IFERROR(__xludf.DUMMYFUNCTION("GOOGLETRANSLATE(E7861, ""zh"", ""en"")"),"Qualitative text")</f>
        <v>Qualitative text</v>
      </c>
    </row>
    <row r="7862" spans="1:3" ht="13" x14ac:dyDescent="0.15">
      <c r="A7862" s="1" t="str">
        <f ca="1">IFERROR(__xludf.DUMMYFUNCTION("GOOGLETRANSLATE(A7862, ""zh"", ""en"")"),"Introducing skylight through daylight collectors and light pipes provides greener lighting energy for indoor and outdoor use")</f>
        <v>Introducing skylight through daylight collectors and light pipes provides greener lighting energy for indoor and outdoor use</v>
      </c>
      <c r="B7862" s="1" t="str">
        <f ca="1">IFERROR(__xludf.DUMMYFUNCTION("GOOGLETRANSLATE(A7862, ""zh"", ""en"")"),"Green Building")</f>
        <v>Green Building</v>
      </c>
      <c r="C7862" s="1" t="str">
        <f ca="1">IFERROR(__xludf.DUMMYFUNCTION("GOOGLETRANSLATE(E7862, ""zh"", ""en"")"),"Qualitative text")</f>
        <v>Qualitative text</v>
      </c>
    </row>
    <row r="7863" spans="1:3" ht="13" x14ac:dyDescent="0.15">
      <c r="A7863" s="1" t="str">
        <f ca="1">IFERROR(__xludf.DUMMYFUNCTION("GOOGLETRANSLATE(A7863, ""zh"", ""en"")"),"It is the first ultra-low energy consumption building system in Shanghai to use intelligent electrically controlled photochromic glass, which intelligently adjusts the glass state according to different seasons and temperatures, thereby reducing air condi"&amp;"tioning and lighting energy consumption.")</f>
        <v>It is the first ultra-low energy consumption building system in Shanghai to use intelligent electrically controlled photochromic glass, which intelligently adjusts the glass state according to different seasons and temperatures, thereby reducing air conditioning and lighting energy consumption.</v>
      </c>
      <c r="B7863" s="1" t="str">
        <f ca="1">IFERROR(__xludf.DUMMYFUNCTION("GOOGLETRANSLATE(A7863, ""zh"", ""en"")"),"Green Building")</f>
        <v>Green Building</v>
      </c>
      <c r="C7863" s="1" t="str">
        <f ca="1">IFERROR(__xludf.DUMMYFUNCTION("GOOGLETRANSLATE(E7863, ""zh"", ""en"")"),"Qualitative text")</f>
        <v>Qualitative text</v>
      </c>
    </row>
    <row r="7864" spans="1:3" ht="13" x14ac:dyDescent="0.15">
      <c r="A7864" s="1" t="str">
        <f ca="1">IFERROR(__xludf.DUMMYFUNCTION("GOOGLETRANSLATE(A7864, ""zh"", ""en"")"),"High-efficiency sensible heat recovery unit modules are used indoors to significantly reduce fresh air energy consumption through cross-heat exchange between air-conditioning exhaust and fresh air.")</f>
        <v>High-efficiency sensible heat recovery unit modules are used indoors to significantly reduce fresh air energy consumption through cross-heat exchange between air-conditioning exhaust and fresh air.</v>
      </c>
      <c r="B7864" s="1" t="str">
        <f ca="1">IFERROR(__xludf.DUMMYFUNCTION("GOOGLETRANSLATE(A7864, ""zh"", ""en"")"),"Green Building")</f>
        <v>Green Building</v>
      </c>
      <c r="C7864" s="1" t="str">
        <f ca="1">IFERROR(__xludf.DUMMYFUNCTION("GOOGLETRANSLATE(E7864, ""zh"", ""en"")"),"Qualitative text")</f>
        <v>Qualitative text</v>
      </c>
    </row>
    <row r="7865" spans="1:3" ht="13" x14ac:dyDescent="0.15">
      <c r="A7865" s="1" t="str">
        <f ca="1">IFERROR(__xludf.DUMMYFUNCTION("GOOGLETRANSLATE(A7865, ""zh"", ""en"")"),"Comprehensive planning and utilization of the rooftops within the plot are carried out to install high-efficiency crystalline silicon photovoltaic panels to maximize the use of renewable energy to provide clean energy for the cultural building throughout "&amp;"the year.")</f>
        <v>Comprehensive planning and utilization of the rooftops within the plot are carried out to install high-efficiency crystalline silicon photovoltaic panels to maximize the use of renewable energy to provide clean energy for the cultural building throughout the year.</v>
      </c>
      <c r="B7865" s="1" t="str">
        <f ca="1">IFERROR(__xludf.DUMMYFUNCTION("GOOGLETRANSLATE(A7865, ""zh"", ""en"")"),"Green Building")</f>
        <v>Green Building</v>
      </c>
      <c r="C7865" s="1" t="str">
        <f ca="1">IFERROR(__xludf.DUMMYFUNCTION("GOOGLETRANSLATE(E7865, ""zh"", ""en"")"),"Qualitative text")</f>
        <v>Qualitative text</v>
      </c>
    </row>
    <row r="7866" spans="1:3" ht="13" x14ac:dyDescent="0.15">
      <c r="A7866" s="1" t="str">
        <f ca="1">IFERROR(__xludf.DUMMYFUNCTION("GOOGLETRANSLATE(A7866, ""zh"", ""en"")"),"The company strictly abides by the ""Personal Information Protection Law of the People's Republic of China"", establishes response files for customer privacy leaks, and strengthens relevant protection.")</f>
        <v>The company strictly abides by the "Personal Information Protection Law of the People's Republic of China", establishes response files for customer privacy leaks, and strengthens relevant protection.</v>
      </c>
      <c r="B7866" s="1" t="str">
        <f ca="1">IFERROR(__xludf.DUMMYFUNCTION("GOOGLETRANSLATE(A7866, ""zh"", ""en"")"),"Customers and Consumers")</f>
        <v>Customers and Consumers</v>
      </c>
      <c r="C7866" s="1" t="str">
        <f ca="1">IFERROR(__xludf.DUMMYFUNCTION("GOOGLETRANSLATE(E7866, ""zh"", ""en"")"),"Qualitative text")</f>
        <v>Qualitative text</v>
      </c>
    </row>
    <row r="7867" spans="1:3" ht="13" x14ac:dyDescent="0.15">
      <c r="A7867" s="1" t="str">
        <f ca="1">IFERROR(__xludf.DUMMYFUNCTION("GOOGLETRANSLATE(A7867, ""zh"", ""en"")"),"To ensure the security of customer information and prevent confidentiality leaks, the company has formulated a ""Customer Information Confidentiality Management System,"" requiring department heads to compile and maintain customer information lists, stren"&amp;"gthen supervision of personnel using customer information, conduct monthly customer information confidentiality risk assessments, and make corresponding corrections based on the assessment results.")</f>
        <v>To ensure the security of customer information and prevent confidentiality leaks, the company has formulated a "Customer Information Confidentiality Management System," requiring department heads to compile and maintain customer information lists, strengthen supervision of personnel using customer information, conduct monthly customer information confidentiality risk assessments, and make corresponding corrections based on the assessment results.</v>
      </c>
      <c r="B7867" s="1" t="str">
        <f ca="1">IFERROR(__xludf.DUMMYFUNCTION("GOOGLETRANSLATE(A7867, ""zh"", ""en"")"),"Customers and Consumers")</f>
        <v>Customers and Consumers</v>
      </c>
      <c r="C7867" s="1" t="str">
        <f ca="1">IFERROR(__xludf.DUMMYFUNCTION("GOOGLETRANSLATE(E7867, ""zh"", ""en"")"),"Qualitative text")</f>
        <v>Qualitative text</v>
      </c>
    </row>
    <row r="7868" spans="1:3" ht="13" x14ac:dyDescent="0.15">
      <c r="A7868" s="1" t="str">
        <f ca="1">IFERROR(__xludf.DUMMYFUNCTION("GOOGLETRANSLATE(A7868, ""zh"", ""en"")"),"Employees must comply with information security and compliance authorization principles during the collection, storage, transmission, and use of customer data to ensure the security of customer data.")</f>
        <v>Employees must comply with information security and compliance authorization principles during the collection, storage, transmission, and use of customer data to ensure the security of customer data.</v>
      </c>
      <c r="B7868" s="1" t="str">
        <f ca="1">IFERROR(__xludf.DUMMYFUNCTION("GOOGLETRANSLATE(A7868, ""zh"", ""en"")"),"Customers and Consumers")</f>
        <v>Customers and Consumers</v>
      </c>
      <c r="C7868" s="1" t="str">
        <f ca="1">IFERROR(__xludf.DUMMYFUNCTION("GOOGLETRANSLATE(E7868, ""zh"", ""en"")"),"Qualitative text")</f>
        <v>Qualitative text</v>
      </c>
    </row>
    <row r="7869" spans="1:3" ht="13" x14ac:dyDescent="0.15">
      <c r="A7869" s="1" t="str">
        <f ca="1">IFERROR(__xludf.DUMMYFUNCTION("GOOGLETRANSLATE(A7869, ""zh"", ""en"")"),"Customer Satisfaction The company conducts a customer satisfaction survey at least once a year, targeting representative customers from different industries using a questionnaire survey method to conduct evaluation surveys in six aspects: appearance quali"&amp;"ty, performance, service quality, packaging and transportation, delivery cycle, and product price.")</f>
        <v>Customer Satisfaction The company conducts a customer satisfaction survey at least once a year, targeting representative customers from different industries using a questionnaire survey method to conduct evaluation surveys in six aspects: appearance quality, performance, service quality, packaging and transportation, delivery cycle, and product price.</v>
      </c>
      <c r="B7869" s="1" t="str">
        <f ca="1">IFERROR(__xludf.DUMMYFUNCTION("GOOGLETRANSLATE(A7869, ""zh"", ""en"")"),"Customers and Consumers")</f>
        <v>Customers and Consumers</v>
      </c>
      <c r="C7869" s="1" t="str">
        <f ca="1">IFERROR(__xludf.DUMMYFUNCTION("GOOGLETRANSLATE(E7869, ""zh"", ""en"")"),"Qualitative text")</f>
        <v>Qualitative text</v>
      </c>
    </row>
    <row r="7870" spans="1:3" ht="13" x14ac:dyDescent="0.15">
      <c r="A7870" s="1" t="str">
        <f ca="1">IFERROR(__xludf.DUMMYFUNCTION("GOOGLETRANSLATE(A7870, ""zh"", ""en"")"),"""Customer Service Hotline 0472-2669666"" is a consultation hotline set up by the company specifically for customers.")</f>
        <v>"Customer Service Hotline 0472-2669666" is a consultation hotline set up by the company specifically for customers.</v>
      </c>
      <c r="B7870" s="1" t="str">
        <f ca="1">IFERROR(__xludf.DUMMYFUNCTION("GOOGLETRANSLATE(A7870, ""zh"", ""en"")"),"Customers and Consumers")</f>
        <v>Customers and Consumers</v>
      </c>
      <c r="C7870" s="1" t="str">
        <f ca="1">IFERROR(__xludf.DUMMYFUNCTION("GOOGLETRANSLATE(E7870, ""zh"", ""en"")"),"Qualitative text")</f>
        <v>Qualitative text</v>
      </c>
    </row>
    <row r="7871" spans="1:3" ht="13" x14ac:dyDescent="0.15">
      <c r="A7871" s="1" t="str">
        <f ca="1">IFERROR(__xludf.DUMMYFUNCTION("GOOGLETRANSLATE(A7871, ""zh"", ""en"")"),"We continuously optimize the customer service management system, focus on customer satisfaction, and protect customer privacy to create a better experience for customers from pre-sales to after-sales.")</f>
        <v>We continuously optimize the customer service management system, focus on customer satisfaction, and protect customer privacy to create a better experience for customers from pre-sales to after-sales.</v>
      </c>
      <c r="B7871" s="1" t="str">
        <f ca="1">IFERROR(__xludf.DUMMYFUNCTION("GOOGLETRANSLATE(A7871, ""zh"", ""en"")"),"Customers and Consumers")</f>
        <v>Customers and Consumers</v>
      </c>
      <c r="C7871" s="1" t="str">
        <f ca="1">IFERROR(__xludf.DUMMYFUNCTION("GOOGLETRANSLATE(E7871, ""zh"", ""en"")"),"Qualitative text")</f>
        <v>Qualitative text</v>
      </c>
    </row>
    <row r="7872" spans="1:3" ht="13" x14ac:dyDescent="0.15">
      <c r="A7872" s="1" t="str">
        <f ca="1">IFERROR(__xludf.DUMMYFUNCTION("GOOGLETRANSLATE(A7872, ""zh"", ""en"")"),"During the customer review process, the company not only verifies the effectiveness of the company's system operation, but also becomes one of the important ways to understand customer needs and obtain improvement suggestions.")</f>
        <v>During the customer review process, the company not only verifies the effectiveness of the company's system operation, but also becomes one of the important ways to understand customer needs and obtain improvement suggestions.</v>
      </c>
      <c r="B7872" s="1" t="str">
        <f ca="1">IFERROR(__xludf.DUMMYFUNCTION("GOOGLETRANSLATE(A7872, ""zh"", ""en"")"),"Customers and Consumers")</f>
        <v>Customers and Consumers</v>
      </c>
      <c r="C7872" s="1" t="str">
        <f ca="1">IFERROR(__xludf.DUMMYFUNCTION("GOOGLETRANSLATE(E7872, ""zh"", ""en"")"),"Qualitative text")</f>
        <v>Qualitative text</v>
      </c>
    </row>
    <row r="7873" spans="1:3" ht="13" x14ac:dyDescent="0.15">
      <c r="A7873" s="1" t="str">
        <f ca="1">IFERROR(__xludf.DUMMYFUNCTION("GOOGLETRANSLATE(A7873, ""zh"", ""en"")"),"Customer satisfaction: In order to provide comprehensive and high-quality services, the company has formulated the ""Northern Rare Earth Customer Satisfaction Measurement Management Measures"" and conducts a customer satisfaction survey every six months. "&amp;"It studies and discusses the problems and suggestions found in the survey to ensure that the problems and suggestions are resolved in a timely manner.")</f>
        <v>Customer satisfaction: In order to provide comprehensive and high-quality services, the company has formulated the "Northern Rare Earth Customer Satisfaction Measurement Management Measures" and conducts a customer satisfaction survey every six months. It studies and discusses the problems and suggestions found in the survey to ensure that the problems and suggestions are resolved in a timely manner.</v>
      </c>
      <c r="B7873" s="1" t="str">
        <f ca="1">IFERROR(__xludf.DUMMYFUNCTION("GOOGLETRANSLATE(A7873, ""zh"", ""en"")"),"Customers and Consumers")</f>
        <v>Customers and Consumers</v>
      </c>
      <c r="C7873" s="1" t="str">
        <f ca="1">IFERROR(__xludf.DUMMYFUNCTION("GOOGLETRANSLATE(E7873, ""zh"", ""en"")"),"Quantitative Text")</f>
        <v>Quantitative Text</v>
      </c>
    </row>
    <row r="7874" spans="1:3" ht="13" x14ac:dyDescent="0.15">
      <c r="A7874" s="1" t="str">
        <f ca="1">IFERROR(__xludf.DUMMYFUNCTION("GOOGLETRANSLATE(A7874, ""zh"", ""en"")"),"Use multiple channels to collect customer information related to products and services, establish a customer demand database, and promptly convey customer needs and suggestions to production, technology, process, equipment, quality and other production de"&amp;"partments, formulate product improvement plans in a timely manner, and continuously improve.")</f>
        <v>Use multiple channels to collect customer information related to products and services, establish a customer demand database, and promptly convey customer needs and suggestions to production, technology, process, equipment, quality and other production departments, formulate product improvement plans in a timely manner, and continuously improve.</v>
      </c>
      <c r="B7874" s="1" t="str">
        <f ca="1">IFERROR(__xludf.DUMMYFUNCTION("GOOGLETRANSLATE(A7874, ""zh"", ""en"")"),"Customers and Consumers")</f>
        <v>Customers and Consumers</v>
      </c>
      <c r="C7874" s="1" t="str">
        <f ca="1">IFERROR(__xludf.DUMMYFUNCTION("GOOGLETRANSLATE(E7874, ""zh"", ""en"")"),"Qualitative text")</f>
        <v>Qualitative text</v>
      </c>
    </row>
    <row r="7875" spans="1:3" ht="13" x14ac:dyDescent="0.15">
      <c r="A7875" s="1" t="str">
        <f ca="1">IFERROR(__xludf.DUMMYFUNCTION("GOOGLETRANSLATE(A7875, ""zh"", ""en"")"),"The company has a sound after-sales service system, a nationwide after-sales service network and a professional after-sales service team, and always adheres to the customer-centric approach.")</f>
        <v>The company has a sound after-sales service system, a nationwide after-sales service network and a professional after-sales service team, and always adheres to the customer-centric approach.</v>
      </c>
      <c r="B7875" s="1" t="str">
        <f ca="1">IFERROR(__xludf.DUMMYFUNCTION("GOOGLETRANSLATE(A7875, ""zh"", ""en"")"),"Customers and Consumers")</f>
        <v>Customers and Consumers</v>
      </c>
      <c r="C7875" s="1" t="str">
        <f ca="1">IFERROR(__xludf.DUMMYFUNCTION("GOOGLETRANSLATE(E7875, ""zh"", ""en"")"),"Qualitative text")</f>
        <v>Qualitative text</v>
      </c>
    </row>
    <row r="7876" spans="1:3" ht="13" x14ac:dyDescent="0.15">
      <c r="A7876" s="1" t="str">
        <f ca="1">IFERROR(__xludf.DUMMYFUNCTION("GOOGLETRANSLATE(A7876, ""zh"", ""en"")"),"The latter makes clear provisions on specific management matters such as after-sales service outlet management, after-sales service system assessment, after-sales service behavior language, and customer satisfaction surveys.")</f>
        <v>The latter makes clear provisions on specific management matters such as after-sales service outlet management, after-sales service system assessment, after-sales service behavior language, and customer satisfaction surveys.</v>
      </c>
      <c r="B7876" s="1" t="str">
        <f ca="1">IFERROR(__xludf.DUMMYFUNCTION("GOOGLETRANSLATE(A7876, ""zh"", ""en"")"),"Customers and Consumers")</f>
        <v>Customers and Consumers</v>
      </c>
      <c r="C7876" s="1" t="str">
        <f ca="1">IFERROR(__xludf.DUMMYFUNCTION("GOOGLETRANSLATE(E7876, ""zh"", ""en"")"),"Qualitative text")</f>
        <v>Qualitative text</v>
      </c>
    </row>
    <row r="7877" spans="1:3" ht="13" x14ac:dyDescent="0.15">
      <c r="A7877" s="1" t="str">
        <f ca="1">IFERROR(__xludf.DUMMYFUNCTION("GOOGLETRANSLATE(A7877, ""zh"", ""en"")"),"Improve the service management system, complete the revision of service management systems such as the ""Service Standards for Baiyun Airport Employees"", compile the new ""Service Quality Risk Management Regulations"", and launch the ""C-PORT Service Man"&amp;"agement Model"" to promote the standardization and systematization of service management.")</f>
        <v>Improve the service management system, complete the revision of service management systems such as the "Service Standards for Baiyun Airport Employees", compile the new "Service Quality Risk Management Regulations", and launch the "C-PORT Service Management Model" to promote the standardization and systematization of service management.</v>
      </c>
      <c r="B7877" s="1" t="str">
        <f ca="1">IFERROR(__xludf.DUMMYFUNCTION("GOOGLETRANSLATE(A7877, ""zh"", ""en"")"),"Customers and Consumers")</f>
        <v>Customers and Consumers</v>
      </c>
      <c r="C7877" s="1" t="str">
        <f ca="1">IFERROR(__xludf.DUMMYFUNCTION("GOOGLETRANSLATE(E7877, ""zh"", ""en"")"),"Qualitative text")</f>
        <v>Qualitative text</v>
      </c>
    </row>
    <row r="7878" spans="1:3" ht="13" x14ac:dyDescent="0.15">
      <c r="A7878" s="1" t="str">
        <f ca="1">IFERROR(__xludf.DUMMYFUNCTION("GOOGLETRANSLATE(A7878, ""zh"", ""en"")"),"The company is committed to making the most suitable packaging for customers' products, understanding customers' needs, and is determined to provide customers with innovative packaging solutions that are based on the future of their products. It has estab"&amp;"lished a complete customer service and communication mechanism, pays attention to the degree of fit with customer needs, and actively responds to customers.")</f>
        <v>The company is committed to making the most suitable packaging for customers' products, understanding customers' needs, and is determined to provide customers with innovative packaging solutions that are based on the future of their products. It has established a complete customer service and communication mechanism, pays attention to the degree of fit with customer needs, and actively responds to customers.</v>
      </c>
      <c r="B7878" s="1" t="str">
        <f ca="1">IFERROR(__xludf.DUMMYFUNCTION("GOOGLETRANSLATE(A7878, ""zh"", ""en"")"),"Customers and Consumers")</f>
        <v>Customers and Consumers</v>
      </c>
      <c r="C7878" s="1" t="str">
        <f ca="1">IFERROR(__xludf.DUMMYFUNCTION("GOOGLETRANSLATE(E7878, ""zh"", ""en"")"),"Qualitative text")</f>
        <v>Qualitative text</v>
      </c>
    </row>
    <row r="7879" spans="1:3" ht="13" x14ac:dyDescent="0.15">
      <c r="A7879" s="1" t="str">
        <f ca="1">IFERROR(__xludf.DUMMYFUNCTION("GOOGLETRANSLATE(A7879, ""zh"", ""en"")"),"Establish a customer management organization, set up customer administrator positions, and clarify customer management, service responsibilities and related requirements.")</f>
        <v>Establish a customer management organization, set up customer administrator positions, and clarify customer management, service responsibilities and related requirements.</v>
      </c>
      <c r="B7879" s="1" t="str">
        <f ca="1">IFERROR(__xludf.DUMMYFUNCTION("GOOGLETRANSLATE(A7879, ""zh"", ""en"")"),"Customers and Consumers")</f>
        <v>Customers and Consumers</v>
      </c>
      <c r="C7879" s="1" t="str">
        <f ca="1">IFERROR(__xludf.DUMMYFUNCTION("GOOGLETRANSLATE(E7879, ""zh"", ""en"")"),"Qualitative text")</f>
        <v>Qualitative text</v>
      </c>
    </row>
    <row r="7880" spans="1:3" ht="13" x14ac:dyDescent="0.15">
      <c r="A7880" s="1" t="str">
        <f ca="1">IFERROR(__xludf.DUMMYFUNCTION("GOOGLETRANSLATE(A7880, ""zh"", ""en"")"),"Customer satisfaction: In order to ensure the timeliness and efficiency of the company's after-sales service, the ""After-sales Service Management Measures"" have been formulated. Following the principle of ""customer first, timely and efficient"", an aft"&amp;"er-sales service center has been set up. Each business unit has a full-time after-sales service agency. Twice a year, customer satisfaction surveys are conducted on the execution and completion acceptance projects of the company's business units, and corr"&amp;"esponding assessments and evaluations are carried out. The customer satisfaction rate is above 98%.")</f>
        <v>Customer satisfaction: In order to ensure the timeliness and efficiency of the company's after-sales service, the "After-sales Service Management Measures" have been formulated. Following the principle of "customer first, timely and efficient", an after-sales service center has been set up. Each business unit has a full-time after-sales service agency. Twice a year, customer satisfaction surveys are conducted on the execution and completion acceptance projects of the company's business units, and corresponding assessments and evaluations are carried out. The customer satisfaction rate is above 98%.</v>
      </c>
      <c r="B7880" s="1" t="str">
        <f ca="1">IFERROR(__xludf.DUMMYFUNCTION("GOOGLETRANSLATE(A7880, ""zh"", ""en"")"),"Customers and Consumers")</f>
        <v>Customers and Consumers</v>
      </c>
      <c r="C7880" s="1" t="str">
        <f ca="1">IFERROR(__xludf.DUMMYFUNCTION("GOOGLETRANSLATE(E7880, ""zh"", ""en"")"),"Quantitative Text")</f>
        <v>Quantitative Text</v>
      </c>
    </row>
    <row r="7881" spans="1:3" ht="13" x14ac:dyDescent="0.15">
      <c r="A7881" s="1" t="str">
        <f ca="1">IFERROR(__xludf.DUMMYFUNCTION("GOOGLETRANSLATE(A7881, ""zh"", ""en"")"),"We are constantly optimizing our customer service experience and enhancing our brand image. We have established a customer service hotline at 4008896383, which includes 17 dedicated customer service lines and is staffed by three operators who take turns a"&amp;"nswering calls and handling customer inquiries and complaints regarding the Bank's various businesses.")</f>
        <v>We are constantly optimizing our customer service experience and enhancing our brand image. We have established a customer service hotline at 4008896383, which includes 17 dedicated customer service lines and is staffed by three operators who take turns answering calls and handling customer inquiries and complaints regarding the Bank's various businesses.</v>
      </c>
      <c r="B7881" s="1" t="str">
        <f ca="1">IFERROR(__xludf.DUMMYFUNCTION("GOOGLETRANSLATE(A7881, ""zh"", ""en"")"),"Customers and Consumers")</f>
        <v>Customers and Consumers</v>
      </c>
      <c r="C7881" s="1" t="str">
        <f ca="1">IFERROR(__xludf.DUMMYFUNCTION("GOOGLETRANSLATE(E7881, ""zh"", ""en"")"),"Quantitative Text")</f>
        <v>Quantitative Text</v>
      </c>
    </row>
    <row r="7882" spans="1:3" ht="13" x14ac:dyDescent="0.15">
      <c r="A7882" s="1" t="str">
        <f ca="1">IFERROR(__xludf.DUMMYFUNCTION("GOOGLETRANSLATE(A7882, ""zh"", ""en"")"),"We provide customers with a variety of sales services, maintenance services, care services, etc., and invite customers to visit the company, hold meetings, exchanges and discussions from time to time.")</f>
        <v>We provide customers with a variety of sales services, maintenance services, care services, etc., and invite customers to visit the company, hold meetings, exchanges and discussions from time to time.</v>
      </c>
      <c r="B7882" s="1" t="str">
        <f ca="1">IFERROR(__xludf.DUMMYFUNCTION("GOOGLETRANSLATE(A7882, ""zh"", ""en"")"),"Customers and Consumers")</f>
        <v>Customers and Consumers</v>
      </c>
      <c r="C7882" s="1" t="str">
        <f ca="1">IFERROR(__xludf.DUMMYFUNCTION("GOOGLETRANSLATE(E7882, ""zh"", ""en"")"),"Qualitative text")</f>
        <v>Qualitative text</v>
      </c>
    </row>
    <row r="7883" spans="1:3" ht="13" x14ac:dyDescent="0.15">
      <c r="A7883" s="1" t="str">
        <f ca="1">IFERROR(__xludf.DUMMYFUNCTION("GOOGLETRANSLATE(A7883, ""zh"", ""en"")"),"Broaden customer communication channels, and promptly collect customer opinions and answer customer questions through customer service hotlines, WeChat public accounts, Weibo and other channels.")</f>
        <v>Broaden customer communication channels, and promptly collect customer opinions and answer customer questions through customer service hotlines, WeChat public accounts, Weibo and other channels.</v>
      </c>
      <c r="B7883" s="1" t="str">
        <f ca="1">IFERROR(__xludf.DUMMYFUNCTION("GOOGLETRANSLATE(A7883, ""zh"", ""en"")"),"Customers and Consumers")</f>
        <v>Customers and Consumers</v>
      </c>
      <c r="C7883" s="1" t="str">
        <f ca="1">IFERROR(__xludf.DUMMYFUNCTION("GOOGLETRANSLATE(E7883, ""zh"", ""en"")"),"Qualitative text")</f>
        <v>Qualitative text</v>
      </c>
    </row>
    <row r="7884" spans="1:3" ht="13" x14ac:dyDescent="0.15">
      <c r="A7884" s="1" t="str">
        <f ca="1">IFERROR(__xludf.DUMMYFUNCTION("GOOGLETRANSLATE(A7884, ""zh"", ""en"")"),"Promote intelligent construction and optimize user experience.")</f>
        <v>Promote intelligent construction and optimize user experience.</v>
      </c>
      <c r="B7884" s="1" t="str">
        <f ca="1">IFERROR(__xludf.DUMMYFUNCTION("GOOGLETRANSLATE(A7884, ""zh"", ""en"")"),"Customers and Consumers")</f>
        <v>Customers and Consumers</v>
      </c>
      <c r="C7884" s="1" t="str">
        <f ca="1">IFERROR(__xludf.DUMMYFUNCTION("GOOGLETRANSLATE(E7884, ""zh"", ""en"")"),"Qualitative text")</f>
        <v>Qualitative text</v>
      </c>
    </row>
    <row r="7885" spans="1:3" ht="13" x14ac:dyDescent="0.15">
      <c r="A7885" s="1" t="str">
        <f ca="1">IFERROR(__xludf.DUMMYFUNCTION("GOOGLETRANSLATE(A7885, ""zh"", ""en"")"),"Door-to-door service outlets are spread all over the country, and we have an experienced after-sales service team to provide consumers with fast and professional services.")</f>
        <v>Door-to-door service outlets are spread all over the country, and we have an experienced after-sales service team to provide consumers with fast and professional services.</v>
      </c>
      <c r="B7885" s="1" t="str">
        <f ca="1">IFERROR(__xludf.DUMMYFUNCTION("GOOGLETRANSLATE(A7885, ""zh"", ""en"")"),"Customers and Consumers")</f>
        <v>Customers and Consumers</v>
      </c>
      <c r="C7885" s="1" t="str">
        <f ca="1">IFERROR(__xludf.DUMMYFUNCTION("GOOGLETRANSLATE(E7885, ""zh"", ""en"")"),"Qualitative text")</f>
        <v>Qualitative text</v>
      </c>
    </row>
    <row r="7886" spans="1:3" ht="13" x14ac:dyDescent="0.15">
      <c r="A7886" s="1" t="str">
        <f ca="1">IFERROR(__xludf.DUMMYFUNCTION("GOOGLETRANSLATE(A7886, ""zh"", ""en"")"),"The company is pursuing the goal of improving service mechanisms, enhancing customer satisfaction and providing continuous value to users.")</f>
        <v>The company is pursuing the goal of improving service mechanisms, enhancing customer satisfaction and providing continuous value to users.</v>
      </c>
      <c r="B7886" s="1" t="str">
        <f ca="1">IFERROR(__xludf.DUMMYFUNCTION("GOOGLETRANSLATE(A7886, ""zh"", ""en"")"),"Customers and Consumers")</f>
        <v>Customers and Consumers</v>
      </c>
      <c r="C7886" s="1" t="str">
        <f ca="1">IFERROR(__xludf.DUMMYFUNCTION("GOOGLETRANSLATE(E7886, ""zh"", ""en"")"),"Qualitative text")</f>
        <v>Qualitative text</v>
      </c>
    </row>
    <row r="7887" spans="1:3" ht="13" x14ac:dyDescent="0.15">
      <c r="A7887" s="1" t="str">
        <f ca="1">IFERROR(__xludf.DUMMYFUNCTION("GOOGLETRANSLATE(A7887, ""zh"", ""en"")"),"After-sales service mode: customer service personnel provide door-to-door service solutions, remote network diagnosis solutions and timeliness. We carefully layout and build a dense service network to ensure that professional technical services and spare "&amp;"parts are provided to customers in a timely manner.")</f>
        <v>After-sales service mode: customer service personnel provide door-to-door service solutions, remote network diagnosis solutions and timeliness. We carefully layout and build a dense service network to ensure that professional technical services and spare parts are provided to customers in a timely manner.</v>
      </c>
      <c r="B7887" s="1" t="str">
        <f ca="1">IFERROR(__xludf.DUMMYFUNCTION("GOOGLETRANSLATE(A7887, ""zh"", ""en"")"),"Customers and Consumers")</f>
        <v>Customers and Consumers</v>
      </c>
      <c r="C7887" s="1" t="str">
        <f ca="1">IFERROR(__xludf.DUMMYFUNCTION("GOOGLETRANSLATE(E7887, ""zh"", ""en"")"),"Qualitative text")</f>
        <v>Qualitative text</v>
      </c>
    </row>
    <row r="7888" spans="1:3" ht="13" x14ac:dyDescent="0.15">
      <c r="A7888" s="1" t="str">
        <f ca="1">IFERROR(__xludf.DUMMYFUNCTION("GOOGLETRANSLATE(A7888, ""zh"", ""en"")"),"The company is consumer-centric and focuses on the coordinated development of online and offline. Based on digital retail innovation, it has established an omni-channel marketing network system covering offline stores and online stores. While continuously"&amp;" optimizing marketing strategies, it fully utilizes information technology to empower customer operations management and comprehensively enhance the company's customer service capabilities.")</f>
        <v>The company is consumer-centric and focuses on the coordinated development of online and offline. Based on digital retail innovation, it has established an omni-channel marketing network system covering offline stores and online stores. While continuously optimizing marketing strategies, it fully utilizes information technology to empower customer operations management and comprehensively enhance the company's customer service capabilities.</v>
      </c>
      <c r="B7888" s="1" t="str">
        <f ca="1">IFERROR(__xludf.DUMMYFUNCTION("GOOGLETRANSLATE(A7888, ""zh"", ""en"")"),"Customers and Consumers")</f>
        <v>Customers and Consumers</v>
      </c>
      <c r="C7888" s="1" t="str">
        <f ca="1">IFERROR(__xludf.DUMMYFUNCTION("GOOGLETRANSLATE(E7888, ""zh"", ""en"")"),"Qualitative text")</f>
        <v>Qualitative text</v>
      </c>
    </row>
    <row r="7889" spans="1:3" ht="13" x14ac:dyDescent="0.15">
      <c r="A7889" s="1" t="str">
        <f ca="1">IFERROR(__xludf.DUMMYFUNCTION("GOOGLETRANSLATE(A7889, ""zh"", ""en"")"),"Sales personnel collect various feedback information through regular return visits, understand customer needs in a timely manner, strictly protect customer information, and provide customers with a variety of technical training and technical support to fa"&amp;"cilitate the maintenance of customer relationships.")</f>
        <v>Sales personnel collect various feedback information through regular return visits, understand customer needs in a timely manner, strictly protect customer information, and provide customers with a variety of technical training and technical support to facilitate the maintenance of customer relationships.</v>
      </c>
      <c r="B7889" s="1" t="str">
        <f ca="1">IFERROR(__xludf.DUMMYFUNCTION("GOOGLETRANSLATE(A7889, ""zh"", ""en"")"),"Customers and Consumers")</f>
        <v>Customers and Consumers</v>
      </c>
      <c r="C7889" s="1" t="str">
        <f ca="1">IFERROR(__xludf.DUMMYFUNCTION("GOOGLETRANSLATE(E7889, ""zh"", ""en"")"),"Qualitative text")</f>
        <v>Qualitative text</v>
      </c>
    </row>
    <row r="7890" spans="1:3" ht="13" x14ac:dyDescent="0.15">
      <c r="A7890" s="1" t="str">
        <f ca="1">IFERROR(__xludf.DUMMYFUNCTION("GOOGLETRANSLATE(A7890, ""zh"", ""en"")"),"Kangenbei Health Technology Company regularly conducts professional training for customer service personnel, focusing on topics such as standardized customer service work processes, to enhance the communication skills and service awareness of customer ser"&amp;"vice personnel and improve customer satisfaction.")</f>
        <v>Kangenbei Health Technology Company regularly conducts professional training for customer service personnel, focusing on topics such as standardized customer service work processes, to enhance the communication skills and service awareness of customer service personnel and improve customer satisfaction.</v>
      </c>
      <c r="B7890" s="1" t="str">
        <f ca="1">IFERROR(__xludf.DUMMYFUNCTION("GOOGLETRANSLATE(A7890, ""zh"", ""en"")"),"Customers and Consumers")</f>
        <v>Customers and Consumers</v>
      </c>
      <c r="C7890" s="1" t="str">
        <f ca="1">IFERROR(__xludf.DUMMYFUNCTION("GOOGLETRANSLATE(E7890, ""zh"", ""en"")"),"Qualitative text")</f>
        <v>Qualitative text</v>
      </c>
    </row>
    <row r="7891" spans="1:3" ht="13" x14ac:dyDescent="0.15">
      <c r="A7891" s="1" t="str">
        <f ca="1">IFERROR(__xludf.DUMMYFUNCTION("GOOGLETRANSLATE(A7891, ""zh"", ""en"")"),"Sanyuan Foods takes serving customers as its purpose and continuously meeting the needs of consumers as its responsibility. It continuously improves its customer management system, innovates customer service forms, and provides customers with more efficie"&amp;"nt and convenient services.")</f>
        <v>Sanyuan Foods takes serving customers as its purpose and continuously meeting the needs of consumers as its responsibility. It continuously improves its customer management system, innovates customer service forms, and provides customers with more efficient and convenient services.</v>
      </c>
      <c r="B7891" s="1" t="str">
        <f ca="1">IFERROR(__xludf.DUMMYFUNCTION("GOOGLETRANSLATE(A7891, ""zh"", ""en"")"),"Customers and Consumers")</f>
        <v>Customers and Consumers</v>
      </c>
      <c r="C7891" s="1" t="str">
        <f ca="1">IFERROR(__xludf.DUMMYFUNCTION("GOOGLETRANSLATE(E7891, ""zh"", ""en"")"),"Qualitative text")</f>
        <v>Qualitative text</v>
      </c>
    </row>
    <row r="7892" spans="1:3" ht="13" x14ac:dyDescent="0.15">
      <c r="A7892" s="1" t="str">
        <f ca="1">IFERROR(__xludf.DUMMYFUNCTION("GOOGLETRANSLATE(A7892, ""zh"", ""en"")"),"Through the ""Smart Emergency Repair"" function, fault analysis is carried out on high-risk and important customers, and fault information is automatically analyzed and judged, and service information is actively pushed, which helps to carry out timely an"&amp;"d accurate emergency repairs, improves customers' electricity experience, and speeds up the response speed to customer needs during the peak summer period.")</f>
        <v>Through the "Smart Emergency Repair" function, fault analysis is carried out on high-risk and important customers, and fault information is automatically analyzed and judged, and service information is actively pushed, which helps to carry out timely and accurate emergency repairs, improves customers' electricity experience, and speeds up the response speed to customer needs during the peak summer period.</v>
      </c>
      <c r="B7892" s="1" t="str">
        <f ca="1">IFERROR(__xludf.DUMMYFUNCTION("GOOGLETRANSLATE(A7892, ""zh"", ""en"")"),"Customers and Consumers")</f>
        <v>Customers and Consumers</v>
      </c>
      <c r="C7892" s="1" t="str">
        <f ca="1">IFERROR(__xludf.DUMMYFUNCTION("GOOGLETRANSLATE(E7892, ""zh"", ""en"")"),"Qualitative text")</f>
        <v>Qualitative text</v>
      </c>
    </row>
    <row r="7893" spans="1:3" ht="13" x14ac:dyDescent="0.15">
      <c r="A7893" s="1" t="str">
        <f ca="1">IFERROR(__xludf.DUMMYFUNCTION("GOOGLETRANSLATE(A7893, ""zh"", ""en"")"),"We focus on providing full-cycle services to customers, empowering them to enhance quality and brand.")</f>
        <v>We focus on providing full-cycle services to customers, empowering them to enhance quality and brand.</v>
      </c>
      <c r="B7893" s="1" t="str">
        <f ca="1">IFERROR(__xludf.DUMMYFUNCTION("GOOGLETRANSLATE(A7893, ""zh"", ""en"")"),"Customers and Consumers")</f>
        <v>Customers and Consumers</v>
      </c>
      <c r="C7893" s="1" t="str">
        <f ca="1">IFERROR(__xludf.DUMMYFUNCTION("GOOGLETRANSLATE(E7893, ""zh"", ""en"")"),"Qualitative text")</f>
        <v>Qualitative text</v>
      </c>
    </row>
    <row r="7894" spans="1:3" ht="13" x14ac:dyDescent="0.15">
      <c r="A7894" s="1" t="str">
        <f ca="1">IFERROR(__xludf.DUMMYFUNCTION("GOOGLETRANSLATE(A7894, ""zh"", ""en"")"),"We have conducted customer satisfaction surveys for many consecutive years and compiled reports based on the survey results to reflect, analyze and summarize our services and point out the direction for future improvement.")</f>
        <v>We have conducted customer satisfaction surveys for many consecutive years and compiled reports based on the survey results to reflect, analyze and summarize our services and point out the direction for future improvement.</v>
      </c>
      <c r="B7894" s="1" t="str">
        <f ca="1">IFERROR(__xludf.DUMMYFUNCTION("GOOGLETRANSLATE(A7894, ""zh"", ""en"")"),"Customers and Consumers")</f>
        <v>Customers and Consumers</v>
      </c>
      <c r="C7894" s="1" t="str">
        <f ca="1">IFERROR(__xludf.DUMMYFUNCTION("GOOGLETRANSLATE(E7894, ""zh"", ""en"")"),"Qualitative text")</f>
        <v>Qualitative text</v>
      </c>
    </row>
    <row r="7895" spans="1:3" ht="13" x14ac:dyDescent="0.15">
      <c r="A7895" s="1" t="str">
        <f ca="1">IFERROR(__xludf.DUMMYFUNCTION("GOOGLETRANSLATE(A7895, ""zh"", ""en"")"),"In order to fully listen to the voices of customers and implement their requirements, in addition to daily communication, we conduct regular visits to customers, customer satisfaction surveys, customer quality meetings and other methods. At the same time,"&amp;" we regularly hold customer team-building activities to promote friendship, increase mutual cooperation and reach in-depth cooperation with customers to achieve mutual benefit and win-win results.")</f>
        <v>In order to fully listen to the voices of customers and implement their requirements, in addition to daily communication, we conduct regular visits to customers, customer satisfaction surveys, customer quality meetings and other methods. At the same time, we regularly hold customer team-building activities to promote friendship, increase mutual cooperation and reach in-depth cooperation with customers to achieve mutual benefit and win-win results.</v>
      </c>
      <c r="B7895" s="1" t="str">
        <f ca="1">IFERROR(__xludf.DUMMYFUNCTION("GOOGLETRANSLATE(A7895, ""zh"", ""en"")"),"Customers and Consumers")</f>
        <v>Customers and Consumers</v>
      </c>
      <c r="C7895" s="1" t="str">
        <f ca="1">IFERROR(__xludf.DUMMYFUNCTION("GOOGLETRANSLATE(E7895, ""zh"", ""en"")"),"Qualitative text")</f>
        <v>Qualitative text</v>
      </c>
    </row>
    <row r="7896" spans="1:3" ht="13" x14ac:dyDescent="0.15">
      <c r="A7896" s="1" t="str">
        <f ca="1">IFERROR(__xludf.DUMMYFUNCTION("GOOGLETRANSLATE(A7896, ""zh"", ""en"")"),"With the digitalization level, customers aged 60 and above can be directly transferred to manual service after calling the customer service hotline, further enhancing the sense of security and service access of elderly customers.")</f>
        <v>With the digitalization level, customers aged 60 and above can be directly transferred to manual service after calling the customer service hotline, further enhancing the sense of security and service access of elderly customers.</v>
      </c>
      <c r="B7896" s="1" t="str">
        <f ca="1">IFERROR(__xludf.DUMMYFUNCTION("GOOGLETRANSLATE(A7896, ""zh"", ""en"")"),"Customers and Consumers")</f>
        <v>Customers and Consumers</v>
      </c>
      <c r="C7896" s="1" t="str">
        <f ca="1">IFERROR(__xludf.DUMMYFUNCTION("GOOGLETRANSLATE(E7896, ""zh"", ""en"")"),"Qualitative text")</f>
        <v>Qualitative text</v>
      </c>
    </row>
    <row r="7897" spans="1:3" ht="13" x14ac:dyDescent="0.15">
      <c r="A7897" s="1" t="str">
        <f ca="1">IFERROR(__xludf.DUMMYFUNCTION("GOOGLETRANSLATE(A7897, ""zh"", ""en"")"),"XGMA carries out “Concentric Circle” and “XGMACARE” service activities all year round, opening up “face-to-face” service guarantee channels for global users.")</f>
        <v>XGMA carries out “Concentric Circle” and “XGMACARE” service activities all year round, opening up “face-to-face” service guarantee channels for global users.</v>
      </c>
      <c r="B7897" s="1" t="str">
        <f ca="1">IFERROR(__xludf.DUMMYFUNCTION("GOOGLETRANSLATE(A7897, ""zh"", ""en"")"),"Customers and Consumers")</f>
        <v>Customers and Consumers</v>
      </c>
      <c r="C7897" s="1" t="str">
        <f ca="1">IFERROR(__xludf.DUMMYFUNCTION("GOOGLETRANSLATE(E7897, ""zh"", ""en"")"),"Qualitative text")</f>
        <v>Qualitative text</v>
      </c>
    </row>
    <row r="7898" spans="1:3" ht="13" x14ac:dyDescent="0.15">
      <c r="A7898" s="1" t="str">
        <f ca="1">IFERROR(__xludf.DUMMYFUNCTION("GOOGLETRANSLATE(A7898, ""zh"", ""en"")"),"Establish user files, make regular return visits and professionally record user reviews to solve user problems and form a closed-loop service.")</f>
        <v>Establish user files, make regular return visits and professionally record user reviews to solve user problems and form a closed-loop service.</v>
      </c>
      <c r="B7898" s="1" t="str">
        <f ca="1">IFERROR(__xludf.DUMMYFUNCTION("GOOGLETRANSLATE(A7898, ""zh"", ""en"")"),"Customers and Consumers")</f>
        <v>Customers and Consumers</v>
      </c>
      <c r="C7898" s="1" t="str">
        <f ca="1">IFERROR(__xludf.DUMMYFUNCTION("GOOGLETRANSLATE(E7898, ""zh"", ""en"")"),"Qualitative text")</f>
        <v>Qualitative text</v>
      </c>
    </row>
    <row r="7899" spans="1:3" ht="13" x14ac:dyDescent="0.15">
      <c r="A7899" s="1" t="str">
        <f ca="1">IFERROR(__xludf.DUMMYFUNCTION("GOOGLETRANSLATE(A7899, ""zh"", ""en"")"),"We adhere to the customer-first philosophy and pay great attention to our customers.")</f>
        <v>We adhere to the customer-first philosophy and pay great attention to our customers.</v>
      </c>
      <c r="B7899" s="1" t="str">
        <f ca="1">IFERROR(__xludf.DUMMYFUNCTION("GOOGLETRANSLATE(A7899, ""zh"", ""en"")"),"Customers and Consumers")</f>
        <v>Customers and Consumers</v>
      </c>
      <c r="C7899" s="1" t="str">
        <f ca="1">IFERROR(__xludf.DUMMYFUNCTION("GOOGLETRANSLATE(E7899, ""zh"", ""en"")"),"Qualitative text")</f>
        <v>Qualitative text</v>
      </c>
    </row>
    <row r="7900" spans="1:3" ht="13" x14ac:dyDescent="0.15">
      <c r="A7900" s="1" t="str">
        <f ca="1">IFERROR(__xludf.DUMMYFUNCTION("GOOGLETRANSLATE(A7900, ""zh"", ""en"")"),"Do not exaggerate the project effects, seek truth from facts, do not engage in false propaganda, and strictly require that the promotional content produced by the company be true, healthy, clear and understandable.")</f>
        <v>Do not exaggerate the project effects, seek truth from facts, do not engage in false propaganda, and strictly require that the promotional content produced by the company be true, healthy, clear and understandable.</v>
      </c>
      <c r="B7900" s="1" t="str">
        <f ca="1">IFERROR(__xludf.DUMMYFUNCTION("GOOGLETRANSLATE(A7900, ""zh"", ""en"")"),"Customers and Consumers")</f>
        <v>Customers and Consumers</v>
      </c>
      <c r="C7900" s="1" t="str">
        <f ca="1">IFERROR(__xludf.DUMMYFUNCTION("GOOGLETRANSLATE(E7900, ""zh"", ""en"")"),"Qualitative text")</f>
        <v>Qualitative text</v>
      </c>
    </row>
    <row r="7901" spans="1:3" ht="13" x14ac:dyDescent="0.15">
      <c r="A7901" s="1" t="str">
        <f ca="1">IFERROR(__xludf.DUMMYFUNCTION("GOOGLETRANSLATE(A7901, ""zh"", ""en"")"),"BAIC BluePark adheres to the principle of ""customer first"" and actively utilizes its leading advantage in the number of new energy vehicles. By improving the after-sales service network, building a smart service system, protecting customer information a"&amp;"nd other measures, it continuously meets users' personalized needs and experiences, improves the level of after-sales service for new energy vehicles, and wholeheartedly provides users with considerate services.")</f>
        <v>BAIC BluePark adheres to the principle of "customer first" and actively utilizes its leading advantage in the number of new energy vehicles. By improving the after-sales service network, building a smart service system, protecting customer information and other measures, it continuously meets users' personalized needs and experiences, improves the level of after-sales service for new energy vehicles, and wholeheartedly provides users with considerate services.</v>
      </c>
      <c r="B7901" s="1" t="str">
        <f ca="1">IFERROR(__xludf.DUMMYFUNCTION("GOOGLETRANSLATE(A7901, ""zh"", ""en"")"),"Customers and Consumers")</f>
        <v>Customers and Consumers</v>
      </c>
      <c r="C7901" s="1" t="str">
        <f ca="1">IFERROR(__xludf.DUMMYFUNCTION("GOOGLETRANSLATE(E7901, ""zh"", ""en"")"),"Qualitative text")</f>
        <v>Qualitative text</v>
      </c>
    </row>
    <row r="7902" spans="1:3" ht="13" x14ac:dyDescent="0.15">
      <c r="A7902" s="1" t="str">
        <f ca="1">IFERROR(__xludf.DUMMYFUNCTION("GOOGLETRANSLATE(A7902, ""zh"", ""en"")"),"Third, the company's marketing and technical personnel can respond quickly and appear at the elevator installation or failure site in a timely manner to provide customers with product spare parts and technical support.")</f>
        <v>Third, the company's marketing and technical personnel can respond quickly and appear at the elevator installation or failure site in a timely manner to provide customers with product spare parts and technical support.</v>
      </c>
      <c r="B7902" s="1" t="str">
        <f ca="1">IFERROR(__xludf.DUMMYFUNCTION("GOOGLETRANSLATE(A7902, ""zh"", ""en"")"),"Customers and Consumers")</f>
        <v>Customers and Consumers</v>
      </c>
      <c r="C7902" s="1" t="str">
        <f ca="1">IFERROR(__xludf.DUMMYFUNCTION("GOOGLETRANSLATE(E7902, ""zh"", ""en"")"),"Qualitative text")</f>
        <v>Qualitative text</v>
      </c>
    </row>
    <row r="7903" spans="1:3" ht="13" x14ac:dyDescent="0.15">
      <c r="A7903" s="1" t="str">
        <f ca="1">IFERROR(__xludf.DUMMYFUNCTION("GOOGLETRANSLATE(A7903, ""zh"", ""en"")"),"Since 2015, the company has fully implemented service guarantee systems and key customer service standards, and is committed to improving service levels and enhancing customer satisfaction and loyalty.")</f>
        <v>Since 2015, the company has fully implemented service guarantee systems and key customer service standards, and is committed to improving service levels and enhancing customer satisfaction and loyalty.</v>
      </c>
      <c r="B7903" s="1" t="str">
        <f ca="1">IFERROR(__xludf.DUMMYFUNCTION("GOOGLETRANSLATE(A7903, ""zh"", ""en"")"),"Customers and Consumers")</f>
        <v>Customers and Consumers</v>
      </c>
      <c r="C7903" s="1" t="str">
        <f ca="1">IFERROR(__xludf.DUMMYFUNCTION("GOOGLETRANSLATE(E7903, ""zh"", ""en"")"),"Qualitative text")</f>
        <v>Qualitative text</v>
      </c>
    </row>
    <row r="7904" spans="1:3" ht="13" x14ac:dyDescent="0.15">
      <c r="A7904" s="1" t="str">
        <f ca="1">IFERROR(__xludf.DUMMYFUNCTION("GOOGLETRANSLATE(A7904, ""zh"", ""en"")"),"The Group adheres to the principle of ""customer satisfaction is our purpose"" and practices the ""family-like"" service concept, committed to ensuring that customers enjoy the entire service process. We have established a comprehensive after-sales servic"&amp;"e management system, actively communicate with customers, pay attention to customer privacy protection, and comprehensively guarantee the quality of after-sales service.")</f>
        <v>The Group adheres to the principle of "customer satisfaction is our purpose" and practices the "family-like" service concept, committed to ensuring that customers enjoy the entire service process. We have established a comprehensive after-sales service management system, actively communicate with customers, pay attention to customer privacy protection, and comprehensively guarantee the quality of after-sales service.</v>
      </c>
      <c r="B7904" s="1" t="str">
        <f ca="1">IFERROR(__xludf.DUMMYFUNCTION("GOOGLETRANSLATE(A7904, ""zh"", ""en"")"),"Customers and Consumers")</f>
        <v>Customers and Consumers</v>
      </c>
      <c r="C7904" s="1" t="str">
        <f ca="1">IFERROR(__xludf.DUMMYFUNCTION("GOOGLETRANSLATE(E7904, ""zh"", ""en"")"),"Qualitative text")</f>
        <v>Qualitative text</v>
      </c>
    </row>
    <row r="7905" spans="1:3" ht="13" x14ac:dyDescent="0.15">
      <c r="A7905" s="1" t="str">
        <f ca="1">IFERROR(__xludf.DUMMYFUNCTION("GOOGLETRANSLATE(A7905, ""zh"", ""en"")"),"As a window for external services, the company's customer service center provides 400 and 800 service hotlines to all customers, as well as multiple acceptance channels such as email and unified repair reporting.")</f>
        <v>As a window for external services, the company's customer service center provides 400 and 800 service hotlines to all customers, as well as multiple acceptance channels such as email and unified repair reporting.</v>
      </c>
      <c r="B7905" s="1" t="str">
        <f ca="1">IFERROR(__xludf.DUMMYFUNCTION("GOOGLETRANSLATE(A7905, ""zh"", ""en"")"),"Customers and Consumers")</f>
        <v>Customers and Consumers</v>
      </c>
      <c r="C7905" s="1" t="str">
        <f ca="1">IFERROR(__xludf.DUMMYFUNCTION("GOOGLETRANSLATE(E7905, ""zh"", ""en"")"),"Qualitative text")</f>
        <v>Qualitative text</v>
      </c>
    </row>
    <row r="7906" spans="1:3" ht="13" x14ac:dyDescent="0.15">
      <c r="A7906" s="1" t="str">
        <f ca="1">IFERROR(__xludf.DUMMYFUNCTION("GOOGLETRANSLATE(A7906, ""zh"", ""en"")"),"Professional operation services have established long-term cooperative relationships with downstream customers and maintained strong customer stickiness, successfully building a mutually beneficial and win-win customer system.")</f>
        <v>Professional operation services have established long-term cooperative relationships with downstream customers and maintained strong customer stickiness, successfully building a mutually beneficial and win-win customer system.</v>
      </c>
      <c r="B7906" s="1" t="str">
        <f ca="1">IFERROR(__xludf.DUMMYFUNCTION("GOOGLETRANSLATE(A7906, ""zh"", ""en"")"),"Customers and Consumers")</f>
        <v>Customers and Consumers</v>
      </c>
      <c r="C7906" s="1" t="str">
        <f ca="1">IFERROR(__xludf.DUMMYFUNCTION("GOOGLETRANSLATE(E7906, ""zh"", ""en"")"),"Qualitative text")</f>
        <v>Qualitative text</v>
      </c>
    </row>
    <row r="7907" spans="1:3" ht="13" x14ac:dyDescent="0.15">
      <c r="A7907" s="1" t="str">
        <f ca="1">IFERROR(__xludf.DUMMYFUNCTION("GOOGLETRANSLATE(A7907, ""zh"", ""en"")"),"With the customer service center as the core, we centrally handle customer complaints and feedback, continuously improve the professional skills and quality of the customer service team, standardize the civilized language of customer service personnel, im"&amp;"prove the efficiency of after-sales service information recording and processing, strive to provide timely feedback, timely follow-up, and timely processing, and maintain good customer relationships.")</f>
        <v>With the customer service center as the core, we centrally handle customer complaints and feedback, continuously improve the professional skills and quality of the customer service team, standardize the civilized language of customer service personnel, improve the efficiency of after-sales service information recording and processing, strive to provide timely feedback, timely follow-up, and timely processing, and maintain good customer relationships.</v>
      </c>
      <c r="B7907" s="1" t="str">
        <f ca="1">IFERROR(__xludf.DUMMYFUNCTION("GOOGLETRANSLATE(A7907, ""zh"", ""en"")"),"Customers and Consumers")</f>
        <v>Customers and Consumers</v>
      </c>
      <c r="C7907" s="1" t="str">
        <f ca="1">IFERROR(__xludf.DUMMYFUNCTION("GOOGLETRANSLATE(E7907, ""zh"", ""en"")"),"Qualitative text")</f>
        <v>Qualitative text</v>
      </c>
    </row>
    <row r="7908" spans="1:3" ht="13" x14ac:dyDescent="0.15">
      <c r="A7908" s="1" t="str">
        <f ca="1">IFERROR(__xludf.DUMMYFUNCTION("GOOGLETRANSLATE(A7908, ""zh"", ""en"")"),"We conduct customer satisfaction surveys regularly, fully listen to customers' voices, understand the current status of product quality and service, and make improvements to existing problems, striving to provide customers with better products and more re"&amp;"liable services.")</f>
        <v>We conduct customer satisfaction surveys regularly, fully listen to customers' voices, understand the current status of product quality and service, and make improvements to existing problems, striving to provide customers with better products and more reliable services.</v>
      </c>
      <c r="B7908" s="1" t="str">
        <f ca="1">IFERROR(__xludf.DUMMYFUNCTION("GOOGLETRANSLATE(A7908, ""zh"", ""en"")"),"Customers and Consumers")</f>
        <v>Customers and Consumers</v>
      </c>
      <c r="C7908" s="1" t="str">
        <f ca="1">IFERROR(__xludf.DUMMYFUNCTION("GOOGLETRANSLATE(E7908, ""zh"", ""en"")"),"Qualitative text")</f>
        <v>Qualitative text</v>
      </c>
    </row>
    <row r="7909" spans="1:3" ht="13" x14ac:dyDescent="0.15">
      <c r="A7909" s="1" t="str">
        <f ca="1">IFERROR(__xludf.DUMMYFUNCTION("GOOGLETRANSLATE(A7909, ""zh"", ""en"")"),"We accurately predict customer needs and provide proactive services, listen to customers' voices in real time, sensitively understand customer experience, and continuously improve service quality. We are committed to building a marketing service network s"&amp;"ystem covering the whole country and radiating overseas, providing customers with 7×24 hours ""one-stop"", ""zero-distance"", and ""all-round"" high-quality services.")</f>
        <v>We accurately predict customer needs and provide proactive services, listen to customers' voices in real time, sensitively understand customer experience, and continuously improve service quality. We are committed to building a marketing service network system covering the whole country and radiating overseas, providing customers with 7×24 hours "one-stop", "zero-distance", and "all-round" high-quality services.</v>
      </c>
      <c r="B7909" s="1" t="str">
        <f ca="1">IFERROR(__xludf.DUMMYFUNCTION("GOOGLETRANSLATE(A7909, ""zh"", ""en"")"),"Customers and Consumers")</f>
        <v>Customers and Consumers</v>
      </c>
      <c r="C7909" s="1" t="str">
        <f ca="1">IFERROR(__xludf.DUMMYFUNCTION("GOOGLETRANSLATE(E7909, ""zh"", ""en"")"),"Qualitative text")</f>
        <v>Qualitative text</v>
      </c>
    </row>
    <row r="7910" spans="1:3" ht="13" x14ac:dyDescent="0.15">
      <c r="A7910" s="1" t="str">
        <f ca="1">IFERROR(__xludf.DUMMYFUNCTION("GOOGLETRANSLATE(A7910, ""zh"", ""en"")"),"In terms of power supply services, the company insists on being customer-centric and taking 100% customer satisfaction as its goal. It strives to provide customers with professional and comprehensive power supply services, and continuously optimizes the c"&amp;"ustomer service system to improve customer service quality and protect customers' legitimate rights and interests.")</f>
        <v>In terms of power supply services, the company insists on being customer-centric and taking 100% customer satisfaction as its goal. It strives to provide customers with professional and comprehensive power supply services, and continuously optimizes the customer service system to improve customer service quality and protect customers' legitimate rights and interests.</v>
      </c>
      <c r="B7910" s="1" t="str">
        <f ca="1">IFERROR(__xludf.DUMMYFUNCTION("GOOGLETRANSLATE(A7910, ""zh"", ""en"")"),"Customers and Consumers")</f>
        <v>Customers and Consumers</v>
      </c>
      <c r="C7910" s="1" t="str">
        <f ca="1">IFERROR(__xludf.DUMMYFUNCTION("GOOGLETRANSLATE(E7910, ""zh"", ""en"")"),"Qualitative text")</f>
        <v>Qualitative text</v>
      </c>
    </row>
    <row r="7911" spans="1:3" ht="13" x14ac:dyDescent="0.15">
      <c r="A7911" s="1" t="str">
        <f ca="1">IFERROR(__xludf.DUMMYFUNCTION("GOOGLETRANSLATE(A7911, ""zh"", ""en"")"),"CanSino Biologics takes it as its mission to empower customers with high quality and continuously improve user experience in all aspects.")</f>
        <v>CanSino Biologics takes it as its mission to empower customers with high quality and continuously improve user experience in all aspects.</v>
      </c>
      <c r="B7911" s="1" t="str">
        <f ca="1">IFERROR(__xludf.DUMMYFUNCTION("GOOGLETRANSLATE(A7911, ""zh"", ""en"")"),"Customers and Consumers")</f>
        <v>Customers and Consumers</v>
      </c>
      <c r="C7911" s="1" t="str">
        <f ca="1">IFERROR(__xludf.DUMMYFUNCTION("GOOGLETRANSLATE(E7911, ""zh"", ""en"")"),"Qualitative text")</f>
        <v>Qualitative text</v>
      </c>
    </row>
    <row r="7912" spans="1:3" ht="13" x14ac:dyDescent="0.15">
      <c r="A7912" s="1" t="str">
        <f ca="1">IFERROR(__xludf.DUMMYFUNCTION("GOOGLETRANSLATE(A7912, ""zh"", ""en"")"),"In the 2020 customer satisfaction survey, the company's overall customer satisfaction was 4.41, an increase of 4% over the previous year and marking the fifth consecutive year of growth.")</f>
        <v>In the 2020 customer satisfaction survey, the company's overall customer satisfaction was 4.41, an increase of 4% over the previous year and marking the fifth consecutive year of growth.</v>
      </c>
      <c r="B7912" s="1" t="str">
        <f ca="1">IFERROR(__xludf.DUMMYFUNCTION("GOOGLETRANSLATE(A7912, ""zh"", ""en"")"),"Customers and Consumers")</f>
        <v>Customers and Consumers</v>
      </c>
      <c r="C7912" s="1" t="str">
        <f ca="1">IFERROR(__xludf.DUMMYFUNCTION("GOOGLETRANSLATE(E7912, ""zh"", ""en"")"),"Quantitative Text")</f>
        <v>Quantitative Text</v>
      </c>
    </row>
    <row r="7913" spans="1:3" ht="13" x14ac:dyDescent="0.15">
      <c r="A7913" s="1" t="str">
        <f ca="1">IFERROR(__xludf.DUMMYFUNCTION("GOOGLETRANSLATE(A7913, ""zh"", ""en"")"),"Provide customers with honest services, protect the interests of customers, and actively establish a good image of the company in the minds of customers.")</f>
        <v>Provide customers with honest services, protect the interests of customers, and actively establish a good image of the company in the minds of customers.</v>
      </c>
      <c r="B7913" s="1" t="str">
        <f ca="1">IFERROR(__xludf.DUMMYFUNCTION("GOOGLETRANSLATE(A7913, ""zh"", ""en"")"),"Customers and Consumers")</f>
        <v>Customers and Consumers</v>
      </c>
      <c r="C7913" s="1" t="str">
        <f ca="1">IFERROR(__xludf.DUMMYFUNCTION("GOOGLETRANSLATE(E7913, ""zh"", ""en"")"),"Qualitative text")</f>
        <v>Qualitative text</v>
      </c>
    </row>
    <row r="7914" spans="1:3" ht="13" x14ac:dyDescent="0.15">
      <c r="A7914" s="1" t="str">
        <f ca="1">IFERROR(__xludf.DUMMYFUNCTION("GOOGLETRANSLATE(A7914, ""zh"", ""en"")"),"We also have a dedicated after-sales service organization to promptly track and handle any problems with products or services.")</f>
        <v>We also have a dedicated after-sales service organization to promptly track and handle any problems with products or services.</v>
      </c>
      <c r="B7914" s="1" t="str">
        <f ca="1">IFERROR(__xludf.DUMMYFUNCTION("GOOGLETRANSLATE(A7914, ""zh"", ""en"")"),"Customers and Consumers")</f>
        <v>Customers and Consumers</v>
      </c>
      <c r="C7914" s="1" t="str">
        <f ca="1">IFERROR(__xludf.DUMMYFUNCTION("GOOGLETRANSLATE(E7914, ""zh"", ""en"")"),"Qualitative text")</f>
        <v>Qualitative text</v>
      </c>
    </row>
    <row r="7915" spans="1:3" ht="13" x14ac:dyDescent="0.15">
      <c r="A7915" s="1" t="str">
        <f ca="1">IFERROR(__xludf.DUMMYFUNCTION("GOOGLETRANSLATE(A7915, ""zh"", ""en"")"),"Strengthen regular communication with customers, provide customers with feedback channels such as telephone and email, formulate response measures for feedback from customers, consumers and vaccine recipients, solve problems in a timely manner according t"&amp;"o customer requirements, and ensure that customer demands are responded to as soon as possible.")</f>
        <v>Strengthen regular communication with customers, provide customers with feedback channels such as telephone and email, formulate response measures for feedback from customers, consumers and vaccine recipients, solve problems in a timely manner according to customer requirements, and ensure that customer demands are responded to as soon as possible.</v>
      </c>
      <c r="B7915" s="1" t="str">
        <f ca="1">IFERROR(__xludf.DUMMYFUNCTION("GOOGLETRANSLATE(A7915, ""zh"", ""en"")"),"Customers and Consumers")</f>
        <v>Customers and Consumers</v>
      </c>
      <c r="C7915" s="1" t="str">
        <f ca="1">IFERROR(__xludf.DUMMYFUNCTION("GOOGLETRANSLATE(E7915, ""zh"", ""en"")"),"Qualitative text")</f>
        <v>Qualitative text</v>
      </c>
    </row>
    <row r="7916" spans="1:3" ht="13" x14ac:dyDescent="0.15">
      <c r="A7916" s="1" t="str">
        <f ca="1">IFERROR(__xludf.DUMMYFUNCTION("GOOGLETRANSLATE(A7916, ""zh"", ""en"")"),"Winter service activities - Warm Winter Action carries out targeted user care activities based on the characteristics of the winter season, such as free vehicle safety inspections, free vehicle sterilization, free glass defogger, free addition of glass wa"&amp;"sher fluid and antifreeze, etc., to ensure users' winter vehicle safety and enhance user experience.")</f>
        <v>Winter service activities - Warm Winter Action carries out targeted user care activities based on the characteristics of the winter season, such as free vehicle safety inspections, free vehicle sterilization, free glass defogger, free addition of glass washer fluid and antifreeze, etc., to ensure users' winter vehicle safety and enhance user experience.</v>
      </c>
      <c r="B7916" s="1" t="str">
        <f ca="1">IFERROR(__xludf.DUMMYFUNCTION("GOOGLETRANSLATE(A7916, ""zh"", ""en"")"),"Customers and Consumers")</f>
        <v>Customers and Consumers</v>
      </c>
      <c r="C7916" s="1" t="str">
        <f ca="1">IFERROR(__xludf.DUMMYFUNCTION("GOOGLETRANSLATE(E7916, ""zh"", ""en"")"),"Qualitative text")</f>
        <v>Qualitative text</v>
      </c>
    </row>
    <row r="7917" spans="1:3" ht="13" x14ac:dyDescent="0.15">
      <c r="A7917" s="1" t="str">
        <f ca="1">IFERROR(__xludf.DUMMYFUNCTION("GOOGLETRANSLATE(A7917, ""zh"", ""en"")"),"The company focuses on after-sales communication services, cooperates with customers to solve technical problems encountered in product use, provides customers with the latest application technology consultation on molybdenum products, and strictly keeps "&amp;"contract information confidential to protect customer privacy.")</f>
        <v>The company focuses on after-sales communication services, cooperates with customers to solve technical problems encountered in product use, provides customers with the latest application technology consultation on molybdenum products, and strictly keeps contract information confidential to protect customer privacy.</v>
      </c>
      <c r="B7917" s="1" t="str">
        <f ca="1">IFERROR(__xludf.DUMMYFUNCTION("GOOGLETRANSLATE(A7917, ""zh"", ""en"")"),"Customers and Consumers")</f>
        <v>Customers and Consumers</v>
      </c>
      <c r="C7917" s="1" t="str">
        <f ca="1">IFERROR(__xludf.DUMMYFUNCTION("GOOGLETRANSLATE(E7917, ""zh"", ""en"")"),"Qualitative text")</f>
        <v>Qualitative text</v>
      </c>
    </row>
    <row r="7918" spans="1:3" ht="13" x14ac:dyDescent="0.15">
      <c r="A7918" s="1" t="str">
        <f ca="1">IFERROR(__xludf.DUMMYFUNCTION("GOOGLETRANSLATE(A7918, ""zh"", ""en"")"),"Through the system platform, we help engineers across the country provide timely guidance and problem solving for customer issues, and ensure subsequent follow-up and management.")</f>
        <v>Through the system platform, we help engineers across the country provide timely guidance and problem solving for customer issues, and ensure subsequent follow-up and management.</v>
      </c>
      <c r="B7918" s="1" t="str">
        <f ca="1">IFERROR(__xludf.DUMMYFUNCTION("GOOGLETRANSLATE(A7918, ""zh"", ""en"")"),"Customers and Consumers")</f>
        <v>Customers and Consumers</v>
      </c>
      <c r="C7918" s="1" t="str">
        <f ca="1">IFERROR(__xludf.DUMMYFUNCTION("GOOGLETRANSLATE(E7918, ""zh"", ""en"")"),"Qualitative text")</f>
        <v>Qualitative text</v>
      </c>
    </row>
    <row r="7919" spans="1:3" ht="13" x14ac:dyDescent="0.15">
      <c r="A7919" s="1" t="str">
        <f ca="1">IFERROR(__xludf.DUMMYFUNCTION("GOOGLETRANSLATE(A7919, ""zh"", ""en"")"),"The company was awarded the ""ESG Excellent Practice Case of Listed Companies"" by the China Association of Listed Companies.")</f>
        <v>The company was awarded the "ESG Excellent Practice Case of Listed Companies" by the China Association of Listed Companies.</v>
      </c>
      <c r="B7919" s="1" t="str">
        <f ca="1">IFERROR(__xludf.DUMMYFUNCTION("GOOGLETRANSLATE(A7919, ""zh"", ""en"")"),"Sustainable certification")</f>
        <v>Sustainable certification</v>
      </c>
      <c r="C7919" s="1" t="str">
        <f ca="1">IFERROR(__xludf.DUMMYFUNCTION("GOOGLETRANSLATE(E7919, ""zh"", ""en"")"),"Quantitative Text")</f>
        <v>Quantitative Text</v>
      </c>
    </row>
    <row r="7920" spans="1:3" ht="13" x14ac:dyDescent="0.15">
      <c r="A7920" s="1" t="str">
        <f ca="1">IFERROR(__xludf.DUMMYFUNCTION("GOOGLETRANSLATE(A7920, ""zh"", ""en"")"),"ESG practices have been widely recognized by the society. China Life has been rated BBB by the international authoritative rating agency MSCIESG, and is in the leading echelon of the domestic life insurance industry. It has won honors such as ""Golden Bau"&amp;"hinia Award for the Most Investment-worthy High-Quality Development Listed Company"" and ""Asia's Best Life Insurance Company of the Year"", and has embarked on a ""China Life ESG Path"" with Chinese characteristics and in line with international standard"&amp;"s.")</f>
        <v>ESG practices have been widely recognized by the society. China Life has been rated BBB by the international authoritative rating agency MSCIESG, and is in the leading echelon of the domestic life insurance industry. It has won honors such as "Golden Bauhinia Award for the Most Investment-worthy High-Quality Development Listed Company" and "Asia's Best Life Insurance Company of the Year", and has embarked on a "China Life ESG Path" with Chinese characteristics and in line with international standards.</v>
      </c>
      <c r="B7920" s="1" t="str">
        <f ca="1">IFERROR(__xludf.DUMMYFUNCTION("GOOGLETRANSLATE(A7920, ""zh"", ""en"")"),"Sustainable certification")</f>
        <v>Sustainable certification</v>
      </c>
      <c r="C7920" s="1" t="str">
        <f ca="1">IFERROR(__xludf.DUMMYFUNCTION("GOOGLETRANSLATE(E7920, ""zh"", ""en"")"),"Quantitative Text")</f>
        <v>Quantitative Text</v>
      </c>
    </row>
    <row r="7921" spans="1:3" ht="13" x14ac:dyDescent="0.15">
      <c r="A7921" s="1" t="str">
        <f ca="1">IFERROR(__xludf.DUMMYFUNCTION("GOOGLETRANSLATE(A7921, ""zh"", ""en"")"),"The key ESG-related performance indicators for 2022 disclosed in this report have been independently attested by Ernst &amp; Young Hua Ming LLP.")</f>
        <v>The key ESG-related performance indicators for 2022 disclosed in this report have been independently attested by Ernst &amp; Young Hua Ming LLP.</v>
      </c>
      <c r="B7921" s="1" t="str">
        <f ca="1">IFERROR(__xludf.DUMMYFUNCTION("GOOGLETRANSLATE(A7921, ""zh"", ""en"")"),"Sustainable certification")</f>
        <v>Sustainable certification</v>
      </c>
      <c r="C7921" s="1" t="str">
        <f ca="1">IFERROR(__xludf.DUMMYFUNCTION("GOOGLETRANSLATE(E7921, ""zh"", ""en"")"),"Qualitative text")</f>
        <v>Qualitative text</v>
      </c>
    </row>
    <row r="7922" spans="1:3" ht="13" x14ac:dyDescent="0.15">
      <c r="A7922" s="1" t="str">
        <f ca="1">IFERROR(__xludf.DUMMYFUNCTION("GOOGLETRANSLATE(A7922, ""zh"", ""en"")"),"""Best ESG"" Award at the 2022 Golden Kylin Overseas Investment Forum and Best Listed Companies in Hong Kong and US Stocks")</f>
        <v>"Best ESG" Award at the 2022 Golden Kylin Overseas Investment Forum and Best Listed Companies in Hong Kong and US Stocks</v>
      </c>
      <c r="B7922" s="1" t="str">
        <f ca="1">IFERROR(__xludf.DUMMYFUNCTION("GOOGLETRANSLATE(A7922, ""zh"", ""en"")"),"Sustainable certification")</f>
        <v>Sustainable certification</v>
      </c>
      <c r="C7922" s="1" t="str">
        <f ca="1">IFERROR(__xludf.DUMMYFUNCTION("GOOGLETRANSLATE(E7922, ""zh"", ""en"")"),"Quantitative Text")</f>
        <v>Quantitative Text</v>
      </c>
    </row>
    <row r="7923" spans="1:3" ht="13" x14ac:dyDescent="0.15">
      <c r="A7923" s="1" t="str">
        <f ca="1">IFERROR(__xludf.DUMMYFUNCTION("GOOGLETRANSLATE(A7923, ""zh"", ""en"")"),"Won the ""ESG Financial Pioneer of the Year Award"" at the 13th China Golden Tripod Awards hosted by the National Business Daily.")</f>
        <v>Won the "ESG Financial Pioneer of the Year Award" at the 13th China Golden Tripod Awards hosted by the National Business Daily.</v>
      </c>
      <c r="B7923" s="1" t="str">
        <f ca="1">IFERROR(__xludf.DUMMYFUNCTION("GOOGLETRANSLATE(A7923, ""zh"", ""en"")"),"Sustainable certification")</f>
        <v>Sustainable certification</v>
      </c>
      <c r="C7923" s="1" t="str">
        <f ca="1">IFERROR(__xludf.DUMMYFUNCTION("GOOGLETRANSLATE(E7923, ""zh"", ""en"")"),"Quantitative Text")</f>
        <v>Quantitative Text</v>
      </c>
    </row>
    <row r="7924" spans="1:3" ht="13" x14ac:dyDescent="0.15">
      <c r="A7924" s="1" t="str">
        <f ca="1">IFERROR(__xludf.DUMMYFUNCTION("GOOGLETRANSLATE(A7924, ""zh"", ""en"")"),"In July 2022, Shenzhen Securities Information Co., Ltd., a wholly-owned subsidiary of the Shenzhen Stock Exchange, launched the Guosen ESG Rating, rating Muyuan's ESG performance as AA, placing it at the forefront of the industry (agricultural, animal hus"&amp;"bandry and fishery products). This is an encouragement for us and a new starting point.")</f>
        <v>In July 2022, Shenzhen Securities Information Co., Ltd., a wholly-owned subsidiary of the Shenzhen Stock Exchange, launched the Guosen ESG Rating, rating Muyuan's ESG performance as AA, placing it at the forefront of the industry (agricultural, animal husbandry and fishery products). This is an encouragement for us and a new starting point.</v>
      </c>
      <c r="B7924" s="1" t="str">
        <f ca="1">IFERROR(__xludf.DUMMYFUNCTION("GOOGLETRANSLATE(A7924, ""zh"", ""en"")"),"Sustainable certification")</f>
        <v>Sustainable certification</v>
      </c>
      <c r="C7924" s="1" t="str">
        <f ca="1">IFERROR(__xludf.DUMMYFUNCTION("GOOGLETRANSLATE(E7924, ""zh"", ""en"")"),"Quantitative Text")</f>
        <v>Quantitative Text</v>
      </c>
    </row>
    <row r="7925" spans="1:3" ht="13" x14ac:dyDescent="0.15">
      <c r="A7925" s="1" t="str">
        <f ca="1">IFERROR(__xludf.DUMMYFUNCTION("GOOGLETRANSLATE(A7925, ""zh"", ""en"")"),"CRRC Corporation Limited has decided to further strengthen the company's social responsibility and ESG work during the 14th Five-Year Plan period, requiring that within four to five years, CRRC's ESG mainstream rating level will reach the forefront of the"&amp;" industry and lead among central enterprises.")</f>
        <v>CRRC Corporation Limited has decided to further strengthen the company's social responsibility and ESG work during the 14th Five-Year Plan period, requiring that within four to five years, CRRC's ESG mainstream rating level will reach the forefront of the industry and lead among central enterprises.</v>
      </c>
      <c r="B7925" s="1" t="str">
        <f ca="1">IFERROR(__xludf.DUMMYFUNCTION("GOOGLETRANSLATE(A7925, ""zh"", ""en"")"),"Sustainable certification")</f>
        <v>Sustainable certification</v>
      </c>
      <c r="C7925" s="1" t="str">
        <f ca="1">IFERROR(__xludf.DUMMYFUNCTION("GOOGLETRANSLATE(E7925, ""zh"", ""en"")"),"Qualitative text")</f>
        <v>Qualitative text</v>
      </c>
    </row>
    <row r="7926" spans="1:3" ht="13" x14ac:dyDescent="0.15">
      <c r="A7926" s="1" t="str">
        <f ca="1">IFERROR(__xludf.DUMMYFUNCTION("GOOGLETRANSLATE(A7926, ""zh"", ""en"")"),"In 2022, China Capital Environmental Protection Group continued to make efforts in ESG and achieved fruitful results. It achieved significant improvements in multiple international ratings and achieved an industry-leading position.")</f>
        <v>In 2022, China Capital Environmental Protection Group continued to make efforts in ESG and achieved fruitful results. It achieved significant improvements in multiple international ratings and achieved an industry-leading position.</v>
      </c>
      <c r="B7926" s="1" t="str">
        <f ca="1">IFERROR(__xludf.DUMMYFUNCTION("GOOGLETRANSLATE(A7926, ""zh"", ""en"")"),"Sustainable certification")</f>
        <v>Sustainable certification</v>
      </c>
      <c r="C7926" s="1" t="str">
        <f ca="1">IFERROR(__xludf.DUMMYFUNCTION("GOOGLETRANSLATE(E7926, ""zh"", ""en"")"),"Qualitative text")</f>
        <v>Qualitative text</v>
      </c>
    </row>
    <row r="7927" spans="1:3" ht="13" x14ac:dyDescent="0.15">
      <c r="A7927" s="1" t="str">
        <f ca="1">IFERROR(__xludf.DUMMYFUNCTION("GOOGLETRANSLATE(A7927, ""zh"", ""en"")"),"In 2022, the company won the title of ""Leading Enterprise in Social Responsibility"" for the fourth time, was once again selected into the ""Top 100 ESG A-Share Companies"" list of Securities Times, and was successfully selected into the ""Central Enterp"&amp;"rises ESG and Governance Pioneer 50 Index"" of the Fifth China Enterprise Forum, demonstrating China National Machinery Industry Corporation's commitment to international social responsibility.")</f>
        <v>In 2022, the company won the title of "Leading Enterprise in Social Responsibility" for the fourth time, was once again selected into the "Top 100 ESG A-Share Companies" list of Securities Times, and was successfully selected into the "Central Enterprises ESG and Governance Pioneer 50 Index" of the Fifth China Enterprise Forum, demonstrating China National Machinery Industry Corporation's commitment to international social responsibility.</v>
      </c>
      <c r="B7927" s="1" t="str">
        <f ca="1">IFERROR(__xludf.DUMMYFUNCTION("GOOGLETRANSLATE(A7927, ""zh"", ""en"")"),"Sustainable certification")</f>
        <v>Sustainable certification</v>
      </c>
      <c r="C7927" s="1" t="str">
        <f ca="1">IFERROR(__xludf.DUMMYFUNCTION("GOOGLETRANSLATE(E7927, ""zh"", ""en"")"),"Quantitative Text")</f>
        <v>Quantitative Text</v>
      </c>
    </row>
    <row r="7928" spans="1:3" ht="13" x14ac:dyDescent="0.15">
      <c r="A7928" s="1" t="str">
        <f ca="1">IFERROR(__xludf.DUMMYFUNCTION("GOOGLETRANSLATE(A7928, ""zh"", ""en"")"),"In 2022, the Shenzhen Stock Exchange released the 2021 information disclosure work assessment results of GEM-listed companies. The company received the best Class A rating, which is also the first Class A rating it has obtained since its listing. This ind"&amp;"icates that the company's continuous efforts to improve its governance level and information disclosure quality have been recognized by regulators.")</f>
        <v>In 2022, the Shenzhen Stock Exchange released the 2021 information disclosure work assessment results of GEM-listed companies. The company received the best Class A rating, which is also the first Class A rating it has obtained since its listing. This indicates that the company's continuous efforts to improve its governance level and information disclosure quality have been recognized by regulators.</v>
      </c>
      <c r="B7928" s="1" t="str">
        <f ca="1">IFERROR(__xludf.DUMMYFUNCTION("GOOGLETRANSLATE(A7928, ""zh"", ""en"")"),"Sustainable certification")</f>
        <v>Sustainable certification</v>
      </c>
      <c r="C7928" s="1" t="str">
        <f ca="1">IFERROR(__xludf.DUMMYFUNCTION("GOOGLETRANSLATE(E7928, ""zh"", ""en"")"),"Quantitative Text")</f>
        <v>Quantitative Text</v>
      </c>
    </row>
    <row r="7929" spans="1:3" ht="13" x14ac:dyDescent="0.15">
      <c r="A7929" s="1" t="str">
        <f ca="1">IFERROR(__xludf.DUMMYFUNCTION("GOOGLETRANSLATE(A7929, ""zh"", ""en"")"),"Our ESG promotion work has been widely recognized, and we have been awarded an A rating by WindESG, a well-known financial data agency;")</f>
        <v>Our ESG promotion work has been widely recognized, and we have been awarded an A rating by WindESG, a well-known financial data agency;</v>
      </c>
      <c r="B7929" s="1" t="str">
        <f ca="1">IFERROR(__xludf.DUMMYFUNCTION("GOOGLETRANSLATE(A7929, ""zh"", ""en"")"),"Sustainable certification")</f>
        <v>Sustainable certification</v>
      </c>
      <c r="C7929" s="1" t="str">
        <f ca="1">IFERROR(__xludf.DUMMYFUNCTION("GOOGLETRANSLATE(E7929, ""zh"", ""en"")"),"Quantitative Text")</f>
        <v>Quantitative Text</v>
      </c>
    </row>
    <row r="7930" spans="1:3" ht="13" x14ac:dyDescent="0.15">
      <c r="A7930" s="1" t="str">
        <f ca="1">IFERROR(__xludf.DUMMYFUNCTION("GOOGLETRANSLATE(A7930, ""zh"", ""en"")"),"The rating of SynTao Green Finance, a leading domestic ESG rating agency, was upgraded from B last year to B+;")</f>
        <v>The rating of SynTao Green Finance, a leading domestic ESG rating agency, was upgraded from B last year to B+;</v>
      </c>
      <c r="B7930" s="1" t="str">
        <f ca="1">IFERROR(__xludf.DUMMYFUNCTION("GOOGLETRANSLATE(A7930, ""zh"", ""en"")"),"Sustainable certification")</f>
        <v>Sustainable certification</v>
      </c>
      <c r="C7930" s="1" t="str">
        <f ca="1">IFERROR(__xludf.DUMMYFUNCTION("GOOGLETRANSLATE(E7930, ""zh"", ""en"")"),"Quantitative Text")</f>
        <v>Quantitative Text</v>
      </c>
    </row>
    <row r="7931" spans="1:3" ht="13" x14ac:dyDescent="0.15">
      <c r="A7931" s="1" t="str">
        <f ca="1">IFERROR(__xludf.DUMMYFUNCTION("GOOGLETRANSLATE(A7931, ""zh"", ""en"")"),"We are also ranked among the top three in the daily chemical industry in China's Corporate Social Responsibility Development Index and first among local companies.")</f>
        <v>We are also ranked among the top three in the daily chemical industry in China's Corporate Social Responsibility Development Index and first among local companies.</v>
      </c>
      <c r="B7931" s="1" t="str">
        <f ca="1">IFERROR(__xludf.DUMMYFUNCTION("GOOGLETRANSLATE(A7931, ""zh"", ""en"")"),"Sustainable certification")</f>
        <v>Sustainable certification</v>
      </c>
      <c r="C7931" s="1" t="str">
        <f ca="1">IFERROR(__xludf.DUMMYFUNCTION("GOOGLETRANSLATE(E7931, ""zh"", ""en"")"),"Qualitative text")</f>
        <v>Qualitative text</v>
      </c>
    </row>
    <row r="7932" spans="1:3" ht="13" x14ac:dyDescent="0.15">
      <c r="A7932" s="1" t="str">
        <f ca="1">IFERROR(__xludf.DUMMYFUNCTION("GOOGLETRANSLATE(A7932, ""zh"", ""en"")"),"2022 China Listed Company ESG Rating ""AA"" Rating (the only company in the water conservancy, environment and public facilities management industry)")</f>
        <v>2022 China Listed Company ESG Rating "AA" Rating (the only company in the water conservancy, environment and public facilities management industry)</v>
      </c>
      <c r="B7932" s="1" t="str">
        <f ca="1">IFERROR(__xludf.DUMMYFUNCTION("GOOGLETRANSLATE(A7932, ""zh"", ""en"")"),"Sustainable certification")</f>
        <v>Sustainable certification</v>
      </c>
      <c r="C7932" s="1" t="str">
        <f ca="1">IFERROR(__xludf.DUMMYFUNCTION("GOOGLETRANSLATE(E7932, ""zh"", ""en"")"),"Quantitative Text")</f>
        <v>Quantitative Text</v>
      </c>
    </row>
    <row r="7933" spans="1:3" ht="13" x14ac:dyDescent="0.15">
      <c r="A7933" s="1" t="str">
        <f ca="1">IFERROR(__xludf.DUMMYFUNCTION("GOOGLETRANSLATE(A7933, ""zh"", ""en"")"),"Selected as one of the ""ESG Excellent Practice Cases of Listed Companies (2022)""")</f>
        <v>Selected as one of the "ESG Excellent Practice Cases of Listed Companies (2022)"</v>
      </c>
      <c r="B7933" s="1" t="str">
        <f ca="1">IFERROR(__xludf.DUMMYFUNCTION("GOOGLETRANSLATE(A7933, ""zh"", ""en"")"),"Sustainable certification")</f>
        <v>Sustainable certification</v>
      </c>
      <c r="C7933" s="1" t="str">
        <f ca="1">IFERROR(__xludf.DUMMYFUNCTION("GOOGLETRANSLATE(E7933, ""zh"", ""en"")"),"Qualitative text")</f>
        <v>Qualitative text</v>
      </c>
    </row>
    <row r="7934" spans="1:3" ht="13" x14ac:dyDescent="0.15">
      <c r="A7934" s="1" t="str">
        <f ca="1">IFERROR(__xludf.DUMMYFUNCTION("GOOGLETRANSLATE(A7934, ""zh"", ""en"")"),"Baosteel Co., Ltd. was the first unit in China's metallurgical industry to pass the ISO14001 environmental standard certification, and was among the first to pass the national energy management system standard GB/T23331-2009 certification in 2010.")</f>
        <v>Baosteel Co., Ltd. was the first unit in China's metallurgical industry to pass the ISO14001 environmental standard certification, and was among the first to pass the national energy management system standard GB/T23331-2009 certification in 2010.</v>
      </c>
      <c r="B7934" s="1" t="str">
        <f ca="1">IFERROR(__xludf.DUMMYFUNCTION("GOOGLETRANSLATE(A7934, ""zh"", ""en"")"),"Sustainable certification")</f>
        <v>Sustainable certification</v>
      </c>
      <c r="C7934" s="1" t="str">
        <f ca="1">IFERROR(__xludf.DUMMYFUNCTION("GOOGLETRANSLATE(E7934, ""zh"", ""en"")"),"Qualitative text")</f>
        <v>Qualitative text</v>
      </c>
    </row>
    <row r="7935" spans="1:3" ht="13" x14ac:dyDescent="0.15">
      <c r="A7935" s="1" t="str">
        <f ca="1">IFERROR(__xludf.DUMMYFUNCTION("GOOGLETRANSLATE(A7935, ""zh"", ""en"")"),"The company is one of the first enterprises in China to be awarded the titles of ""National Environmentally Friendly Enterprise"", ""Clean Production and Environmentally Friendly Enterprise"" in China's steel industry, and ""China Green Company"" benchmar"&amp;"k by the China Entrepreneurs Association.")</f>
        <v>The company is one of the first enterprises in China to be awarded the titles of "National Environmentally Friendly Enterprise", "Clean Production and Environmentally Friendly Enterprise" in China's steel industry, and "China Green Company" benchmark by the China Entrepreneurs Association.</v>
      </c>
      <c r="B7935" s="1" t="str">
        <f ca="1">IFERROR(__xludf.DUMMYFUNCTION("GOOGLETRANSLATE(A7935, ""zh"", ""en"")"),"Sustainable certification")</f>
        <v>Sustainable certification</v>
      </c>
      <c r="C7935" s="1" t="str">
        <f ca="1">IFERROR(__xludf.DUMMYFUNCTION("GOOGLETRANSLATE(E7935, ""zh"", ""en"")"),"Quantitative Text")</f>
        <v>Quantitative Text</v>
      </c>
    </row>
    <row r="7936" spans="1:3" ht="13" x14ac:dyDescent="0.15">
      <c r="A7936" s="1" t="str">
        <f ca="1">IFERROR(__xludf.DUMMYFUNCTION("GOOGLETRANSLATE(A7936, ""zh"", ""en"")"),"At the 2019 Caijing Sustainable Development Finance Summit and the 3rd Evergreen Award Ceremony, Baosteel Group won the Evergreen Award - Sustainable Development Green Award.")</f>
        <v>At the 2019 Caijing Sustainable Development Finance Summit and the 3rd Evergreen Award Ceremony, Baosteel Group won the Evergreen Award - Sustainable Development Green Award.</v>
      </c>
      <c r="B7936" s="1" t="str">
        <f ca="1">IFERROR(__xludf.DUMMYFUNCTION("GOOGLETRANSLATE(A7936, ""zh"", ""en"")"),"Sustainable certification")</f>
        <v>Sustainable certification</v>
      </c>
      <c r="C7936" s="1" t="str">
        <f ca="1">IFERROR(__xludf.DUMMYFUNCTION("GOOGLETRANSLATE(E7936, ""zh"", ""en"")"),"Quantitative Text")</f>
        <v>Quantitative Text</v>
      </c>
    </row>
    <row r="7937" spans="1:3" ht="13" x14ac:dyDescent="0.15">
      <c r="A7937" s="1" t="str">
        <f ca="1">IFERROR(__xludf.DUMMYFUNCTION("GOOGLETRANSLATE(A7937, ""zh"", ""en"")"),"2019 China Enterprise ESG ""Golden Responsibility Award"" Best Social (S) Responsibility Award, Annual Outstanding Sustainable Development Enterprise")</f>
        <v>2019 China Enterprise ESG "Golden Responsibility Award" Best Social (S) Responsibility Award, Annual Outstanding Sustainable Development Enterprise</v>
      </c>
      <c r="B7937" s="1" t="str">
        <f ca="1">IFERROR(__xludf.DUMMYFUNCTION("GOOGLETRANSLATE(A7937, ""zh"", ""en"")"),"Sustainable certification")</f>
        <v>Sustainable certification</v>
      </c>
      <c r="C7937" s="1" t="str">
        <f ca="1">IFERROR(__xludf.DUMMYFUNCTION("GOOGLETRANSLATE(E7937, ""zh"", ""en"")"),"Quantitative Text")</f>
        <v>Quantitative Text</v>
      </c>
    </row>
    <row r="7938" spans="1:3" ht="13" x14ac:dyDescent="0.15">
      <c r="A7938" s="1" t="str">
        <f ca="1">IFERROR(__xludf.DUMMYFUNCTION("GOOGLETRANSLATE(A7938, ""zh"", ""en"")"),"The company's 2021 ESG report received an AA rating in the ""One Thousand Excellent Corporate Social Responsibility Reports of Industry and Information Technology""")</f>
        <v>The company's 2021 ESG report received an AA rating in the "One Thousand Excellent Corporate Social Responsibility Reports of Industry and Information Technology"</v>
      </c>
      <c r="B7938" s="1" t="str">
        <f ca="1">IFERROR(__xludf.DUMMYFUNCTION("GOOGLETRANSLATE(A7938, ""zh"", ""en"")"),"Sustainable certification")</f>
        <v>Sustainable certification</v>
      </c>
      <c r="C7938" s="1" t="str">
        <f ca="1">IFERROR(__xludf.DUMMYFUNCTION("GOOGLETRANSLATE(E7938, ""zh"", ""en"")"),"Quantitative Text")</f>
        <v>Quantitative Text</v>
      </c>
    </row>
    <row r="7939" spans="1:3" ht="13" x14ac:dyDescent="0.15">
      <c r="A7939" s="1" t="str">
        <f ca="1">IFERROR(__xludf.DUMMYFUNCTION("GOOGLETRANSLATE(A7939, ""zh"", ""en"")"),"MSCI-ESG rating BB")</f>
        <v>MSCI-ESG rating BB</v>
      </c>
      <c r="B7939" s="1" t="str">
        <f ca="1">IFERROR(__xludf.DUMMYFUNCTION("GOOGLETRANSLATE(A7939, ""zh"", ""en"")"),"Sustainable certification")</f>
        <v>Sustainable certification</v>
      </c>
      <c r="C7939" s="1" t="str">
        <f ca="1">IFERROR(__xludf.DUMMYFUNCTION("GOOGLETRANSLATE(E7939, ""zh"", ""en"")"),"Quantitative Text")</f>
        <v>Quantitative Text</v>
      </c>
    </row>
    <row r="7940" spans="1:3" ht="13" x14ac:dyDescent="0.15">
      <c r="A7940" s="1" t="str">
        <f ca="1">IFERROR(__xludf.DUMMYFUNCTION("GOOGLETRANSLATE(A7940, ""zh"", ""en"")"),"No. 1 in the 2020 Socially Responsible Enterprise Ranking")</f>
        <v>No. 1 in the 2020 Socially Responsible Enterprise Ranking</v>
      </c>
      <c r="B7940" s="1" t="str">
        <f ca="1">IFERROR(__xludf.DUMMYFUNCTION("GOOGLETRANSLATE(A7940, ""zh"", ""en"")"),"Sustainable certification")</f>
        <v>Sustainable certification</v>
      </c>
      <c r="C7940" s="1" t="str">
        <f ca="1">IFERROR(__xludf.DUMMYFUNCTION("GOOGLETRANSLATE(E7940, ""zh"", ""en"")"),"Quantitative Text")</f>
        <v>Quantitative Text</v>
      </c>
    </row>
    <row r="7941" spans="1:3" ht="13" x14ac:dyDescent="0.15">
      <c r="A7941" s="1" t="str">
        <f ca="1">IFERROR(__xludf.DUMMYFUNCTION("GOOGLETRANSLATE(A7941, ""zh"", ""en"")"),"This report also refers to and responds to Morgan Stanley Capital International's ESG rating report on the Company (i.e., MSCIESG rating), and quotes some recommendations from the ISO 26000 Guidance on Social Responsibility (ISO 26000?2010 Guidance on Soc"&amp;"ial Responsibility) issued by the ISO/TC260 Technical Committee on Social Responsibility under the International Organization for Standardization (ISO) and the Standardization Administration of China.")</f>
        <v>This report also refers to and responds to Morgan Stanley Capital International's ESG rating report on the Company (i.e., MSCIESG rating), and quotes some recommendations from the ISO 26000 Guidance on Social Responsibility (ISO 26000?2010 Guidance on Social Responsibility) issued by the ISO/TC260 Technical Committee on Social Responsibility under the International Organization for Standardization (ISO) and the Standardization Administration of China.</v>
      </c>
      <c r="B7941" s="1" t="str">
        <f ca="1">IFERROR(__xludf.DUMMYFUNCTION("GOOGLETRANSLATE(A7941, ""zh"", ""en"")"),"Sustainable certification")</f>
        <v>Sustainable certification</v>
      </c>
      <c r="C7941" s="1" t="str">
        <f ca="1">IFERROR(__xludf.DUMMYFUNCTION("GOOGLETRANSLATE(E7941, ""zh"", ""en"")"),"Qualitative text")</f>
        <v>Qualitative text</v>
      </c>
    </row>
    <row r="7942" spans="1:3" ht="13" x14ac:dyDescent="0.15">
      <c r="A7942" s="1" t="str">
        <f ca="1">IFERROR(__xludf.DUMMYFUNCTION("GOOGLETRANSLATE(A7942, ""zh"", ""en"")"),"The company passed ISO500012018 energy management system certification")</f>
        <v>The company passed ISO500012018 energy management system certification</v>
      </c>
      <c r="B7942" s="1" t="str">
        <f ca="1">IFERROR(__xludf.DUMMYFUNCTION("GOOGLETRANSLATE(A7942, ""zh"", ""en"")"),"Sustainable certification")</f>
        <v>Sustainable certification</v>
      </c>
      <c r="C7942" s="1" t="str">
        <f ca="1">IFERROR(__xludf.DUMMYFUNCTION("GOOGLETRANSLATE(E7942, ""zh"", ""en"")"),"Qualitative text")</f>
        <v>Qualitative text</v>
      </c>
    </row>
    <row r="7943" spans="1:3" ht="13" x14ac:dyDescent="0.15">
      <c r="A7943" s="1" t="str">
        <f ca="1">IFERROR(__xludf.DUMMYFUNCTION("GOOGLETRANSLATE(A7943, ""zh"", ""en"")"),"Aimei implements scientific management and has passed ISO14001 environmental management system and ISO45001 occupational health and safety management system certification")</f>
        <v>Aimei implements scientific management and has passed ISO14001 environmental management system and ISO45001 occupational health and safety management system certification</v>
      </c>
      <c r="B7943" s="1" t="str">
        <f ca="1">IFERROR(__xludf.DUMMYFUNCTION("GOOGLETRANSLATE(A7943, ""zh"", ""en"")"),"Sustainable certification")</f>
        <v>Sustainable certification</v>
      </c>
      <c r="C7943" s="1" t="str">
        <f ca="1">IFERROR(__xludf.DUMMYFUNCTION("GOOGLETRANSLATE(E7943, ""zh"", ""en"")"),"Qualitative text")</f>
        <v>Qualitative text</v>
      </c>
    </row>
    <row r="7944" spans="1:3" ht="13" x14ac:dyDescent="0.15">
      <c r="A7944" s="1" t="str">
        <f ca="1">IFERROR(__xludf.DUMMYFUNCTION("GOOGLETRANSLATE(A7944, ""zh"", ""en"")"),"The project ""Key Technologies and Applications for the Design and Preparation of Low Environmental Load Urban Cement"" in which the company participated won the first prize of Beijing Science and Technology Progress Award;")</f>
        <v>The project "Key Technologies and Applications for the Design and Preparation of Low Environmental Load Urban Cement" in which the company participated won the first prize of Beijing Science and Technology Progress Award;</v>
      </c>
      <c r="B7944" s="1" t="str">
        <f ca="1">IFERROR(__xludf.DUMMYFUNCTION("GOOGLETRANSLATE(A7944, ""zh"", ""en"")"),"Technological innovation")</f>
        <v>Technological innovation</v>
      </c>
      <c r="C7944" s="1" t="str">
        <f ca="1">IFERROR(__xludf.DUMMYFUNCTION("GOOGLETRANSLATE(E7944, ""zh"", ""en"")"),"Quantitative Text")</f>
        <v>Quantitative Text</v>
      </c>
    </row>
    <row r="7945" spans="1:3" ht="13" x14ac:dyDescent="0.15">
      <c r="A7945" s="1" t="str">
        <f ca="1">IFERROR(__xludf.DUMMYFUNCTION("GOOGLETRANSLATE(A7945, ""zh"", ""en"")"),"In terms of environmental protection, the company applied for 3 utility model patents and 4 invention patents throughout the year, and obtained 12 patent authorizations.")</f>
        <v>In terms of environmental protection, the company applied for 3 utility model patents and 4 invention patents throughout the year, and obtained 12 patent authorizations.</v>
      </c>
      <c r="B7945" s="1" t="str">
        <f ca="1">IFERROR(__xludf.DUMMYFUNCTION("GOOGLETRANSLATE(A7945, ""zh"", ""en"")"),"Technological innovation")</f>
        <v>Technological innovation</v>
      </c>
      <c r="C7945" s="1" t="str">
        <f ca="1">IFERROR(__xludf.DUMMYFUNCTION("GOOGLETRANSLATE(E7945, ""zh"", ""en"")"),"Quantitative Text")</f>
        <v>Quantitative Text</v>
      </c>
    </row>
    <row r="7946" spans="1:3" ht="13" x14ac:dyDescent="0.15">
      <c r="A7946" s="1" t="str">
        <f ca="1">IFERROR(__xludf.DUMMYFUNCTION("GOOGLETRANSLATE(A7946, ""zh"", ""en"")"),"With Shanghai Pharmaceutical Technology Innovation Center as the core, we focus on the research and development of high-end generic drugs and improved new drugs, and create innovative technology platforms such as inhalation preparations, sustained-release"&amp;" preparations, orally dissolving films, complex injections, and raw materials.")</f>
        <v>With Shanghai Pharmaceutical Technology Innovation Center as the core, we focus on the research and development of high-end generic drugs and improved new drugs, and create innovative technology platforms such as inhalation preparations, sustained-release preparations, orally dissolving films, complex injections, and raw materials.</v>
      </c>
      <c r="B7946" s="1" t="str">
        <f ca="1">IFERROR(__xludf.DUMMYFUNCTION("GOOGLETRANSLATE(A7946, ""zh"", ""en"")"),"Technological innovation")</f>
        <v>Technological innovation</v>
      </c>
      <c r="C7946" s="1" t="str">
        <f ca="1">IFERROR(__xludf.DUMMYFUNCTION("GOOGLETRANSLATE(E7946, ""zh"", ""en"")"),"Qualitative text")</f>
        <v>Qualitative text</v>
      </c>
    </row>
    <row r="7947" spans="1:3" ht="13" x14ac:dyDescent="0.15">
      <c r="A7947" s="1" t="str">
        <f ca="1">IFERROR(__xludf.DUMMYFUNCTION("GOOGLETRANSLATE(A7947, ""zh"", ""en"")"),"In the field of traditional Chinese medicine, the company, with Shanghai Pharmaceuticals Institute of Traditional Chinese Medicine as its core, adheres to the principle of maintaining integrity and making innovations, establishes an evaluation path orient"&amp;"ed towards clinical value around safety, efficacy, quality and accessibility, and uses modern drug research methods to accelerate the secondary development of existing specialty Chinese medicine varieties such as Babaodan, Guanxinning, Weifuchun, and Yuxu"&amp;"ebi, cultivate major Chinese medicine varieties, and continuously enhance the technological competitiveness of products.")</f>
        <v>In the field of traditional Chinese medicine, the company, with Shanghai Pharmaceuticals Institute of Traditional Chinese Medicine as its core, adheres to the principle of maintaining integrity and making innovations, establishes an evaluation path oriented towards clinical value around safety, efficacy, quality and accessibility, and uses modern drug research methods to accelerate the secondary development of existing specialty Chinese medicine varieties such as Babaodan, Guanxinning, Weifuchun, and Yuxuebi, cultivate major Chinese medicine varieties, and continuously enhance the technological competitiveness of products.</v>
      </c>
      <c r="B7947" s="1" t="str">
        <f ca="1">IFERROR(__xludf.DUMMYFUNCTION("GOOGLETRANSLATE(A7947, ""zh"", ""en"")"),"Technological innovation")</f>
        <v>Technological innovation</v>
      </c>
      <c r="C7947" s="1" t="str">
        <f ca="1">IFERROR(__xludf.DUMMYFUNCTION("GOOGLETRANSLATE(E7947, ""zh"", ""en"")"),"Qualitative text")</f>
        <v>Qualitative text</v>
      </c>
    </row>
    <row r="7948" spans="1:3" ht="13" x14ac:dyDescent="0.15">
      <c r="A7948" s="1" t="str">
        <f ca="1">IFERROR(__xludf.DUMMYFUNCTION("GOOGLETRANSLATE(A7948, ""zh"", ""en"")"),"At the same time, as the country actively promotes the construction of the Shanghai Lingang New Area, the company, as one of the first companies to move in, is accelerating the construction of the Lingang Big Health International Pharmaceutical Supply Cha"&amp;"in Industrial Park. By leveraging the industrial advantages of the Lingang New Area, it will further strengthen its industrial innovation capabilities and consolidate the company's leading position in pharmaceutical imports and exports.")</f>
        <v>At the same time, as the country actively promotes the construction of the Shanghai Lingang New Area, the company, as one of the first companies to move in, is accelerating the construction of the Lingang Big Health International Pharmaceutical Supply Chain Industrial Park. By leveraging the industrial advantages of the Lingang New Area, it will further strengthen its industrial innovation capabilities and consolidate the company's leading position in pharmaceutical imports and exports.</v>
      </c>
      <c r="B7948" s="1" t="str">
        <f ca="1">IFERROR(__xludf.DUMMYFUNCTION("GOOGLETRANSLATE(A7948, ""zh"", ""en"")"),"Technological innovation")</f>
        <v>Technological innovation</v>
      </c>
      <c r="C7948" s="1" t="str">
        <f ca="1">IFERROR(__xludf.DUMMYFUNCTION("GOOGLETRANSLATE(E7948, ""zh"", ""en"")"),"Qualitative text")</f>
        <v>Qualitative text</v>
      </c>
    </row>
    <row r="7949" spans="1:3" ht="13" x14ac:dyDescent="0.15">
      <c r="A7949" s="1" t="str">
        <f ca="1">IFERROR(__xludf.DUMMYFUNCTION("GOOGLETRANSLATE(A7949, ""zh"", ""en"")"),"As the ""Industry 4.0"" era continues to move forward, the company continues to focus on key areas such as sensors and high-speed networks, high-end manufacturing, cloud computing and big data, effectively encouraging R&amp;D and innovation to build an intell"&amp;"igent manufacturing system.")</f>
        <v>As the "Industry 4.0" era continues to move forward, the company continues to focus on key areas such as sensors and high-speed networks, high-end manufacturing, cloud computing and big data, effectively encouraging R&amp;D and innovation to build an intelligent manufacturing system.</v>
      </c>
      <c r="B7949" s="1" t="str">
        <f ca="1">IFERROR(__xludf.DUMMYFUNCTION("GOOGLETRANSLATE(A7949, ""zh"", ""en"")"),"Technological innovation")</f>
        <v>Technological innovation</v>
      </c>
      <c r="C7949" s="1" t="str">
        <f ca="1">IFERROR(__xludf.DUMMYFUNCTION("GOOGLETRANSLATE(E7949, ""zh"", ""en"")"),"Qualitative text")</f>
        <v>Qualitative text</v>
      </c>
    </row>
    <row r="7950" spans="1:3" ht="13" x14ac:dyDescent="0.15">
      <c r="A7950" s="1" t="str">
        <f ca="1">IFERROR(__xludf.DUMMYFUNCTION("GOOGLETRANSLATE(A7950, ""zh"", ""en"")"),"The company attaches great importance to R&amp;D work, continuously increases R&amp;D investment, and at the same time vigorously introduces high-level talents with solid theoretical foundation and rich experience to improve independent R&amp;D capabilities and innov"&amp;"ation capabilities, providing strong guarantees for the company's determination to deeply cultivate the sustainable development of the new materials industry.")</f>
        <v>The company attaches great importance to R&amp;D work, continuously increases R&amp;D investment, and at the same time vigorously introduces high-level talents with solid theoretical foundation and rich experience to improve independent R&amp;D capabilities and innovation capabilities, providing strong guarantees for the company's determination to deeply cultivate the sustainable development of the new materials industry.</v>
      </c>
      <c r="B7950" s="1" t="str">
        <f ca="1">IFERROR(__xludf.DUMMYFUNCTION("GOOGLETRANSLATE(A7950, ""zh"", ""en"")"),"Technological innovation")</f>
        <v>Technological innovation</v>
      </c>
      <c r="C7950" s="1" t="str">
        <f ca="1">IFERROR(__xludf.DUMMYFUNCTION("GOOGLETRANSLATE(E7950, ""zh"", ""en"")"),"Qualitative text")</f>
        <v>Qualitative text</v>
      </c>
    </row>
    <row r="7951" spans="1:3" ht="13" x14ac:dyDescent="0.15">
      <c r="A7951" s="1" t="str">
        <f ca="1">IFERROR(__xludf.DUMMYFUNCTION("GOOGLETRANSLATE(A7951, ""zh"", ""en"")"),"Through platforms such as the ""National Dairy Health Science and Technology Innovation Alliance"", the ""Beijing Natural Science Foundation-Sanyuan Joint Funding Project"" and the ""Breast Milk Probiotics Joint Laboratory"", we will pool domestic and for"&amp;"eign food nutrition and medical innovation resources, carry out research on the preparation and application of breast milk probiotics and oligosaccharides, and promote product innovation and upgrading.")</f>
        <v>Through platforms such as the "National Dairy Health Science and Technology Innovation Alliance", the "Beijing Natural Science Foundation-Sanyuan Joint Funding Project" and the "Breast Milk Probiotics Joint Laboratory", we will pool domestic and foreign food nutrition and medical innovation resources, carry out research on the preparation and application of breast milk probiotics and oligosaccharides, and promote product innovation and upgrading.</v>
      </c>
      <c r="B7951" s="1" t="str">
        <f ca="1">IFERROR(__xludf.DUMMYFUNCTION("GOOGLETRANSLATE(A7951, ""zh"", ""en"")"),"Technological innovation")</f>
        <v>Technological innovation</v>
      </c>
      <c r="C7951" s="1" t="str">
        <f ca="1">IFERROR(__xludf.DUMMYFUNCTION("GOOGLETRANSLATE(E7951, ""zh"", ""en"")"),"Qualitative text")</f>
        <v>Qualitative text</v>
      </c>
    </row>
    <row r="7952" spans="1:3" ht="13" x14ac:dyDescent="0.15">
      <c r="A7952" s="1" t="str">
        <f ca="1">IFERROR(__xludf.DUMMYFUNCTION("GOOGLETRANSLATE(A7952, ""zh"", ""en"")"),"Through continuous research and development and innovation, Shanghai Xinyang has developed two core technologies: electronic electroplating and electronic cleaning, with complete independent and controllable intellectual property rights. The company has a"&amp;"pplied for the Patent New Product Technology Award, the First Prize for New Materials at the China International Expo, the Shanghai High-tech Achievement Transformation Project Award, and the First Prize for Science and Technology Progress in Songjiang Di"&amp;"strict. It has been ranked first in global supplier evaluations by well-known semiconductor companies many times and is one of the top ten semiconductor material companies in China.")</f>
        <v>Through continuous research and development and innovation, Shanghai Xinyang has developed two core technologies: electronic electroplating and electronic cleaning, with complete independent and controllable intellectual property rights. The company has applied for the Patent New Product Technology Award, the First Prize for New Materials at the China International Expo, the Shanghai High-tech Achievement Transformation Project Award, and the First Prize for Science and Technology Progress in Songjiang District. It has been ranked first in global supplier evaluations by well-known semiconductor companies many times and is one of the top ten semiconductor material companies in China.</v>
      </c>
      <c r="B7952" s="1" t="str">
        <f ca="1">IFERROR(__xludf.DUMMYFUNCTION("GOOGLETRANSLATE(A7952, ""zh"", ""en"")"),"Technological innovation")</f>
        <v>Technological innovation</v>
      </c>
      <c r="C7952" s="1" t="str">
        <f ca="1">IFERROR(__xludf.DUMMYFUNCTION("GOOGLETRANSLATE(E7952, ""zh"", ""en"")"),"Quantitative Text")</f>
        <v>Quantitative Text</v>
      </c>
    </row>
    <row r="7953" spans="1:3" ht="13" x14ac:dyDescent="0.15">
      <c r="A7953" s="1" t="str">
        <f ca="1">IFERROR(__xludf.DUMMYFUNCTION("GOOGLETRANSLATE(A7953, ""zh"", ""en"")"),"One scientific research project of China Communications Construction Real Estate was completed, and a total of 21 product innovation research and development projects were completed, including the application for innovative household technology research a"&amp;"nd development projects (intelligent technology research and development of contactless home return system, innovative facade research and development, contactless intelligent system research and development, and landscape system solutions). The research "&amp;"and development work is progressing steadily.")</f>
        <v>One scientific research project of China Communications Construction Real Estate was completed, and a total of 21 product innovation research and development projects were completed, including the application for innovative household technology research and development projects (intelligent technology research and development of contactless home return system, innovative facade research and development, contactless intelligent system research and development, and landscape system solutions). The research and development work is progressing steadily.</v>
      </c>
      <c r="B7953" s="1" t="str">
        <f ca="1">IFERROR(__xludf.DUMMYFUNCTION("GOOGLETRANSLATE(A7953, ""zh"", ""en"")"),"Technological innovation")</f>
        <v>Technological innovation</v>
      </c>
      <c r="C7953" s="1" t="str">
        <f ca="1">IFERROR(__xludf.DUMMYFUNCTION("GOOGLETRANSLATE(E7953, ""zh"", ""en"")"),"Quantitative Text")</f>
        <v>Quantitative Text</v>
      </c>
    </row>
    <row r="7954" spans="1:3" ht="13" x14ac:dyDescent="0.15">
      <c r="A7954" s="1" t="str">
        <f ca="1">IFERROR(__xludf.DUMMYFUNCTION("GOOGLETRANSLATE(A7954, ""zh"", ""en"")"),"In 2021, the investment in R&amp;D funds was RMB 17.398 billion.")</f>
        <v>In 2021, the investment in R&amp;D funds was RMB 17.398 billion.</v>
      </c>
      <c r="B7954" s="1" t="str">
        <f ca="1">IFERROR(__xludf.DUMMYFUNCTION("GOOGLETRANSLATE(A7954, ""zh"", ""en"")"),"Technological innovation")</f>
        <v>Technological innovation</v>
      </c>
      <c r="C7954" s="1" t="str">
        <f ca="1">IFERROR(__xludf.DUMMYFUNCTION("GOOGLETRANSLATE(E7954, ""zh"", ""en"")"),"Quantitative Text")</f>
        <v>Quantitative Text</v>
      </c>
    </row>
    <row r="7955" spans="1:3" ht="13" x14ac:dyDescent="0.15">
      <c r="A7955" s="1" t="str">
        <f ca="1">IFERROR(__xludf.DUMMYFUNCTION("GOOGLETRANSLATE(A7955, ""zh"", ""en"")"),"Aiming at the bottleneck problem of heavy rail steel production and manufacturing for China's high-speed railway construction, which is in urgent need of breakthrough in the metallurgical field, the company has independently developed, designed and manufa"&amp;"ctured a universal rolling mill capable of producing high-speed railway heavy rails after ten years of hard work. The company has achieved key technical indicators such as product cross-sectional dimension accuracy, full-length dimension uniformity, surfa"&amp;"ce quality and flatness, which completely surpass similar foreign equipment. The one-time investment and maintenance costs have been reduced by more than 50%, achieving self-reliance in the core equipment of the heavy rail production line.")</f>
        <v>Aiming at the bottleneck problem of heavy rail steel production and manufacturing for China's high-speed railway construction, which is in urgent need of breakthrough in the metallurgical field, the company has independently developed, designed and manufactured a universal rolling mill capable of producing high-speed railway heavy rails after ten years of hard work. The company has achieved key technical indicators such as product cross-sectional dimension accuracy, full-length dimension uniformity, surface quality and flatness, which completely surpass similar foreign equipment. The one-time investment and maintenance costs have been reduced by more than 50%, achieving self-reliance in the core equipment of the heavy rail production line.</v>
      </c>
      <c r="B7955" s="1" t="str">
        <f ca="1">IFERROR(__xludf.DUMMYFUNCTION("GOOGLETRANSLATE(A7955, ""zh"", ""en"")"),"Technological innovation")</f>
        <v>Technological innovation</v>
      </c>
      <c r="C7955" s="1" t="str">
        <f ca="1">IFERROR(__xludf.DUMMYFUNCTION("GOOGLETRANSLATE(E7955, ""zh"", ""en"")"),"Quantitative Text")</f>
        <v>Quantitative Text</v>
      </c>
    </row>
    <row r="7956" spans="1:3" ht="13" x14ac:dyDescent="0.15">
      <c r="A7956" s="1" t="str">
        <f ca="1">IFERROR(__xludf.DUMMYFUNCTION("GOOGLETRANSLATE(A7956, ""zh"", ""en"")"),"In 2021, we also achieved phased breakthroughs and innovations in the following technical fields: 01 Intelligent Container Inspection System [Visual Recognition + Terminal] Technical Features Based on industrial-grade 2D vision + 3D laser sensor scanning "&amp;"imaging and machine vision deep learning algorithms, it can quickly and accurately locate container damage and quantitatively measure the degree of damage for various types of containers. The positioning and measurement accuracy rate reaches more than 99%"&amp;", and one container can be inspected in 1 minute.")</f>
        <v>In 2021, we also achieved phased breakthroughs and innovations in the following technical fields: 01 Intelligent Container Inspection System [Visual Recognition + Terminal] Technical Features Based on industrial-grade 2D vision + 3D laser sensor scanning imaging and machine vision deep learning algorithms, it can quickly and accurately locate container damage and quantitatively measure the degree of damage for various types of containers. The positioning and measurement accuracy rate reaches more than 99%, and one container can be inspected in 1 minute.</v>
      </c>
      <c r="B7956" s="1" t="str">
        <f ca="1">IFERROR(__xludf.DUMMYFUNCTION("GOOGLETRANSLATE(A7956, ""zh"", ""en"")"),"Technological innovation")</f>
        <v>Technological innovation</v>
      </c>
      <c r="C7956" s="1" t="str">
        <f ca="1">IFERROR(__xludf.DUMMYFUNCTION("GOOGLETRANSLATE(E7956, ""zh"", ""en"")"),"Quantitative Text")</f>
        <v>Quantitative Text</v>
      </c>
    </row>
    <row r="7957" spans="1:3" ht="13" x14ac:dyDescent="0.15">
      <c r="A7957" s="1" t="str">
        <f ca="1">IFERROR(__xludf.DUMMYFUNCTION("GOOGLETRANSLATE(A7957, ""zh"", ""en"")"),"In terms of control systems, we have launched the fully self-controlled ECS-700X distributed control system, achieving 100% domestic production of components, supporting domestic operating systems for monitoring configuration software, and ensuring the se"&amp;"curity of the control system supply chain;")</f>
        <v>In terms of control systems, we have launched the fully self-controlled ECS-700X distributed control system, achieving 100% domestic production of components, supporting domestic operating systems for monitoring configuration software, and ensuring the security of the control system supply chain;</v>
      </c>
      <c r="B7957" s="1" t="str">
        <f ca="1">IFERROR(__xludf.DUMMYFUNCTION("GOOGLETRANSLATE(A7957, ""zh"", ""en"")"),"Technological innovation")</f>
        <v>Technological innovation</v>
      </c>
      <c r="C7957" s="1" t="str">
        <f ca="1">IFERROR(__xludf.DUMMYFUNCTION("GOOGLETRANSLATE(E7957, ""zh"", ""en"")"),"Quantitative Text")</f>
        <v>Quantitative Text</v>
      </c>
    </row>
    <row r="7958" spans="1:3" ht="13" x14ac:dyDescent="0.15">
      <c r="A7958" s="1" t="str">
        <f ca="1">IFERROR(__xludf.DUMMYFUNCTION("GOOGLETRANSLATE(A7958, ""zh"", ""en"")"),"We have developed new products, including electronic wiring products that support distributed applications and are suitable for explosion-proof environments, the compact ECS-700neo control system for hybrid applications, intelligent controller products th"&amp;"at support advanced control algorithms, and cloud-based PLC systems based on ""5G+MEC"" deployment.")</f>
        <v>We have developed new products, including electronic wiring products that support distributed applications and are suitable for explosion-proof environments, the compact ECS-700neo control system for hybrid applications, intelligent controller products that support advanced control algorithms, and cloud-based PLC systems based on "5G+MEC" deployment.</v>
      </c>
      <c r="B7958" s="1" t="str">
        <f ca="1">IFERROR(__xludf.DUMMYFUNCTION("GOOGLETRANSLATE(A7958, ""zh"", ""en"")"),"Technological innovation")</f>
        <v>Technological innovation</v>
      </c>
      <c r="C7958" s="1" t="str">
        <f ca="1">IFERROR(__xludf.DUMMYFUNCTION("GOOGLETRANSLATE(E7958, ""zh"", ""en"")"),"Qualitative text")</f>
        <v>Qualitative text</v>
      </c>
    </row>
    <row r="7959" spans="1:3" ht="13" x14ac:dyDescent="0.15">
      <c r="A7959" s="1" t="str">
        <f ca="1">IFERROR(__xludf.DUMMYFUNCTION("GOOGLETRANSLATE(A7959, ""zh"", ""en"")"),"We have completed the research and development of new industrial control security products such as the industrial control network security monitoring system, control system integrity kit and USB security isolation manager, and released a host security gua"&amp;"rd that supports whitelist protection and blacklist virus detection, forming a competitive smart factory industrial control security solution.")</f>
        <v>We have completed the research and development of new industrial control security products such as the industrial control network security monitoring system, control system integrity kit and USB security isolation manager, and released a host security guard that supports whitelist protection and blacklist virus detection, forming a competitive smart factory industrial control security solution.</v>
      </c>
      <c r="B7959" s="1" t="str">
        <f ca="1">IFERROR(__xludf.DUMMYFUNCTION("GOOGLETRANSLATE(A7959, ""zh"", ""en"")"),"Technological innovation")</f>
        <v>Technological innovation</v>
      </c>
      <c r="C7959" s="1" t="str">
        <f ca="1">IFERROR(__xludf.DUMMYFUNCTION("GOOGLETRANSLATE(E7959, ""zh"", ""en"")"),"Qualitative text")</f>
        <v>Qualitative text</v>
      </c>
    </row>
    <row r="7960" spans="1:3" ht="13" x14ac:dyDescent="0.15">
      <c r="A7960" s="1" t="str">
        <f ca="1">IFERROR(__xludf.DUMMYFUNCTION("GOOGLETRANSLATE(A7960, ""zh"", ""en"")"),"Developed a new generation of real-time database products, advanced planning and scheduling optimization software, intelligent operation navigation, intelligent instrument management, advanced alarm management, accident analysis, control system integrity,"&amp;" oil product movement and other advanced automation software products;")</f>
        <v>Developed a new generation of real-time database products, advanced planning and scheduling optimization software, intelligent operation navigation, intelligent instrument management, advanced alarm management, accident analysis, control system integrity, oil product movement and other advanced automation software products;</v>
      </c>
      <c r="B7960" s="1" t="str">
        <f ca="1">IFERROR(__xludf.DUMMYFUNCTION("GOOGLETRANSLATE(A7960, ""zh"", ""en"")"),"Technological innovation")</f>
        <v>Technological innovation</v>
      </c>
      <c r="C7960" s="1" t="str">
        <f ca="1">IFERROR(__xludf.DUMMYFUNCTION("GOOGLETRANSLATE(E7960, ""zh"", ""en"")"),"Qualitative text")</f>
        <v>Qualitative text</v>
      </c>
    </row>
    <row r="7961" spans="1:3" ht="13" x14ac:dyDescent="0.15">
      <c r="A7961" s="1" t="str">
        <f ca="1">IFERROR(__xludf.DUMMYFUNCTION("GOOGLETRANSLATE(A7961, ""zh"", ""en"")"),"As the control system for the main hydrogen supply device of the Beijing Winter Olympics torch, ECS-700 contributed to the ""simple, safe and exciting"" Beijing Winter Olympics with foolproof and reliable guarantees.")</f>
        <v>As the control system for the main hydrogen supply device of the Beijing Winter Olympics torch, ECS-700 contributed to the "simple, safe and exciting" Beijing Winter Olympics with foolproof and reliable guarantees.</v>
      </c>
      <c r="B7961" s="1" t="str">
        <f ca="1">IFERROR(__xludf.DUMMYFUNCTION("GOOGLETRANSLATE(A7961, ""zh"", ""en"")"),"Technological innovation")</f>
        <v>Technological innovation</v>
      </c>
      <c r="C7961" s="1" t="str">
        <f ca="1">IFERROR(__xludf.DUMMYFUNCTION("GOOGLETRANSLATE(E7961, ""zh"", ""en"")"),"Qualitative text")</f>
        <v>Qualitative text</v>
      </c>
    </row>
    <row r="7962" spans="1:3" ht="13" x14ac:dyDescent="0.15">
      <c r="A7962" s="1" t="str">
        <f ca="1">IFERROR(__xludf.DUMMYFUNCTION("GOOGLETRANSLATE(A7962, ""zh"", ""en"")"),"The company focuses on the research, development and manufacturing of advanced photovoltaic materials. Through independent research and development, it has mastered the core technology of coated backplane production. The company's coated backplane uses in"&amp;"dependently developed fluorocarbon coatings, does not require the use of adhesives, and has stable and reliable product quality. It has obvious cost advantages and strong competitiveness. After years of hard work, the company has become a global leading s"&amp;"olar backplane manufacturer with full-series backplane production capabilities.")</f>
        <v>The company focuses on the research, development and manufacturing of advanced photovoltaic materials. Through independent research and development, it has mastered the core technology of coated backplane production. The company's coated backplane uses independently developed fluorocarbon coatings, does not require the use of adhesives, and has stable and reliable product quality. It has obvious cost advantages and strong competitiveness. After years of hard work, the company has become a global leading solar backplane manufacturer with full-series backplane production capabilities.</v>
      </c>
      <c r="B7962" s="1" t="str">
        <f ca="1">IFERROR(__xludf.DUMMYFUNCTION("GOOGLETRANSLATE(A7962, ""zh"", ""en"")"),"Technological innovation")</f>
        <v>Technological innovation</v>
      </c>
      <c r="C7962" s="1" t="str">
        <f ca="1">IFERROR(__xludf.DUMMYFUNCTION("GOOGLETRANSLATE(E7962, ""zh"", ""en"")"),"Qualitative text")</f>
        <v>Qualitative text</v>
      </c>
    </row>
    <row r="7963" spans="1:3" ht="13" x14ac:dyDescent="0.15">
      <c r="A7963" s="1" t="str">
        <f ca="1">IFERROR(__xludf.DUMMYFUNCTION("GOOGLETRANSLATE(A7963, ""zh"", ""en"")"),"The company pioneered the transparent backplane product in the industry in 2018, and released the ""Hauberk"" 2.0 transparent backplane/transparent grid backplane in 2021. According to test data from March to May 2022 at the CPVT (National Photovoltaic Qu"&amp;"ality Inspection Center) Yinchuan outdoor demonstration base, compared with double-glass modules, the modules using transparent backplanes have a power generation gain of 1.29%, which can effectively reduce the cost per kilowatt-hour.")</f>
        <v>The company pioneered the transparent backplane product in the industry in 2018, and released the "Hauberk" 2.0 transparent backplane/transparent grid backplane in 2021. According to test data from March to May 2022 at the CPVT (National Photovoltaic Quality Inspection Center) Yinchuan outdoor demonstration base, compared with double-glass modules, the modules using transparent backplanes have a power generation gain of 1.29%, which can effectively reduce the cost per kilowatt-hour.</v>
      </c>
      <c r="B7963" s="1" t="str">
        <f ca="1">IFERROR(__xludf.DUMMYFUNCTION("GOOGLETRANSLATE(A7963, ""zh"", ""en"")"),"Technological innovation")</f>
        <v>Technological innovation</v>
      </c>
      <c r="C7963" s="1" t="str">
        <f ca="1">IFERROR(__xludf.DUMMYFUNCTION("GOOGLETRANSLATE(E7963, ""zh"", ""en"")"),"Quantitative Text")</f>
        <v>Quantitative Text</v>
      </c>
    </row>
    <row r="7964" spans="1:3" ht="13" x14ac:dyDescent="0.15">
      <c r="A7964" s="1" t="str">
        <f ca="1">IFERROR(__xludf.DUMMYFUNCTION("GOOGLETRANSLATE(A7964, ""zh"", ""en"")"),"In June 2021, the ""16GW Annual Production of High-Efficiency Monocrystalline Battery Smart Factory Project"" was launched in the Comprehensive Reform Demonstration Zone of Taiyuan City, Shanxi Province. The project is divided into two phases. As of Janua"&amp;"ry 2023, the first batch of 4GW of the first phase of the 8GW project has been completed and put into production, and the mass production efficiency can reach 25%, ranking among the top in the industry.")</f>
        <v>In June 2021, the "16GW Annual Production of High-Efficiency Monocrystalline Battery Smart Factory Project" was launched in the Comprehensive Reform Demonstration Zone of Taiyuan City, Shanxi Province. The project is divided into two phases. As of January 2023, the first batch of 4GW of the first phase of the 8GW project has been completed and put into production, and the mass production efficiency can reach 25%, ranking among the top in the industry.</v>
      </c>
      <c r="B7964" s="1" t="str">
        <f ca="1">IFERROR(__xludf.DUMMYFUNCTION("GOOGLETRANSLATE(A7964, ""zh"", ""en"")"),"Technological innovation")</f>
        <v>Technological innovation</v>
      </c>
      <c r="C7964" s="1" t="str">
        <f ca="1">IFERROR(__xludf.DUMMYFUNCTION("GOOGLETRANSLATE(E7964, ""zh"", ""en"")"),"Quantitative Text")</f>
        <v>Quantitative Text</v>
      </c>
    </row>
    <row r="7965" spans="1:3" ht="13" x14ac:dyDescent="0.15">
      <c r="A7965" s="1" t="str">
        <f ca="1">IFERROR(__xludf.DUMMYFUNCTION("GOOGLETRANSLATE(A7965, ""zh"", ""en"")"),"The company has undertaken two key R&amp;D projects of ""New Energy Vehicles"" of the Ministry of Science and Technology, and is working with the local government to build an intelligent connected vehicle testing site that meets the testing, R&amp;D, and certific"&amp;"ation testing needs of the new generation of intelligent connected vehicles.")</f>
        <v>The company has undertaken two key R&amp;D projects of "New Energy Vehicles" of the Ministry of Science and Technology, and is working with the local government to build an intelligent connected vehicle testing site that meets the testing, R&amp;D, and certification testing needs of the new generation of intelligent connected vehicles.</v>
      </c>
      <c r="B7965" s="1" t="str">
        <f ca="1">IFERROR(__xludf.DUMMYFUNCTION("GOOGLETRANSLATE(A7965, ""zh"", ""en"")"),"Technological innovation")</f>
        <v>Technological innovation</v>
      </c>
      <c r="C7965" s="1" t="str">
        <f ca="1">IFERROR(__xludf.DUMMYFUNCTION("GOOGLETRANSLATE(E7965, ""zh"", ""en"")"),"Qualitative text")</f>
        <v>Qualitative text</v>
      </c>
    </row>
    <row r="7966" spans="1:3" ht="13" x14ac:dyDescent="0.15">
      <c r="A7966" s="1" t="str">
        <f ca="1">IFERROR(__xludf.DUMMYFUNCTION("GOOGLETRANSLATE(A7966, ""zh"", ""en"")"),"We continue to deepen the construction of the scientific and technological innovation system, focus on innovation platforms, plan and establish the ""Large Aircraft Innovation Source"" covering the large aircraft design and manufacturing technology cluste"&amp;"r, and cooperate with 8 domestic leading universities and research institutes to carry out the construction of 7 key laboratories.")</f>
        <v>We continue to deepen the construction of the scientific and technological innovation system, focus on innovation platforms, plan and establish the "Large Aircraft Innovation Source" covering the large aircraft design and manufacturing technology cluster, and cooperate with 8 domestic leading universities and research institutes to carry out the construction of 7 key laboratories.</v>
      </c>
      <c r="B7966" s="1" t="str">
        <f ca="1">IFERROR(__xludf.DUMMYFUNCTION("GOOGLETRANSLATE(A7966, ""zh"", ""en"")"),"Technological innovation")</f>
        <v>Technological innovation</v>
      </c>
      <c r="C7966" s="1" t="str">
        <f ca="1">IFERROR(__xludf.DUMMYFUNCTION("GOOGLETRANSLATE(E7966, ""zh"", ""en"")"),"Quantitative Text")</f>
        <v>Quantitative Text</v>
      </c>
    </row>
    <row r="7967" spans="1:3" ht="13" x14ac:dyDescent="0.15">
      <c r="A7967" s="1" t="str">
        <f ca="1">IFERROR(__xludf.DUMMYFUNCTION("GOOGLETRANSLATE(A7967, ""zh"", ""en"")"),"It has been approved as a provincial and ministerial innovation platform such as the ""Original Technology Source for Turboprop Regional Aircraft"" by the State-owned Assets Supervision and Administration Commission, the Key Laboratory of High-Performance"&amp;" Assembly of Aircraft by the Ministry of Industry and Information Technology, and the Shaanxi Province Digital Transformation Demonstration Application Innovation Center, and the platform level has been significantly improved.")</f>
        <v>It has been approved as a provincial and ministerial innovation platform such as the "Original Technology Source for Turboprop Regional Aircraft" by the State-owned Assets Supervision and Administration Commission, the Key Laboratory of High-Performance Assembly of Aircraft by the Ministry of Industry and Information Technology, and the Shaanxi Province Digital Transformation Demonstration Application Innovation Center, and the platform level has been significantly improved.</v>
      </c>
      <c r="B7967" s="1" t="str">
        <f ca="1">IFERROR(__xludf.DUMMYFUNCTION("GOOGLETRANSLATE(A7967, ""zh"", ""en"")"),"Technological innovation")</f>
        <v>Technological innovation</v>
      </c>
      <c r="C7967" s="1" t="str">
        <f ca="1">IFERROR(__xludf.DUMMYFUNCTION("GOOGLETRANSLATE(E7967, ""zh"", ""en"")"),"Quantitative Text")</f>
        <v>Quantitative Text</v>
      </c>
    </row>
    <row r="7968" spans="1:3" ht="13" x14ac:dyDescent="0.15">
      <c r="A7968" s="1" t="str">
        <f ca="1">IFERROR(__xludf.DUMMYFUNCTION("GOOGLETRANSLATE(A7968, ""zh"", ""en"")"),"The company is based on the production of traditional Chinese medicine using the bio-fermentation technology of medicinal fungi, and has embarked on a path of innovation in traditional Chinese medicine.")</f>
        <v>The company is based on the production of traditional Chinese medicine using the bio-fermentation technology of medicinal fungi, and has embarked on a path of innovation in traditional Chinese medicine.</v>
      </c>
      <c r="B7968" s="1" t="str">
        <f ca="1">IFERROR(__xludf.DUMMYFUNCTION("GOOGLETRANSLATE(A7968, ""zh"", ""en"")"),"Technological innovation")</f>
        <v>Technological innovation</v>
      </c>
      <c r="C7968" s="1" t="str">
        <f ca="1">IFERROR(__xludf.DUMMYFUNCTION("GOOGLETRANSLATE(E7968, ""zh"", ""en"")"),"Qualitative text")</f>
        <v>Qualitative text</v>
      </c>
    </row>
    <row r="7969" spans="1:3" ht="13" x14ac:dyDescent="0.15">
      <c r="A7969" s="1" t="str">
        <f ca="1">IFERROR(__xludf.DUMMYFUNCTION("GOOGLETRANSLATE(A7969, ""zh"", ""en"")"),"The company uses technological innovation to activate its supply capabilities, implements the construction of scientific and technological innovation platforms, targets the forefront of industry technology to increase basic research, promotes key scientif"&amp;"ic research projects, develops and applies a number of technologies around yeast performance, raw material quality control, flavor control, flavor stability, etc., conducts in-depth basic research, and effectively promotes the continuous upgrading of prod"&amp;"uct structure to meet consumer demand.")</f>
        <v>The company uses technological innovation to activate its supply capabilities, implements the construction of scientific and technological innovation platforms, targets the forefront of industry technology to increase basic research, promotes key scientific research projects, develops and applies a number of technologies around yeast performance, raw material quality control, flavor control, flavor stability, etc., conducts in-depth basic research, and effectively promotes the continuous upgrading of product structure to meet consumer demand.</v>
      </c>
      <c r="B7969" s="1" t="str">
        <f ca="1">IFERROR(__xludf.DUMMYFUNCTION("GOOGLETRANSLATE(A7969, ""zh"", ""en"")"),"Technological innovation")</f>
        <v>Technological innovation</v>
      </c>
      <c r="C7969" s="1" t="str">
        <f ca="1">IFERROR(__xludf.DUMMYFUNCTION("GOOGLETRANSLATE(E7969, ""zh"", ""en"")"),"Qualitative text")</f>
        <v>Qualitative text</v>
      </c>
    </row>
    <row r="7970" spans="1:3" ht="13" x14ac:dyDescent="0.15">
      <c r="A7970" s="1" t="str">
        <f ca="1">IFERROR(__xludf.DUMMYFUNCTION("GOOGLETRANSLATE(A7970, ""zh"", ""en"")"),"In 2022, the company will maintain 6 high-tech enterprises, 18 provincial and municipal innovation platforms, add 2 provincial and municipal specialized and new enterprises, approve 98 new scientific research projects, complete 81 scientific research proj"&amp;"ects, and complete research on fruit beer craft brewing related topics at the postdoctoral research workstation.")</f>
        <v>In 2022, the company will maintain 6 high-tech enterprises, 18 provincial and municipal innovation platforms, add 2 provincial and municipal specialized and new enterprises, approve 98 new scientific research projects, complete 81 scientific research projects, and complete research on fruit beer craft brewing related topics at the postdoctoral research workstation.</v>
      </c>
      <c r="B7970" s="1" t="str">
        <f ca="1">IFERROR(__xludf.DUMMYFUNCTION("GOOGLETRANSLATE(A7970, ""zh"", ""en"")"),"Technological innovation")</f>
        <v>Technological innovation</v>
      </c>
      <c r="C7970" s="1" t="str">
        <f ca="1">IFERROR(__xludf.DUMMYFUNCTION("GOOGLETRANSLATE(E7970, ""zh"", ""en"")"),"Quantitative Text")</f>
        <v>Quantitative Text</v>
      </c>
    </row>
    <row r="7971" spans="1:3" ht="13" x14ac:dyDescent="0.15">
      <c r="A7971" s="1" t="str">
        <f ca="1">IFERROR(__xludf.DUMMYFUNCTION("GOOGLETRANSLATE(A7971, ""zh"", ""en"")"),"In cooperation with the Chinese Academy of Food Fermentation Industries, we have launched a new round of cutting-edge research on the beer industry. One Guangdong Provincial Science and Technology Plan project has passed acceptance, one Guangzhou Municipa"&amp;"l Science and Technology Plan project has completed product transformation and market launch, and 5 new invention patents and 24 utility model patents have been authorized.")</f>
        <v>In cooperation with the Chinese Academy of Food Fermentation Industries, we have launched a new round of cutting-edge research on the beer industry. One Guangdong Provincial Science and Technology Plan project has passed acceptance, one Guangzhou Municipal Science and Technology Plan project has completed product transformation and market launch, and 5 new invention patents and 24 utility model patents have been authorized.</v>
      </c>
      <c r="B7971" s="1" t="str">
        <f ca="1">IFERROR(__xludf.DUMMYFUNCTION("GOOGLETRANSLATE(A7971, ""zh"", ""en"")"),"Technological innovation")</f>
        <v>Technological innovation</v>
      </c>
      <c r="C7971" s="1" t="str">
        <f ca="1">IFERROR(__xludf.DUMMYFUNCTION("GOOGLETRANSLATE(E7971, ""zh"", ""en"")"),"Quantitative Text")</f>
        <v>Quantitative Text</v>
      </c>
    </row>
    <row r="7972" spans="1:3" ht="13" x14ac:dyDescent="0.15">
      <c r="A7972" s="1" t="str">
        <f ca="1">IFERROR(__xludf.DUMMYFUNCTION("GOOGLETRANSLATE(A7972, ""zh"", ""en"")"),"The company has developed and cultivated a number of new products, including barrel-flavored strong ale and osmanthus oolong beer. Its ""Pearl River 7 Fresh"" beer was awarded the 2021 Qingzhu Award for New Alcoholic Beverage by the China Alcoholic Drinks"&amp;" Association.")</f>
        <v>The company has developed and cultivated a number of new products, including barrel-flavored strong ale and osmanthus oolong beer. Its "Pearl River 7 Fresh" beer was awarded the 2021 Qingzhu Award for New Alcoholic Beverage by the China Alcoholic Drinks Association.</v>
      </c>
      <c r="B7972" s="1" t="str">
        <f ca="1">IFERROR(__xludf.DUMMYFUNCTION("GOOGLETRANSLATE(A7972, ""zh"", ""en"")"),"Technological innovation")</f>
        <v>Technological innovation</v>
      </c>
      <c r="C7972" s="1" t="str">
        <f ca="1">IFERROR(__xludf.DUMMYFUNCTION("GOOGLETRANSLATE(E7972, ""zh"", ""en"")"),"Quantitative Text")</f>
        <v>Quantitative Text</v>
      </c>
    </row>
    <row r="7973" spans="1:3" ht="13" x14ac:dyDescent="0.15">
      <c r="A7973" s="1" t="str">
        <f ca="1">IFERROR(__xludf.DUMMYFUNCTION("GOOGLETRANSLATE(A7973, ""zh"", ""en"")"),"As of the end of 2022, it has a total of 117 patents, and has bravely undertaken national scientific research tasks on the road of ""carbon"" innovation to fill the gaps in carbon fiber technology. It has undertaken or participated in more than 30 project"&amp;"s at the provincial and ministerial levels, involving high-end carbon fiber research and development and industrial preparation, application research in high-end fields, etc.")</f>
        <v>As of the end of 2022, it has a total of 117 patents, and has bravely undertaken national scientific research tasks on the road of "carbon" innovation to fill the gaps in carbon fiber technology. It has undertaken or participated in more than 30 projects at the provincial and ministerial levels, involving high-end carbon fiber research and development and industrial preparation, application research in high-end fields, etc.</v>
      </c>
      <c r="B7973" s="1" t="str">
        <f ca="1">IFERROR(__xludf.DUMMYFUNCTION("GOOGLETRANSLATE(A7973, ""zh"", ""en"")"),"Technological innovation")</f>
        <v>Technological innovation</v>
      </c>
      <c r="C7973" s="1" t="str">
        <f ca="1">IFERROR(__xludf.DUMMYFUNCTION("GOOGLETRANSLATE(E7973, ""zh"", ""en"")"),"Quantitative Text")</f>
        <v>Quantitative Text</v>
      </c>
    </row>
    <row r="7974" spans="1:3" ht="13" x14ac:dyDescent="0.15">
      <c r="A7974" s="1" t="str">
        <f ca="1">IFERROR(__xludf.DUMMYFUNCTION("GOOGLETRANSLATE(A7974, ""zh"", ""en"")"),"The company has always taken scientific and technological innovation as the driving force for its sustainable development, insisted on combining independent innovation with collaborative innovation, continuously increased R&amp;D investment, strengthened the "&amp;"construction of R&amp;D backbone teams, and continuously optimized scientific research management mechanisms. It has established new product development platforms covering blood products and genetically engineered recombinant products, as well as technical pl"&amp;"atforms such as analytical testing and viral safety research.")</f>
        <v>The company has always taken scientific and technological innovation as the driving force for its sustainable development, insisted on combining independent innovation with collaborative innovation, continuously increased R&amp;D investment, strengthened the construction of R&amp;D backbone teams, and continuously optimized scientific research management mechanisms. It has established new product development platforms covering blood products and genetically engineered recombinant products, as well as technical platforms such as analytical testing and viral safety research.</v>
      </c>
      <c r="B7974" s="1" t="str">
        <f ca="1">IFERROR(__xludf.DUMMYFUNCTION("GOOGLETRANSLATE(A7974, ""zh"", ""en"")"),"Technological innovation")</f>
        <v>Technological innovation</v>
      </c>
      <c r="C7974" s="1" t="str">
        <f ca="1">IFERROR(__xludf.DUMMYFUNCTION("GOOGLETRANSLATE(E7974, ""zh"", ""en"")"),"Qualitative text")</f>
        <v>Qualitative text</v>
      </c>
    </row>
    <row r="7975" spans="1:3" ht="13" x14ac:dyDescent="0.15">
      <c r="A7975" s="1" t="str">
        <f ca="1">IFERROR(__xludf.DUMMYFUNCTION("GOOGLETRANSLATE(A7975, ""zh"", ""en"")"),"In 2021, the company's various research and development work achieved remarkable results, made important breakthroughs in the comprehensive utilization of blood products and the research and development of recombinant coagulation factors, and made importa"&amp;"nt contributions to the fight against the new crown epidemic.")</f>
        <v>In 2021, the company's various research and development work achieved remarkable results, made important breakthroughs in the comprehensive utilization of blood products and the research and development of recombinant coagulation factors, and made important contributions to the fight against the new crown epidemic.</v>
      </c>
      <c r="B7975" s="1" t="str">
        <f ca="1">IFERROR(__xludf.DUMMYFUNCTION("GOOGLETRANSLATE(A7975, ""zh"", ""en"")"),"Technological innovation")</f>
        <v>Technological innovation</v>
      </c>
      <c r="C7975" s="1" t="str">
        <f ca="1">IFERROR(__xludf.DUMMYFUNCTION("GOOGLETRANSLATE(E7975, ""zh"", ""en"")"),"Qualitative text")</f>
        <v>Qualitative text</v>
      </c>
    </row>
    <row r="7976" spans="1:3" ht="13" x14ac:dyDescent="0.15">
      <c r="A7976" s="1" t="str">
        <f ca="1">IFERROR(__xludf.DUMMYFUNCTION("GOOGLETRANSLATE(A7976, ""zh"", ""en"")"),"Against the backdrop of the country's strong support for the development of the traditional Chinese medicine industry, this year we continued to focus on the traditional Chinese medicine industry in the pharmaceutical industry, accelerated the research an"&amp;"d development of new products and new technologies, and steadily expanded the production capacity and product quality of the industrial sector.")</f>
        <v>Against the backdrop of the country's strong support for the development of the traditional Chinese medicine industry, this year we continued to focus on the traditional Chinese medicine industry in the pharmaceutical industry, accelerated the research and development of new products and new technologies, and steadily expanded the production capacity and product quality of the industrial sector.</v>
      </c>
      <c r="B7976" s="1" t="str">
        <f ca="1">IFERROR(__xludf.DUMMYFUNCTION("GOOGLETRANSLATE(A7976, ""zh"", ""en"")"),"Technological innovation")</f>
        <v>Technological innovation</v>
      </c>
      <c r="C7976" s="1" t="str">
        <f ca="1">IFERROR(__xludf.DUMMYFUNCTION("GOOGLETRANSLATE(E7976, ""zh"", ""en"")"),"Qualitative text")</f>
        <v>Qualitative text</v>
      </c>
    </row>
    <row r="7977" spans="1:3" ht="13" x14ac:dyDescent="0.15">
      <c r="A7977" s="1" t="str">
        <f ca="1">IFERROR(__xludf.DUMMYFUNCTION("GOOGLETRANSLATE(A7977, ""zh"", ""en"")"),"The Pump Industry Group Company's ""Theory and Key Technologies of In-situ Nano-enhanced Toughening of Metal Materials"" won the first prize of the China Machinery Industry Science and Technology Award for Technological Invention.")</f>
        <v>The Pump Industry Group Company's "Theory and Key Technologies of In-situ Nano-enhanced Toughening of Metal Materials" won the first prize of the China Machinery Industry Science and Technology Award for Technological Invention.</v>
      </c>
      <c r="B7977" s="1" t="str">
        <f ca="1">IFERROR(__xludf.DUMMYFUNCTION("GOOGLETRANSLATE(A7977, ""zh"", ""en"")"),"Technological innovation")</f>
        <v>Technological innovation</v>
      </c>
      <c r="C7977" s="1" t="str">
        <f ca="1">IFERROR(__xludf.DUMMYFUNCTION("GOOGLETRANSLATE(E7977, ""zh"", ""en"")"),"Quantitative Text")</f>
        <v>Quantitative Text</v>
      </c>
    </row>
    <row r="7978" spans="1:3" ht="13" x14ac:dyDescent="0.15">
      <c r="A7978" s="1" t="str">
        <f ca="1">IFERROR(__xludf.DUMMYFUNCTION("GOOGLETRANSLATE(A7978, ""zh"", ""en"")"),"The head office labor union and its branch labor unions actively assisted in the epidemic prevention and control work outside the bank, and mobilized employees to donate 479,000 yuan to the Wuhan Charity Federation.")</f>
        <v>The head office labor union and its branch labor unions actively assisted in the epidemic prevention and control work outside the bank, and mobilized employees to donate 479,000 yuan to the Wuhan Charity Federation.</v>
      </c>
      <c r="B7978" s="1" t="str">
        <f ca="1">IFERROR(__xludf.DUMMYFUNCTION("GOOGLETRANSLATE(A7978, ""zh"", ""en"")"),"Fighting the epidemic")</f>
        <v>Fighting the epidemic</v>
      </c>
      <c r="C7978" s="1" t="str">
        <f ca="1">IFERROR(__xludf.DUMMYFUNCTION("GOOGLETRANSLATE(E7978, ""zh"", ""en"")"),"Quantitative Text")</f>
        <v>Quantitative Text</v>
      </c>
    </row>
    <row r="7979" spans="1:3" ht="13" x14ac:dyDescent="0.15">
      <c r="A7979" s="1" t="str">
        <f ca="1">IFERROR(__xludf.DUMMYFUNCTION("GOOGLETRANSLATE(A7979, ""zh"", ""en"")"),"Donations for epidemic prevention On February 1, 2020, according to the Jining City Epidemic Prevention Command, Jining City is preparing to build a temporary public health emergency service center. After receiving the news, the company's fast-moving cons"&amp;"umer goods brand ""Happy Sunshine"" started from the actual situation and based on usage needs, scientifically matched and quickly formulated a ""toilet paper + tissue paper + hand towel"" donation plan, donating a total of more than 700 pieces of daily p"&amp;"aper products, which not only meet the daily use of workers, but also can be used in public areas after the public health emergency service center is delivered for use.")</f>
        <v>Donations for epidemic prevention On February 1, 2020, according to the Jining City Epidemic Prevention Command, Jining City is preparing to build a temporary public health emergency service center. After receiving the news, the company's fast-moving consumer goods brand "Happy Sunshine" started from the actual situation and based on usage needs, scientifically matched and quickly formulated a "toilet paper + tissue paper + hand towel" donation plan, donating a total of more than 700 pieces of daily paper products, which not only meet the daily use of workers, but also can be used in public areas after the public health emergency service center is delivered for use.</v>
      </c>
      <c r="B7979" s="1" t="str">
        <f ca="1">IFERROR(__xludf.DUMMYFUNCTION("GOOGLETRANSLATE(A7979, ""zh"", ""en"")"),"Fighting the epidemic")</f>
        <v>Fighting the epidemic</v>
      </c>
      <c r="C7979" s="1" t="str">
        <f ca="1">IFERROR(__xludf.DUMMYFUNCTION("GOOGLETRANSLATE(E7979, ""zh"", ""en"")"),"Quantitative Text")</f>
        <v>Quantitative Text</v>
      </c>
    </row>
    <row r="7980" spans="1:3" ht="13" x14ac:dyDescent="0.15">
      <c r="A7980" s="1" t="str">
        <f ca="1">IFERROR(__xludf.DUMMYFUNCTION("GOOGLETRANSLATE(A7980, ""zh"", ""en"")"),"On February 2, 2020, the company donated 500 kilograms of 75% disinfectant alcohol, 500 kilograms of sodium hypochlorite, and 22 boxes of paper towels to the Yanzhou Branch of the Jining Public Security Bureau free of charge.")</f>
        <v>On February 2, 2020, the company donated 500 kilograms of 75% disinfectant alcohol, 500 kilograms of sodium hypochlorite, and 22 boxes of paper towels to the Yanzhou Branch of the Jining Public Security Bureau free of charge.</v>
      </c>
      <c r="B7980" s="1" t="str">
        <f ca="1">IFERROR(__xludf.DUMMYFUNCTION("GOOGLETRANSLATE(A7980, ""zh"", ""en"")"),"Fighting the epidemic")</f>
        <v>Fighting the epidemic</v>
      </c>
      <c r="C7980" s="1" t="str">
        <f ca="1">IFERROR(__xludf.DUMMYFUNCTION("GOOGLETRANSLATE(E7980, ""zh"", ""en"")"),"Quantitative Text")</f>
        <v>Quantitative Text</v>
      </c>
    </row>
    <row r="7981" spans="1:3" ht="13" x14ac:dyDescent="0.15">
      <c r="A7981" s="1" t="str">
        <f ca="1">IFERROR(__xludf.DUMMYFUNCTION("GOOGLETRANSLATE(A7981, ""zh"", ""en"")"),"During the epidemic prevention and control period, medical staff, auxiliary police, community workers and volunteers stayed in every corner of the community to protect the lives of the people. Xiaoming Co., Ltd. donated 1,940 boxes of convenience foods, 4"&amp;"20 boxes of milk, etc., totaling more than 200,000 yuan.")</f>
        <v>During the epidemic prevention and control period, medical staff, auxiliary police, community workers and volunteers stayed in every corner of the community to protect the lives of the people. Xiaoming Co., Ltd. donated 1,940 boxes of convenience foods, 420 boxes of milk, etc., totaling more than 200,000 yuan.</v>
      </c>
      <c r="B7981" s="1" t="str">
        <f ca="1">IFERROR(__xludf.DUMMYFUNCTION("GOOGLETRANSLATE(A7981, ""zh"", ""en"")"),"Fighting the epidemic")</f>
        <v>Fighting the epidemic</v>
      </c>
      <c r="C7981" s="1" t="str">
        <f ca="1">IFERROR(__xludf.DUMMYFUNCTION("GOOGLETRANSLATE(E7981, ""zh"", ""en"")"),"Quantitative Text")</f>
        <v>Quantitative Text</v>
      </c>
    </row>
    <row r="7982" spans="1:3" ht="13" x14ac:dyDescent="0.15">
      <c r="A7982" s="1" t="str">
        <f ca="1">IFERROR(__xludf.DUMMYFUNCTION("GOOGLETRANSLATE(A7982, ""zh"", ""en"")"),"Xiaoming Co., Ltd. donated 4,500 sets of protective clothing, 36,200 disposable medical masks, 2,400 pairs of disposable medical gloves, 12 boxes of hand disinfectant, 580 bottles of medical alcohol, 40 kilograms of Weikon disinfectant and other anti-epid"&amp;"emic materials totaling more than 500,000 yuan.")</f>
        <v>Xiaoming Co., Ltd. donated 4,500 sets of protective clothing, 36,200 disposable medical masks, 2,400 pairs of disposable medical gloves, 12 boxes of hand disinfectant, 580 bottles of medical alcohol, 40 kilograms of Weikon disinfectant and other anti-epidemic materials totaling more than 500,000 yuan.</v>
      </c>
      <c r="B7982" s="1" t="str">
        <f ca="1">IFERROR(__xludf.DUMMYFUNCTION("GOOGLETRANSLATE(A7982, ""zh"", ""en"")"),"Fighting the epidemic")</f>
        <v>Fighting the epidemic</v>
      </c>
      <c r="C7982" s="1" t="str">
        <f ca="1">IFERROR(__xludf.DUMMYFUNCTION("GOOGLETRANSLATE(E7982, ""zh"", ""en"")"),"Quantitative Text")</f>
        <v>Quantitative Text</v>
      </c>
    </row>
    <row r="7983" spans="1:3" ht="13" x14ac:dyDescent="0.15">
      <c r="A7983" s="1" t="str">
        <f ca="1">IFERROR(__xludf.DUMMYFUNCTION("GOOGLETRANSLATE(A7983, ""zh"", ""en"")"),"We organized manpower and material resources to donate a total of 6.6343 million yuan in cash and materials to the affected areas, urgently purchased emergency first aid kits, drinking water, food and medicine and other disaster relief items, and donated "&amp;"products, spare parts, accessories, components and diagnostic and maintenance services to enterprises.")</f>
        <v>We organized manpower and material resources to donate a total of 6.6343 million yuan in cash and materials to the affected areas, urgently purchased emergency first aid kits, drinking water, food and medicine and other disaster relief items, and donated products, spare parts, accessories, components and diagnostic and maintenance services to enterprises.</v>
      </c>
      <c r="B7983" s="1" t="str">
        <f ca="1">IFERROR(__xludf.DUMMYFUNCTION("GOOGLETRANSLATE(A7983, ""zh"", ""en"")"),"Fighting the epidemic")</f>
        <v>Fighting the epidemic</v>
      </c>
      <c r="C7983" s="1" t="str">
        <f ca="1">IFERROR(__xludf.DUMMYFUNCTION("GOOGLETRANSLATE(E7983, ""zh"", ""en"")"),"Quantitative Text")</f>
        <v>Quantitative Text</v>
      </c>
    </row>
    <row r="7984" spans="1:3" ht="13" x14ac:dyDescent="0.15">
      <c r="A7984" s="1" t="str">
        <f ca="1">IFERROR(__xludf.DUMMYFUNCTION("GOOGLETRANSLATE(A7984, ""zh"", ""en"")"),"After the unified deployment of the building construction, the company quickly formed a leadership group and working organization for the aid to Jilin construction, immediately coordinated resources, mobilized a total of 240 personnel and 120 sets of equi"&amp;"pment and machinery, overcame the influence of severe weather such as rain, snow, severe cold and the complex construction environment on site, and completed a total of 160 sets of isolation box rooms and corridor boxes, 10 sets of lobby boxes, all built-"&amp;"in boxes, indoor and outdoor water and electricity, and 2 sets of 200 tons.")</f>
        <v>After the unified deployment of the building construction, the company quickly formed a leadership group and working organization for the aid to Jilin construction, immediately coordinated resources, mobilized a total of 240 personnel and 120 sets of equipment and machinery, overcame the influence of severe weather such as rain, snow, severe cold and the complex construction environment on site, and completed a total of 160 sets of isolation box rooms and corridor boxes, 10 sets of lobby boxes, all built-in boxes, indoor and outdoor water and electricity, and 2 sets of 200 tons.</v>
      </c>
      <c r="B7984" s="1" t="str">
        <f ca="1">IFERROR(__xludf.DUMMYFUNCTION("GOOGLETRANSLATE(A7984, ""zh"", ""en"")"),"Fighting the epidemic")</f>
        <v>Fighting the epidemic</v>
      </c>
      <c r="C7984" s="1" t="str">
        <f ca="1">IFERROR(__xludf.DUMMYFUNCTION("GOOGLETRANSLATE(E7984, ""zh"", ""en"")"),"Quantitative Text")</f>
        <v>Quantitative Text</v>
      </c>
    </row>
    <row r="7985" spans="1:3" ht="13" x14ac:dyDescent="0.15">
      <c r="A7985" s="1" t="str">
        <f ca="1">IFERROR(__xludf.DUMMYFUNCTION("GOOGLETRANSLATE(A7985, ""zh"", ""en"")"),"Zhuhai Port and its subsidiaries actively played an exemplary and pioneering role, mobilizing multiple groups of party members, totaling more than 40 people, to go deep into the front line of epidemic prevention and control, assisting the community in car"&amp;"rying out prevention and control work. The volunteer service lasted for more than 160 days, totaling 1,280 hours.")</f>
        <v>Zhuhai Port and its subsidiaries actively played an exemplary and pioneering role, mobilizing multiple groups of party members, totaling more than 40 people, to go deep into the front line of epidemic prevention and control, assisting the community in carrying out prevention and control work. The volunteer service lasted for more than 160 days, totaling 1,280 hours.</v>
      </c>
      <c r="B7985" s="1" t="str">
        <f ca="1">IFERROR(__xludf.DUMMYFUNCTION("GOOGLETRANSLATE(A7985, ""zh"", ""en"")"),"Fighting the epidemic")</f>
        <v>Fighting the epidemic</v>
      </c>
      <c r="C7985" s="1" t="str">
        <f ca="1">IFERROR(__xludf.DUMMYFUNCTION("GOOGLETRANSLATE(E7985, ""zh"", ""en"")"),"Quantitative Text")</f>
        <v>Quantitative Text</v>
      </c>
    </row>
    <row r="7986" spans="1:3" ht="13" x14ac:dyDescent="0.15">
      <c r="A7986" s="1" t="str">
        <f ca="1">IFERROR(__xludf.DUMMYFUNCTION("GOOGLETRANSLATE(A7986, ""zh"", ""en"")"),"We visited and expressed our condolences to the frontline epidemic prevention workers in the streets and communities, and donated 56,600 masks, 24,800 pairs of gloves, more than 400 sets of protective clothing, 3,107 kilograms of disinfectant, and 46 ther"&amp;"mometers.")</f>
        <v>We visited and expressed our condolences to the frontline epidemic prevention workers in the streets and communities, and donated 56,600 masks, 24,800 pairs of gloves, more than 400 sets of protective clothing, 3,107 kilograms of disinfectant, and 46 thermometers.</v>
      </c>
      <c r="B7986" s="1" t="str">
        <f ca="1">IFERROR(__xludf.DUMMYFUNCTION("GOOGLETRANSLATE(A7986, ""zh"", ""en"")"),"Fighting the epidemic")</f>
        <v>Fighting the epidemic</v>
      </c>
      <c r="C7986" s="1" t="str">
        <f ca="1">IFERROR(__xludf.DUMMYFUNCTION("GOOGLETRANSLATE(E7986, ""zh"", ""en"")"),"Quantitative Text")</f>
        <v>Quantitative Text</v>
      </c>
    </row>
    <row r="7987" spans="1:3" ht="13" x14ac:dyDescent="0.15">
      <c r="A7987" s="1" t="str">
        <f ca="1">IFERROR(__xludf.DUMMYFUNCTION("GOOGLETRANSLATE(A7987, ""zh"", ""en"")"),"1,085 kilograms of rice, 385 servings of vegetables, instant noodles, and beef were donated. The funds raised this time will be used to meet the financial needs of enterprises related to epidemic prevention and control, such as loan issuance, to increase "&amp;"financial support for the production, research and development of epidemic prevention units and enterprises, the import and purchase of medical supplies, and the production, transportation and sales of important life materials supply companies.")</f>
        <v>1,085 kilograms of rice, 385 servings of vegetables, instant noodles, and beef were donated. The funds raised this time will be used to meet the financial needs of enterprises related to epidemic prevention and control, such as loan issuance, to increase financial support for the production, research and development of epidemic prevention units and enterprises, the import and purchase of medical supplies, and the production, transportation and sales of important life materials supply companies.</v>
      </c>
      <c r="B7987" s="1" t="str">
        <f ca="1">IFERROR(__xludf.DUMMYFUNCTION("GOOGLETRANSLATE(A7987, ""zh"", ""en"")"),"Fighting the epidemic")</f>
        <v>Fighting the epidemic</v>
      </c>
      <c r="C7987" s="1" t="str">
        <f ca="1">IFERROR(__xludf.DUMMYFUNCTION("GOOGLETRANSLATE(E7987, ""zh"", ""en"")"),"Quantitative Text")</f>
        <v>Quantitative Text</v>
      </c>
    </row>
    <row r="7988" spans="1:3" ht="13" x14ac:dyDescent="0.15">
      <c r="A7988" s="1" t="str">
        <f ca="1">IFERROR(__xludf.DUMMYFUNCTION("GOOGLETRANSLATE(A7988, ""zh"", ""en"")"),"FAW Jiefang resolutely implemented the local government's epidemic prevention and control requirements and donated 10 million yuan in cash to Jilin Province, working hand in hand with the people of its hometown to overcome the difficulties. In September 2"&amp;"022, an earthquake struck Luding, Sichuan. FAW Jiefang paid close attention to the earthquake and immediately activated service stations close to the disaster area to deliver supplies to the disaster area as soon as possible, and also sent supplies to Sic"&amp;"huan Province.")</f>
        <v>FAW Jiefang resolutely implemented the local government's epidemic prevention and control requirements and donated 10 million yuan in cash to Jilin Province, working hand in hand with the people of its hometown to overcome the difficulties. In September 2022, an earthquake struck Luding, Sichuan. FAW Jiefang paid close attention to the earthquake and immediately activated service stations close to the disaster area to deliver supplies to the disaster area as soon as possible, and also sent supplies to Sichuan Province.</v>
      </c>
      <c r="B7988" s="1" t="str">
        <f ca="1">IFERROR(__xludf.DUMMYFUNCTION("GOOGLETRANSLATE(A7988, ""zh"", ""en"")"),"Fighting the epidemic")</f>
        <v>Fighting the epidemic</v>
      </c>
      <c r="C7988" s="1" t="str">
        <f ca="1">IFERROR(__xludf.DUMMYFUNCTION("GOOGLETRANSLATE(E7988, ""zh"", ""en"")"),"Quantitative Text")</f>
        <v>Quantitative Text</v>
      </c>
    </row>
    <row r="7989" spans="1:3" ht="13" x14ac:dyDescent="0.15">
      <c r="A7989" s="1" t="str">
        <f ca="1">IFERROR(__xludf.DUMMYFUNCTION("GOOGLETRANSLATE(A7989, ""zh"", ""en"")"),"The head office distributed 109,500 masks, 22 barrels of alcohol, 78 barrels of 84 disinfectant, 3,400 bottles of hand-free disinfectant, 7,300 pairs of disposable rubber gloves, and 6,260 packs of disinfectant wet wipes at one time. In November, another "&amp;"120,000 masks were distributed to all employees of the bank, and all efforts were made to ensure the prevention and control of the epidemic and ensure zero infection and zero confirmed cases in the entire bank.")</f>
        <v>The head office distributed 109,500 masks, 22 barrels of alcohol, 78 barrels of 84 disinfectant, 3,400 bottles of hand-free disinfectant, 7,300 pairs of disposable rubber gloves, and 6,260 packs of disinfectant wet wipes at one time. In November, another 120,000 masks were distributed to all employees of the bank, and all efforts were made to ensure the prevention and control of the epidemic and ensure zero infection and zero confirmed cases in the entire bank.</v>
      </c>
      <c r="B7989" s="1" t="str">
        <f ca="1">IFERROR(__xludf.DUMMYFUNCTION("GOOGLETRANSLATE(A7989, ""zh"", ""en"")"),"Fighting the epidemic")</f>
        <v>Fighting the epidemic</v>
      </c>
      <c r="C7989" s="1" t="str">
        <f ca="1">IFERROR(__xludf.DUMMYFUNCTION("GOOGLETRANSLATE(E7989, ""zh"", ""en"")"),"Quantitative Text")</f>
        <v>Quantitative Text</v>
      </c>
    </row>
    <row r="7990" spans="1:3" ht="13" x14ac:dyDescent="0.15">
      <c r="A7990" s="1" t="str">
        <f ca="1">IFERROR(__xludf.DUMMYFUNCTION("GOOGLETRANSLATE(A7990, ""zh"", ""en"")"),"Since the outbreak of the COVID-19 pandemic, the company has comprehensively coordinated resources from all parties, actively connected with health administrative departments and blood centers (central blood stations) across the country, and widely carrie"&amp;"d out publicity on convalescent plasma for COVID-19, turning each collection point into a publicity point for convalescent plasma therapy for recovered patients. It has implemented the concept of ""donating blood and plasma is equally glorious"", and has "&amp;"given the public a new understanding of plasma donation. A total of 38 letters of thanks were received from the medical treatment group of the joint prevention and control mechanism of the State Council, provincial health commissions and blood centers. Th"&amp;"e clinical trial approved for special exemption for COVID-19 stood out in the selection of the top ten national weapons of central enterprises in 2021, with more than 220,000 people participating in the voting, and was elected as the ""Top Ten National We"&amp;"apons of Central Enterprises in 2021"" with a high vote.")</f>
        <v>Since the outbreak of the COVID-19 pandemic, the company has comprehensively coordinated resources from all parties, actively connected with health administrative departments and blood centers (central blood stations) across the country, and widely carried out publicity on convalescent plasma for COVID-19, turning each collection point into a publicity point for convalescent plasma therapy for recovered patients. It has implemented the concept of "donating blood and plasma is equally glorious", and has given the public a new understanding of plasma donation. A total of 38 letters of thanks were received from the medical treatment group of the joint prevention and control mechanism of the State Council, provincial health commissions and blood centers. The clinical trial approved for special exemption for COVID-19 stood out in the selection of the top ten national weapons of central enterprises in 2021, with more than 220,000 people participating in the voting, and was elected as the "Top Ten National Weapons of Central Enterprises in 2021" with a high vote.</v>
      </c>
      <c r="B7990" s="1" t="str">
        <f ca="1">IFERROR(__xludf.DUMMYFUNCTION("GOOGLETRANSLATE(A7990, ""zh"", ""en"")"),"Fighting the epidemic")</f>
        <v>Fighting the epidemic</v>
      </c>
      <c r="C7990" s="1" t="str">
        <f ca="1">IFERROR(__xludf.DUMMYFUNCTION("GOOGLETRANSLATE(E7990, ""zh"", ""en"")"),"Quantitative Text")</f>
        <v>Quantitative Text</v>
      </c>
    </row>
    <row r="7991" spans="1:3" ht="13" x14ac:dyDescent="0.15">
      <c r="A7991" s="1" t="str">
        <f ca="1">IFERROR(__xludf.DUMMYFUNCTION("GOOGLETRANSLATE(A7991, ""zh"", ""en"")"),"To combat the epidemic, 1.0275 million yuan was invested in funds and 7.2024 million yuan in supplies. 73 Tianshan employees volunteered to assist local villagers and surrounding factories in nucleic acid sampling. Nanjing Zhonglian supported the construc"&amp;"tion of the ""Ning Guilai"" health station. In July 2021, in response to the sudden outbreak of the COVID-19 epidemic, Nanjing City urgently built the ""Ning Guilai"" health station. Nanjing Zhonglian established a special working group to coordinate and "&amp;"cooperate in material supply, production management, quality assurance, and other aspects to ensure the project was completed on schedule.")</f>
        <v>To combat the epidemic, 1.0275 million yuan was invested in funds and 7.2024 million yuan in supplies. 73 Tianshan employees volunteered to assist local villagers and surrounding factories in nucleic acid sampling. Nanjing Zhonglian supported the construction of the "Ning Guilai" health station. In July 2021, in response to the sudden outbreak of the COVID-19 epidemic, Nanjing City urgently built the "Ning Guilai" health station. Nanjing Zhonglian established a special working group to coordinate and cooperate in material supply, production management, quality assurance, and other aspects to ensure the project was completed on schedule.</v>
      </c>
      <c r="B7991" s="1" t="str">
        <f ca="1">IFERROR(__xludf.DUMMYFUNCTION("GOOGLETRANSLATE(A7991, ""zh"", ""en"")"),"Fighting the epidemic")</f>
        <v>Fighting the epidemic</v>
      </c>
      <c r="C7991" s="1" t="str">
        <f ca="1">IFERROR(__xludf.DUMMYFUNCTION("GOOGLETRANSLATE(E7991, ""zh"", ""en"")"),"Quantitative Text")</f>
        <v>Quantitative Text</v>
      </c>
    </row>
    <row r="7992" spans="1:3" ht="13" x14ac:dyDescent="0.15">
      <c r="A7992" s="1" t="str">
        <f ca="1">IFERROR(__xludf.DUMMYFUNCTION("GOOGLETRANSLATE(A7992, ""zh"", ""en"")"),"On the afternoon of February 28, the company donated 333 medical protective suits, 100 pairs of medical goggles and other epidemic prevention items to the government of Ulanhua Town, Siziwang Banner to support and encourage frontline workers in epidemic p"&amp;"revention and control.")</f>
        <v>On the afternoon of February 28, the company donated 333 medical protective suits, 100 pairs of medical goggles and other epidemic prevention items to the government of Ulanhua Town, Siziwang Banner to support and encourage frontline workers in epidemic prevention and control.</v>
      </c>
      <c r="B7992" s="1" t="str">
        <f ca="1">IFERROR(__xludf.DUMMYFUNCTION("GOOGLETRANSLATE(A7992, ""zh"", ""en"")"),"Fighting the epidemic")</f>
        <v>Fighting the epidemic</v>
      </c>
      <c r="C7992" s="1" t="str">
        <f ca="1">IFERROR(__xludf.DUMMYFUNCTION("GOOGLETRANSLATE(E7992, ""zh"", ""en"")"),"Quantitative Text")</f>
        <v>Quantitative Text</v>
      </c>
    </row>
    <row r="7993" spans="1:3" ht="13" x14ac:dyDescent="0.15">
      <c r="A7993" s="1" t="str">
        <f ca="1">IFERROR(__xludf.DUMMYFUNCTION("GOOGLETRANSLATE(A7993, ""zh"", ""en"")"),"Huakang Pharmaceutical, a subsidiary, donated 1 million yuan worth of medicine to alleviate the pressure of the epidemic in areas with limited medical supplies. Jinsai Pharmaceutical, a subsidiary, donated 1 million yuan and anti-epidemic supplies to the "&amp;"front line to show its support for all medical staff.")</f>
        <v>Huakang Pharmaceutical, a subsidiary, donated 1 million yuan worth of medicine to alleviate the pressure of the epidemic in areas with limited medical supplies. Jinsai Pharmaceutical, a subsidiary, donated 1 million yuan and anti-epidemic supplies to the front line to show its support for all medical staff.</v>
      </c>
      <c r="B7993" s="1" t="str">
        <f ca="1">IFERROR(__xludf.DUMMYFUNCTION("GOOGLETRANSLATE(A7993, ""zh"", ""en"")"),"Fighting the epidemic")</f>
        <v>Fighting the epidemic</v>
      </c>
      <c r="C7993" s="1" t="str">
        <f ca="1">IFERROR(__xludf.DUMMYFUNCTION("GOOGLETRANSLATE(E7993, ""zh"", ""en"")"),"Quantitative Text")</f>
        <v>Quantitative Text</v>
      </c>
    </row>
    <row r="7994" spans="1:3" ht="13" x14ac:dyDescent="0.15">
      <c r="A7994" s="1" t="str">
        <f ca="1">IFERROR(__xludf.DUMMYFUNCTION("GOOGLETRANSLATE(A7994, ""zh"", ""en"")"),"We immediately donated more than 3 million yuan in donations and epidemic prevention supplies, and delivered epidemic prevention products such as Liushen Antibacterial Hand Sanitizer, Liushen Floral Water, Liushen Antibacterial Soap and Maxam Hand Cream t"&amp;"o the frontline personnel fighting the epidemic in Hubei Province and Shanghai, demonstrating the original intention and determination of the company to protect its homeland together with the country and the people.")</f>
        <v>We immediately donated more than 3 million yuan in donations and epidemic prevention supplies, and delivered epidemic prevention products such as Liushen Antibacterial Hand Sanitizer, Liushen Floral Water, Liushen Antibacterial Soap and Maxam Hand Cream to the frontline personnel fighting the epidemic in Hubei Province and Shanghai, demonstrating the original intention and determination of the company to protect its homeland together with the country and the people.</v>
      </c>
      <c r="B7994" s="1" t="str">
        <f ca="1">IFERROR(__xludf.DUMMYFUNCTION("GOOGLETRANSLATE(A7994, ""zh"", ""en"")"),"Fighting the epidemic")</f>
        <v>Fighting the epidemic</v>
      </c>
      <c r="C7994" s="1" t="str">
        <f ca="1">IFERROR(__xludf.DUMMYFUNCTION("GOOGLETRANSLATE(E7994, ""zh"", ""en"")"),"Quantitative Text")</f>
        <v>Quantitative Text</v>
      </c>
    </row>
    <row r="7995" spans="1:3" ht="13" x14ac:dyDescent="0.15">
      <c r="A7995" s="1" t="str">
        <f ca="1">IFERROR(__xludf.DUMMYFUNCTION("GOOGLETRANSLATE(A7995, ""zh"", ""en"")"),"The company also donated over 1.3 million yuan worth of protein powder, protein peptides, instant vermicelli, and other products through the Zhaoyuan and Yantai Red Cross Societies to support frontline anti-epidemic workers at Yantai Qishan Hospital and Z"&amp;"haoyuan. During this period, the company donated over 2 million yuan worth of protein peptides and protein powder to support the frontline epidemic prevention efforts in Wuhan, Hubei. Shuangta's high-end health foods, which are known to boost resistance a"&amp;"nd immunity, were donated to the frontline workers at Wuhan No. 7 Hospital and Wuhan Dongyuan Hospital of Integrated Traditional Chinese and Western Medicine.")</f>
        <v>The company also donated over 1.3 million yuan worth of protein powder, protein peptides, instant vermicelli, and other products through the Zhaoyuan and Yantai Red Cross Societies to support frontline anti-epidemic workers at Yantai Qishan Hospital and Zhaoyuan. During this period, the company donated over 2 million yuan worth of protein peptides and protein powder to support the frontline epidemic prevention efforts in Wuhan, Hubei. Shuangta's high-end health foods, which are known to boost resistance and immunity, were donated to the frontline workers at Wuhan No. 7 Hospital and Wuhan Dongyuan Hospital of Integrated Traditional Chinese and Western Medicine.</v>
      </c>
      <c r="B7995" s="1" t="str">
        <f ca="1">IFERROR(__xludf.DUMMYFUNCTION("GOOGLETRANSLATE(A7995, ""zh"", ""en"")"),"Fighting the epidemic")</f>
        <v>Fighting the epidemic</v>
      </c>
      <c r="C7995" s="1" t="str">
        <f ca="1">IFERROR(__xludf.DUMMYFUNCTION("GOOGLETRANSLATE(E7995, ""zh"", ""en"")"),"Quantitative Text")</f>
        <v>Quantitative Text</v>
      </c>
    </row>
    <row r="7996" spans="1:3" ht="13" x14ac:dyDescent="0.15">
      <c r="A7996" s="1" t="str">
        <f ca="1">IFERROR(__xludf.DUMMYFUNCTION("GOOGLETRANSLATE(A7996, ""zh"", ""en"")"),"We donated daily necessities and skincare products to frontline medical workers, including the Pearl Nourishing Moisturizing Mask, the SkinSafe Soothing and Repairing Mask, and mouthwashes (Elixir Medicinal Fragrance and Forest Mint). The donations benefi"&amp;"ted approximately 1,700 medical workers, with a total value of approximately RMB 316,000.")</f>
        <v>We donated daily necessities and skincare products to frontline medical workers, including the Pearl Nourishing Moisturizing Mask, the SkinSafe Soothing and Repairing Mask, and mouthwashes (Elixir Medicinal Fragrance and Forest Mint). The donations benefited approximately 1,700 medical workers, with a total value of approximately RMB 316,000.</v>
      </c>
      <c r="B7996" s="1" t="str">
        <f ca="1">IFERROR(__xludf.DUMMYFUNCTION("GOOGLETRANSLATE(A7996, ""zh"", ""en"")"),"Fighting the epidemic")</f>
        <v>Fighting the epidemic</v>
      </c>
      <c r="C7996" s="1" t="str">
        <f ca="1">IFERROR(__xludf.DUMMYFUNCTION("GOOGLETRANSLATE(E7996, ""zh"", ""en"")"),"Quantitative Text")</f>
        <v>Quantitative Text</v>
      </c>
    </row>
    <row r="7997" spans="1:3" ht="13" x14ac:dyDescent="0.15">
      <c r="A7997" s="1" t="str">
        <f ca="1">IFERROR(__xludf.DUMMYFUNCTION("GOOGLETRANSLATE(A7997, ""zh"", ""en"")"),"Among them, cadres and employees of the Saudi Project Department of North China Petroleum Engineering Company raised funds equivalent to RMB 88,000, and temporarily formed an emergency epidemic prevention material preparation volunteer team to purchase N9"&amp;"51860 masks and protective medical gloves from several medical material supply points.")</f>
        <v>Among them, cadres and employees of the Saudi Project Department of North China Petroleum Engineering Company raised funds equivalent to RMB 88,000, and temporarily formed an emergency epidemic prevention material preparation volunteer team to purchase N951860 masks and protective medical gloves from several medical material supply points.</v>
      </c>
      <c r="B7997" s="1" t="str">
        <f ca="1">IFERROR(__xludf.DUMMYFUNCTION("GOOGLETRANSLATE(A7997, ""zh"", ""en"")"),"Fighting the epidemic")</f>
        <v>Fighting the epidemic</v>
      </c>
      <c r="C7997" s="1" t="str">
        <f ca="1">IFERROR(__xludf.DUMMYFUNCTION("GOOGLETRANSLATE(E7997, ""zh"", ""en"")"),"Quantitative Text")</f>
        <v>Quantitative Text</v>
      </c>
    </row>
    <row r="7998" spans="1:3" ht="13" x14ac:dyDescent="0.15">
      <c r="A7998" s="1" t="str">
        <f ca="1">IFERROR(__xludf.DUMMYFUNCTION("GOOGLETRANSLATE(A7998, ""zh"", ""en"")"),"5,000 N951860 medical masks and 1,000 pairs of protective medical gloves purchased through fundraising filled 47 standard containers and were airlifted to Wuhan No. 1 Hospital in Hubei Province by an international logistics company.")</f>
        <v>5,000 N951860 medical masks and 1,000 pairs of protective medical gloves purchased through fundraising filled 47 standard containers and were airlifted to Wuhan No. 1 Hospital in Hubei Province by an international logistics company.</v>
      </c>
      <c r="B7998" s="1" t="str">
        <f ca="1">IFERROR(__xludf.DUMMYFUNCTION("GOOGLETRANSLATE(A7998, ""zh"", ""en"")"),"Fighting the epidemic")</f>
        <v>Fighting the epidemic</v>
      </c>
      <c r="C7998" s="1" t="str">
        <f ca="1">IFERROR(__xludf.DUMMYFUNCTION("GOOGLETRANSLATE(E7998, ""zh"", ""en"")"),"Quantitative Text")</f>
        <v>Quantitative Text</v>
      </c>
    </row>
    <row r="7999" spans="1:3" ht="13" x14ac:dyDescent="0.15">
      <c r="A7999" s="1" t="str">
        <f ca="1">IFERROR(__xludf.DUMMYFUNCTION("GOOGLETRANSLATE(A7999, ""zh"", ""en"")"),"From March to May 2022, the company donated a total of 724,800 yuan in epidemic prevention materials and food to Shanghai Fudan University, Shanghai Institute of Organic Chemistry, Chinese Academy of Sciences, Shanghai Institute of Materia Medica, Chinese"&amp;" Academy of Sciences, Shanghai University of Science and Technology and other universities, research institutions and hospitals in Shanghai, to overcome difficulties together with scientific research partners and medical workers.")</f>
        <v>From March to May 2022, the company donated a total of 724,800 yuan in epidemic prevention materials and food to Shanghai Fudan University, Shanghai Institute of Organic Chemistry, Chinese Academy of Sciences, Shanghai Institute of Materia Medica, Chinese Academy of Sciences, Shanghai University of Science and Technology and other universities, research institutions and hospitals in Shanghai, to overcome difficulties together with scientific research partners and medical workers.</v>
      </c>
      <c r="B7999" s="1" t="str">
        <f ca="1">IFERROR(__xludf.DUMMYFUNCTION("GOOGLETRANSLATE(A7999, ""zh"", ""en"")"),"Fighting the epidemic")</f>
        <v>Fighting the epidemic</v>
      </c>
      <c r="C7999" s="1" t="str">
        <f ca="1">IFERROR(__xludf.DUMMYFUNCTION("GOOGLETRANSLATE(E7999, ""zh"", ""en"")"),"Quantitative Text")</f>
        <v>Quantitative Text</v>
      </c>
    </row>
    <row r="8000" spans="1:3" ht="13" x14ac:dyDescent="0.15">
      <c r="A8000" s="1" t="str">
        <f ca="1">IFERROR(__xludf.DUMMYFUNCTION("GOOGLETRANSLATE(A8000, ""zh"", ""en"")"),"In order to fight the anti-epidemic support battle, in early 2020, Jianfa Group adopted the method of cross-border procurement and emergency conversion of epidemic prevention materials, giving full play to global supply chain channel resources and operati"&amp;"onal advantages, mobilizing overseas supply chain service resources in South Korea, Southeast Asia, the European Union, etc., and urgently cross-border procurement of epidemic prevention materials including approximately 1.2 million masks and 10,000 prote"&amp;"ctive suits at the first time, helping government departments and many companies coordinate and handle multiple overseas medical supplies procurement negotiations, overseas on-site inspections, overseas customs clearance and overseas transportation, etc.,"&amp;" which effectively supported the anti-epidemic work.")</f>
        <v>In order to fight the anti-epidemic support battle, in early 2020, Jianfa Group adopted the method of cross-border procurement and emergency conversion of epidemic prevention materials, giving full play to global supply chain channel resources and operational advantages, mobilizing overseas supply chain service resources in South Korea, Southeast Asia, the European Union, etc., and urgently cross-border procurement of epidemic prevention materials including approximately 1.2 million masks and 10,000 protective suits at the first time, helping government departments and many companies coordinate and handle multiple overseas medical supplies procurement negotiations, overseas on-site inspections, overseas customs clearance and overseas transportation, etc., which effectively supported the anti-epidemic work.</v>
      </c>
      <c r="B8000" s="1" t="str">
        <f ca="1">IFERROR(__xludf.DUMMYFUNCTION("GOOGLETRANSLATE(A8000, ""zh"", ""en"")"),"Fighting the epidemic")</f>
        <v>Fighting the epidemic</v>
      </c>
      <c r="C8000" s="1" t="str">
        <f ca="1">IFERROR(__xludf.DUMMYFUNCTION("GOOGLETRANSLATE(E8000, ""zh"", ""en"")"),"Quantitative Text")</f>
        <v>Quantitative Text</v>
      </c>
    </row>
    <row r="8001" spans="1:3" ht="13" x14ac:dyDescent="0.15">
      <c r="A8001" s="1" t="str">
        <f ca="1">IFERROR(__xludf.DUMMYFUNCTION("GOOGLETRANSLATE(A8001, ""zh"", ""en"")"),"Volkswagen Group donates to Sichuan earthquake-stricken area. In September 2022, an earthquake occurred in Sichuan. On behalf of Volkswagen Public Utilities and Volkswagen Transportation, Group Chairman Yang Guoping donated 300,000 yuan to the Sichuan ear"&amp;"thquake-stricken area for earthquake relief work in Luding and Ya'an.")</f>
        <v>Volkswagen Group donates to Sichuan earthquake-stricken area. In September 2022, an earthquake occurred in Sichuan. On behalf of Volkswagen Public Utilities and Volkswagen Transportation, Group Chairman Yang Guoping donated 300,000 yuan to the Sichuan earthquake-stricken area for earthquake relief work in Luding and Ya'an.</v>
      </c>
      <c r="B8001" s="1" t="str">
        <f ca="1">IFERROR(__xludf.DUMMYFUNCTION("GOOGLETRANSLATE(A8001, ""zh"", ""en"")"),"Fighting the epidemic")</f>
        <v>Fighting the epidemic</v>
      </c>
      <c r="C8001" s="1" t="str">
        <f ca="1">IFERROR(__xludf.DUMMYFUNCTION("GOOGLETRANSLATE(E8001, ""zh"", ""en"")"),"Quantitative Text")</f>
        <v>Quantitative Text</v>
      </c>
    </row>
    <row r="8002" spans="1:3" ht="13" x14ac:dyDescent="0.15">
      <c r="A8002" s="1" t="str">
        <f ca="1">IFERROR(__xludf.DUMMYFUNCTION("GOOGLETRANSLATE(A8002, ""zh"", ""en"")"),"Volkswagen Utilities and its affiliated company, Dazhong Transportation, donated RMB 500,000 to support epidemic prevention and control in Hainan. In August 2022, Volkswagen Utilities and its affiliated company, Dazhong Transportation, donated RMB 500,000"&amp;" through the Shanghai Red Cross Society for the prevention and control of the COVID-19 epidemic in Hainan Province.")</f>
        <v>Volkswagen Utilities and its affiliated company, Dazhong Transportation, donated RMB 500,000 to support epidemic prevention and control in Hainan. In August 2022, Volkswagen Utilities and its affiliated company, Dazhong Transportation, donated RMB 500,000 through the Shanghai Red Cross Society for the prevention and control of the COVID-19 epidemic in Hainan Province.</v>
      </c>
      <c r="B8002" s="1" t="str">
        <f ca="1">IFERROR(__xludf.DUMMYFUNCTION("GOOGLETRANSLATE(A8002, ""zh"", ""en"")"),"Fighting the epidemic")</f>
        <v>Fighting the epidemic</v>
      </c>
      <c r="C8002" s="1" t="str">
        <f ca="1">IFERROR(__xludf.DUMMYFUNCTION("GOOGLETRANSLATE(E8002, ""zh"", ""en"")"),"Quantitative Text")</f>
        <v>Quantitative Text</v>
      </c>
    </row>
    <row r="8003" spans="1:3" ht="13" x14ac:dyDescent="0.15">
      <c r="A8003" s="1" t="str">
        <f ca="1">IFERROR(__xludf.DUMMYFUNCTION("GOOGLETRANSLATE(A8003, ""zh"", ""en"")"),"Ensuring the rights and interests of whistleblowers is the key to combating corruption. To gain the trust of whistleblowers and enhance their willingness to report, we encourage anonymous reporting. At the same time, we adopt measures such as using dedica"&amp;"ted personnel, dedicated venues, dedicated telephone and mailboxes, or third parties to receive and handle reports and complaints, registering and encrypting each report information, and strictly controlling the number of people who have access to the rep"&amp;"ort information to ensure the confidentiality of the report information.")</f>
        <v>Ensuring the rights and interests of whistleblowers is the key to combating corruption. To gain the trust of whistleblowers and enhance their willingness to report, we encourage anonymous reporting. At the same time, we adopt measures such as using dedicated personnel, dedicated venues, dedicated telephone and mailboxes, or third parties to receive and handle reports and complaints, registering and encrypting each report information, and strictly controlling the number of people who have access to the report information to ensure the confidentiality of the report information.</v>
      </c>
      <c r="B8003" s="1" t="str">
        <f ca="1">IFERROR(__xludf.DUMMYFUNCTION("GOOGLETRANSLATE(A8003, ""zh"", ""en"")"),"Reporting System")</f>
        <v>Reporting System</v>
      </c>
      <c r="C8003" s="1" t="str">
        <f ca="1">IFERROR(__xludf.DUMMYFUNCTION("GOOGLETRANSLATE(E8003, ""zh"", ""en"")"),"Qualitative text")</f>
        <v>Qualitative text</v>
      </c>
    </row>
    <row r="8004" spans="1:3" ht="13" x14ac:dyDescent="0.15">
      <c r="A8004" s="1" t="str">
        <f ca="1">IFERROR(__xludf.DUMMYFUNCTION("GOOGLETRANSLATE(A8004, ""zh"", ""en"")"),"During the reporting period, we received a total of 154 complaints regarding violations of the ""Statement on Business Ethics Management Policy"" through our complaint mechanism, including three reports of conflicts of interest and one report of employee "&amp;"retaliation. We have resolved 145 of these complaints, for a completion rate of 94.2%.")</f>
        <v>During the reporting period, we received a total of 154 complaints regarding violations of the "Statement on Business Ethics Management Policy" through our complaint mechanism, including three reports of conflicts of interest and one report of employee retaliation. We have resolved 145 of these complaints, for a completion rate of 94.2%.</v>
      </c>
      <c r="B8004" s="1" t="str">
        <f ca="1">IFERROR(__xludf.DUMMYFUNCTION("GOOGLETRANSLATE(A8004, ""zh"", ""en"")"),"Reporting System")</f>
        <v>Reporting System</v>
      </c>
      <c r="C8004" s="1" t="str">
        <f ca="1">IFERROR(__xludf.DUMMYFUNCTION("GOOGLETRANSLATE(E8004, ""zh"", ""en"")"),"Quantitative Text")</f>
        <v>Quantitative Text</v>
      </c>
    </row>
    <row r="8005" spans="1:3" ht="13" x14ac:dyDescent="0.15">
      <c r="A8005" s="1" t="str">
        <f ca="1">IFERROR(__xludf.DUMMYFUNCTION("GOOGLETRANSLATE(A8005, ""zh"", ""en"")"),"Continental Gold launches third-party reporting platform to protect the legitimate rights and interests of whistleblowers")</f>
        <v>Continental Gold launches third-party reporting platform to protect the legitimate rights and interests of whistleblowers</v>
      </c>
      <c r="B8005" s="1" t="str">
        <f ca="1">IFERROR(__xludf.DUMMYFUNCTION("GOOGLETRANSLATE(A8005, ""zh"", ""en"")"),"Reporting System")</f>
        <v>Reporting System</v>
      </c>
      <c r="C8005" s="1" t="str">
        <f ca="1">IFERROR(__xludf.DUMMYFUNCTION("GOOGLETRANSLATE(E8005, ""zh"", ""en"")"),"Qualitative text")</f>
        <v>Qualitative text</v>
      </c>
    </row>
    <row r="8006" spans="1:3" ht="13" x14ac:dyDescent="0.15">
      <c r="A8006" s="1" t="str">
        <f ca="1">IFERROR(__xludf.DUMMYFUNCTION("GOOGLETRANSLATE(A8006, ""zh"", ""en"")"),"For real-name reports, we will promptly provide feedback on the handling results within the deadline. For anonymous reports, we will provide feedback based on the verification results.")</f>
        <v>For real-name reports, we will promptly provide feedback on the handling results within the deadline. For anonymous reports, we will provide feedback based on the verification results.</v>
      </c>
      <c r="B8006" s="1" t="str">
        <f ca="1">IFERROR(__xludf.DUMMYFUNCTION("GOOGLETRANSLATE(A8006, ""zh"", ""en"")"),"Reporting System")</f>
        <v>Reporting System</v>
      </c>
      <c r="C8006" s="1" t="str">
        <f ca="1">IFERROR(__xludf.DUMMYFUNCTION("GOOGLETRANSLATE(E8006, ""zh"", ""en"")"),"Qualitative text")</f>
        <v>Qualitative text</v>
      </c>
    </row>
    <row r="8007" spans="1:3" ht="13" x14ac:dyDescent="0.15">
      <c r="A8007" s="1" t="str">
        <f ca="1">IFERROR(__xludf.DUMMYFUNCTION("GOOGLETRANSLATE(A8007, ""zh"", ""en"")"),"The company encourages employees to report through the reporting and complaint hotline, email, letters, etc., and regularly evaluates the effectiveness of reporting channels and management, strengthens internal control, standardizes business practices, re"&amp;"duces operational risks, and ensures the company's continuous, stable and healthy development.")</f>
        <v>The company encourages employees to report through the reporting and complaint hotline, email, letters, etc., and regularly evaluates the effectiveness of reporting channels and management, strengthens internal control, standardizes business practices, reduces operational risks, and ensures the company's continuous, stable and healthy development.</v>
      </c>
      <c r="B8007" s="1" t="str">
        <f ca="1">IFERROR(__xludf.DUMMYFUNCTION("GOOGLETRANSLATE(A8007, ""zh"", ""en"")"),"Reporting System")</f>
        <v>Reporting System</v>
      </c>
      <c r="C8007" s="1" t="str">
        <f ca="1">IFERROR(__xludf.DUMMYFUNCTION("GOOGLETRANSLATE(E8007, ""zh"", ""en"")"),"Qualitative text")</f>
        <v>Qualitative text</v>
      </c>
    </row>
    <row r="8008" spans="1:3" ht="13" x14ac:dyDescent="0.15">
      <c r="A8008" s="1" t="str">
        <f ca="1">IFERROR(__xludf.DUMMYFUNCTION("GOOGLETRANSLATE(A8008, ""zh"", ""en"")"),"In accordance with the Basic Norms for Enterprise Internal Control and its application guidelines and other relevant laws and regulations, the Company has formulated the Anti-Fraud and Reporting Complaint Management System and the Control Procedure for Pr"&amp;"otecting Employees from Retaliation to safeguard the rights and interests of complainants and reporters, prohibit any illegal discrimination, retaliation, or hostile measures, and take relevant measures against employees who illegally disclose whistleblow"&amp;"er information or retaliate against whistleblowers.")</f>
        <v>In accordance with the Basic Norms for Enterprise Internal Control and its application guidelines and other relevant laws and regulations, the Company has formulated the Anti-Fraud and Reporting Complaint Management System and the Control Procedure for Protecting Employees from Retaliation to safeguard the rights and interests of complainants and reporters, prohibit any illegal discrimination, retaliation, or hostile measures, and take relevant measures against employees who illegally disclose whistleblower information or retaliate against whistleblowers.</v>
      </c>
      <c r="B8008" s="1" t="str">
        <f ca="1">IFERROR(__xludf.DUMMYFUNCTION("GOOGLETRANSLATE(A8008, ""zh"", ""en"")"),"Reporting System")</f>
        <v>Reporting System</v>
      </c>
      <c r="C8008" s="1" t="str">
        <f ca="1">IFERROR(__xludf.DUMMYFUNCTION("GOOGLETRANSLATE(E8008, ""zh"", ""en"")"),"Qualitative text")</f>
        <v>Qualitative text</v>
      </c>
    </row>
    <row r="8009" spans="1:3" ht="13" x14ac:dyDescent="0.15">
      <c r="A8009" s="1" t="str">
        <f ca="1">IFERROR(__xludf.DUMMYFUNCTION("GOOGLETRANSLATE(A8009, ""zh"", ""en"")"),"Since its inception, the company has provided stakeholders with a complaint and reporting mechanism. The company has issued a ""Reporting Management Policy Statement"" and formulated the ""Management Measures for Letters and Visits and Reporting Work"" to"&amp;" regulate reporting work.")</f>
        <v>Since its inception, the company has provided stakeholders with a complaint and reporting mechanism. The company has issued a "Reporting Management Policy Statement" and formulated the "Management Measures for Letters and Visits and Reporting Work" to regulate reporting work.</v>
      </c>
      <c r="B8009" s="1" t="str">
        <f ca="1">IFERROR(__xludf.DUMMYFUNCTION("GOOGLETRANSLATE(A8009, ""zh"", ""en"")"),"Reporting System")</f>
        <v>Reporting System</v>
      </c>
      <c r="C8009" s="1" t="str">
        <f ca="1">IFERROR(__xludf.DUMMYFUNCTION("GOOGLETRANSLATE(E8009, ""zh"", ""en"")"),"Qualitative text")</f>
        <v>Qualitative text</v>
      </c>
    </row>
    <row r="8010" spans="1:3" ht="13" x14ac:dyDescent="0.15">
      <c r="A8010" s="1" t="str">
        <f ca="1">IFERROR(__xludf.DUMMYFUNCTION("GOOGLETRANSLATE(A8010, ""zh"", ""en"")"),"The company has formulated the ""Shanghai Phoenix Enterprise (Group) Co., Ltd. Disciplinary Inspection and Supervision Case Clue Management Measures"", and all reported cases will be handled confidentially to protect the identity and privacy of the report"&amp;"er and ensure that the reporter will not be subject to any unfair dismissal or unreasonable disciplinary punishment.")</f>
        <v>The company has formulated the "Shanghai Phoenix Enterprise (Group) Co., Ltd. Disciplinary Inspection and Supervision Case Clue Management Measures", and all reported cases will be handled confidentially to protect the identity and privacy of the reporter and ensure that the reporter will not be subject to any unfair dismissal or unreasonable disciplinary punishment.</v>
      </c>
      <c r="B8010" s="1" t="str">
        <f ca="1">IFERROR(__xludf.DUMMYFUNCTION("GOOGLETRANSLATE(A8010, ""zh"", ""en"")"),"Reporting System")</f>
        <v>Reporting System</v>
      </c>
      <c r="C8010" s="1" t="str">
        <f ca="1">IFERROR(__xludf.DUMMYFUNCTION("GOOGLETRANSLATE(E8010, ""zh"", ""en"")"),"Qualitative text")</f>
        <v>Qualitative text</v>
      </c>
    </row>
    <row r="8011" spans="1:3" ht="13" x14ac:dyDescent="0.15">
      <c r="A8011" s="1" t="str">
        <f ca="1">IFERROR(__xludf.DUMMYFUNCTION("GOOGLETRANSLATE(A8011, ""zh"", ""en"")"),"We have also established a whistleblower recusation mechanism, requiring anyone with a vested interest in the whistleblower or the reported information to recuse themselves. We will seriously address anyone who threatens or engages in retaliatory behavior"&amp;", and, depending on the circumstances, may impose disciplinary action, dismissal, or even referral to judicial authorities for civil and criminal prosecution.")</f>
        <v>We have also established a whistleblower recusation mechanism, requiring anyone with a vested interest in the whistleblower or the reported information to recuse themselves. We will seriously address anyone who threatens or engages in retaliatory behavior, and, depending on the circumstances, may impose disciplinary action, dismissal, or even referral to judicial authorities for civil and criminal prosecution.</v>
      </c>
      <c r="B8011" s="1" t="str">
        <f ca="1">IFERROR(__xludf.DUMMYFUNCTION("GOOGLETRANSLATE(A8011, ""zh"", ""en"")"),"Reporting System")</f>
        <v>Reporting System</v>
      </c>
      <c r="C8011" s="1" t="str">
        <f ca="1">IFERROR(__xludf.DUMMYFUNCTION("GOOGLETRANSLATE(E8011, ""zh"", ""en"")"),"Qualitative text")</f>
        <v>Qualitative text</v>
      </c>
    </row>
    <row r="8012" spans="1:3" ht="13" x14ac:dyDescent="0.15">
      <c r="A8012" s="1" t="str">
        <f ca="1">IFERROR(__xludf.DUMMYFUNCTION("GOOGLETRANSLATE(A8012, ""zh"", ""en"")"),"We encourage organizations or individuals to report to the company's disciplinary inspection committee any employee suspected of violating laws, regulations, or disciplines, and we have established various reporting channels such as email, reporting hotli"&amp;"ne, and face-to-face reporting.")</f>
        <v>We encourage organizations or individuals to report to the company's disciplinary inspection committee any employee suspected of violating laws, regulations, or disciplines, and we have established various reporting channels such as email, reporting hotline, and face-to-face reporting.</v>
      </c>
      <c r="B8012" s="1" t="str">
        <f ca="1">IFERROR(__xludf.DUMMYFUNCTION("GOOGLETRANSLATE(A8012, ""zh"", ""en"")"),"Reporting System")</f>
        <v>Reporting System</v>
      </c>
      <c r="C8012" s="1" t="str">
        <f ca="1">IFERROR(__xludf.DUMMYFUNCTION("GOOGLETRANSLATE(E8012, ""zh"", ""en"")"),"Qualitative text")</f>
        <v>Qualitative text</v>
      </c>
    </row>
    <row r="8013" spans="1:3" ht="13" x14ac:dyDescent="0.15">
      <c r="A8013" s="1" t="str">
        <f ca="1">IFERROR(__xludf.DUMMYFUNCTION("GOOGLETRANSLATE(A8013, ""zh"", ""en"")"),"After receiving the report information, we will analyze and judge the report information and then classify it for disposal: reports reflecting serious problems will be investigated and handled by the headquarters' supervision and audit department (within "&amp;"3-6 months), and reports reflecting minor problems will be transferred to the supervisory department or business department of the corresponding subsidiary for investigation (within 1 month).")</f>
        <v>After receiving the report information, we will analyze and judge the report information and then classify it for disposal: reports reflecting serious problems will be investigated and handled by the headquarters' supervision and audit department (within 3-6 months), and reports reflecting minor problems will be transferred to the supervisory department or business department of the corresponding subsidiary for investigation (within 1 month).</v>
      </c>
      <c r="B8013" s="1" t="str">
        <f ca="1">IFERROR(__xludf.DUMMYFUNCTION("GOOGLETRANSLATE(A8013, ""zh"", ""en"")"),"Reporting System")</f>
        <v>Reporting System</v>
      </c>
      <c r="C8013" s="1" t="str">
        <f ca="1">IFERROR(__xludf.DUMMYFUNCTION("GOOGLETRANSLATE(E8013, ""zh"", ""en"")"),"Qualitative text")</f>
        <v>Qualitative text</v>
      </c>
    </row>
    <row r="8014" spans="1:3" ht="13" x14ac:dyDescent="0.15">
      <c r="A8014" s="1" t="str">
        <f ca="1">IFERROR(__xludf.DUMMYFUNCTION("GOOGLETRANSLATE(A8014, ""zh"", ""en"")"),"We are committed to broadening complaint reporting channels for stakeholders to improve the convenience of complaints for each stakeholder and the timeliness of responses to their demands.")</f>
        <v>We are committed to broadening complaint reporting channels for stakeholders to improve the convenience of complaints for each stakeholder and the timeliness of responses to their demands.</v>
      </c>
      <c r="B8014" s="1" t="str">
        <f ca="1">IFERROR(__xludf.DUMMYFUNCTION("GOOGLETRANSLATE(A8014, ""zh"", ""en"")"),"Reporting System")</f>
        <v>Reporting System</v>
      </c>
      <c r="C8014" s="1" t="str">
        <f ca="1">IFERROR(__xludf.DUMMYFUNCTION("GOOGLETRANSLATE(E8014, ""zh"", ""en"")"),"Qualitative text")</f>
        <v>Qualitative text</v>
      </c>
    </row>
    <row r="8015" spans="1:3" ht="13" x14ac:dyDescent="0.15">
      <c r="A8015" s="1" t="str">
        <f ca="1">IFERROR(__xludf.DUMMYFUNCTION("GOOGLETRANSLATE(A8015, ""zh"", ""en"")"),"In response to the report, the company has set up an investigation team to verify the authenticity of the incident, reward those who provide direct and strong evidence, and deal with the relevant personnel involved in accordance with the company and natio"&amp;"nal laws.")</f>
        <v>In response to the report, the company has set up an investigation team to verify the authenticity of the incident, reward those who provide direct and strong evidence, and deal with the relevant personnel involved in accordance with the company and national laws.</v>
      </c>
      <c r="B8015" s="1" t="str">
        <f ca="1">IFERROR(__xludf.DUMMYFUNCTION("GOOGLETRANSLATE(A8015, ""zh"", ""en"")"),"Reporting System")</f>
        <v>Reporting System</v>
      </c>
      <c r="C8015" s="1" t="str">
        <f ca="1">IFERROR(__xludf.DUMMYFUNCTION("GOOGLETRANSLATE(E8015, ""zh"", ""en"")"),"Qualitative text")</f>
        <v>Qualitative text</v>
      </c>
    </row>
    <row r="8016" spans="1:3" ht="13" x14ac:dyDescent="0.15">
      <c r="A8016" s="1" t="str">
        <f ca="1">IFERROR(__xludf.DUMMYFUNCTION("GOOGLETRANSLATE(A8016, ""zh"", ""en"")"),"We have established various reporting channels, including face-to-face reporting, email, WeChat, audit supervision mailbox, fraud complaint and reporting hotline, etc.")</f>
        <v>We have established various reporting channels, including face-to-face reporting, email, WeChat, audit supervision mailbox, fraud complaint and reporting hotline, etc.</v>
      </c>
      <c r="B8016" s="1" t="str">
        <f ca="1">IFERROR(__xludf.DUMMYFUNCTION("GOOGLETRANSLATE(A8016, ""zh"", ""en"")"),"Reporting System")</f>
        <v>Reporting System</v>
      </c>
      <c r="C8016" s="1" t="str">
        <f ca="1">IFERROR(__xludf.DUMMYFUNCTION("GOOGLETRANSLATE(E8016, ""zh"", ""en"")"),"Qualitative text")</f>
        <v>Qualitative text</v>
      </c>
    </row>
    <row r="8017" spans="1:3" ht="13" x14ac:dyDescent="0.15">
      <c r="A8017" s="1" t="str">
        <f ca="1">IFERROR(__xludf.DUMMYFUNCTION("GOOGLETRANSLATE(A8017, ""zh"", ""en"")"),"Encourage employees to submit real-name suggestions and complaints, and implement the principle of ""confidentiality, processing, and feedback"" for employees who make real-name suggestions/reports")</f>
        <v>Encourage employees to submit real-name suggestions and complaints, and implement the principle of "confidentiality, processing, and feedback" for employees who make real-name suggestions/reports</v>
      </c>
      <c r="B8017" s="1" t="str">
        <f ca="1">IFERROR(__xludf.DUMMYFUNCTION("GOOGLETRANSLATE(A8017, ""zh"", ""en"")"),"Reporting System")</f>
        <v>Reporting System</v>
      </c>
      <c r="C8017" s="1" t="str">
        <f ca="1">IFERROR(__xludf.DUMMYFUNCTION("GOOGLETRANSLATE(E8017, ""zh"", ""en"")"),"Qualitative text")</f>
        <v>Qualitative text</v>
      </c>
    </row>
    <row r="8018" spans="1:3" ht="13" x14ac:dyDescent="0.15">
      <c r="A8018" s="1" t="str">
        <f ca="1">IFERROR(__xludf.DUMMYFUNCTION("GOOGLETRANSLATE(A8018, ""zh"", ""en"")"),"If anyone retaliates against the complainant, Aixu will deal with it seriously in accordance with the ""Regulations on Complaint and Reporting Management""")</f>
        <v>If anyone retaliates against the complainant, Aixu will deal with it seriously in accordance with the "Regulations on Complaint and Reporting Management"</v>
      </c>
      <c r="B8018" s="1" t="str">
        <f ca="1">IFERROR(__xludf.DUMMYFUNCTION("GOOGLETRANSLATE(A8018, ""zh"", ""en"")"),"Reporting System")</f>
        <v>Reporting System</v>
      </c>
      <c r="C8018" s="1" t="str">
        <f ca="1">IFERROR(__xludf.DUMMYFUNCTION("GOOGLETRANSLATE(E8018, ""zh"", ""en"")"),"Qualitative text")</f>
        <v>Qualitative text</v>
      </c>
    </row>
    <row r="8019" spans="1:3" ht="13" x14ac:dyDescent="0.15">
      <c r="A8019" s="1" t="str">
        <f ca="1">IFERROR(__xludf.DUMMYFUNCTION("GOOGLETRANSLATE(A8019, ""zh"", ""en"")"),"The company strictly follows the ""Rules for the Handling of Reports and Complaints by Disciplinary Inspection and Supervision Organs"", institutionalizes the reporting process for violations of business ethics, provides multiple reporting channels such a"&amp;"s text messages, telephone, and the Internet, and strictly keeps the personal information of the reporter confidential throughout the process.")</f>
        <v>The company strictly follows the "Rules for the Handling of Reports and Complaints by Disciplinary Inspection and Supervision Organs", institutionalizes the reporting process for violations of business ethics, provides multiple reporting channels such as text messages, telephone, and the Internet, and strictly keeps the personal information of the reporter confidential throughout the process.</v>
      </c>
      <c r="B8019" s="1" t="str">
        <f ca="1">IFERROR(__xludf.DUMMYFUNCTION("GOOGLETRANSLATE(A8019, ""zh"", ""en"")"),"Reporting System")</f>
        <v>Reporting System</v>
      </c>
      <c r="C8019" s="1" t="str">
        <f ca="1">IFERROR(__xludf.DUMMYFUNCTION("GOOGLETRANSLATE(E8019, ""zh"", ""en"")"),"Qualitative text")</f>
        <v>Qualitative text</v>
      </c>
    </row>
    <row r="8020" spans="1:3" ht="13" x14ac:dyDescent="0.15">
      <c r="A8020" s="1" t="str">
        <f ca="1">IFERROR(__xludf.DUMMYFUNCTION("GOOGLETRANSLATE(A8020, ""zh"", ""en"")"),"We have a zero-tolerance attitude towards corruption and fraud, establish a clear reward mechanism for reporting violations of integrity and honesty, company management systems, and major operational issues, and encourage oversight and reporting.")</f>
        <v>We have a zero-tolerance attitude towards corruption and fraud, establish a clear reward mechanism for reporting violations of integrity and honesty, company management systems, and major operational issues, and encourage oversight and reporting.</v>
      </c>
      <c r="B8020" s="1" t="str">
        <f ca="1">IFERROR(__xludf.DUMMYFUNCTION("GOOGLETRANSLATE(A8020, ""zh"", ""en"")"),"Reporting System")</f>
        <v>Reporting System</v>
      </c>
      <c r="C8020" s="1" t="str">
        <f ca="1">IFERROR(__xludf.DUMMYFUNCTION("GOOGLETRANSLATE(E8020, ""zh"", ""en"")"),"Qualitative text")</f>
        <v>Qualitative text</v>
      </c>
    </row>
    <row r="8021" spans="1:3" ht="13" x14ac:dyDescent="0.15">
      <c r="A8021" s="1" t="str">
        <f ca="1">IFERROR(__xludf.DUMMYFUNCTION("GOOGLETRANSLATE(A8021, ""zh"", ""en"")"),"Create a reporting group covering all employees, open channels for proactively reporting violations of integrity and self-discipline (including reporting phone, email, WeChat, etc.), and ensure that reporting information is delivered directly in real time"&amp;";")</f>
        <v>Create a reporting group covering all employees, open channels for proactively reporting violations of integrity and self-discipline (including reporting phone, email, WeChat, etc.), and ensure that reporting information is delivered directly in real time;</v>
      </c>
      <c r="B8021" s="1" t="str">
        <f ca="1">IFERROR(__xludf.DUMMYFUNCTION("GOOGLETRANSLATE(A8021, ""zh"", ""en"")"),"Reporting System")</f>
        <v>Reporting System</v>
      </c>
      <c r="C8021" s="1" t="str">
        <f ca="1">IFERROR(__xludf.DUMMYFUNCTION("GOOGLETRANSLATE(E8021, ""zh"", ""en"")"),"Qualitative text")</f>
        <v>Qualitative text</v>
      </c>
    </row>
    <row r="8022" spans="1:3" ht="13" x14ac:dyDescent="0.15">
      <c r="A8022" s="1" t="str">
        <f ca="1">IFERROR(__xludf.DUMMYFUNCTION("GOOGLETRANSLATE(A8022, ""zh"", ""en"")"),"Clarify the whistleblower protection mechanism, strictly keep confidential the whistleblower's name, work unit, home address and other relevant information as well as the content of the report. It is strictly prohibited to reveal the whistleblower's ident"&amp;"ity when accepting reports from the whistleblower or verifying the situation with the whistleblower, and strictly protect the personal safety of the whistleblower.")</f>
        <v>Clarify the whistleblower protection mechanism, strictly keep confidential the whistleblower's name, work unit, home address and other relevant information as well as the content of the report. It is strictly prohibited to reveal the whistleblower's identity when accepting reports from the whistleblower or verifying the situation with the whistleblower, and strictly protect the personal safety of the whistleblower.</v>
      </c>
      <c r="B8022" s="1" t="str">
        <f ca="1">IFERROR(__xludf.DUMMYFUNCTION("GOOGLETRANSLATE(A8022, ""zh"", ""en"")"),"Reporting System")</f>
        <v>Reporting System</v>
      </c>
      <c r="C8022" s="1" t="str">
        <f ca="1">IFERROR(__xludf.DUMMYFUNCTION("GOOGLETRANSLATE(E8022, ""zh"", ""en"")"),"Qualitative text")</f>
        <v>Qualitative text</v>
      </c>
    </row>
    <row r="8023" spans="1:3" ht="13" x14ac:dyDescent="0.15">
      <c r="A8023" s="1" t="str">
        <f ca="1">IFERROR(__xludf.DUMMYFUNCTION("GOOGLETRANSLATE(A8023, ""zh"", ""en"")"),"Report phone number: 0571-89905290 (ext. 8081); report email: ia@jsjd.cc")</f>
        <v>Report phone number: 0571-89905290 (ext. 8081); report email: ia@jsjd.cc</v>
      </c>
      <c r="B8023" s="1" t="str">
        <f ca="1">IFERROR(__xludf.DUMMYFUNCTION("GOOGLETRANSLATE(A8023, ""zh"", ""en"")"),"Reporting System")</f>
        <v>Reporting System</v>
      </c>
      <c r="C8023" s="1" t="str">
        <f ca="1">IFERROR(__xludf.DUMMYFUNCTION("GOOGLETRANSLATE(E8023, ""zh"", ""en"")"),"Qualitative text")</f>
        <v>Qualitative text</v>
      </c>
    </row>
    <row r="8024" spans="1:3" ht="13" x14ac:dyDescent="0.15">
      <c r="A8024" s="1" t="str">
        <f ca="1">IFERROR(__xludf.DUMMYFUNCTION("GOOGLETRANSLATE(A8024, ""zh"", ""en"")"),"A reporting mechanism for corruption has been established, with reporting channels such as hotlines, email addresses, and anonymous mailboxes, and the corresponding protection and reward mechanisms for whistleblowers have been clearly defined in the ""Ant"&amp;"i-Fraud Management Measures.""")</f>
        <v>A reporting mechanism for corruption has been established, with reporting channels such as hotlines, email addresses, and anonymous mailboxes, and the corresponding protection and reward mechanisms for whistleblowers have been clearly defined in the "Anti-Fraud Management Measures."</v>
      </c>
      <c r="B8024" s="1" t="str">
        <f ca="1">IFERROR(__xludf.DUMMYFUNCTION("GOOGLETRANSLATE(A8024, ""zh"", ""en"")"),"Reporting System")</f>
        <v>Reporting System</v>
      </c>
      <c r="C8024" s="1" t="str">
        <f ca="1">IFERROR(__xludf.DUMMYFUNCTION("GOOGLETRANSLATE(E8024, ""zh"", ""en"")"),"Qualitative text")</f>
        <v>Qualitative text</v>
      </c>
    </row>
    <row r="8025" spans="1:3" ht="13" x14ac:dyDescent="0.15">
      <c r="A8025" s="1" t="str">
        <f ca="1">IFERROR(__xludf.DUMMYFUNCTION("GOOGLETRANSLATE(A8025, ""zh"", ""en"")"),"The company has formulated the ""Anti-Fraud and Complaint Reporting Management System"", established a special reporting hotline and email mailbox, and established written procedures to standardize this work process.")</f>
        <v>The company has formulated the "Anti-Fraud and Complaint Reporting Management System", established a special reporting hotline and email mailbox, and established written procedures to standardize this work process.</v>
      </c>
      <c r="B8025" s="1" t="str">
        <f ca="1">IFERROR(__xludf.DUMMYFUNCTION("GOOGLETRANSLATE(A8025, ""zh"", ""en"")"),"Reporting System")</f>
        <v>Reporting System</v>
      </c>
      <c r="C8025" s="1" t="str">
        <f ca="1">IFERROR(__xludf.DUMMYFUNCTION("GOOGLETRANSLATE(E8025, ""zh"", ""en"")"),"Qualitative text")</f>
        <v>Qualitative text</v>
      </c>
    </row>
    <row r="8026" spans="1:3" ht="13" x14ac:dyDescent="0.15">
      <c r="A8026" s="1" t="str">
        <f ca="1">IFERROR(__xludf.DUMMYFUNCTION("GOOGLETRANSLATE(A8026, ""zh"", ""en"")"),"Unethical and dishonest behavior can be reported through reporting channels in real name or anonymously.")</f>
        <v>Unethical and dishonest behavior can be reported through reporting channels in real name or anonymously.</v>
      </c>
      <c r="B8026" s="1" t="str">
        <f ca="1">IFERROR(__xludf.DUMMYFUNCTION("GOOGLETRANSLATE(A8026, ""zh"", ""en"")"),"Reporting System")</f>
        <v>Reporting System</v>
      </c>
      <c r="C8026" s="1" t="str">
        <f ca="1">IFERROR(__xludf.DUMMYFUNCTION("GOOGLETRANSLATE(E8026, ""zh"", ""en"")"),"Qualitative text")</f>
        <v>Qualitative text</v>
      </c>
    </row>
    <row r="8027" spans="1:3" ht="13" x14ac:dyDescent="0.15">
      <c r="A8027" s="1" t="str">
        <f ca="1">IFERROR(__xludf.DUMMYFUNCTION("GOOGLETRANSLATE(A8027, ""zh"", ""en"")"),"We also provide complaint channels and encourage those with information to report violations. The supervisory complaint email address is: fawu@scc.com.")</f>
        <v>We also provide complaint channels and encourage those with information to report violations. The supervisory complaint email address is: fawu@scc.com.</v>
      </c>
      <c r="B8027" s="1" t="str">
        <f ca="1">IFERROR(__xludf.DUMMYFUNCTION("GOOGLETRANSLATE(A8027, ""zh"", ""en"")"),"Reporting System")</f>
        <v>Reporting System</v>
      </c>
      <c r="C8027" s="1" t="str">
        <f ca="1">IFERROR(__xludf.DUMMYFUNCTION("GOOGLETRANSLATE(E8027, ""zh"", ""en"")"),"Qualitative text")</f>
        <v>Qualitative text</v>
      </c>
    </row>
    <row r="8028" spans="1:3" ht="13" x14ac:dyDescent="0.15">
      <c r="A8028" s="1" t="str">
        <f ca="1">IFERROR(__xludf.DUMMYFUNCTION("GOOGLETRANSLATE(A8028, ""zh"", ""en"")"),"Users can also use the contact information published on the official website to promptly file complaints and report any potential security risks that may infringe on personal information rights to our personal information protection team and person in cha"&amp;"rge.")</f>
        <v>Users can also use the contact information published on the official website to promptly file complaints and report any potential security risks that may infringe on personal information rights to our personal information protection team and person in charge.</v>
      </c>
      <c r="B8028" s="1" t="str">
        <f ca="1">IFERROR(__xludf.DUMMYFUNCTION("GOOGLETRANSLATE(A8028, ""zh"", ""en"")"),"Reporting System")</f>
        <v>Reporting System</v>
      </c>
      <c r="C8028" s="1" t="str">
        <f ca="1">IFERROR(__xludf.DUMMYFUNCTION("GOOGLETRANSLATE(E8028, ""zh"", ""en"")"),"Qualitative text")</f>
        <v>Qualitative text</v>
      </c>
    </row>
    <row r="8029" spans="1:3" ht="13" x14ac:dyDescent="0.15">
      <c r="A8029" s="1" t="str">
        <f ca="1">IFERROR(__xludf.DUMMYFUNCTION("GOOGLETRANSLATE(A8029, ""zh"", ""en"")"),"Set up multiple reporting channels such as the reporting email address: audit@ivo.com.cn, telephone, etc. After receiving the report, the legal department or audit department will immediately launch an investigation, follow up and handle all types of repo"&amp;"rted information and incidents in a timely manner.")</f>
        <v>Set up multiple reporting channels such as the reporting email address: audit@ivo.com.cn, telephone, etc. After receiving the report, the legal department or audit department will immediately launch an investigation, follow up and handle all types of reported information and incidents in a timely manner.</v>
      </c>
      <c r="B8029" s="1" t="str">
        <f ca="1">IFERROR(__xludf.DUMMYFUNCTION("GOOGLETRANSLATE(A8029, ""zh"", ""en"")"),"Reporting System")</f>
        <v>Reporting System</v>
      </c>
      <c r="C8029" s="1" t="str">
        <f ca="1">IFERROR(__xludf.DUMMYFUNCTION("GOOGLETRANSLATE(E8029, ""zh"", ""en"")"),"Qualitative text")</f>
        <v>Qualitative text</v>
      </c>
    </row>
    <row r="8030" spans="1:3" ht="13" x14ac:dyDescent="0.15">
      <c r="A8030" s="1" t="str">
        <f ca="1">IFERROR(__xludf.DUMMYFUNCTION("GOOGLETRANSLATE(A8030, ""zh"", ""en"")"),"At the same time, the company has opened up channels for reporting corruption, set up special reporting telephone numbers and email addresses, clarified the complaint and reporting procedures, processing time limits and completion requirements, and handle"&amp;"d all reports confidentially to ensure that reporters are not subject to any form of retaliation.")</f>
        <v>At the same time, the company has opened up channels for reporting corruption, set up special reporting telephone numbers and email addresses, clarified the complaint and reporting procedures, processing time limits and completion requirements, and handled all reports confidentially to ensure that reporters are not subject to any form of retaliation.</v>
      </c>
      <c r="B8030" s="1" t="str">
        <f ca="1">IFERROR(__xludf.DUMMYFUNCTION("GOOGLETRANSLATE(A8030, ""zh"", ""en"")"),"Reporting System")</f>
        <v>Reporting System</v>
      </c>
      <c r="C8030" s="1" t="str">
        <f ca="1">IFERROR(__xludf.DUMMYFUNCTION("GOOGLETRANSLATE(E8030, ""zh"", ""en"")"),"Qualitative text")</f>
        <v>Qualitative text</v>
      </c>
    </row>
    <row r="8031" spans="1:3" ht="13" x14ac:dyDescent="0.15">
      <c r="A8031" s="1" t="str">
        <f ca="1">IFERROR(__xludf.DUMMYFUNCTION("GOOGLETRANSLATE(A8031, ""zh"", ""en"")"),"The Bank has made public channels such as the official website’s petition and reporting mailbox, email address, and telephone number to the public and employees, and actively accepts supervision from the public, the media, and employees.")</f>
        <v>The Bank has made public channels such as the official website’s petition and reporting mailbox, email address, and telephone number to the public and employees, and actively accepts supervision from the public, the media, and employees.</v>
      </c>
      <c r="B8031" s="1" t="str">
        <f ca="1">IFERROR(__xludf.DUMMYFUNCTION("GOOGLETRANSLATE(A8031, ""zh"", ""en"")"),"Reporting System")</f>
        <v>Reporting System</v>
      </c>
      <c r="C8031" s="1" t="str">
        <f ca="1">IFERROR(__xludf.DUMMYFUNCTION("GOOGLETRANSLATE(E8031, ""zh"", ""en"")"),"Qualitative text")</f>
        <v>Qualitative text</v>
      </c>
    </row>
    <row r="8032" spans="1:3" ht="13" x14ac:dyDescent="0.15">
      <c r="A8032" s="1" t="str">
        <f ca="1">IFERROR(__xludf.DUMMYFUNCTION("GOOGLETRANSLATE(A8032, ""zh"", ""en"")"),"Luxshare Precision has formulated and strictly abided by the ""Reporting and Whistleblower Protection System"" to standardize and facilitate the reporting process, and strictly prevent and control illegal and disciplinary violations that involve the use o"&amp;"f position and power to seek improper benefits.")</f>
        <v>Luxshare Precision has formulated and strictly abided by the "Reporting and Whistleblower Protection System" to standardize and facilitate the reporting process, and strictly prevent and control illegal and disciplinary violations that involve the use of position and power to seek improper benefits.</v>
      </c>
      <c r="B8032" s="1" t="str">
        <f ca="1">IFERROR(__xludf.DUMMYFUNCTION("GOOGLETRANSLATE(A8032, ""zh"", ""en"")"),"Reporting System")</f>
        <v>Reporting System</v>
      </c>
      <c r="C8032" s="1" t="str">
        <f ca="1">IFERROR(__xludf.DUMMYFUNCTION("GOOGLETRANSLATE(E8032, ""zh"", ""en"")"),"Qualitative text")</f>
        <v>Qualitative text</v>
      </c>
    </row>
    <row r="8033" spans="1:3" ht="13" x14ac:dyDescent="0.15">
      <c r="A8033" s="1" t="str">
        <f ca="1">IFERROR(__xludf.DUMMYFUNCTION("GOOGLETRANSLATE(A8033, ""zh"", ""en"")"),"The company is committed to improving the environmental management system and implementing national laws, regulations, guidelines and policies related to environmental protection and resource conservation. It has also formulated relevant policies and syst"&amp;"ems such as the ""Huaguang Environmental Energy Environmental Production Responsibility Regulations"", the ""Huaguang Environmental Energy Environmental Protection and Resource Conservation Management System"", and the ""Huaguang Environmental Energy Haza"&amp;"rdous Waste Management and Assessment Measures"", which clarify the company's environmental protection, resource conservation, hazardous waste pollution prevention and control management, and ensure the compliance of project operations.")</f>
        <v>The company is committed to improving the environmental management system and implementing national laws, regulations, guidelines and policies related to environmental protection and resource conservation. It has also formulated relevant policies and systems such as the "Huaguang Environmental Energy Environmental Production Responsibility Regulations", the "Huaguang Environmental Energy Environmental Protection and Resource Conservation Management System", and the "Huaguang Environmental Energy Hazardous Waste Management and Assessment Measures", which clarify the company's environmental protection, resource conservation, hazardous waste pollution prevention and control management, and ensure the compliance of project operations.</v>
      </c>
      <c r="B8033" s="1" t="str">
        <f ca="1">IFERROR(__xludf.DUMMYFUNCTION("GOOGLETRANSLATE(A8033, ""zh"", ""en"")"),"Environmental Policy")</f>
        <v>Environmental Policy</v>
      </c>
      <c r="C8033" s="1" t="str">
        <f ca="1">IFERROR(__xludf.DUMMYFUNCTION("GOOGLETRANSLATE(E8033, ""zh"", ""en"")"),"Qualitative text")</f>
        <v>Qualitative text</v>
      </c>
    </row>
    <row r="8034" spans="1:3" ht="13" x14ac:dyDescent="0.15">
      <c r="A8034" s="1" t="str">
        <f ca="1">IFERROR(__xludf.DUMMYFUNCTION("GOOGLETRANSLATE(A8034, ""zh"", ""en"")"),"The company issued a plan for building a technical standards system, deepened the construction of a technical standards system in the green and low-carbon field, and proposed the first batch of enterprise technical standards compilation plans and started "&amp;"compilation around 20 directions including wind power, high-altitude wind energy, photovoltaics, solar thermal, electrochemical energy storage, compressed air energy storage, and hydrogen energy.")</f>
        <v>The company issued a plan for building a technical standards system, deepened the construction of a technical standards system in the green and low-carbon field, and proposed the first batch of enterprise technical standards compilation plans and started compilation around 20 directions including wind power, high-altitude wind energy, photovoltaics, solar thermal, electrochemical energy storage, compressed air energy storage, and hydrogen energy.</v>
      </c>
      <c r="B8034" s="1" t="str">
        <f ca="1">IFERROR(__xludf.DUMMYFUNCTION("GOOGLETRANSLATE(A8034, ""zh"", ""en"")"),"Environmental Policy")</f>
        <v>Environmental Policy</v>
      </c>
      <c r="C8034" s="1" t="str">
        <f ca="1">IFERROR(__xludf.DUMMYFUNCTION("GOOGLETRANSLATE(E8034, ""zh"", ""en"")"),"Quantitative Text")</f>
        <v>Quantitative Text</v>
      </c>
    </row>
    <row r="8035" spans="1:3" ht="13" x14ac:dyDescent="0.15">
      <c r="A8035" s="1" t="str">
        <f ca="1">IFERROR(__xludf.DUMMYFUNCTION("GOOGLETRANSLATE(A8035, ""zh"", ""en"")"),"Formulate and implement environmental management systems such as the ""Environmental Protection and Energy Conservation Management Regulations"", ""Management Measures for Production Safety Accidents, Quality Accidents, and Environmental Incidents"", and "&amp;"""QHSE Reward and Punishment Measures"" to implement responsibilities, strengthen supervision, and prevent and control risks.")</f>
        <v>Formulate and implement environmental management systems such as the "Environmental Protection and Energy Conservation Management Regulations", "Management Measures for Production Safety Accidents, Quality Accidents, and Environmental Incidents", and "QHSE Reward and Punishment Measures" to implement responsibilities, strengthen supervision, and prevent and control risks.</v>
      </c>
      <c r="B8035" s="1" t="str">
        <f ca="1">IFERROR(__xludf.DUMMYFUNCTION("GOOGLETRANSLATE(A8035, ""zh"", ""en"")"),"Environmental Policy")</f>
        <v>Environmental Policy</v>
      </c>
      <c r="C8035" s="1" t="str">
        <f ca="1">IFERROR(__xludf.DUMMYFUNCTION("GOOGLETRANSLATE(E8035, ""zh"", ""en"")"),"Qualitative text")</f>
        <v>Qualitative text</v>
      </c>
    </row>
    <row r="8036" spans="1:3" ht="13" x14ac:dyDescent="0.15">
      <c r="A8036" s="1" t="str">
        <f ca="1">IFERROR(__xludf.DUMMYFUNCTION("GOOGLETRANSLATE(A8036, ""zh"", ""en"")"),"During the procurement process, the company requires suppliers to sign a ""Qualified Supplier Commitment Letter"" and commit to comply with environmental protection-related laws and regulations such as the ""International Convention for Environmental Prot"&amp;"ection"" and the ""Environmental Protection Law of the People's Republic of China"", and carry out various production activities on the premise of not harming the environment or minimizing environmental damage, and urge them to establish environmental awa"&amp;"reness and circular economy concepts.")</f>
        <v>During the procurement process, the company requires suppliers to sign a "Qualified Supplier Commitment Letter" and commit to comply with environmental protection-related laws and regulations such as the "International Convention for Environmental Protection" and the "Environmental Protection Law of the People's Republic of China", and carry out various production activities on the premise of not harming the environment or minimizing environmental damage, and urge them to establish environmental awareness and circular economy concepts.</v>
      </c>
      <c r="B8036" s="1" t="str">
        <f ca="1">IFERROR(__xludf.DUMMYFUNCTION("GOOGLETRANSLATE(A8036, ""zh"", ""en"")"),"Environmental Policy")</f>
        <v>Environmental Policy</v>
      </c>
      <c r="C8036" s="1" t="str">
        <f ca="1">IFERROR(__xludf.DUMMYFUNCTION("GOOGLETRANSLATE(E8036, ""zh"", ""en"")"),"Qualitative text")</f>
        <v>Qualitative text</v>
      </c>
    </row>
    <row r="8037" spans="1:3" ht="13" x14ac:dyDescent="0.15">
      <c r="A8037" s="1" t="str">
        <f ca="1">IFERROR(__xludf.DUMMYFUNCTION("GOOGLETRANSLATE(A8037, ""zh"", ""en"")"),"We released the ""Dual Carbon"" white paper, actively laid out carbon governance, strengthened the use of technological advantages, helped all partners to jointly create a low-carbon transformation, and contributed to the ""zero-carbon industry"" process."&amp;" Our ECS-700 control system successfully protected the main hydrogen supply device of the main torch of the Beijing Winter Olympics, contributing technological strength to a simple, safe and exciting Beijing Winter Olympics.")</f>
        <v>We released the "Dual Carbon" white paper, actively laid out carbon governance, strengthened the use of technological advantages, helped all partners to jointly create a low-carbon transformation, and contributed to the "zero-carbon industry" process. Our ECS-700 control system successfully protected the main hydrogen supply device of the main torch of the Beijing Winter Olympics, contributing technological strength to a simple, safe and exciting Beijing Winter Olympics.</v>
      </c>
      <c r="B8037" s="1" t="str">
        <f ca="1">IFERROR(__xludf.DUMMYFUNCTION("GOOGLETRANSLATE(A8037, ""zh"", ""en"")"),"Environmental Policy")</f>
        <v>Environmental Policy</v>
      </c>
      <c r="C8037" s="1" t="str">
        <f ca="1">IFERROR(__xludf.DUMMYFUNCTION("GOOGLETRANSLATE(E8037, ""zh"", ""en"")"),"Qualitative text")</f>
        <v>Qualitative text</v>
      </c>
    </row>
    <row r="8038" spans="1:3" ht="13" x14ac:dyDescent="0.15">
      <c r="A8038" s="1" t="str">
        <f ca="1">IFERROR(__xludf.DUMMYFUNCTION("GOOGLETRANSLATE(A8038, ""zh"", ""en"")"),"Strengthen environmental management. The company shall formulate internal policy documents related to environmental protection in accordance with the Environmental Protection Law of the People's Republic of China and other laws and regulations, and shall "&amp;"specify the responsibilities of each department in detail according to the classification of environmental factors and the division of responsibilities from the aspects of basic supervision, on-site facility management, pollutant management, pollution pre"&amp;"vention and environmental monitoring management.")</f>
        <v>Strengthen environmental management. The company shall formulate internal policy documents related to environmental protection in accordance with the Environmental Protection Law of the People's Republic of China and other laws and regulations, and shall specify the responsibilities of each department in detail according to the classification of environmental factors and the division of responsibilities from the aspects of basic supervision, on-site facility management, pollutant management, pollution prevention and environmental monitoring management.</v>
      </c>
      <c r="B8038" s="1" t="str">
        <f ca="1">IFERROR(__xludf.DUMMYFUNCTION("GOOGLETRANSLATE(A8038, ""zh"", ""en"")"),"Environmental Policy")</f>
        <v>Environmental Policy</v>
      </c>
      <c r="C8038" s="1" t="str">
        <f ca="1">IFERROR(__xludf.DUMMYFUNCTION("GOOGLETRANSLATE(E8038, ""zh"", ""en"")"),"Qualitative text")</f>
        <v>Qualitative text</v>
      </c>
    </row>
    <row r="8039" spans="1:3" ht="13" x14ac:dyDescent="0.15">
      <c r="A8039" s="1" t="str">
        <f ca="1">IFERROR(__xludf.DUMMYFUNCTION("GOOGLETRANSLATE(A8039, ""zh"", ""en"")"),"The New Energy Business Division focuses on the development of green, low-carbon assets. Due diligence is conducted within industry boundaries, limiting operations to new energy and green asset-related businesses. Furthermore, by reviewing new energy asse"&amp;"ts and referencing relevant corporate risk management guidelines, the company has developed the ""Special Access Guidelines for Solar Power Generation Business"" and the ""Special Access Guidelines for Wind Power Generation Business."" These guidelines st"&amp;"andardize the department's new energy project screening process and strengthen the company's green, low-carbon assets.")</f>
        <v>The New Energy Business Division focuses on the development of green, low-carbon assets. Due diligence is conducted within industry boundaries, limiting operations to new energy and green asset-related businesses. Furthermore, by reviewing new energy assets and referencing relevant corporate risk management guidelines, the company has developed the "Special Access Guidelines for Solar Power Generation Business" and the "Special Access Guidelines for Wind Power Generation Business." These guidelines standardize the department's new energy project screening process and strengthen the company's green, low-carbon assets.</v>
      </c>
      <c r="B8039" s="1" t="str">
        <f ca="1">IFERROR(__xludf.DUMMYFUNCTION("GOOGLETRANSLATE(A8039, ""zh"", ""en"")"),"Environmental Policy")</f>
        <v>Environmental Policy</v>
      </c>
      <c r="C8039" s="1" t="str">
        <f ca="1">IFERROR(__xludf.DUMMYFUNCTION("GOOGLETRANSLATE(E8039, ""zh"", ""en"")"),"Qualitative text")</f>
        <v>Qualitative text</v>
      </c>
    </row>
    <row r="8040" spans="1:3" ht="13" x14ac:dyDescent="0.15">
      <c r="A8040" s="1" t="str">
        <f ca="1">IFERROR(__xludf.DUMMYFUNCTION("GOOGLETRANSLATE(A8040, ""zh"", ""en"")"),"Standardize the entry conditions for green trust business and implement ESG due diligence. AVIC Trust regulates the operability of the company's green trust business. Based on the ""Green Industry Guidance Catalogue (2019)"", it formulates the ""Green Tru"&amp;"st Business Guidelines of AVIC Trust Co., Ltd."" to constrain the entry conditions for green projects. All green trust businesses will undergo ESG due diligence to avoid ""greenwashing"" of projects.")</f>
        <v>Standardize the entry conditions for green trust business and implement ESG due diligence. AVIC Trust regulates the operability of the company's green trust business. Based on the "Green Industry Guidance Catalogue (2019)", it formulates the "Green Trust Business Guidelines of AVIC Trust Co., Ltd." to constrain the entry conditions for green projects. All green trust businesses will undergo ESG due diligence to avoid "greenwashing" of projects.</v>
      </c>
      <c r="B8040" s="1" t="str">
        <f ca="1">IFERROR(__xludf.DUMMYFUNCTION("GOOGLETRANSLATE(A8040, ""zh"", ""en"")"),"Environmental Policy")</f>
        <v>Environmental Policy</v>
      </c>
      <c r="C8040" s="1" t="str">
        <f ca="1">IFERROR(__xludf.DUMMYFUNCTION("GOOGLETRANSLATE(E8040, ""zh"", ""en"")"),"Qualitative text")</f>
        <v>Qualitative text</v>
      </c>
    </row>
    <row r="8041" spans="1:3" ht="13" x14ac:dyDescent="0.15">
      <c r="A8041" s="1" t="str">
        <f ca="1">IFERROR(__xludf.DUMMYFUNCTION("GOOGLETRANSLATE(A8041, ""zh"", ""en"")"),"The company requires all suppliers to sign a ""Product Environmental Protection Agreement"" upon initial introduction, incorporating environmental protection requirements into supplier access standards to ensure that products and raw materials meet enviro"&amp;"nmental requirements. The environmental protection agreement requires that the products, materials, finished products, and semi-finished products provided by suppliers meet RoHS &amp; REACH standards and provide qualified third-party suppliers.")</f>
        <v>The company requires all suppliers to sign a "Product Environmental Protection Agreement" upon initial introduction, incorporating environmental protection requirements into supplier access standards to ensure that products and raw materials meet environmental requirements. The environmental protection agreement requires that the products, materials, finished products, and semi-finished products provided by suppliers meet RoHS &amp; REACH standards and provide qualified third-party suppliers.</v>
      </c>
      <c r="B8041" s="1" t="str">
        <f ca="1">IFERROR(__xludf.DUMMYFUNCTION("GOOGLETRANSLATE(A8041, ""zh"", ""en"")"),"Environmental Policy")</f>
        <v>Environmental Policy</v>
      </c>
      <c r="C8041" s="1" t="str">
        <f ca="1">IFERROR(__xludf.DUMMYFUNCTION("GOOGLETRANSLATE(E8041, ""zh"", ""en"")"),"Qualitative text")</f>
        <v>Qualitative text</v>
      </c>
    </row>
    <row r="8042" spans="1:3" ht="13" x14ac:dyDescent="0.15">
      <c r="A8042" s="1" t="str">
        <f ca="1">IFERROR(__xludf.DUMMYFUNCTION("GOOGLETRANSLATE(A8042, ""zh"", ""en"")"),"CSIC Technology and its subsidiaries strictly abide by the Environmental Protection Law of the People's Republic of China and other national environmental protection laws and regulations, study and convey the Measures for Investigation and Accountability "&amp;"of Sudden Environmental Incidents and Environmental Violations of the China Shipbuilding Industry Corporation, implement the Emergency Plan for Environmental Pollution Accidents, and the Control Procedure for Identification and Evaluation of Environmental"&amp;" Factors, re-identify and evaluate environmental factors, and formulate control measures and management plans for important environmental factors.")</f>
        <v>CSIC Technology and its subsidiaries strictly abide by the Environmental Protection Law of the People's Republic of China and other national environmental protection laws and regulations, study and convey the Measures for Investigation and Accountability of Sudden Environmental Incidents and Environmental Violations of the China Shipbuilding Industry Corporation, implement the Emergency Plan for Environmental Pollution Accidents, and the Control Procedure for Identification and Evaluation of Environmental Factors, re-identify and evaluate environmental factors, and formulate control measures and management plans for important environmental factors.</v>
      </c>
      <c r="B8042" s="1" t="str">
        <f ca="1">IFERROR(__xludf.DUMMYFUNCTION("GOOGLETRANSLATE(A8042, ""zh"", ""en"")"),"Environmental Policy")</f>
        <v>Environmental Policy</v>
      </c>
      <c r="C8042" s="1" t="str">
        <f ca="1">IFERROR(__xludf.DUMMYFUNCTION("GOOGLETRANSLATE(E8042, ""zh"", ""en"")"),"Qualitative text")</f>
        <v>Qualitative text</v>
      </c>
    </row>
    <row r="8043" spans="1:3" ht="13" x14ac:dyDescent="0.15">
      <c r="A8043" s="1" t="str">
        <f ca="1">IFERROR(__xludf.DUMMYFUNCTION("GOOGLETRANSLATE(A8043, ""zh"", ""en"")"),"The company actively practices green procurement and requires suppliers to incorporate green concepts into every aspect, including product design, raw material selection, production and processing, product packaging, logistics and transportation, to reduc"&amp;"e the impact of the supply chain on the environment.")</f>
        <v>The company actively practices green procurement and requires suppliers to incorporate green concepts into every aspect, including product design, raw material selection, production and processing, product packaging, logistics and transportation, to reduce the impact of the supply chain on the environment.</v>
      </c>
      <c r="B8043" s="1" t="str">
        <f ca="1">IFERROR(__xludf.DUMMYFUNCTION("GOOGLETRANSLATE(A8043, ""zh"", ""en"")"),"Environmental Policy")</f>
        <v>Environmental Policy</v>
      </c>
      <c r="C8043" s="1" t="str">
        <f ca="1">IFERROR(__xludf.DUMMYFUNCTION("GOOGLETRANSLATE(E8043, ""zh"", ""en"")"),"Qualitative text")</f>
        <v>Qualitative text</v>
      </c>
    </row>
    <row r="8044" spans="1:3" ht="13" x14ac:dyDescent="0.15">
      <c r="A8044" s="1" t="str">
        <f ca="1">IFERROR(__xludf.DUMMYFUNCTION("GOOGLETRANSLATE(A8044, ""zh"", ""en"")"),"During the reporting period, the company continued to strengthen environmental protection efforts in its daily production management, intensified internal assessments, strictly implemented relevant emission standards, and fully fulfilled its environmental"&amp;" responsibilities. From multiple perspectives, including project environmental impact assessments, pollutant discharge permit management, environmental data monitoring, environmental protection facility maintenance, and waste discharge management, the com"&amp;"pany comprehensively implemented environmental management to achieve resource and energy conservation, pollution prevention, and pollution control.")</f>
        <v>During the reporting period, the company continued to strengthen environmental protection efforts in its daily production management, intensified internal assessments, strictly implemented relevant emission standards, and fully fulfilled its environmental responsibilities. From multiple perspectives, including project environmental impact assessments, pollutant discharge permit management, environmental data monitoring, environmental protection facility maintenance, and waste discharge management, the company comprehensively implemented environmental management to achieve resource and energy conservation, pollution prevention, and pollution control.</v>
      </c>
      <c r="B8044" s="1" t="str">
        <f ca="1">IFERROR(__xludf.DUMMYFUNCTION("GOOGLETRANSLATE(A8044, ""zh"", ""en"")"),"Environmental Policy")</f>
        <v>Environmental Policy</v>
      </c>
      <c r="C8044" s="1" t="str">
        <f ca="1">IFERROR(__xludf.DUMMYFUNCTION("GOOGLETRANSLATE(E8044, ""zh"", ""en"")"),"Qualitative text")</f>
        <v>Qualitative text</v>
      </c>
    </row>
    <row r="8045" spans="1:3" ht="13" x14ac:dyDescent="0.15">
      <c r="A8045" s="1" t="str">
        <f ca="1">IFERROR(__xludf.DUMMYFUNCTION("GOOGLETRANSLATE(A8045, ""zh"", ""en"")"),"The company has established the ""Company Emergency Plan for Sudden Environmental Incidents"" to take effective preventive measures to ensure that work on sudden environmental incidents is carried out in an orderly manner and to minimize losses.")</f>
        <v>The company has established the "Company Emergency Plan for Sudden Environmental Incidents" to take effective preventive measures to ensure that work on sudden environmental incidents is carried out in an orderly manner and to minimize losses.</v>
      </c>
      <c r="B8045" s="1" t="str">
        <f ca="1">IFERROR(__xludf.DUMMYFUNCTION("GOOGLETRANSLATE(A8045, ""zh"", ""en"")"),"Environmental Policy")</f>
        <v>Environmental Policy</v>
      </c>
      <c r="C8045" s="1" t="str">
        <f ca="1">IFERROR(__xludf.DUMMYFUNCTION("GOOGLETRANSLATE(E8045, ""zh"", ""en"")"),"Qualitative text")</f>
        <v>Qualitative text</v>
      </c>
    </row>
    <row r="8046" spans="1:3" ht="13" x14ac:dyDescent="0.15">
      <c r="A8046" s="1" t="str">
        <f ca="1">IFERROR(__xludf.DUMMYFUNCTION("GOOGLETRANSLATE(A8046, ""zh"", ""en"")"),"The company practices sustainable development together with suppliers and customers. When setting the access conditions for suppliers and products, the company tends to choose companies with a sense of social responsibility and products with high performa"&amp;"nce in both quality and social benefits. It focuses on selecting products with environmentally friendly, low-carbon, recyclable and other characteristics to promote green and sustainable development and achieve the leading third-party platform electronics"&amp;" in the industry.")</f>
        <v>The company practices sustainable development together with suppliers and customers. When setting the access conditions for suppliers and products, the company tends to choose companies with a sense of social responsibility and products with high performance in both quality and social benefits. It focuses on selecting products with environmentally friendly, low-carbon, recyclable and other characteristics to promote green and sustainable development and achieve the leading third-party platform electronics in the industry.</v>
      </c>
      <c r="B8046" s="1" t="str">
        <f ca="1">IFERROR(__xludf.DUMMYFUNCTION("GOOGLETRANSLATE(A8046, ""zh"", ""en"")"),"Environmental Policy")</f>
        <v>Environmental Policy</v>
      </c>
      <c r="C8046" s="1" t="str">
        <f ca="1">IFERROR(__xludf.DUMMYFUNCTION("GOOGLETRANSLATE(E8046, ""zh"", ""en"")"),"Qualitative text")</f>
        <v>Qualitative text</v>
      </c>
    </row>
    <row r="8047" spans="1:3" ht="13" x14ac:dyDescent="0.15">
      <c r="A8047" s="1" t="str">
        <f ca="1">IFERROR(__xludf.DUMMYFUNCTION("GOOGLETRANSLATE(A8047, ""zh"", ""en"")"),"Environmental emergency management: The company continues to improve its emergency management organization and guides its subsidiaries to establish an organizational system that includes an emergency rescue leadership group for sudden environmental incide"&amp;"nts, an accident response group, an emergency evacuation group, a first aid and security group, an accident investigation group, a logistics support group, and an environmental restoration group to comprehensively manage sudden environmental pollution acc"&amp;"idents.")</f>
        <v>Environmental emergency management: The company continues to improve its emergency management organization and guides its subsidiaries to establish an organizational system that includes an emergency rescue leadership group for sudden environmental incidents, an accident response group, an emergency evacuation group, a first aid and security group, an accident investigation group, a logistics support group, and an environmental restoration group to comprehensively manage sudden environmental pollution accidents.</v>
      </c>
      <c r="B8047" s="1" t="str">
        <f ca="1">IFERROR(__xludf.DUMMYFUNCTION("GOOGLETRANSLATE(A8047, ""zh"", ""en"")"),"Environmental Policy")</f>
        <v>Environmental Policy</v>
      </c>
      <c r="C8047" s="1" t="str">
        <f ca="1">IFERROR(__xludf.DUMMYFUNCTION("GOOGLETRANSLATE(E8047, ""zh"", ""en"")"),"Qualitative text")</f>
        <v>Qualitative text</v>
      </c>
    </row>
    <row r="8048" spans="1:3" ht="13" x14ac:dyDescent="0.15">
      <c r="A8048" s="1" t="str">
        <f ca="1">IFERROR(__xludf.DUMMYFUNCTION("GOOGLETRANSLATE(A8048, ""zh"", ""en"")"),"The company has established a comprehensive system of systems, including the ""Environmental Pollution Prevention and Control Management Measures"", ""Three Wastes"" Emission Management Measures"", ""Environmental Protection Monitoring Management Measures"&amp;""", ""Hazardous Waste Standardized Management Measures"", ""Environmental Protection Facility Management Measures"", and ""Solid Waste Treatment and Disposal Management Implementation Measures"", which clarify the standards for investment and application "&amp;"of environmental protection facilities, and pollutant monitoring and emissions, and have established an operational work mechanism led by the Safety and Environmental Protection Leading Group, headed by the Safety and Environmental Protection Supervision "&amp;"Department, and implemented in cooperation with production units and various departments.")</f>
        <v>The company has established a comprehensive system of systems, including the "Environmental Pollution Prevention and Control Management Measures", "Three Wastes" Emission Management Measures", "Environmental Protection Monitoring Management Measures", "Hazardous Waste Standardized Management Measures", "Environmental Protection Facility Management Measures", and "Solid Waste Treatment and Disposal Management Implementation Measures", which clarify the standards for investment and application of environmental protection facilities, and pollutant monitoring and emissions, and have established an operational work mechanism led by the Safety and Environmental Protection Leading Group, headed by the Safety and Environmental Protection Supervision Department, and implemented in cooperation with production units and various departments.</v>
      </c>
      <c r="B8048" s="1" t="str">
        <f ca="1">IFERROR(__xludf.DUMMYFUNCTION("GOOGLETRANSLATE(A8048, ""zh"", ""en"")"),"Environmental Policy")</f>
        <v>Environmental Policy</v>
      </c>
      <c r="C8048" s="1" t="str">
        <f ca="1">IFERROR(__xludf.DUMMYFUNCTION("GOOGLETRANSLATE(E8048, ""zh"", ""en"")"),"Qualitative text")</f>
        <v>Qualitative text</v>
      </c>
    </row>
    <row r="8049" spans="1:3" ht="13" x14ac:dyDescent="0.15">
      <c r="A8049" s="1" t="str">
        <f ca="1">IFERROR(__xludf.DUMMYFUNCTION("GOOGLETRANSLATE(A8049, ""zh"", ""en"")"),"In 2021, we began to organize the establishment of an environmental management system and establish a ""Management Manual"" and ""Procedure Documents"", which cover legal compliance evaluation, solid waste management, and monitoring and measurement.")</f>
        <v>In 2021, we began to organize the establishment of an environmental management system and establish a "Management Manual" and "Procedure Documents", which cover legal compliance evaluation, solid waste management, and monitoring and measurement.</v>
      </c>
      <c r="B8049" s="1" t="str">
        <f ca="1">IFERROR(__xludf.DUMMYFUNCTION("GOOGLETRANSLATE(A8049, ""zh"", ""en"")"),"Environmental Policy")</f>
        <v>Environmental Policy</v>
      </c>
      <c r="C8049" s="1" t="str">
        <f ca="1">IFERROR(__xludf.DUMMYFUNCTION("GOOGLETRANSLATE(E8049, ""zh"", ""en"")"),"Qualitative text")</f>
        <v>Qualitative text</v>
      </c>
    </row>
    <row r="8050" spans="1:3" ht="13" x14ac:dyDescent="0.15">
      <c r="A8050" s="1" t="str">
        <f ca="1">IFERROR(__xludf.DUMMYFUNCTION("GOOGLETRANSLATE(A8050, ""zh"", ""en"")"),"In accordance with the Environmental Protection Law and other relevant regulations, China Eastern Airlines Co., Ltd. has formulated China Eastern Airlines Co., Ltd.'s ""14th Five-Year Plan"" green development special plan and the ""Carbon Peak Action Plan"&amp;""", and compiled the ""Environmental and Energy Management System Document List Compilation (2022 Edition)"" to promote the construction of an energy and environmental protection system.")</f>
        <v>In accordance with the Environmental Protection Law and other relevant regulations, China Eastern Airlines Co., Ltd. has formulated China Eastern Airlines Co., Ltd.'s "14th Five-Year Plan" green development special plan and the "Carbon Peak Action Plan", and compiled the "Environmental and Energy Management System Document List Compilation (2022 Edition)" to promote the construction of an energy and environmental protection system.</v>
      </c>
      <c r="B8050" s="1" t="str">
        <f ca="1">IFERROR(__xludf.DUMMYFUNCTION("GOOGLETRANSLATE(A8050, ""zh"", ""en"")"),"Environmental Policy")</f>
        <v>Environmental Policy</v>
      </c>
      <c r="C8050" s="1" t="str">
        <f ca="1">IFERROR(__xludf.DUMMYFUNCTION("GOOGLETRANSLATE(E8050, ""zh"", ""en"")"),"Qualitative text")</f>
        <v>Qualitative text</v>
      </c>
    </row>
    <row r="8051" spans="1:3" ht="13" x14ac:dyDescent="0.15">
      <c r="A8051" s="1" t="str">
        <f ca="1">IFERROR(__xludf.DUMMYFUNCTION("GOOGLETRANSLATE(A8051, ""zh"", ""en"")"),"Strengthen the top-level design of environmental management, tighten the main responsibility of ecological and environmental protection, adhere to the principle of wasting resources and destroying the ecological environment at the expense of resources, es"&amp;"tablish and improve the environmental management system, strengthen the top-level environmental management to set an environmental compliance bottom line, and comprehensively improve the level of ecological and environmental protection management.")</f>
        <v>Strengthen the top-level design of environmental management, tighten the main responsibility of ecological and environmental protection, adhere to the principle of wasting resources and destroying the ecological environment at the expense of resources, establish and improve the environmental management system, strengthen the top-level environmental management to set an environmental compliance bottom line, and comprehensively improve the level of ecological and environmental protection management.</v>
      </c>
      <c r="B8051" s="1" t="str">
        <f ca="1">IFERROR(__xludf.DUMMYFUNCTION("GOOGLETRANSLATE(A8051, ""zh"", ""en"")"),"Environmental Policy")</f>
        <v>Environmental Policy</v>
      </c>
      <c r="C8051" s="1" t="str">
        <f ca="1">IFERROR(__xludf.DUMMYFUNCTION("GOOGLETRANSLATE(E8051, ""zh"", ""en"")"),"Qualitative text")</f>
        <v>Qualitative text</v>
      </c>
    </row>
    <row r="8052" spans="1:3" ht="13" x14ac:dyDescent="0.15">
      <c r="A8052" s="1" t="str">
        <f ca="1">IFERROR(__xludf.DUMMYFUNCTION("GOOGLETRANSLATE(A8052, ""zh"", ""en"")"),"Actively promote the construction of a modern environmental governance system, formulate management systems such as the ""Environmental Protection Management Outline"", increase investment in environmental governance, promote the organic integration of th"&amp;"e environmental management system with daily environmental impact activities, and enhance environmental protection capabilities.")</f>
        <v>Actively promote the construction of a modern environmental governance system, formulate management systems such as the "Environmental Protection Management Outline", increase investment in environmental governance, promote the organic integration of the environmental management system with daily environmental impact activities, and enhance environmental protection capabilities.</v>
      </c>
      <c r="B8052" s="1" t="str">
        <f ca="1">IFERROR(__xludf.DUMMYFUNCTION("GOOGLETRANSLATE(A8052, ""zh"", ""en"")"),"Environmental Policy")</f>
        <v>Environmental Policy</v>
      </c>
      <c r="C8052" s="1" t="str">
        <f ca="1">IFERROR(__xludf.DUMMYFUNCTION("GOOGLETRANSLATE(E8052, ""zh"", ""en"")"),"Qualitative text")</f>
        <v>Qualitative text</v>
      </c>
    </row>
    <row r="8053" spans="1:3" ht="13" x14ac:dyDescent="0.15">
      <c r="A8053" s="1" t="str">
        <f ca="1">IFERROR(__xludf.DUMMYFUNCTION("GOOGLETRANSLATE(A8053, ""zh"", ""en"")"),"Environmental management objectives: Overall goal: By 2025, all types of ecological and environmental risks in China's nuclear power will be effectively controlled, the ecological and environmental protection capabilities will be comprehensively improved,"&amp;" and an environmental governance system with clear responsibilities, clear directions, scientific decision-making, diversified participation, and strong execution will be formed. Specific goals: Nuclear and radiation fields; Non-radiation fields; Further "&amp;"optimize the emission control level of gas and liquid effluents from nuclear facilities, maintain good quality of the surrounding radiation environment; Further improve effluent and environmental monitoring capabilities; All nuclear power plants obtain en"&amp;"vironmental monitoring qualifications; Strengthen temporary storage management of solid waste to ensure safe storage of solid waste; Improve radiation.")</f>
        <v>Environmental management objectives: Overall goal: By 2025, all types of ecological and environmental risks in China's nuclear power will be effectively controlled, the ecological and environmental protection capabilities will be comprehensively improved, and an environmental governance system with clear responsibilities, clear directions, scientific decision-making, diversified participation, and strong execution will be formed. Specific goals: Nuclear and radiation fields; Non-radiation fields; Further optimize the emission control level of gas and liquid effluents from nuclear facilities, maintain good quality of the surrounding radiation environment; Further improve effluent and environmental monitoring capabilities; All nuclear power plants obtain environmental monitoring qualifications; Strengthen temporary storage management of solid waste to ensure safe storage of solid waste; Improve radiation.</v>
      </c>
      <c r="B8053" s="1" t="str">
        <f ca="1">IFERROR(__xludf.DUMMYFUNCTION("GOOGLETRANSLATE(A8053, ""zh"", ""en"")"),"Environmental Policy")</f>
        <v>Environmental Policy</v>
      </c>
      <c r="C8053" s="1" t="str">
        <f ca="1">IFERROR(__xludf.DUMMYFUNCTION("GOOGLETRANSLATE(E8053, ""zh"", ""en"")"),"Quantitative Text")</f>
        <v>Quantitative Text</v>
      </c>
    </row>
    <row r="8054" spans="1:3" ht="13" x14ac:dyDescent="0.15">
      <c r="A8054" s="1" t="str">
        <f ca="1">IFERROR(__xludf.DUMMYFUNCTION("GOOGLETRANSLATE(A8054, ""zh"", ""en"")"),"The overall goal is to further improve the leadership responsibility system, full-staff action system, risk prevention system, environmental monitoring system, nuclear and radiation, and non-radiation environmental management systems of China National Nuc"&amp;"lear Power and its member units, comprehensively enhance the ecological and environmental protection capabilities, further improve the quality of the ecological environment, effectively control various ecological and environmental risks, and form an envir"&amp;"onmental governance system with clear responsibilities, clear directions, scientific decision-making, diversified participation, and strong execution.")</f>
        <v>The overall goal is to further improve the leadership responsibility system, full-staff action system, risk prevention system, environmental monitoring system, nuclear and radiation, and non-radiation environmental management systems of China National Nuclear Power and its member units, comprehensively enhance the ecological and environmental protection capabilities, further improve the quality of the ecological environment, effectively control various ecological and environmental risks, and form an environmental governance system with clear responsibilities, clear directions, scientific decision-making, diversified participation, and strong execution.</v>
      </c>
      <c r="B8054" s="1" t="str">
        <f ca="1">IFERROR(__xludf.DUMMYFUNCTION("GOOGLETRANSLATE(A8054, ""zh"", ""en"")"),"Environmental Policy")</f>
        <v>Environmental Policy</v>
      </c>
      <c r="C8054" s="1" t="str">
        <f ca="1">IFERROR(__xludf.DUMMYFUNCTION("GOOGLETRANSLATE(E8054, ""zh"", ""en"")"),"Qualitative text")</f>
        <v>Qualitative text</v>
      </c>
    </row>
    <row r="8055" spans="1:3" ht="13" x14ac:dyDescent="0.15">
      <c r="A8055" s="1" t="str">
        <f ca="1">IFERROR(__xludf.DUMMYFUNCTION("GOOGLETRANSLATE(A8055, ""zh"", ""en"")"),"In terms of ecological protection and restoration, the company follows the principle of early intervention, optimizes project site selection and process routes in the early research stage of the project, reasonably avoids environmentally sensitive targets"&amp;", and sets up internal control links such as environmental risk pre-assessment, environmental impact assessment implementation plan, and completion acceptance calibration monitoring.")</f>
        <v>In terms of ecological protection and restoration, the company follows the principle of early intervention, optimizes project site selection and process routes in the early research stage of the project, reasonably avoids environmentally sensitive targets, and sets up internal control links such as environmental risk pre-assessment, environmental impact assessment implementation plan, and completion acceptance calibration monitoring.</v>
      </c>
      <c r="B8055" s="1" t="str">
        <f ca="1">IFERROR(__xludf.DUMMYFUNCTION("GOOGLETRANSLATE(A8055, ""zh"", ""en"")"),"Environmental Policy")</f>
        <v>Environmental Policy</v>
      </c>
      <c r="C8055" s="1" t="str">
        <f ca="1">IFERROR(__xludf.DUMMYFUNCTION("GOOGLETRANSLATE(E8055, ""zh"", ""en"")"),"Qualitative text")</f>
        <v>Qualitative text</v>
      </c>
    </row>
    <row r="8056" spans="1:3" ht="13" x14ac:dyDescent="0.15">
      <c r="A8056" s="1" t="str">
        <f ca="1">IFERROR(__xludf.DUMMYFUNCTION("GOOGLETRANSLATE(A8056, ""zh"", ""en"")"),"In 2021, the company's affiliated enterprises incurred 5 environmental protection administrative fines.")</f>
        <v>In 2021, the company's affiliated enterprises incurred 5 environmental protection administrative fines.</v>
      </c>
      <c r="B8056" s="1" t="str">
        <f ca="1">IFERROR(__xludf.DUMMYFUNCTION("GOOGLETRANSLATE(A8056, ""zh"", ""en"")"),"Environmental penalties")</f>
        <v>Environmental penalties</v>
      </c>
      <c r="C8056" s="1" t="str">
        <f ca="1">IFERROR(__xludf.DUMMYFUNCTION("GOOGLETRANSLATE(E8056, ""zh"", ""en"")"),"Quantitative Text")</f>
        <v>Quantitative Text</v>
      </c>
    </row>
    <row r="8057" spans="1:3" ht="13" x14ac:dyDescent="0.15">
      <c r="A8057" s="1" t="str">
        <f ca="1">IFERROR(__xludf.DUMMYFUNCTION("GOOGLETRANSLATE(A8057, ""zh"", ""en"")"),"In 2021, the companies and subsidiaries involved in this report have not been subject to administrative penalties for environmental protection, and there is no identification, control and daily management of environmental risk sources.")</f>
        <v>In 2021, the companies and subsidiaries involved in this report have not been subject to administrative penalties for environmental protection, and there is no identification, control and daily management of environmental risk sources.</v>
      </c>
      <c r="B8057" s="1" t="str">
        <f ca="1">IFERROR(__xludf.DUMMYFUNCTION("GOOGLETRANSLATE(A8057, ""zh"", ""en"")"),"Environmental penalties")</f>
        <v>Environmental penalties</v>
      </c>
      <c r="C8057" s="1" t="str">
        <f ca="1">IFERROR(__xludf.DUMMYFUNCTION("GOOGLETRANSLATE(E8057, ""zh"", ""en"")"),"Quantitative Text")</f>
        <v>Quantitative Text</v>
      </c>
    </row>
    <row r="8058" spans="1:3" ht="13" x14ac:dyDescent="0.15">
      <c r="A8058" s="1" t="str">
        <f ca="1">IFERROR(__xludf.DUMMYFUNCTION("GOOGLETRANSLATE(A8058, ""zh"", ""en"")"),"In 2022, the company was not investigated by the environmental protection department for environmental violations, nor was it subject to major administrative or criminal penalties, and was not ordered by the relevant people's government or government depa"&amp;"rtment to take rectification measures within a specified period or to suspend production, relocate, or close down.")</f>
        <v>In 2022, the company was not investigated by the environmental protection department for environmental violations, nor was it subject to major administrative or criminal penalties, and was not ordered by the relevant people's government or government department to take rectification measures within a specified period or to suspend production, relocate, or close down.</v>
      </c>
      <c r="B8058" s="1" t="str">
        <f ca="1">IFERROR(__xludf.DUMMYFUNCTION("GOOGLETRANSLATE(A8058, ""zh"", ""en"")"),"Environmental penalties")</f>
        <v>Environmental penalties</v>
      </c>
      <c r="C8058" s="1" t="str">
        <f ca="1">IFERROR(__xludf.DUMMYFUNCTION("GOOGLETRANSLATE(E8058, ""zh"", ""en"")"),"Quantitative Text")</f>
        <v>Quantitative Text</v>
      </c>
    </row>
    <row r="8059" spans="1:3" ht="13" x14ac:dyDescent="0.15">
      <c r="A8059" s="1" t="str">
        <f ca="1">IFERROR(__xludf.DUMMYFUNCTION("GOOGLETRANSLATE(A8059, ""zh"", ""en"")"),"Ningxia Energy was fined 364,300 yuan in April 2021 because its subsidiary company started construction of a project without obtaining environmental impact assessment approval. The project obtained the environmental impact assessment approval document in "&amp;"November 2021.")</f>
        <v>Ningxia Energy was fined 364,300 yuan in April 2021 because its subsidiary company started construction of a project without obtaining environmental impact assessment approval. The project obtained the environmental impact assessment approval document in November 2021.</v>
      </c>
      <c r="B8059" s="1" t="str">
        <f ca="1">IFERROR(__xludf.DUMMYFUNCTION("GOOGLETRANSLATE(A8059, ""zh"", ""en"")"),"Environmental penalties")</f>
        <v>Environmental penalties</v>
      </c>
      <c r="C8059" s="1" t="str">
        <f ca="1">IFERROR(__xludf.DUMMYFUNCTION("GOOGLETRANSLATE(E8059, ""zh"", ""en"")"),"Quantitative Text")</f>
        <v>Quantitative Text</v>
      </c>
    </row>
    <row r="8060" spans="1:3" ht="13" x14ac:dyDescent="0.15">
      <c r="A8060" s="1" t="str">
        <f ca="1">IFERROR(__xludf.DUMMYFUNCTION("GOOGLETRANSLATE(A8060, ""zh"", ""en"")"),"Violation of environmental laws and regulations and penalties are not involved")</f>
        <v>Violation of environmental laws and regulations and penalties are not involved</v>
      </c>
      <c r="B8060" s="1" t="str">
        <f ca="1">IFERROR(__xludf.DUMMYFUNCTION("GOOGLETRANSLATE(A8060, ""zh"", ""en"")"),"Environmental penalties")</f>
        <v>Environmental penalties</v>
      </c>
      <c r="C8060" s="1" t="str">
        <f ca="1">IFERROR(__xludf.DUMMYFUNCTION("GOOGLETRANSLATE(E8060, ""zh"", ""en"")"),"Quantitative Text")</f>
        <v>Quantitative Text</v>
      </c>
    </row>
    <row r="8061" spans="1:3" ht="13" x14ac:dyDescent="0.15">
      <c r="A8061" s="1" t="str">
        <f ca="1">IFERROR(__xludf.DUMMYFUNCTION("GOOGLETRANSLATE(A8061, ""zh"", ""en"")"),"In October 2021, Xinghua Technology received an administrative fine notice of 1.06 million yuan from the Luliang Municipal Ecological Environment Bureau on January 4, 2022, because its raw material warehouse was not tightly sealed, it failed to build a cl"&amp;"osed raw material warehouse, its hazardous waste ledger did not truthfully record the storage volume of hazardous waste, and its hazardous waste was not marked with hazardous waste identification signs as required.")</f>
        <v>In October 2021, Xinghua Technology received an administrative fine notice of 1.06 million yuan from the Luliang Municipal Ecological Environment Bureau on January 4, 2022, because its raw material warehouse was not tightly sealed, it failed to build a closed raw material warehouse, its hazardous waste ledger did not truthfully record the storage volume of hazardous waste, and its hazardous waste was not marked with hazardous waste identification signs as required.</v>
      </c>
      <c r="B8061" s="1" t="str">
        <f ca="1">IFERROR(__xludf.DUMMYFUNCTION("GOOGLETRANSLATE(A8061, ""zh"", ""en"")"),"Environmental penalties")</f>
        <v>Environmental penalties</v>
      </c>
      <c r="C8061" s="1" t="str">
        <f ca="1">IFERROR(__xludf.DUMMYFUNCTION("GOOGLETRANSLATE(E8061, ""zh"", ""en"")"),"Quantitative Text")</f>
        <v>Quantitative Text</v>
      </c>
    </row>
    <row r="8062" spans="1:3" ht="13" x14ac:dyDescent="0.15">
      <c r="A8062" s="1" t="str">
        <f ca="1">IFERROR(__xludf.DUMMYFUNCTION("GOOGLETRANSLATE(A8062, ""zh"", ""en"")"),"0 cases of penalties for violating environmental protection laws and regulations")</f>
        <v>0 cases of penalties for violating environmental protection laws and regulations</v>
      </c>
      <c r="B8062" s="1" t="str">
        <f ca="1">IFERROR(__xludf.DUMMYFUNCTION("GOOGLETRANSLATE(A8062, ""zh"", ""en"")"),"Environmental penalties")</f>
        <v>Environmental penalties</v>
      </c>
      <c r="C8062" s="1" t="str">
        <f ca="1">IFERROR(__xludf.DUMMYFUNCTION("GOOGLETRANSLATE(E8062, ""zh"", ""en"")"),"Quantitative Text")</f>
        <v>Quantitative Text</v>
      </c>
    </row>
    <row r="8063" spans="1:3" ht="13" x14ac:dyDescent="0.15">
      <c r="A8063" s="1" t="str">
        <f ca="1">IFERROR(__xludf.DUMMYFUNCTION("GOOGLETRANSLATE(A8063, ""zh"", ""en"")"),"No sudden environmental incidents or environmental violations occurred in 2022, and the emissions of major pollutants fully met the emission reduction targets.")</f>
        <v>No sudden environmental incidents or environmental violations occurred in 2022, and the emissions of major pollutants fully met the emission reduction targets.</v>
      </c>
      <c r="B8063" s="1" t="str">
        <f ca="1">IFERROR(__xludf.DUMMYFUNCTION("GOOGLETRANSLATE(A8063, ""zh"", ""en"")"),"Environmental penalties")</f>
        <v>Environmental penalties</v>
      </c>
      <c r="C8063" s="1" t="str">
        <f ca="1">IFERROR(__xludf.DUMMYFUNCTION("GOOGLETRANSLATE(E8063, ""zh"", ""en"")"),"Quantitative Text")</f>
        <v>Quantitative Text</v>
      </c>
    </row>
    <row r="8064" spans="1:3" ht="13" x14ac:dyDescent="0.15">
      <c r="A8064" s="1" t="str">
        <f ca="1">IFERROR(__xludf.DUMMYFUNCTION("GOOGLETRANSLATE(A8064, ""zh"", ""en"")"),"In 2022, the company did not have any cases of late reporting, omission, false reporting or concealment of sudden environmental incidents, and no major or above sudden environmental incidents or major matters such as notification and punishment occurred.")</f>
        <v>In 2022, the company did not have any cases of late reporting, omission, false reporting or concealment of sudden environmental incidents, and no major or above sudden environmental incidents or major matters such as notification and punishment occurred.</v>
      </c>
      <c r="B8064" s="1" t="str">
        <f ca="1">IFERROR(__xludf.DUMMYFUNCTION("GOOGLETRANSLATE(A8064, ""zh"", ""en"")"),"Environmental penalties")</f>
        <v>Environmental penalties</v>
      </c>
      <c r="C8064" s="1" t="str">
        <f ca="1">IFERROR(__xludf.DUMMYFUNCTION("GOOGLETRANSLATE(E8064, ""zh"", ""en"")"),"Quantitative Text")</f>
        <v>Quantitative Text</v>
      </c>
    </row>
    <row r="8065" spans="1:3" ht="13" x14ac:dyDescent="0.15">
      <c r="A8065" s="1" t="str">
        <f ca="1">IFERROR(__xludf.DUMMYFUNCTION("GOOGLETRANSLATE(A8065, ""zh"", ""en"")"),"Government penalties not due to environmental protection reasons.")</f>
        <v>Government penalties not due to environmental protection reasons.</v>
      </c>
      <c r="B8065" s="1" t="str">
        <f ca="1">IFERROR(__xludf.DUMMYFUNCTION("GOOGLETRANSLATE(A8065, ""zh"", ""en"")"),"Environmental penalties")</f>
        <v>Environmental penalties</v>
      </c>
      <c r="C8065" s="1" t="str">
        <f ca="1">IFERROR(__xludf.DUMMYFUNCTION("GOOGLETRANSLATE(E8065, ""zh"", ""en"")"),"Quantitative Text")</f>
        <v>Quantitative Text</v>
      </c>
    </row>
    <row r="8066" spans="1:3" ht="13" x14ac:dyDescent="0.15">
      <c r="A8066" s="1" t="str">
        <f ca="1">IFERROR(__xludf.DUMMYFUNCTION("GOOGLETRANSLATE(A8066, ""zh"", ""en"")"),"During the reporting period, the company had no environmental pollution accidents, no environmental violations, and no penalties from environmental protection departments, complying with environmental protection management requirements.")</f>
        <v>During the reporting period, the company had no environmental pollution accidents, no environmental violations, and no penalties from environmental protection departments, complying with environmental protection management requirements.</v>
      </c>
      <c r="B8066" s="1" t="str">
        <f ca="1">IFERROR(__xludf.DUMMYFUNCTION("GOOGLETRANSLATE(A8066, ""zh"", ""en"")"),"Environmental penalties")</f>
        <v>Environmental penalties</v>
      </c>
      <c r="C8066" s="1" t="str">
        <f ca="1">IFERROR(__xludf.DUMMYFUNCTION("GOOGLETRANSLATE(E8066, ""zh"", ""en"")"),"Quantitative Text")</f>
        <v>Quantitative Text</v>
      </c>
    </row>
    <row r="8067" spans="1:3" ht="13" x14ac:dyDescent="0.15">
      <c r="A8067" s="1" t="str">
        <f ca="1">IFERROR(__xludf.DUMMYFUNCTION("GOOGLETRANSLATE(A8067, ""zh"", ""en"")"),"No general or above sudden environmental incidents occurred; the compliance rate for pollutant discharge from wastewater and exhaust gas was 100%, and the compliance rate for solid waste disposal was 100%; it met the requirements of the ecological environ"&amp;"ment protection control indicators issued by superiors; there were no government environmental protection administrative penalties such as daily fines, production restrictions, production suspensions for rectification, seizures and detentions, and listing"&amp;" for supervision.")</f>
        <v>No general or above sudden environmental incidents occurred; the compliance rate for pollutant discharge from wastewater and exhaust gas was 100%, and the compliance rate for solid waste disposal was 100%; it met the requirements of the ecological environment protection control indicators issued by superiors; there were no government environmental protection administrative penalties such as daily fines, production restrictions, production suspensions for rectification, seizures and detentions, and listing for supervision.</v>
      </c>
      <c r="B8067" s="1" t="str">
        <f ca="1">IFERROR(__xludf.DUMMYFUNCTION("GOOGLETRANSLATE(A8067, ""zh"", ""en"")"),"Environmental penalties")</f>
        <v>Environmental penalties</v>
      </c>
      <c r="C8067" s="1" t="str">
        <f ca="1">IFERROR(__xludf.DUMMYFUNCTION("GOOGLETRANSLATE(E8067, ""zh"", ""en"")"),"Quantitative Text")</f>
        <v>Quantitative Text</v>
      </c>
    </row>
    <row r="8068" spans="1:3" ht="13" x14ac:dyDescent="0.15">
      <c r="A8068" s="1" t="str">
        <f ca="1">IFERROR(__xludf.DUMMYFUNCTION("GOOGLETRANSLATE(A8068, ""zh"", ""en"")"),"During the reporting period, the company strictly adhered to and complied with the environmental impact assessment and ""three simultaneous"" regulations for construction projects. It obtained its newly reissued national pollutant discharge permit and rep"&amp;"orted and paid environmental protection taxes on time. The company's pollution control equipment and facilities are fully equipped and function effectively, and all pollutant emissions meet national and local emission standards. No environmental issues or"&amp;" government penalties have occurred.")</f>
        <v>During the reporting period, the company strictly adhered to and complied with the environmental impact assessment and "three simultaneous" regulations for construction projects. It obtained its newly reissued national pollutant discharge permit and reported and paid environmental protection taxes on time. The company's pollution control equipment and facilities are fully equipped and function effectively, and all pollutant emissions meet national and local emission standards. No environmental issues or government penalties have occurred.</v>
      </c>
      <c r="B8068" s="1" t="str">
        <f ca="1">IFERROR(__xludf.DUMMYFUNCTION("GOOGLETRANSLATE(A8068, ""zh"", ""en"")"),"Environmental penalties")</f>
        <v>Environmental penalties</v>
      </c>
      <c r="C8068" s="1" t="str">
        <f ca="1">IFERROR(__xludf.DUMMYFUNCTION("GOOGLETRANSLATE(E8068, ""zh"", ""en"")"),"Quantitative Text")</f>
        <v>Quantitative Text</v>
      </c>
    </row>
    <row r="8069" spans="1:3" ht="13" x14ac:dyDescent="0.15">
      <c r="A8069" s="1" t="str">
        <f ca="1">IFERROR(__xludf.DUMMYFUNCTION("GOOGLETRANSLATE(A8069, ""zh"", ""en"")"),"In 2022, the company did not have any environmental pollution accidents or other environmental violations, nor did it receive any administrative penalties from the ecological and environmental departments.")</f>
        <v>In 2022, the company did not have any environmental pollution accidents or other environmental violations, nor did it receive any administrative penalties from the ecological and environmental departments.</v>
      </c>
      <c r="B8069" s="1" t="str">
        <f ca="1">IFERROR(__xludf.DUMMYFUNCTION("GOOGLETRANSLATE(A8069, ""zh"", ""en"")"),"Environmental penalties")</f>
        <v>Environmental penalties</v>
      </c>
      <c r="C8069" s="1" t="str">
        <f ca="1">IFERROR(__xludf.DUMMYFUNCTION("GOOGLETRANSLATE(E8069, ""zh"", ""en"")"),"Quantitative Text")</f>
        <v>Quantitative Text</v>
      </c>
    </row>
    <row r="8070" spans="1:3" ht="13" x14ac:dyDescent="0.15">
      <c r="A8070" s="1" t="str">
        <f ca="1">IFERROR(__xludf.DUMMYFUNCTION("GOOGLETRANSLATE(A8070, ""zh"", ""en"")"),"In 2021, the company's environmental management was standardized, pollution control facilities operated well, pollutant emissions were stable and met standards, general solid waste and hazardous waste were disposed of in accordance with regulations, envir"&amp;"onmental risks were effectively controlled, no environmental pollution accidents occurred, and no environmental violations occurred.")</f>
        <v>In 2021, the company's environmental management was standardized, pollution control facilities operated well, pollutant emissions were stable and met standards, general solid waste and hazardous waste were disposed of in accordance with regulations, environmental risks were effectively controlled, no environmental pollution accidents occurred, and no environmental violations occurred.</v>
      </c>
      <c r="B8070" s="1" t="str">
        <f ca="1">IFERROR(__xludf.DUMMYFUNCTION("GOOGLETRANSLATE(A8070, ""zh"", ""en"")"),"Environmental penalties")</f>
        <v>Environmental penalties</v>
      </c>
      <c r="C8070" s="1" t="str">
        <f ca="1">IFERROR(__xludf.DUMMYFUNCTION("GOOGLETRANSLATE(E8070, ""zh"", ""en"")"),"Quantitative Text")</f>
        <v>Quantitative Text</v>
      </c>
    </row>
    <row r="8071" spans="1:3" ht="13" x14ac:dyDescent="0.15">
      <c r="A8071" s="1" t="str">
        <f ca="1">IFERROR(__xludf.DUMMYFUNCTION("GOOGLETRANSLATE(A8071, ""zh"", ""en"")"),"The company complies with relevant environmental protection laws and regulations and environmental protection systems, has not received any administrative penalties from the Environmental Protection Department, has not had any major environmental pollutio"&amp;"n accidents, has no environmental protection appeals, letters and visits, or petitions, and has not committed any other environmental violations.")</f>
        <v>The company complies with relevant environmental protection laws and regulations and environmental protection systems, has not received any administrative penalties from the Environmental Protection Department, has not had any major environmental pollution accidents, has no environmental protection appeals, letters and visits, or petitions, and has not committed any other environmental violations.</v>
      </c>
      <c r="B8071" s="1" t="str">
        <f ca="1">IFERROR(__xludf.DUMMYFUNCTION("GOOGLETRANSLATE(A8071, ""zh"", ""en"")"),"Environmental penalties")</f>
        <v>Environmental penalties</v>
      </c>
      <c r="C8071" s="1" t="str">
        <f ca="1">IFERROR(__xludf.DUMMYFUNCTION("GOOGLETRANSLATE(E8071, ""zh"", ""en"")"),"Quantitative Text")</f>
        <v>Quantitative Text</v>
      </c>
    </row>
    <row r="8072" spans="1:3" ht="13" x14ac:dyDescent="0.15">
      <c r="A8072" s="1" t="str">
        <f ca="1">IFERROR(__xludf.DUMMYFUNCTION("GOOGLETRANSLATE(A8072, ""zh"", ""en"")"),"Its environmental management institutions and corporate environmental management systems are sound, and environmental archive management is relatively complete. No environmental disputes or penalties for violations have occurred.")</f>
        <v>Its environmental management institutions and corporate environmental management systems are sound, and environmental archive management is relatively complete. No environmental disputes or penalties for violations have occurred.</v>
      </c>
      <c r="B8072" s="1" t="str">
        <f ca="1">IFERROR(__xludf.DUMMYFUNCTION("GOOGLETRANSLATE(A8072, ""zh"", ""en"")"),"Environmental penalties")</f>
        <v>Environmental penalties</v>
      </c>
      <c r="C8072" s="1" t="str">
        <f ca="1">IFERROR(__xludf.DUMMYFUNCTION("GOOGLETRANSLATE(E8072, ""zh"", ""en"")"),"Quantitative Text")</f>
        <v>Quantitative Text</v>
      </c>
    </row>
    <row r="8073" spans="1:3" ht="13" x14ac:dyDescent="0.15">
      <c r="A8073" s="1" t="str">
        <f ca="1">IFERROR(__xludf.DUMMYFUNCTION("GOOGLETRANSLATE(A8073, ""zh"", ""en"")"),"No environmental disputes or illegal penalties occurred.")</f>
        <v>No environmental disputes or illegal penalties occurred.</v>
      </c>
      <c r="B8073" s="1" t="str">
        <f ca="1">IFERROR(__xludf.DUMMYFUNCTION("GOOGLETRANSLATE(A8073, ""zh"", ""en"")"),"Environmental penalties")</f>
        <v>Environmental penalties</v>
      </c>
      <c r="C8073" s="1" t="str">
        <f ca="1">IFERROR(__xludf.DUMMYFUNCTION("GOOGLETRANSLATE(E8073, ""zh"", ""en"")"),"Quantitative Text")</f>
        <v>Quantitative Text</v>
      </c>
    </row>
    <row r="8074" spans="1:3" ht="13" x14ac:dyDescent="0.15">
      <c r="A8074" s="1" t="str">
        <f ca="1">IFERROR(__xludf.DUMMYFUNCTION("GOOGLETRANSLATE(A8074, ""zh"", ""en"")"),"In 2011, the company received no administrative penalties for environmental protection, had no environmental pollution disputes, environmental protection appeals, and no other environmental violations.")</f>
        <v>In 2011, the company received no administrative penalties for environmental protection, had no environmental pollution disputes, environmental protection appeals, and no other environmental violations.</v>
      </c>
      <c r="B8074" s="1" t="str">
        <f ca="1">IFERROR(__xludf.DUMMYFUNCTION("GOOGLETRANSLATE(A8074, ""zh"", ""en"")"),"Environmental penalties")</f>
        <v>Environmental penalties</v>
      </c>
      <c r="C8074" s="1" t="str">
        <f ca="1">IFERROR(__xludf.DUMMYFUNCTION("GOOGLETRANSLATE(E8074, ""zh"", ""en"")"),"Quantitative Text")</f>
        <v>Quantitative Text</v>
      </c>
    </row>
    <row r="8075" spans="1:3" ht="13" x14ac:dyDescent="0.15">
      <c r="A8075" s="1" t="str">
        <f ca="1">IFERROR(__xludf.DUMMYFUNCTION("GOOGLETRANSLATE(A8075, ""zh"", ""en"")"),"In 2013, the parent company and its subsidiaries involved in this report were not subject to any administrative penalties for environmental protection, and there were no environmental pollution disputes, environmental protection appeals, or other environm"&amp;"ental violations.")</f>
        <v>In 2013, the parent company and its subsidiaries involved in this report were not subject to any administrative penalties for environmental protection, and there were no environmental pollution disputes, environmental protection appeals, or other environmental violations.</v>
      </c>
      <c r="B8075" s="1" t="str">
        <f ca="1">IFERROR(__xludf.DUMMYFUNCTION("GOOGLETRANSLATE(A8075, ""zh"", ""en"")"),"Environmental penalties")</f>
        <v>Environmental penalties</v>
      </c>
      <c r="C8075" s="1" t="str">
        <f ca="1">IFERROR(__xludf.DUMMYFUNCTION("GOOGLETRANSLATE(E8075, ""zh"", ""en"")"),"Quantitative Text")</f>
        <v>Quantitative Text</v>
      </c>
    </row>
    <row r="8076" spans="1:3" ht="13" x14ac:dyDescent="0.15">
      <c r="A8076" s="1" t="str">
        <f ca="1">IFERROR(__xludf.DUMMYFUNCTION("GOOGLETRANSLATE(A8076, ""zh"", ""en"")"),"The ground of the company's storage and use of various chemicals, such as chemical warehouses and workshops, needs to be treated with necessary anti-penetration and anti-corrosion treatments.")</f>
        <v>The ground of the company's storage and use of various chemicals, such as chemical warehouses and workshops, needs to be treated with necessary anti-penetration and anti-corrosion treatments.</v>
      </c>
      <c r="B8076" s="1" t="str">
        <f ca="1">IFERROR(__xludf.DUMMYFUNCTION("GOOGLETRANSLATE(A8076, ""zh"", ""en"")"),"Chemical Safety")</f>
        <v>Chemical Safety</v>
      </c>
      <c r="C8076" s="1" t="str">
        <f ca="1">IFERROR(__xludf.DUMMYFUNCTION("GOOGLETRANSLATE(E8076, ""zh"", ""en"")"),"Qualitative text")</f>
        <v>Qualitative text</v>
      </c>
    </row>
    <row r="8077" spans="1:3" ht="13" x14ac:dyDescent="0.15">
      <c r="A8077" s="1" t="str">
        <f ca="1">IFERROR(__xludf.DUMMYFUNCTION("GOOGLETRANSLATE(A8077, ""zh"", ""en"")"),"Tobang has installed anti-leakage devices on all chemical containers, and provides training on safety knowledge such as safe operation of chemicals for new and old employees. It also arranges management personnel to conduct regular site inspections to eli"&amp;"minate potential chemical leakage hazards, supervise operators to comply with safe operation regulations, and eliminate the illegal use of chemicals and the risk of chemical leakage. At the same time, in product and packaging design, Tobang actively compl"&amp;"ies with the RoHS standard (i.e., the EU's ""Restriction of the Use of Certain Hazardous Substances in Electrical and Electronic Equipment Directive"").")</f>
        <v>Tobang has installed anti-leakage devices on all chemical containers, and provides training on safety knowledge such as safe operation of chemicals for new and old employees. It also arranges management personnel to conduct regular site inspections to eliminate potential chemical leakage hazards, supervise operators to comply with safe operation regulations, and eliminate the illegal use of chemicals and the risk of chemical leakage. At the same time, in product and packaging design, Tobang actively complies with the RoHS standard (i.e., the EU's "Restriction of the Use of Certain Hazardous Substances in Electrical and Electronic Equipment Directive").</v>
      </c>
      <c r="B8077" s="1" t="str">
        <f ca="1">IFERROR(__xludf.DUMMYFUNCTION("GOOGLETRANSLATE(A8077, ""zh"", ""en"")"),"Chemical Safety")</f>
        <v>Chemical Safety</v>
      </c>
      <c r="C8077" s="1" t="str">
        <f ca="1">IFERROR(__xludf.DUMMYFUNCTION("GOOGLETRANSLATE(E8077, ""zh"", ""en"")"),"Qualitative text")</f>
        <v>Qualitative text</v>
      </c>
    </row>
    <row r="8078" spans="1:3" ht="13" x14ac:dyDescent="0.15">
      <c r="A8078" s="1" t="str">
        <f ca="1">IFERROR(__xludf.DUMMYFUNCTION("GOOGLETRANSLATE(A8078, ""zh"", ""en"")"),"Register the chemicals used in the production process, mark the corresponding safety information on the products and update it dynamically to ensure compliance with national standards such as ""Classification and Product Numbering of Dangerous Goods"", """&amp;"List of Dangerous Goods"", and ""Classification and Marking of Commonly Used Hazardous Chemicals"". Regularly conduct chemical risk identification and evaluation, conduct risk hazard inspections for key regulated chemicals, and formulate response measures"&amp;" and emergency plans for risky chemical safety issues. Chemical supervision, chemical risk assessment, and chemical registration are regularly registered in the hazardous chemicals register.")</f>
        <v>Register the chemicals used in the production process, mark the corresponding safety information on the products and update it dynamically to ensure compliance with national standards such as "Classification and Product Numbering of Dangerous Goods", "List of Dangerous Goods", and "Classification and Marking of Commonly Used Hazardous Chemicals". Regularly conduct chemical risk identification and evaluation, conduct risk hazard inspections for key regulated chemicals, and formulate response measures and emergency plans for risky chemical safety issues. Chemical supervision, chemical risk assessment, and chemical registration are regularly registered in the hazardous chemicals register.</v>
      </c>
      <c r="B8078" s="1" t="str">
        <f ca="1">IFERROR(__xludf.DUMMYFUNCTION("GOOGLETRANSLATE(A8078, ""zh"", ""en"")"),"Chemical Safety")</f>
        <v>Chemical Safety</v>
      </c>
      <c r="C8078" s="1" t="str">
        <f ca="1">IFERROR(__xludf.DUMMYFUNCTION("GOOGLETRANSLATE(E8078, ""zh"", ""en"")"),"Qualitative text")</f>
        <v>Qualitative text</v>
      </c>
    </row>
    <row r="8079" spans="1:3" ht="13" x14ac:dyDescent="0.15">
      <c r="A8079" s="1" t="str">
        <f ca="1">IFERROR(__xludf.DUMMYFUNCTION("GOOGLETRANSLATE(A8079, ""zh"", ""en"")"),"The company strictly follows international management standards related to hazardous chemicals, formulates systems such as the ""Hazardous Goods Management Measures"" and the ""Implementation Plan for Centralized Management of Hazardous Chemical Safety Ri"&amp;"sks"", vigorously promotes the construction of a safety risk classification management and hidden danger investigation and management system for hazardous chemicals enterprises, and standardizes the production and use, procurement, sales, transportation, "&amp;"storage and issuance of hazardous chemicals, as well as disposal and emergency rescue.")</f>
        <v>The company strictly follows international management standards related to hazardous chemicals, formulates systems such as the "Hazardous Goods Management Measures" and the "Implementation Plan for Centralized Management of Hazardous Chemical Safety Risks", vigorously promotes the construction of a safety risk classification management and hidden danger investigation and management system for hazardous chemicals enterprises, and standardizes the production and use, procurement, sales, transportation, storage and issuance of hazardous chemicals, as well as disposal and emergency rescue.</v>
      </c>
      <c r="B8079" s="1" t="str">
        <f ca="1">IFERROR(__xludf.DUMMYFUNCTION("GOOGLETRANSLATE(A8079, ""zh"", ""en"")"),"Chemical Safety")</f>
        <v>Chemical Safety</v>
      </c>
      <c r="C8079" s="1" t="str">
        <f ca="1">IFERROR(__xludf.DUMMYFUNCTION("GOOGLETRANSLATE(E8079, ""zh"", ""en"")"),"Qualitative text")</f>
        <v>Qualitative text</v>
      </c>
    </row>
    <row r="8080" spans="1:3" ht="13" x14ac:dyDescent="0.15">
      <c r="A8080" s="1" t="str">
        <f ca="1">IFERROR(__xludf.DUMMYFUNCTION("GOOGLETRANSLATE(A8080, ""zh"", ""en"")"),"In accordance with the International Maritime Dangerous Goods Code, the company analyzes the isolation of hazardous chemicals from the perspectives of reaction results and reaction types, standardizes the procurement, storage and use of toxic chemicals, a"&amp;"nd conducts regular training on the handling of toxic chemicals and emergency response methods on ships to ensure that all crew members are familiar with the daily use of commonly used chemicals on ships and emergency response methods.")</f>
        <v>In accordance with the International Maritime Dangerous Goods Code, the company analyzes the isolation of hazardous chemicals from the perspectives of reaction results and reaction types, standardizes the procurement, storage and use of toxic chemicals, and conducts regular training on the handling of toxic chemicals and emergency response methods on ships to ensure that all crew members are familiar with the daily use of commonly used chemicals on ships and emergency response methods.</v>
      </c>
      <c r="B8080" s="1" t="str">
        <f ca="1">IFERROR(__xludf.DUMMYFUNCTION("GOOGLETRANSLATE(A8080, ""zh"", ""en"")"),"Chemical Safety")</f>
        <v>Chemical Safety</v>
      </c>
      <c r="C8080" s="1" t="str">
        <f ca="1">IFERROR(__xludf.DUMMYFUNCTION("GOOGLETRANSLATE(E8080, ""zh"", ""en"")"),"Qualitative text")</f>
        <v>Qualitative text</v>
      </c>
    </row>
    <row r="8081" spans="1:3" ht="13" x14ac:dyDescent="0.15">
      <c r="A8081" s="1" t="str">
        <f ca="1">IFERROR(__xludf.DUMMYFUNCTION("GOOGLETRANSLATE(A8081, ""zh"", ""en"")"),"The company regularly conducts emergency drills for chemical leaks, poisonings, and other hazardous chemicals, effectively improving its emergency response capabilities in the event of a hazardous chemical incident. Laboratory management personnel are res"&amp;"ponsible for the centralized purchase of hazardous chemicals. Hazardous chemicals should be classified and stored separately based on their properties. Hazardous chemicals with conflicting properties or fire prevention and extinguishing methods must not b"&amp;"e mixed.")</f>
        <v>The company regularly conducts emergency drills for chemical leaks, poisonings, and other hazardous chemicals, effectively improving its emergency response capabilities in the event of a hazardous chemical incident. Laboratory management personnel are responsible for the centralized purchase of hazardous chemicals. Hazardous chemicals should be classified and stored separately based on their properties. Hazardous chemicals with conflicting properties or fire prevention and extinguishing methods must not be mixed.</v>
      </c>
      <c r="B8081" s="1" t="str">
        <f ca="1">IFERROR(__xludf.DUMMYFUNCTION("GOOGLETRANSLATE(A8081, ""zh"", ""en"")"),"Chemical Safety")</f>
        <v>Chemical Safety</v>
      </c>
      <c r="C8081" s="1" t="str">
        <f ca="1">IFERROR(__xludf.DUMMYFUNCTION("GOOGLETRANSLATE(E8081, ""zh"", ""en"")"),"Qualitative text")</f>
        <v>Qualitative text</v>
      </c>
    </row>
    <row r="8082" spans="1:3" ht="13" x14ac:dyDescent="0.15">
      <c r="A8082" s="1" t="str">
        <f ca="1">IFERROR(__xludf.DUMMYFUNCTION("GOOGLETRANSLATE(A8082, ""zh"", ""en"")"),"In 2021, the company organized environmental safety training, covering key processes such as hazardous chemical management, hazardous substance control, waste management and treatment, to comprehensively improve the environmental safety awareness and prof"&amp;"essional knowledge of corporate personnel.")</f>
        <v>In 2021, the company organized environmental safety training, covering key processes such as hazardous chemical management, hazardous substance control, waste management and treatment, to comprehensively improve the environmental safety awareness and professional knowledge of corporate personnel.</v>
      </c>
      <c r="B8082" s="1" t="str">
        <f ca="1">IFERROR(__xludf.DUMMYFUNCTION("GOOGLETRANSLATE(A8082, ""zh"", ""en"")"),"Chemical Safety")</f>
        <v>Chemical Safety</v>
      </c>
      <c r="C8082" s="1" t="str">
        <f ca="1">IFERROR(__xludf.DUMMYFUNCTION("GOOGLETRANSLATE(E8082, ""zh"", ""en"")"),"Qualitative text")</f>
        <v>Qualitative text</v>
      </c>
    </row>
    <row r="8083" spans="1:3" ht="13" x14ac:dyDescent="0.15">
      <c r="A8083" s="1" t="str">
        <f ca="1">IFERROR(__xludf.DUMMYFUNCTION("GOOGLETRANSLATE(A8083, ""zh"", ""en"")"),"The company strictly follows international management standards related to hazardous chemicals, formulates systems such as the ""Hazardous Goods Management Measures"" and the ""Implementation Plan for Centralized Management of Hazardous Chemical Safety Ri"&amp;"sks"", vigorously promotes the construction of a safety risk classification management and hidden danger investigation and management system for hazardous chemicals enterprises, and standardizes the production and use, procurement, sales, transportation, "&amp;"storage and issuance of hazardous chemicals, as well as disposal and emergency rescue.")</f>
        <v>The company strictly follows international management standards related to hazardous chemicals, formulates systems such as the "Hazardous Goods Management Measures" and the "Implementation Plan for Centralized Management of Hazardous Chemical Safety Risks", vigorously promotes the construction of a safety risk classification management and hidden danger investigation and management system for hazardous chemicals enterprises, and standardizes the production and use, procurement, sales, transportation, storage and issuance of hazardous chemicals, as well as disposal and emergency rescue.</v>
      </c>
      <c r="B8083" s="1" t="str">
        <f ca="1">IFERROR(__xludf.DUMMYFUNCTION("GOOGLETRANSLATE(A8083, ""zh"", ""en"")"),"Chemical Safety")</f>
        <v>Chemical Safety</v>
      </c>
      <c r="C8083" s="1" t="str">
        <f ca="1">IFERROR(__xludf.DUMMYFUNCTION("GOOGLETRANSLATE(E8083, ""zh"", ""en"")"),"Qualitative text")</f>
        <v>Qualitative text</v>
      </c>
    </row>
    <row r="8084" spans="1:3" ht="13" x14ac:dyDescent="0.15">
      <c r="A8084" s="1" t="str">
        <f ca="1">IFERROR(__xludf.DUMMYFUNCTION("GOOGLETRANSLATE(A8084, ""zh"", ""en"")"),"Register the chemicals used in the production process, mark the corresponding safety information on the products and update it dynamically to ensure compliance with national standards such as ""Classification and Product Numbering of Dangerous Goods"", """&amp;"List of Dangerous Goods"", and ""Classification and Marking of Commonly Used Hazardous Chemicals"". Regularly conduct chemical risk identification and evaluation, conduct risk hazard inspections for key regulated chemicals, and formulate response measures"&amp;" and emergency plans for risky chemical safety issues. Chemical supervision, chemical risk assessment, and chemical registration are regularly registered in the hazardous chemicals register.")</f>
        <v>Register the chemicals used in the production process, mark the corresponding safety information on the products and update it dynamically to ensure compliance with national standards such as "Classification and Product Numbering of Dangerous Goods", "List of Dangerous Goods", and "Classification and Marking of Commonly Used Hazardous Chemicals". Regularly conduct chemical risk identification and evaluation, conduct risk hazard inspections for key regulated chemicals, and formulate response measures and emergency plans for risky chemical safety issues. Chemical supervision, chemical risk assessment, and chemical registration are regularly registered in the hazardous chemicals register.</v>
      </c>
      <c r="B8084" s="1" t="str">
        <f ca="1">IFERROR(__xludf.DUMMYFUNCTION("GOOGLETRANSLATE(A8084, ""zh"", ""en"")"),"Chemical Safety")</f>
        <v>Chemical Safety</v>
      </c>
      <c r="C8084" s="1" t="str">
        <f ca="1">IFERROR(__xludf.DUMMYFUNCTION("GOOGLETRANSLATE(E8084, ""zh"", ""en"")"),"Qualitative text")</f>
        <v>Qualitative text</v>
      </c>
    </row>
    <row r="8085" spans="1:3" ht="13" x14ac:dyDescent="0.15">
      <c r="A8085" s="1" t="str">
        <f ca="1">IFERROR(__xludf.DUMMYFUNCTION("GOOGLETRANSLATE(A8085, ""zh"", ""en"")"),"All chemical containers are equipped with anti-leakage devices, and safety knowledge training such as safe operation of chemicals is provided to new and old employees. Management personnel are arranged to conduct regular on-site inspections to eliminate p"&amp;"otential chemical leakage hazards, supervise operators to comply with safe operation regulations, put an end to illegal use of chemicals, and eliminate the risk of chemical leakage.")</f>
        <v>All chemical containers are equipped with anti-leakage devices, and safety knowledge training such as safe operation of chemicals is provided to new and old employees. Management personnel are arranged to conduct regular on-site inspections to eliminate potential chemical leakage hazards, supervise operators to comply with safe operation regulations, put an end to illegal use of chemicals, and eliminate the risk of chemical leakage.</v>
      </c>
      <c r="B8085" s="1" t="str">
        <f ca="1">IFERROR(__xludf.DUMMYFUNCTION("GOOGLETRANSLATE(A8085, ""zh"", ""en"")"),"Chemical Safety")</f>
        <v>Chemical Safety</v>
      </c>
      <c r="C8085" s="1" t="str">
        <f ca="1">IFERROR(__xludf.DUMMYFUNCTION("GOOGLETRANSLATE(E8085, ""zh"", ""en"")"),"Qualitative text")</f>
        <v>Qualitative text</v>
      </c>
    </row>
    <row r="8086" spans="1:3" ht="13" x14ac:dyDescent="0.15">
      <c r="A8086" s="1" t="str">
        <f ca="1">IFERROR(__xludf.DUMMYFUNCTION("GOOGLETRANSLATE(A8086, ""zh"", ""en"")"),"Storage at the production site should be in a separate area and marked with signs such as ""No Fireworks."" For chemicals that are corrosive, toxic, or irritating to human health, appropriate labor protection equipment must be worn when handling them to e"&amp;"nsure employee health. For highly toxic reagents, a ""five-pair"" management system is implemented: ""two people receive, two people register, two people use, two people return, and two people lock the door.""")</f>
        <v>Storage at the production site should be in a separate area and marked with signs such as "No Fireworks." For chemicals that are corrosive, toxic, or irritating to human health, appropriate labor protection equipment must be worn when handling them to ensure employee health. For highly toxic reagents, a "five-pair" management system is implemented: "two people receive, two people register, two people use, two people return, and two people lock the door."</v>
      </c>
      <c r="B8086" s="1" t="str">
        <f ca="1">IFERROR(__xludf.DUMMYFUNCTION("GOOGLETRANSLATE(A8086, ""zh"", ""en"")"),"Chemical Safety")</f>
        <v>Chemical Safety</v>
      </c>
      <c r="C8086" s="1" t="str">
        <f ca="1">IFERROR(__xludf.DUMMYFUNCTION("GOOGLETRANSLATE(E8086, ""zh"", ""en"")"),"Qualitative text")</f>
        <v>Qualitative text</v>
      </c>
    </row>
    <row r="8087" spans="1:3" ht="13" x14ac:dyDescent="0.15">
      <c r="A8087" s="1" t="str">
        <f ca="1">IFERROR(__xludf.DUMMYFUNCTION("GOOGLETRANSLATE(A8087, ""zh"", ""en"")"),"We regularly conduct special inspections of chemicals within the factory, organize chemical registration and issuance records, and conduct risk assessments and key monitoring for newly added chemicals to ensure that risks are under control.")</f>
        <v>We regularly conduct special inspections of chemicals within the factory, organize chemical registration and issuance records, and conduct risk assessments and key monitoring for newly added chemicals to ensure that risks are under control.</v>
      </c>
      <c r="B8087" s="1" t="str">
        <f ca="1">IFERROR(__xludf.DUMMYFUNCTION("GOOGLETRANSLATE(A8087, ""zh"", ""en"")"),"Chemical Safety")</f>
        <v>Chemical Safety</v>
      </c>
      <c r="C8087" s="1" t="str">
        <f ca="1">IFERROR(__xludf.DUMMYFUNCTION("GOOGLETRANSLATE(E8087, ""zh"", ""en"")"),"Qualitative text")</f>
        <v>Qualitative text</v>
      </c>
    </row>
    <row r="8088" spans="1:3" ht="13" x14ac:dyDescent="0.15">
      <c r="A8088" s="1" t="str">
        <f ca="1">IFERROR(__xludf.DUMMYFUNCTION("GOOGLETRANSLATE(A8088, ""zh"", ""en"")"),"During the reporting period, Suining Shengxin conducted 79 training sessions on hazardous chemicals safety and environmental protection, covering 3,689 participants.")</f>
        <v>During the reporting period, Suining Shengxin conducted 79 training sessions on hazardous chemicals safety and environmental protection, covering 3,689 participants.</v>
      </c>
      <c r="B8088" s="1" t="str">
        <f ca="1">IFERROR(__xludf.DUMMYFUNCTION("GOOGLETRANSLATE(A8088, ""zh"", ""en"")"),"Chemical Safety")</f>
        <v>Chemical Safety</v>
      </c>
      <c r="C8088" s="1" t="str">
        <f ca="1">IFERROR(__xludf.DUMMYFUNCTION("GOOGLETRANSLATE(E8088, ""zh"", ""en"")"),"Quantitative Text")</f>
        <v>Quantitative Text</v>
      </c>
    </row>
    <row r="8089" spans="1:3" ht="13" x14ac:dyDescent="0.15">
      <c r="A8089" s="1" t="str">
        <f ca="1">IFERROR(__xludf.DUMMYFUNCTION("GOOGLETRANSLATE(A8089, ""zh"", ""en"")"),"We set up special chemical storage warehouses to avoid mixing chemicals with other items, and stipulate detailed requirements for chemical transportation, storage, use, and waste disposal to achieve full-process management of chemicals.")</f>
        <v>We set up special chemical storage warehouses to avoid mixing chemicals with other items, and stipulate detailed requirements for chemical transportation, storage, use, and waste disposal to achieve full-process management of chemicals.</v>
      </c>
      <c r="B8089" s="1" t="str">
        <f ca="1">IFERROR(__xludf.DUMMYFUNCTION("GOOGLETRANSLATE(A8089, ""zh"", ""en"")"),"Chemical Safety")</f>
        <v>Chemical Safety</v>
      </c>
      <c r="C8089" s="1" t="str">
        <f ca="1">IFERROR(__xludf.DUMMYFUNCTION("GOOGLETRANSLATE(E8089, ""zh"", ""en"")"),"Qualitative text")</f>
        <v>Qualitative text</v>
      </c>
    </row>
    <row r="8090" spans="1:3" ht="13" x14ac:dyDescent="0.15">
      <c r="A8090" s="1" t="str">
        <f ca="1">IFERROR(__xludf.DUMMYFUNCTION("GOOGLETRANSLATE(A8090, ""zh"", ""en"")"),"The company has developed a ""Standardized On-Site Management Manual for Chemicals,"" which defines a series of measures, including chemical procurement management, loading and unloading and transportation management, chemical change management, managemen"&amp;"t methods for precursor chemicals, and chemical-related emergency drills. In accordance with the requirements of the ""Standardized On-Site Management Manual for Chemicals,"" the company actively identifies a list of hazardous chemicals, clearly defining "&amp;"the chemicals involved in production and operations as primarily sodium hydroxide, hydrofluoric acid, sulfuric acid, hydrochloric acid, and hydrogen peroxide, and implements categorized management based on the properties of each chemical.")</f>
        <v>The company has developed a "Standardized On-Site Management Manual for Chemicals," which defines a series of measures, including chemical procurement management, loading and unloading and transportation management, chemical change management, management methods for precursor chemicals, and chemical-related emergency drills. In accordance with the requirements of the "Standardized On-Site Management Manual for Chemicals," the company actively identifies a list of hazardous chemicals, clearly defining the chemicals involved in production and operations as primarily sodium hydroxide, hydrofluoric acid, sulfuric acid, hydrochloric acid, and hydrogen peroxide, and implements categorized management based on the properties of each chemical.</v>
      </c>
      <c r="B8090" s="1" t="str">
        <f ca="1">IFERROR(__xludf.DUMMYFUNCTION("GOOGLETRANSLATE(A8090, ""zh"", ""en"")"),"Chemical Safety")</f>
        <v>Chemical Safety</v>
      </c>
      <c r="C8090" s="1" t="str">
        <f ca="1">IFERROR(__xludf.DUMMYFUNCTION("GOOGLETRANSLATE(E8090, ""zh"", ""en"")"),"Qualitative text")</f>
        <v>Qualitative text</v>
      </c>
    </row>
    <row r="8091" spans="1:3" ht="13" x14ac:dyDescent="0.15">
      <c r="A8091" s="1" t="str">
        <f ca="1">IFERROR(__xludf.DUMMYFUNCTION("GOOGLETRANSLATE(A8091, ""zh"", ""en"")"),"Chemicals should be stored separately and classified to ensure that leak prevention devices and fire-fighting facilities are complete and effective. Explosion-proof lights, switches, sockets, and exhaust devices should be installed in areas where flammabl"&amp;"e and explosive chemicals are stored. Develop chemical emergency management systems and plans, develop drill plans based on the hazardous properties of chemicals, and regularly organize chemical leak emergency drills, procurement, loading and unloading, a"&amp;"nd transportation management, chemical changes, storage management, and chemical-related emergency management.")</f>
        <v>Chemicals should be stored separately and classified to ensure that leak prevention devices and fire-fighting facilities are complete and effective. Explosion-proof lights, switches, sockets, and exhaust devices should be installed in areas where flammable and explosive chemicals are stored. Develop chemical emergency management systems and plans, develop drill plans based on the hazardous properties of chemicals, and regularly organize chemical leak emergency drills, procurement, loading and unloading, and transportation management, chemical changes, storage management, and chemical-related emergency management.</v>
      </c>
      <c r="B8091" s="1" t="str">
        <f ca="1">IFERROR(__xludf.DUMMYFUNCTION("GOOGLETRANSLATE(A8091, ""zh"", ""en"")"),"Chemical Safety")</f>
        <v>Chemical Safety</v>
      </c>
      <c r="C8091" s="1" t="str">
        <f ca="1">IFERROR(__xludf.DUMMYFUNCTION("GOOGLETRANSLATE(E8091, ""zh"", ""en"")"),"Qualitative text")</f>
        <v>Qualitative text</v>
      </c>
    </row>
    <row r="8092" spans="1:3" ht="13" x14ac:dyDescent="0.15">
      <c r="A8092" s="1" t="str">
        <f ca="1">IFERROR(__xludf.DUMMYFUNCTION("GOOGLETRANSLATE(A8092, ""zh"", ""en"")"),"Clarify the management methods for relevant chemicals to prevent harm to employees and the environment. All bases will uniformly label hazardous chemicals and regularly conduct safety oversight and management of hazardous chemicals and their warehouses, p"&amp;"romptly identifying and rectifying any issues. Strengthen unified deployment of hazardous chemical safety management and control, further strengthen organizational leadership, and urge all units and departments involved in hazardous chemical operations to"&amp;" comprehensively assess the main hazard sources of hazardous chemicals and implement hazardous chemical control measures.")</f>
        <v>Clarify the management methods for relevant chemicals to prevent harm to employees and the environment. All bases will uniformly label hazardous chemicals and regularly conduct safety oversight and management of hazardous chemicals and their warehouses, promptly identifying and rectifying any issues. Strengthen unified deployment of hazardous chemical safety management and control, further strengthen organizational leadership, and urge all units and departments involved in hazardous chemical operations to comprehensively assess the main hazard sources of hazardous chemicals and implement hazardous chemical control measures.</v>
      </c>
      <c r="B8092" s="1" t="str">
        <f ca="1">IFERROR(__xludf.DUMMYFUNCTION("GOOGLETRANSLATE(A8092, ""zh"", ""en"")"),"Chemical Safety")</f>
        <v>Chemical Safety</v>
      </c>
      <c r="C8092" s="1" t="str">
        <f ca="1">IFERROR(__xludf.DUMMYFUNCTION("GOOGLETRANSLATE(E8092, ""zh"", ""en"")"),"Qualitative text")</f>
        <v>Qualitative text</v>
      </c>
    </row>
    <row r="8093" spans="1:3" ht="13" x14ac:dyDescent="0.15">
      <c r="A8093" s="1" t="str">
        <f ca="1">IFERROR(__xludf.DUMMYFUNCTION("GOOGLETRANSLATE(A8093, ""zh"", ""en"")"),"Dangerous chemicals must be registered and stored safely, and fire prevention, anti-static, moisture-proof and leakage prevention management must be implemented. Strengthen the delivery of samples for chemical hazard classification testing and cargo trans"&amp;"portation condition identification to achieve zero leakage of hazardous chemicals.")</f>
        <v>Dangerous chemicals must be registered and stored safely, and fire prevention, anti-static, moisture-proof and leakage prevention management must be implemented. Strengthen the delivery of samples for chemical hazard classification testing and cargo transportation condition identification to achieve zero leakage of hazardous chemicals.</v>
      </c>
      <c r="B8093" s="1" t="str">
        <f ca="1">IFERROR(__xludf.DUMMYFUNCTION("GOOGLETRANSLATE(A8093, ""zh"", ""en"")"),"Chemical Safety")</f>
        <v>Chemical Safety</v>
      </c>
      <c r="C8093" s="1" t="str">
        <f ca="1">IFERROR(__xludf.DUMMYFUNCTION("GOOGLETRANSLATE(E8093, ""zh"", ""en"")"),"Qualitative text")</f>
        <v>Qualitative text</v>
      </c>
    </row>
    <row r="8094" spans="1:3" ht="13" x14ac:dyDescent="0.15">
      <c r="A8094" s="1" t="str">
        <f ca="1">IFERROR(__xludf.DUMMYFUNCTION("GOOGLETRANSLATE(A8094, ""zh"", ""en"")"),"We will implement stricter management of the declaration, procurement, storage, transportation, distribution, use, regular inspection and waste disposal of hazardous chemicals and provide regular training for relevant departments and individuals to ensure"&amp;" the safety of life and property of the company's employees, meet the company's production needs and protect the environment.")</f>
        <v>We will implement stricter management of the declaration, procurement, storage, transportation, distribution, use, regular inspection and waste disposal of hazardous chemicals and provide regular training for relevant departments and individuals to ensure the safety of life and property of the company's employees, meet the company's production needs and protect the environment.</v>
      </c>
      <c r="B8094" s="1" t="str">
        <f ca="1">IFERROR(__xludf.DUMMYFUNCTION("GOOGLETRANSLATE(A8094, ""zh"", ""en"")"),"Chemical Safety")</f>
        <v>Chemical Safety</v>
      </c>
      <c r="C8094" s="1" t="str">
        <f ca="1">IFERROR(__xludf.DUMMYFUNCTION("GOOGLETRANSLATE(E8094, ""zh"", ""en"")"),"Qualitative text")</f>
        <v>Qualitative text</v>
      </c>
    </row>
    <row r="8095" spans="1:3" ht="13" x14ac:dyDescent="0.15">
      <c r="A8095" s="1" t="str">
        <f ca="1">IFERROR(__xludf.DUMMYFUNCTION("GOOGLETRANSLATE(A8095, ""zh"", ""en"")"),"The subsidiary has set up a special hazardous chemical warehouse and formulated a ""Chemical Warehouse Management System"" to strictly manage the entire process of hazardous chemical use, storage, safety protection, and entry and exit management. It consc"&amp;"iously abides by national and local environmental protection laws and regulations on environmental safety. In 2021, all types of pollutants were discharged in compliance with emission standards. No major environmental pollution accidents, environmental vi"&amp;"olations, or environmental petitions occurred from 2010 to 2021.")</f>
        <v>The subsidiary has set up a special hazardous chemical warehouse and formulated a "Chemical Warehouse Management System" to strictly manage the entire process of hazardous chemical use, storage, safety protection, and entry and exit management. It consciously abides by national and local environmental protection laws and regulations on environmental safety. In 2021, all types of pollutants were discharged in compliance with emission standards. No major environmental pollution accidents, environmental violations, or environmental petitions occurred from 2010 to 2021.</v>
      </c>
      <c r="B8095" s="1" t="str">
        <f ca="1">IFERROR(__xludf.DUMMYFUNCTION("GOOGLETRANSLATE(A8095, ""zh"", ""en"")"),"Chemical Safety")</f>
        <v>Chemical Safety</v>
      </c>
      <c r="C8095" s="1" t="str">
        <f ca="1">IFERROR(__xludf.DUMMYFUNCTION("GOOGLETRANSLATE(E8095, ""zh"", ""en"")"),"Quantitative Text")</f>
        <v>Quantitative Text</v>
      </c>
    </row>
    <row r="8096" spans="1:3" ht="13" x14ac:dyDescent="0.15">
      <c r="A8096" s="1" t="str">
        <f ca="1">IFERROR(__xludf.DUMMYFUNCTION("GOOGLETRANSLATE(A8096, ""zh"", ""en"")"),"Fill out the ""Hazardous Chemical Demand List"" and submit it to the EHS department for approval and filing. Purchase from suppliers holding the ""Hazardous Chemical Production and Operation License"", clearly require the transportation unit to have the q"&amp;"ualifications to transport such hazardous chemicals, and conduct safety and quality inspections with suppliers and transportation units when hazardous chemicals enter the warehouse. Store them in specific places that comply with national laws and regulati"&amp;"ons and set up obvious warning signs. Manage the storage places and locations of hazardous chemicals on a daily basis and sign a safety responsibility letter.")</f>
        <v>Fill out the "Hazardous Chemical Demand List" and submit it to the EHS department for approval and filing. Purchase from suppliers holding the "Hazardous Chemical Production and Operation License", clearly require the transportation unit to have the qualifications to transport such hazardous chemicals, and conduct safety and quality inspections with suppliers and transportation units when hazardous chemicals enter the warehouse. Store them in specific places that comply with national laws and regulations and set up obvious warning signs. Manage the storage places and locations of hazardous chemicals on a daily basis and sign a safety responsibility letter.</v>
      </c>
      <c r="B8096" s="1" t="str">
        <f ca="1">IFERROR(__xludf.DUMMYFUNCTION("GOOGLETRANSLATE(A8096, ""zh"", ""en"")"),"Chemical Safety")</f>
        <v>Chemical Safety</v>
      </c>
      <c r="C8096" s="1" t="str">
        <f ca="1">IFERROR(__xludf.DUMMYFUNCTION("GOOGLETRANSLATE(E8096, ""zh"", ""en"")"),"Qualitative text")</f>
        <v>Qualitative text</v>
      </c>
    </row>
    <row r="8097" spans="1:3" ht="13" x14ac:dyDescent="0.15">
      <c r="A8097" s="1" t="str">
        <f ca="1">IFERROR(__xludf.DUMMYFUNCTION("GOOGLETRANSLATE(A8097, ""zh"", ""en"")"),"The company continues to strengthen the management of hazardous chemicals, improve the hazardous chemicals safety management system, organize departments involved in hazardous chemicals management to revise the ""Hazardous Chemicals Safety Regulations"" a"&amp;"nd organize publicity and implementation, clarify the responsibilities and supervision processes of each department, and improve the hazardous chemicals safety supervision system. At the same time, the company regularly conducts chemical leaks, poisoning,"&amp;" and other hazardous chemical emergency drills to effectively improve the company's emergency response capabilities in the event of hazardous chemical accidents.")</f>
        <v>The company continues to strengthen the management of hazardous chemicals, improve the hazardous chemicals safety management system, organize departments involved in hazardous chemicals management to revise the "Hazardous Chemicals Safety Regulations" and organize publicity and implementation, clarify the responsibilities and supervision processes of each department, and improve the hazardous chemicals safety supervision system. At the same time, the company regularly conducts chemical leaks, poisoning, and other hazardous chemical emergency drills to effectively improve the company's emergency response capabilities in the event of hazardous chemical accidents.</v>
      </c>
      <c r="B8097" s="1" t="str">
        <f ca="1">IFERROR(__xludf.DUMMYFUNCTION("GOOGLETRANSLATE(A8097, ""zh"", ""en"")"),"Chemical Safety")</f>
        <v>Chemical Safety</v>
      </c>
      <c r="C8097" s="1" t="str">
        <f ca="1">IFERROR(__xludf.DUMMYFUNCTION("GOOGLETRANSLATE(E8097, ""zh"", ""en"")"),"Qualitative text")</f>
        <v>Qualitative text</v>
      </c>
    </row>
    <row r="8098" spans="1:3" ht="13" x14ac:dyDescent="0.15">
      <c r="A8098" s="1" t="str">
        <f ca="1">IFERROR(__xludf.DUMMYFUNCTION("GOOGLETRANSLATE(A8098, ""zh"", ""en"")"),"The company treats all shareholders equally, effectively guarantees the rights of all shareholders to know, participate and vote on major matters of the company, standardizes the notification, convening, holding and voting procedures of shareholders' meet"&amp;"ings, and hires lawyers to attend meetings and issue legal opinions.")</f>
        <v>The company treats all shareholders equally, effectively guarantees the rights of all shareholders to know, participate and vote on major matters of the company, standardizes the notification, convening, holding and voting procedures of shareholders' meetings, and hires lawyers to attend meetings and issue legal opinions.</v>
      </c>
      <c r="B8098" s="1" t="str">
        <f ca="1">IFERROR(__xludf.DUMMYFUNCTION("GOOGLETRANSLATE(A8098, ""zh"", ""en"")"),"Shareholder and creditor rights")</f>
        <v>Shareholder and creditor rights</v>
      </c>
      <c r="C8098" s="1" t="str">
        <f ca="1">IFERROR(__xludf.DUMMYFUNCTION("GOOGLETRANSLATE(E8098, ""zh"", ""en"")"),"Qualitative text")</f>
        <v>Qualitative text</v>
      </c>
    </row>
    <row r="8099" spans="1:3" ht="13" x14ac:dyDescent="0.15">
      <c r="A8099" s="1" t="str">
        <f ca="1">IFERROR(__xludf.DUMMYFUNCTION("GOOGLETRANSLATE(A8099, ""zh"", ""en"")"),"The company is able to convene and hold shareholders' meetings in accordance with the Company Law, the Shanghai Stock Exchange Listing Rules and the company's Rules of Procedure for Shareholders' Meetings, treat all shareholders equally, and ensure that s"&amp;"hareholders can fully exercise their rights.")</f>
        <v>The company is able to convene and hold shareholders' meetings in accordance with the Company Law, the Shanghai Stock Exchange Listing Rules and the company's Rules of Procedure for Shareholders' Meetings, treat all shareholders equally, and ensure that shareholders can fully exercise their rights.</v>
      </c>
      <c r="B8099" s="1" t="str">
        <f ca="1">IFERROR(__xludf.DUMMYFUNCTION("GOOGLETRANSLATE(A8099, ""zh"", ""en"")"),"Shareholder and creditor rights")</f>
        <v>Shareholder and creditor rights</v>
      </c>
      <c r="C8099" s="1" t="str">
        <f ca="1">IFERROR(__xludf.DUMMYFUNCTION("GOOGLETRANSLATE(E8099, ""zh"", ""en"")"),"Qualitative text")</f>
        <v>Qualitative text</v>
      </c>
    </row>
    <row r="8100" spans="1:3" ht="13" x14ac:dyDescent="0.15">
      <c r="A8100" s="1" t="str">
        <f ca="1">IFERROR(__xludf.DUMMYFUNCTION("GOOGLETRANSLATE(A8100, ""zh"", ""en"")"),"While paying attention to protecting the interests of shareholders, the company also attaches great importance to protecting the legitimate rights and interests of creditors.")</f>
        <v>While paying attention to protecting the interests of shareholders, the company also attaches great importance to protecting the legitimate rights and interests of creditors.</v>
      </c>
      <c r="B8100" s="1" t="str">
        <f ca="1">IFERROR(__xludf.DUMMYFUNCTION("GOOGLETRANSLATE(A8100, ""zh"", ""en"")"),"Shareholder and creditor rights")</f>
        <v>Shareholder and creditor rights</v>
      </c>
      <c r="C8100" s="1" t="str">
        <f ca="1">IFERROR(__xludf.DUMMYFUNCTION("GOOGLETRANSLATE(E8100, ""zh"", ""en"")"),"Qualitative text")</f>
        <v>Qualitative text</v>
      </c>
    </row>
    <row r="8101" spans="1:3" ht="13" x14ac:dyDescent="0.15">
      <c r="A8101" s="1" t="str">
        <f ca="1">IFERROR(__xludf.DUMMYFUNCTION("GOOGLETRANSLATE(A8101, ""zh"", ""en"")"),"In the future, the company will continue to focus on shareholder returns, and bring long-term value investment returns to investors through stable operations and good performance.")</f>
        <v>In the future, the company will continue to focus on shareholder returns, and bring long-term value investment returns to investors through stable operations and good performance.</v>
      </c>
      <c r="B8101" s="1" t="str">
        <f ca="1">IFERROR(__xludf.DUMMYFUNCTION("GOOGLETRANSLATE(A8101, ""zh"", ""en"")"),"Shareholder and creditor rights")</f>
        <v>Shareholder and creditor rights</v>
      </c>
      <c r="C8101" s="1" t="str">
        <f ca="1">IFERROR(__xludf.DUMMYFUNCTION("GOOGLETRANSLATE(E8101, ""zh"", ""en"")"),"Qualitative text")</f>
        <v>Qualitative text</v>
      </c>
    </row>
    <row r="8102" spans="1:3" ht="13" x14ac:dyDescent="0.15">
      <c r="A8102" s="1" t="str">
        <f ca="1">IFERROR(__xludf.DUMMYFUNCTION("GOOGLETRANSLATE(A8102, ""zh"", ""en"")"),"From its listing in 2009 to December 31, 2020, the company has continuously distributed cash dividends totaling 169.4875 million yuan. At the same time, through methods such as issuing bonus shares and increasing capital reserves, the company has ensured "&amp;"that its shareholders receive stable and continuous returns on their investment.")</f>
        <v>From its listing in 2009 to December 31, 2020, the company has continuously distributed cash dividends totaling 169.4875 million yuan. At the same time, through methods such as issuing bonus shares and increasing capital reserves, the company has ensured that its shareholders receive stable and continuous returns on their investment.</v>
      </c>
      <c r="B8102" s="1" t="str">
        <f ca="1">IFERROR(__xludf.DUMMYFUNCTION("GOOGLETRANSLATE(A8102, ""zh"", ""en"")"),"Shareholder and creditor rights")</f>
        <v>Shareholder and creditor rights</v>
      </c>
      <c r="C8102" s="1" t="str">
        <f ca="1">IFERROR(__xludf.DUMMYFUNCTION("GOOGLETRANSLATE(E8102, ""zh"", ""en"")"),"Quantitative Text")</f>
        <v>Quantitative Text</v>
      </c>
    </row>
    <row r="8103" spans="1:3" ht="13" x14ac:dyDescent="0.15">
      <c r="A8103" s="1" t="str">
        <f ca="1">IFERROR(__xludf.DUMMYFUNCTION("GOOGLETRANSLATE(A8103, ""zh"", ""en"")"),"In 2022, the company provided online voting for all four shareholders' meetings, counted the votes of small and medium shareholders separately and disclosed them publicly to ensure that all shareholders, especially small and medium shareholders, fully exe"&amp;"rcised their rights.")</f>
        <v>In 2022, the company provided online voting for all four shareholders' meetings, counted the votes of small and medium shareholders separately and disclosed them publicly to ensure that all shareholders, especially small and medium shareholders, fully exercised their rights.</v>
      </c>
      <c r="B8103" s="1" t="str">
        <f ca="1">IFERROR(__xludf.DUMMYFUNCTION("GOOGLETRANSLATE(A8103, ""zh"", ""en"")"),"Shareholder and creditor rights")</f>
        <v>Shareholder and creditor rights</v>
      </c>
      <c r="C8103" s="1" t="str">
        <f ca="1">IFERROR(__xludf.DUMMYFUNCTION("GOOGLETRANSLATE(E8103, ""zh"", ""en"")"),"Quantitative Text")</f>
        <v>Quantitative Text</v>
      </c>
    </row>
    <row r="8104" spans="1:3" ht="13" x14ac:dyDescent="0.15">
      <c r="A8104" s="1" t="str">
        <f ca="1">IFERROR(__xludf.DUMMYFUNCTION("GOOGLETRANSLATE(A8104, ""zh"", ""en"")"),"The equity structure with high proportion of shareholding and sufficient circulation among public shareholders, while ensuring the stability of the company's controlling rights and leveraging the resource advantages of major shareholders, establishes mult"&amp;"i-dimensional communication channels covering all public shareholders, listens to shareholders' voices, conveys company value, and shares development results.")</f>
        <v>The equity structure with high proportion of shareholding and sufficient circulation among public shareholders, while ensuring the stability of the company's controlling rights and leveraging the resource advantages of major shareholders, establishes multi-dimensional communication channels covering all public shareholders, listens to shareholders' voices, conveys company value, and shares development results.</v>
      </c>
      <c r="B8104" s="1" t="str">
        <f ca="1">IFERROR(__xludf.DUMMYFUNCTION("GOOGLETRANSLATE(A8104, ""zh"", ""en"")"),"Shareholder and creditor rights")</f>
        <v>Shareholder and creditor rights</v>
      </c>
      <c r="C8104" s="1" t="str">
        <f ca="1">IFERROR(__xludf.DUMMYFUNCTION("GOOGLETRANSLATE(E8104, ""zh"", ""en"")"),"Qualitative text")</f>
        <v>Qualitative text</v>
      </c>
    </row>
    <row r="8105" spans="1:3" ht="13" x14ac:dyDescent="0.15">
      <c r="A8105" s="1" t="str">
        <f ca="1">IFERROR(__xludf.DUMMYFUNCTION("GOOGLETRANSLATE(A8105, ""zh"", ""en"")"),"During the reporting period, the Company strengthened its decision-making system, continuously improved the operating mechanism of shareholders' meetings, treated every shareholder equally, and worked hard to protect shareholders' rights to know, inquire,"&amp;" question, make suggestions and other related rights and interests.")</f>
        <v>During the reporting period, the Company strengthened its decision-making system, continuously improved the operating mechanism of shareholders' meetings, treated every shareholder equally, and worked hard to protect shareholders' rights to know, inquire, question, make suggestions and other related rights and interests.</v>
      </c>
      <c r="B8105" s="1" t="str">
        <f ca="1">IFERROR(__xludf.DUMMYFUNCTION("GOOGLETRANSLATE(A8105, ""zh"", ""en"")"),"Shareholder and creditor rights")</f>
        <v>Shareholder and creditor rights</v>
      </c>
      <c r="C8105" s="1" t="str">
        <f ca="1">IFERROR(__xludf.DUMMYFUNCTION("GOOGLETRANSLATE(E8105, ""zh"", ""en"")"),"Qualitative text")</f>
        <v>Qualitative text</v>
      </c>
    </row>
    <row r="8106" spans="1:3" ht="13" x14ac:dyDescent="0.15">
      <c r="A8106" s="1" t="str">
        <f ca="1">IFERROR(__xludf.DUMMYFUNCTION("GOOGLETRANSLATE(A8106, ""zh"", ""en"")"),"The controlling shareholder and actual controller have a duty of honest business to the company and social shareholders, ensuring that all shareholders of the company, especially small and medium-sized shareholders, enjoy equal rights and interests.")</f>
        <v>The controlling shareholder and actual controller have a duty of honest business to the company and social shareholders, ensuring that all shareholders of the company, especially small and medium-sized shareholders, enjoy equal rights and interests.</v>
      </c>
      <c r="B8106" s="1" t="str">
        <f ca="1">IFERROR(__xludf.DUMMYFUNCTION("GOOGLETRANSLATE(A8106, ""zh"", ""en"")"),"Shareholder and creditor rights")</f>
        <v>Shareholder and creditor rights</v>
      </c>
      <c r="C8106" s="1" t="str">
        <f ca="1">IFERROR(__xludf.DUMMYFUNCTION("GOOGLETRANSLATE(E8106, ""zh"", ""en"")"),"Qualitative text")</f>
        <v>Qualitative text</v>
      </c>
    </row>
    <row r="8107" spans="1:3" ht="13" x14ac:dyDescent="0.15">
      <c r="A8107" s="1" t="str">
        <f ca="1">IFERROR(__xludf.DUMMYFUNCTION("GOOGLETRANSLATE(A8107, ""zh"", ""en"")"),"Regarding profit distribution, the company attaches great importance to the return on investment of shareholders and has formulated a long-term and stable profit distribution policy.")</f>
        <v>Regarding profit distribution, the company attaches great importance to the return on investment of shareholders and has formulated a long-term and stable profit distribution policy.</v>
      </c>
      <c r="B8107" s="1" t="str">
        <f ca="1">IFERROR(__xludf.DUMMYFUNCTION("GOOGLETRANSLATE(A8107, ""zh"", ""en"")"),"Shareholder and creditor rights")</f>
        <v>Shareholder and creditor rights</v>
      </c>
      <c r="C8107" s="1" t="str">
        <f ca="1">IFERROR(__xludf.DUMMYFUNCTION("GOOGLETRANSLATE(E8107, ""zh"", ""en"")"),"Qualitative text")</f>
        <v>Qualitative text</v>
      </c>
    </row>
    <row r="8108" spans="1:3" ht="13" x14ac:dyDescent="0.15">
      <c r="A8108" s="1" t="str">
        <f ca="1">IFERROR(__xludf.DUMMYFUNCTION("GOOGLETRANSLATE(A8108, ""zh"", ""en"")"),"During the reporting period, the company held three shareholders' meetings and reviewed and approved 26 proposals related to periodic reports, amendments to the articles of association, profit distribution, etc.")</f>
        <v>During the reporting period, the company held three shareholders' meetings and reviewed and approved 26 proposals related to periodic reports, amendments to the articles of association, profit distribution, etc.</v>
      </c>
      <c r="B8108" s="1" t="str">
        <f ca="1">IFERROR(__xludf.DUMMYFUNCTION("GOOGLETRANSLATE(A8108, ""zh"", ""en"")"),"Shareholder and creditor rights")</f>
        <v>Shareholder and creditor rights</v>
      </c>
      <c r="C8108" s="1" t="str">
        <f ca="1">IFERROR(__xludf.DUMMYFUNCTION("GOOGLETRANSLATE(E8108, ""zh"", ""en"")"),"Quantitative Text")</f>
        <v>Quantitative Text</v>
      </c>
    </row>
    <row r="8109" spans="1:3" ht="13" x14ac:dyDescent="0.15">
      <c r="A8109" s="1" t="str">
        <f ca="1">IFERROR(__xludf.DUMMYFUNCTION("GOOGLETRANSLATE(A8109, ""zh"", ""en"")"),"In 2022, the company will continue to maintain personnel independence, asset independence, financial independence, institutional independence, and business independence from its controlling shareholder and actual controller. The controlling shareholder an"&amp;"d actual controller will not use the affiliated relationship to damage the legitimate rights and interests of the company and public shareholders. The company will hire an auditing agency every year to issue a special statement on the controlling sharehol"&amp;"der and its affiliates' use of the company's funds.")</f>
        <v>In 2022, the company will continue to maintain personnel independence, asset independence, financial independence, institutional independence, and business independence from its controlling shareholder and actual controller. The controlling shareholder and actual controller will not use the affiliated relationship to damage the legitimate rights and interests of the company and public shareholders. The company will hire an auditing agency every year to issue a special statement on the controlling shareholder and its affiliates' use of the company's funds.</v>
      </c>
      <c r="B8109" s="1" t="str">
        <f ca="1">IFERROR(__xludf.DUMMYFUNCTION("GOOGLETRANSLATE(A8109, ""zh"", ""en"")"),"Shareholder and creditor rights")</f>
        <v>Shareholder and creditor rights</v>
      </c>
      <c r="C8109" s="1" t="str">
        <f ca="1">IFERROR(__xludf.DUMMYFUNCTION("GOOGLETRANSLATE(E8109, ""zh"", ""en"")"),"Qualitative text")</f>
        <v>Qualitative text</v>
      </c>
    </row>
    <row r="8110" spans="1:3" ht="13" x14ac:dyDescent="0.15">
      <c r="A8110" s="1" t="str">
        <f ca="1">IFERROR(__xludf.DUMMYFUNCTION("GOOGLETRANSLATE(A8110, ""zh"", ""en"")"),"The procedures for convening and holding shareholders' meetings are in compliance with legal provisions. The company has formulated its ""Rules of Procedure for Shareholders' Meetings"" in accordance with the requirements of the ""Rules of Procedure for S"&amp;"hareholders' Meetings of Listed Companies"". Shareholders' meetings exercise their powers within the scope prescribed by the ""Company Law"", ""Articles of Association"" and ""Rules of Procedure for Shareholders' Meetings"". The convening, proposals and n"&amp;"otifications, holding, voting and resolutions of shareholders' meetings are in compliance with legal provisions, ensuring the legality and standardization of the convening of shareholders' meetings. An online voting platform has also been opened to treat "&amp;"all shareholders equally and ensure that shareholders can fully exercise their rights.")</f>
        <v>The procedures for convening and holding shareholders' meetings are in compliance with legal provisions. The company has formulated its "Rules of Procedure for Shareholders' Meetings" in accordance with the requirements of the "Rules of Procedure for Shareholders' Meetings of Listed Companies". Shareholders' meetings exercise their powers within the scope prescribed by the "Company Law", "Articles of Association" and "Rules of Procedure for Shareholders' Meetings". The convening, proposals and notifications, holding, voting and resolutions of shareholders' meetings are in compliance with legal provisions, ensuring the legality and standardization of the convening of shareholders' meetings. An online voting platform has also been opened to treat all shareholders equally and ensure that shareholders can fully exercise their rights.</v>
      </c>
      <c r="B8110" s="1" t="str">
        <f ca="1">IFERROR(__xludf.DUMMYFUNCTION("GOOGLETRANSLATE(A8110, ""zh"", ""en"")"),"Shareholder and creditor rights")</f>
        <v>Shareholder and creditor rights</v>
      </c>
      <c r="C8110" s="1" t="str">
        <f ca="1">IFERROR(__xludf.DUMMYFUNCTION("GOOGLETRANSLATE(E8110, ""zh"", ""en"")"),"Qualitative text")</f>
        <v>Qualitative text</v>
      </c>
    </row>
    <row r="8111" spans="1:3" ht="13" x14ac:dyDescent="0.15">
      <c r="A8111" s="1" t="str">
        <f ca="1">IFERROR(__xludf.DUMMYFUNCTION("GOOGLETRANSLATE(A8111, ""zh"", ""en"")"),"In 2021, the company held a total of 4 shareholders' meetings, including 3 extraordinary shareholders' meetings and 1 annual shareholders' meeting, and reviewed and passed a total of 24 proposals. The convening and holding procedures of the meetings were "&amp;"in compliance with the provisions of the Company Law, the Securities Law and the Company Articles of Association. When voting on related transactions, related parties abstained from voting.")</f>
        <v>In 2021, the company held a total of 4 shareholders' meetings, including 3 extraordinary shareholders' meetings and 1 annual shareholders' meeting, and reviewed and passed a total of 24 proposals. The convening and holding procedures of the meetings were in compliance with the provisions of the Company Law, the Securities Law and the Company Articles of Association. When voting on related transactions, related parties abstained from voting.</v>
      </c>
      <c r="B8111" s="1" t="str">
        <f ca="1">IFERROR(__xludf.DUMMYFUNCTION("GOOGLETRANSLATE(A8111, ""zh"", ""en"")"),"Shareholder and creditor rights")</f>
        <v>Shareholder and creditor rights</v>
      </c>
      <c r="C8111" s="1" t="str">
        <f ca="1">IFERROR(__xludf.DUMMYFUNCTION("GOOGLETRANSLATE(E8111, ""zh"", ""en"")"),"Quantitative Text")</f>
        <v>Quantitative Text</v>
      </c>
    </row>
    <row r="8112" spans="1:3" ht="13" x14ac:dyDescent="0.15">
      <c r="A8112" s="1" t="str">
        <f ca="1">IFERROR(__xludf.DUMMYFUNCTION("GOOGLETRANSLATE(A8112, ""zh"", ""en"")"),"Related-party transactions will not harm the interests of minority shareholders and are fair and reasonable to the company and all shareholders.")</f>
        <v>Related-party transactions will not harm the interests of minority shareholders and are fair and reasonable to the company and all shareholders.</v>
      </c>
      <c r="B8112" s="1" t="str">
        <f ca="1">IFERROR(__xludf.DUMMYFUNCTION("GOOGLETRANSLATE(A8112, ""zh"", ""en"")"),"Shareholder and creditor rights")</f>
        <v>Shareholder and creditor rights</v>
      </c>
      <c r="C8112" s="1" t="str">
        <f ca="1">IFERROR(__xludf.DUMMYFUNCTION("GOOGLETRANSLATE(E8112, ""zh"", ""en"")"),"Qualitative text")</f>
        <v>Qualitative text</v>
      </c>
    </row>
    <row r="8113" spans="1:3" ht="13" x14ac:dyDescent="0.15">
      <c r="A8113" s="1" t="str">
        <f ca="1">IFERROR(__xludf.DUMMYFUNCTION("GOOGLETRANSLATE(A8113, ""zh"", ""en"")"),"In 2020, the company held two shareholders' meetings. During the meetings, the company set up a conference affairs group to be responsible for conference affairs such as reception of shareholders, safeguarding the legitimate rights and interests of shareh"&amp;"olders and ensuring the normal order and efficiency of the shareholders' meetings.")</f>
        <v>In 2020, the company held two shareholders' meetings. During the meetings, the company set up a conference affairs group to be responsible for conference affairs such as reception of shareholders, safeguarding the legitimate rights and interests of shareholders and ensuring the normal order and efficiency of the shareholders' meetings.</v>
      </c>
      <c r="B8113" s="1" t="str">
        <f ca="1">IFERROR(__xludf.DUMMYFUNCTION("GOOGLETRANSLATE(A8113, ""zh"", ""en"")"),"Shareholder and creditor rights")</f>
        <v>Shareholder and creditor rights</v>
      </c>
      <c r="C8113" s="1" t="str">
        <f ca="1">IFERROR(__xludf.DUMMYFUNCTION("GOOGLETRANSLATE(E8113, ""zh"", ""en"")"),"Quantitative Text")</f>
        <v>Quantitative Text</v>
      </c>
    </row>
    <row r="8114" spans="1:3" ht="13" x14ac:dyDescent="0.15">
      <c r="A8114" s="1" t="str">
        <f ca="1">IFERROR(__xludf.DUMMYFUNCTION("GOOGLETRANSLATE(A8114, ""zh"", ""en"")"),"In order to ensure that all shareholders, especially small and medium-sized shareholders, enjoy equal status and fully exercise their rights, the company adopts a combination of online voting and on-site voting to facilitate small and medium-sized shareho"&amp;"lders to participate in the shareholders' meeting.")</f>
        <v>In order to ensure that all shareholders, especially small and medium-sized shareholders, enjoy equal status and fully exercise their rights, the company adopts a combination of online voting and on-site voting to facilitate small and medium-sized shareholders to participate in the shareholders' meeting.</v>
      </c>
      <c r="B8114" s="1" t="str">
        <f ca="1">IFERROR(__xludf.DUMMYFUNCTION("GOOGLETRANSLATE(A8114, ""zh"", ""en"")"),"Shareholder and creditor rights")</f>
        <v>Shareholder and creditor rights</v>
      </c>
      <c r="C8114" s="1" t="str">
        <f ca="1">IFERROR(__xludf.DUMMYFUNCTION("GOOGLETRANSLATE(E8114, ""zh"", ""en"")"),"Qualitative text")</f>
        <v>Qualitative text</v>
      </c>
    </row>
    <row r="8115" spans="1:3" ht="13" x14ac:dyDescent="0.15">
      <c r="A8115" s="1" t="str">
        <f ca="1">IFERROR(__xludf.DUMMYFUNCTION("GOOGLETRANSLATE(A8115, ""zh"", ""en"")"),"We insist on reducing our own operating and financial risks, pay attention to protecting the interests of shareholders, and also attach great importance to protecting the legitimate rights and interests of creditors.")</f>
        <v>We insist on reducing our own operating and financial risks, pay attention to protecting the interests of shareholders, and also attach great importance to protecting the legitimate rights and interests of creditors.</v>
      </c>
      <c r="B8115" s="1" t="str">
        <f ca="1">IFERROR(__xludf.DUMMYFUNCTION("GOOGLETRANSLATE(A8115, ""zh"", ""en"")"),"Shareholder and creditor rights")</f>
        <v>Shareholder and creditor rights</v>
      </c>
      <c r="C8115" s="1" t="str">
        <f ca="1">IFERROR(__xludf.DUMMYFUNCTION("GOOGLETRANSLATE(E8115, ""zh"", ""en"")"),"Qualitative text")</f>
        <v>Qualitative text</v>
      </c>
    </row>
    <row r="8116" spans="1:3" ht="13" x14ac:dyDescent="0.15">
      <c r="A8116" s="1" t="str">
        <f ca="1">IFERROR(__xludf.DUMMYFUNCTION("GOOGLETRANSLATE(A8116, ""zh"", ""en"")"),"The convening, proposal, holding, voting and resolution of the company's general meeting of shareholders are all witnessed on site by lawyers, who will issue legal opinions that are legal and compliant.")</f>
        <v>The convening, proposal, holding, voting and resolution of the company's general meeting of shareholders are all witnessed on site by lawyers, who will issue legal opinions that are legal and compliant.</v>
      </c>
      <c r="B8116" s="1" t="str">
        <f ca="1">IFERROR(__xludf.DUMMYFUNCTION("GOOGLETRANSLATE(A8116, ""zh"", ""en"")"),"Shareholder and creditor rights")</f>
        <v>Shareholder and creditor rights</v>
      </c>
      <c r="C8116" s="1" t="str">
        <f ca="1">IFERROR(__xludf.DUMMYFUNCTION("GOOGLETRANSLATE(E8116, ""zh"", ""en"")"),"Qualitative text")</f>
        <v>Qualitative text</v>
      </c>
    </row>
    <row r="8117" spans="1:3" ht="13" x14ac:dyDescent="0.15">
      <c r="A8117" s="1" t="str">
        <f ca="1">IFERROR(__xludf.DUMMYFUNCTION("GOOGLETRANSLATE(A8117, ""zh"", ""en"")"),"The general meeting of shareholders is the company's highest authority and guarantees that all shareholders have equal rights and can equally enjoy their legal rights and interests.")</f>
        <v>The general meeting of shareholders is the company's highest authority and guarantees that all shareholders have equal rights and can equally enjoy their legal rights and interests.</v>
      </c>
      <c r="B8117" s="1" t="str">
        <f ca="1">IFERROR(__xludf.DUMMYFUNCTION("GOOGLETRANSLATE(A8117, ""zh"", ""en"")"),"Shareholder and creditor rights")</f>
        <v>Shareholder and creditor rights</v>
      </c>
      <c r="C8117" s="1" t="str">
        <f ca="1">IFERROR(__xludf.DUMMYFUNCTION("GOOGLETRANSLATE(E8117, ""zh"", ""en"")"),"Qualitative text")</f>
        <v>Qualitative text</v>
      </c>
    </row>
    <row r="8118" spans="1:3" ht="13" x14ac:dyDescent="0.15">
      <c r="A8118" s="1" t="str">
        <f ca="1">IFERROR(__xludf.DUMMYFUNCTION("GOOGLETRANSLATE(A8118, ""zh"", ""en"")"),"The general meeting of shareholders is the company's highest authority. The company strictly follows the requirements of relevant laws and regulations such as the Company Law, the Securities Law, the Shenzhen Stock Exchange Stock Listing Rules, the Shenzh"&amp;"en Stock Exchange Listed Company Self-Discipline Supervision Guidelines No. 1 - Standardized Operations of Main Board Listed Companies, the Company's Articles of Association, and the Rules of Procedure for the General Meeting of Shareholders to regulate t"&amp;"he convening and holding of general meetings of shareholders, the review and voting procedures for proposals, and the minutes and signatures of meetings, to ensure that all shareholders enjoy equal status and fully exercise their rights.")</f>
        <v>The general meeting of shareholders is the company's highest authority. The company strictly follows the requirements of relevant laws and regulations such as the Company Law, the Securities Law, the Shenzhen Stock Exchange Stock Listing Rules, the Shenzhen Stock Exchange Listed Company Self-Discipline Supervision Guidelines No. 1 - Standardized Operations of Main Board Listed Companies, the Company's Articles of Association, and the Rules of Procedure for the General Meeting of Shareholders to regulate the convening and holding of general meetings of shareholders, the review and voting procedures for proposals, and the minutes and signatures of meetings, to ensure that all shareholders enjoy equal status and fully exercise their rights.</v>
      </c>
      <c r="B8118" s="1" t="str">
        <f ca="1">IFERROR(__xludf.DUMMYFUNCTION("GOOGLETRANSLATE(A8118, ""zh"", ""en"")"),"Shareholder and creditor rights")</f>
        <v>Shareholder and creditor rights</v>
      </c>
      <c r="C8118" s="1" t="str">
        <f ca="1">IFERROR(__xludf.DUMMYFUNCTION("GOOGLETRANSLATE(E8118, ""zh"", ""en"")"),"Qualitative text")</f>
        <v>Qualitative text</v>
      </c>
    </row>
    <row r="8119" spans="1:3" ht="13" x14ac:dyDescent="0.15">
      <c r="A8119" s="1" t="str">
        <f ca="1">IFERROR(__xludf.DUMMYFUNCTION("GOOGLETRANSLATE(A8119, ""zh"", ""en"")"),"In 2022, the company's shareholders strictly abided by laws, administrative regulations and the company's articles of association, and exercised their shareholder rights in accordance with the law. There was no abuse of shareholder rights to harm the inte"&amp;"rests of the company or other shareholders, nor was there any abuse of the company's independent legal status and shareholders' limited liability to harm the interests of the company's creditors.")</f>
        <v>In 2022, the company's shareholders strictly abided by laws, administrative regulations and the company's articles of association, and exercised their shareholder rights in accordance with the law. There was no abuse of shareholder rights to harm the interests of the company or other shareholders, nor was there any abuse of the company's independent legal status and shareholders' limited liability to harm the interests of the company's creditors.</v>
      </c>
      <c r="B8119" s="1" t="str">
        <f ca="1">IFERROR(__xludf.DUMMYFUNCTION("GOOGLETRANSLATE(A8119, ""zh"", ""en"")"),"Shareholder and creditor rights")</f>
        <v>Shareholder and creditor rights</v>
      </c>
      <c r="C8119" s="1" t="str">
        <f ca="1">IFERROR(__xludf.DUMMYFUNCTION("GOOGLETRANSLATE(E8119, ""zh"", ""en"")"),"Qualitative text")</f>
        <v>Qualitative text</v>
      </c>
    </row>
    <row r="8120" spans="1:3" ht="13" x14ac:dyDescent="0.15">
      <c r="A8120" s="1" t="str">
        <f ca="1">IFERROR(__xludf.DUMMYFUNCTION("GOOGLETRANSLATE(A8120, ""zh"", ""en"")"),"The general meeting of shareholders is the company's authority body and an important means for investors to exercise their shareholder rights.")</f>
        <v>The general meeting of shareholders is the company's authority body and an important means for investors to exercise their shareholder rights.</v>
      </c>
      <c r="B8120" s="1" t="str">
        <f ca="1">IFERROR(__xludf.DUMMYFUNCTION("GOOGLETRANSLATE(A8120, ""zh"", ""en"")"),"Shareholder and creditor rights")</f>
        <v>Shareholder and creditor rights</v>
      </c>
      <c r="C8120" s="1" t="str">
        <f ca="1">IFERROR(__xludf.DUMMYFUNCTION("GOOGLETRANSLATE(E8120, ""zh"", ""en"")"),"Qualitative text")</f>
        <v>Qualitative text</v>
      </c>
    </row>
    <row r="8121" spans="1:3" ht="13" x14ac:dyDescent="0.15">
      <c r="A8121" s="1" t="str">
        <f ca="1">IFERROR(__xludf.DUMMYFUNCTION("GOOGLETRANSLATE(A8121, ""zh"", ""en"")"),"The company's controlling shareholder strictly regulates its own behavior and has not directly or indirectly interfered with the company's decision-making and production and operation activities in violation of relevant laws and regulations and the compan"&amp;"y's articles of association. There has been no situation of misappropriation of the listed company's funds. The company has independent business and operational autonomy and is independent of the controlling shareholder and the company in terms of busines"&amp;"s, assets, personnel, finance, etc.")</f>
        <v>The company's controlling shareholder strictly regulates its own behavior and has not directly or indirectly interfered with the company's decision-making and production and operation activities in violation of relevant laws and regulations and the company's articles of association. There has been no situation of misappropriation of the listed company's funds. The company has independent business and operational autonomy and is independent of the controlling shareholder and the company in terms of business, assets, personnel, finance, etc.</v>
      </c>
      <c r="B8121" s="1" t="str">
        <f ca="1">IFERROR(__xludf.DUMMYFUNCTION("GOOGLETRANSLATE(A8121, ""zh"", ""en"")"),"Shareholder and creditor rights")</f>
        <v>Shareholder and creditor rights</v>
      </c>
      <c r="C8121" s="1" t="str">
        <f ca="1">IFERROR(__xludf.DUMMYFUNCTION("GOOGLETRANSLATE(E8121, ""zh"", ""en"")"),"Qualitative text")</f>
        <v>Qualitative text</v>
      </c>
    </row>
    <row r="8122" spans="1:3" ht="13" x14ac:dyDescent="0.15">
      <c r="A8122" s="1" t="str">
        <f ca="1">IFERROR(__xludf.DUMMYFUNCTION("GOOGLETRANSLATE(A8122, ""zh"", ""en"")"),"Attaching importance to the return on investment of shareholders, the company continuously improves the profit distribution decision-making procedures and supervision mechanisms, clarifies reasonable profit distribution plans, standardizes the company's p"&amp;"rofit distribution behavior, actively returns to shareholders, especially public investors, and enhances the transparency of the company's cash dividends.")</f>
        <v>Attaching importance to the return on investment of shareholders, the company continuously improves the profit distribution decision-making procedures and supervision mechanisms, clarifies reasonable profit distribution plans, standardizes the company's profit distribution behavior, actively returns to shareholders, especially public investors, and enhances the transparency of the company's cash dividends.</v>
      </c>
      <c r="B8122" s="1" t="str">
        <f ca="1">IFERROR(__xludf.DUMMYFUNCTION("GOOGLETRANSLATE(A8122, ""zh"", ""en"")"),"Shareholder and creditor rights")</f>
        <v>Shareholder and creditor rights</v>
      </c>
      <c r="C8122" s="1" t="str">
        <f ca="1">IFERROR(__xludf.DUMMYFUNCTION("GOOGLETRANSLATE(E8122, ""zh"", ""en"")"),"Qualitative text")</f>
        <v>Qualitative text</v>
      </c>
    </row>
    <row r="8123" spans="1:3" ht="13" x14ac:dyDescent="0.15">
      <c r="A8123" s="1" t="str">
        <f ca="1">IFERROR(__xludf.DUMMYFUNCTION("GOOGLETRANSLATE(A8123, ""zh"", ""en"")"),"Jinhui Liquor has always attached great importance to the protection of investors' legitimate rights and interests, and actively returns to shareholders. It distributes dividends every year at a rate of no less than 30% of the net profit achieved in that "&amp;"year. Since its listing, it has distributed a total of 570.416 million yuan in dividends, continuously sharing the company's development results with shareholders.")</f>
        <v>Jinhui Liquor has always attached great importance to the protection of investors' legitimate rights and interests, and actively returns to shareholders. It distributes dividends every year at a rate of no less than 30% of the net profit achieved in that year. Since its listing, it has distributed a total of 570.416 million yuan in dividends, continuously sharing the company's development results with shareholders.</v>
      </c>
      <c r="B8123" s="1" t="str">
        <f ca="1">IFERROR(__xludf.DUMMYFUNCTION("GOOGLETRANSLATE(A8123, ""zh"", ""en"")"),"Shareholder and creditor rights")</f>
        <v>Shareholder and creditor rights</v>
      </c>
      <c r="C8123" s="1" t="str">
        <f ca="1">IFERROR(__xludf.DUMMYFUNCTION("GOOGLETRANSLATE(E8123, ""zh"", ""en"")"),"Quantitative Text")</f>
        <v>Quantitative Text</v>
      </c>
    </row>
    <row r="8124" spans="1:3" ht="13" x14ac:dyDescent="0.15">
      <c r="A8124" s="1" t="str">
        <f ca="1">IFERROR(__xludf.DUMMYFUNCTION("GOOGLETRANSLATE(A8124, ""zh"", ""en"")"),"The general meeting of shareholders enjoys the legal rights stipulated by laws, regulations and the Company's Articles of Association, and exercises the right to vote on major matters such as the company's business policies and profit distribution in acco"&amp;"rdance with the law.")</f>
        <v>The general meeting of shareholders enjoys the legal rights stipulated by laws, regulations and the Company's Articles of Association, and exercises the right to vote on major matters such as the company's business policies and profit distribution in accordance with the law.</v>
      </c>
      <c r="B8124" s="1" t="str">
        <f ca="1">IFERROR(__xludf.DUMMYFUNCTION("GOOGLETRANSLATE(A8124, ""zh"", ""en"")"),"Shareholder and creditor rights")</f>
        <v>Shareholder and creditor rights</v>
      </c>
      <c r="C8124" s="1" t="str">
        <f ca="1">IFERROR(__xludf.DUMMYFUNCTION("GOOGLETRANSLATE(E8124, ""zh"", ""en"")"),"Qualitative text")</f>
        <v>Qualitative text</v>
      </c>
    </row>
    <row r="8125" spans="1:3" ht="13" x14ac:dyDescent="0.15">
      <c r="A8125" s="1" t="str">
        <f ca="1">IFERROR(__xludf.DUMMYFUNCTION("GOOGLETRANSLATE(A8125, ""zh"", ""en"")"),"In order to facilitate the company's shareholders to exercise their voting rights and protect the legitimate rights and interests of investors, the company has also formulated the ""Working Procedures for Online Voting at Shareholders' Meetings"" to regul"&amp;"ate the online voting behavior at shareholders' meetings.")</f>
        <v>In order to facilitate the company's shareholders to exercise their voting rights and protect the legitimate rights and interests of investors, the company has also formulated the "Working Procedures for Online Voting at Shareholders' Meetings" to regulate the online voting behavior at shareholders' meetings.</v>
      </c>
      <c r="B8125" s="1" t="str">
        <f ca="1">IFERROR(__xludf.DUMMYFUNCTION("GOOGLETRANSLATE(A8125, ""zh"", ""en"")"),"Shareholder and creditor rights")</f>
        <v>Shareholder and creditor rights</v>
      </c>
      <c r="C8125" s="1" t="str">
        <f ca="1">IFERROR(__xludf.DUMMYFUNCTION("GOOGLETRANSLATE(E8125, ""zh"", ""en"")"),"Qualitative text")</f>
        <v>Qualitative text</v>
      </c>
    </row>
    <row r="8126" spans="1:3" ht="13" x14ac:dyDescent="0.15">
      <c r="A8126" s="1" t="str">
        <f ca="1">IFERROR(__xludf.DUMMYFUNCTION("GOOGLETRANSLATE(A8126, ""zh"", ""en"")"),"As an important part of business management, maximizing the interests of the company and all shareholders is an important goal of management.")</f>
        <v>As an important part of business management, maximizing the interests of the company and all shareholders is an important goal of management.</v>
      </c>
      <c r="B8126" s="1" t="str">
        <f ca="1">IFERROR(__xludf.DUMMYFUNCTION("GOOGLETRANSLATE(A8126, ""zh"", ""en"")"),"Shareholder and creditor rights")</f>
        <v>Shareholder and creditor rights</v>
      </c>
      <c r="C8126" s="1" t="str">
        <f ca="1">IFERROR(__xludf.DUMMYFUNCTION("GOOGLETRANSLATE(E8126, ""zh"", ""en"")"),"Qualitative text")</f>
        <v>Qualitative text</v>
      </c>
    </row>
    <row r="8127" spans="1:3" ht="13" x14ac:dyDescent="0.15">
      <c r="A8127" s="1" t="str">
        <f ca="1">IFERROR(__xludf.DUMMYFUNCTION("GOOGLETRANSLATE(A8127, ""zh"", ""en"")"),"The company strictly follows the provisions and requirements of the ""Rules for Shareholders' Meetings of Listed Companies"", ""Company Articles of Association"", ""Rules of Procedure for Shareholders' Meetings"" and other regulations to convene and hold "&amp;"shareholders' meetings in a standardized manner to ensure that all shareholders, especially small and medium-sized shareholders, enjoy equal status and fully exercise their rights.")</f>
        <v>The company strictly follows the provisions and requirements of the "Rules for Shareholders' Meetings of Listed Companies", "Company Articles of Association", "Rules of Procedure for Shareholders' Meetings" and other regulations to convene and hold shareholders' meetings in a standardized manner to ensure that all shareholders, especially small and medium-sized shareholders, enjoy equal status and fully exercise their rights.</v>
      </c>
      <c r="B8127" s="1" t="str">
        <f ca="1">IFERROR(__xludf.DUMMYFUNCTION("GOOGLETRANSLATE(A8127, ""zh"", ""en"")"),"Shareholder and creditor rights")</f>
        <v>Shareholder and creditor rights</v>
      </c>
      <c r="C8127" s="1" t="str">
        <f ca="1">IFERROR(__xludf.DUMMYFUNCTION("GOOGLETRANSLATE(E8127, ""zh"", ""en"")"),"Qualitative text")</f>
        <v>Qualitative text</v>
      </c>
    </row>
    <row r="8128" spans="1:3" ht="13" x14ac:dyDescent="0.15">
      <c r="A8128" s="1" t="str">
        <f ca="1">IFERROR(__xludf.DUMMYFUNCTION("GOOGLETRANSLATE(A8128, ""zh"", ""en"")"),"Since its listing in 2013, Midea Group has insisted on returning rewards to shareholders and has formulated a sustained and stable dividend policy and repurchase policy.")</f>
        <v>Since its listing in 2013, Midea Group has insisted on returning rewards to shareholders and has formulated a sustained and stable dividend policy and repurchase policy.</v>
      </c>
      <c r="B8128" s="1" t="str">
        <f ca="1">IFERROR(__xludf.DUMMYFUNCTION("GOOGLETRANSLATE(A8128, ""zh"", ""en"")"),"Shareholder and creditor rights")</f>
        <v>Shareholder and creditor rights</v>
      </c>
      <c r="C8128" s="1" t="str">
        <f ca="1">IFERROR(__xludf.DUMMYFUNCTION("GOOGLETRANSLATE(E8128, ""zh"", ""en"")"),"Qualitative text")</f>
        <v>Qualitative text</v>
      </c>
    </row>
    <row r="8129" spans="1:3" ht="13" x14ac:dyDescent="0.15">
      <c r="A8129" s="1" t="str">
        <f ca="1">IFERROR(__xludf.DUMMYFUNCTION("GOOGLETRANSLATE(A8129, ""zh"", ""en"")"),"In 2022, the company implemented the 2021 dividend distribution plan, distributing dividends of RMB 1.00 (including tax) for every 10 shares to shareholders, with a total dividend distribution of RMB 470 million, accounting for 58.10% of the distributable"&amp;" profits for the year.")</f>
        <v>In 2022, the company implemented the 2021 dividend distribution plan, distributing dividends of RMB 1.00 (including tax) for every 10 shares to shareholders, with a total dividend distribution of RMB 470 million, accounting for 58.10% of the distributable profits for the year.</v>
      </c>
      <c r="B8129" s="1" t="str">
        <f ca="1">IFERROR(__xludf.DUMMYFUNCTION("GOOGLETRANSLATE(A8129, ""zh"", ""en"")"),"Shareholder and creditor rights")</f>
        <v>Shareholder and creditor rights</v>
      </c>
      <c r="C8129" s="1" t="str">
        <f ca="1">IFERROR(__xludf.DUMMYFUNCTION("GOOGLETRANSLATE(E8129, ""zh"", ""en"")"),"Quantitative Text")</f>
        <v>Quantitative Text</v>
      </c>
    </row>
    <row r="8130" spans="1:3" ht="13" x14ac:dyDescent="0.15">
      <c r="A8130" s="1" t="str">
        <f ca="1">IFERROR(__xludf.DUMMYFUNCTION("GOOGLETRANSLATE(A8130, ""zh"", ""en"")"),"The corresponding dividend distribution policy has been formulated in the Company's Articles of Association, which clearly stipulates the basic principles of the company's shareholder return plan, the specific content of the shareholder return plan, and t"&amp;"he decision-making procedures for profit distribution.")</f>
        <v>The corresponding dividend distribution policy has been formulated in the Company's Articles of Association, which clearly stipulates the basic principles of the company's shareholder return plan, the specific content of the shareholder return plan, and the decision-making procedures for profit distribution.</v>
      </c>
      <c r="B8130" s="1" t="str">
        <f ca="1">IFERROR(__xludf.DUMMYFUNCTION("GOOGLETRANSLATE(A8130, ""zh"", ""en"")"),"Shareholder and creditor rights")</f>
        <v>Shareholder and creditor rights</v>
      </c>
      <c r="C8130" s="1" t="str">
        <f ca="1">IFERROR(__xludf.DUMMYFUNCTION("GOOGLETRANSLATE(E8130, ""zh"", ""en"")"),"Qualitative text")</f>
        <v>Qualitative text</v>
      </c>
    </row>
    <row r="8131" spans="1:3" ht="13" x14ac:dyDescent="0.15">
      <c r="A8131" s="1" t="str">
        <f ca="1">IFERROR(__xludf.DUMMYFUNCTION("GOOGLETRANSLATE(A8131, ""zh"", ""en"")"),"The company strictly implements bidding and procurement management systems, strengthens control over procurement plans and sourcing, and signs the ""Integrity Mutual Guarantee Agreement between Supply and Demand Parties"" when concluding business cooperat"&amp;"ion contracts with suppliers to guide and constrain both parties to jointly resist dishonest business practices.")</f>
        <v>The company strictly implements bidding and procurement management systems, strengthens control over procurement plans and sourcing, and signs the "Integrity Mutual Guarantee Agreement between Supply and Demand Parties" when concluding business cooperation contracts with suppliers to guide and constrain both parties to jointly resist dishonest business practices.</v>
      </c>
      <c r="B8131" s="1" t="str">
        <f ca="1">IFERROR(__xludf.DUMMYFUNCTION("GOOGLETRANSLATE(A8131, ""zh"", ""en"")"),"supply chain management")</f>
        <v>supply chain management</v>
      </c>
      <c r="C8131" s="1" t="str">
        <f ca="1">IFERROR(__xludf.DUMMYFUNCTION("GOOGLETRANSLATE(E8131, ""zh"", ""en"")"),"Qualitative text")</f>
        <v>Qualitative text</v>
      </c>
    </row>
    <row r="8132" spans="1:3" ht="13" x14ac:dyDescent="0.15">
      <c r="A8132" s="1" t="str">
        <f ca="1">IFERROR(__xludf.DUMMYFUNCTION("GOOGLETRANSLATE(A8132, ""zh"", ""en"")"),"In 2022, Hainan Airlines will continue to improve its responsible procurement system and code of conduct, establish a supplier integrity commitment mechanism, require suppliers to sign a customer and supplier integrity and compliance commitment letter, an"&amp;"d continuously monitor suppliers' social responsibility performance.")</f>
        <v>In 2022, Hainan Airlines will continue to improve its responsible procurement system and code of conduct, establish a supplier integrity commitment mechanism, require suppliers to sign a customer and supplier integrity and compliance commitment letter, and continuously monitor suppliers' social responsibility performance.</v>
      </c>
      <c r="B8132" s="1" t="str">
        <f ca="1">IFERROR(__xludf.DUMMYFUNCTION("GOOGLETRANSLATE(A8132, ""zh"", ""en"")"),"supply chain management")</f>
        <v>supply chain management</v>
      </c>
      <c r="C8132" s="1" t="str">
        <f ca="1">IFERROR(__xludf.DUMMYFUNCTION("GOOGLETRANSLATE(E8132, ""zh"", ""en"")"),"Qualitative text")</f>
        <v>Qualitative text</v>
      </c>
    </row>
    <row r="8133" spans="1:3" ht="13" x14ac:dyDescent="0.15">
      <c r="A8133" s="1" t="str">
        <f ca="1">IFERROR(__xludf.DUMMYFUNCTION("GOOGLETRANSLATE(A8133, ""zh"", ""en"")"),"CRRC Corporation Limited has been deeply promoting procurement and supply chain responsibility management, compiling a compliance commitment letter for friendly suppliers, clarifying that cooperative suppliers must sign and abide by national laws and regu"&amp;"lations on environmental protection, occupational health and safety, and promoting the health, safety and green dual-carbon management of the industrial chain and supply chain through various means.")</f>
        <v>CRRC Corporation Limited has been deeply promoting procurement and supply chain responsibility management, compiling a compliance commitment letter for friendly suppliers, clarifying that cooperative suppliers must sign and abide by national laws and regulations on environmental protection, occupational health and safety, and promoting the health, safety and green dual-carbon management of the industrial chain and supply chain through various means.</v>
      </c>
      <c r="B8133" s="1" t="str">
        <f ca="1">IFERROR(__xludf.DUMMYFUNCTION("GOOGLETRANSLATE(A8133, ""zh"", ""en"")"),"supply chain management")</f>
        <v>supply chain management</v>
      </c>
      <c r="C8133" s="1" t="str">
        <f ca="1">IFERROR(__xludf.DUMMYFUNCTION("GOOGLETRANSLATE(E8133, ""zh"", ""en"")"),"Qualitative text")</f>
        <v>Qualitative text</v>
      </c>
    </row>
    <row r="8134" spans="1:3" ht="13" x14ac:dyDescent="0.15">
      <c r="A8134" s="1" t="str">
        <f ca="1">IFERROR(__xludf.DUMMYFUNCTION("GOOGLETRANSLATE(A8134, ""zh"", ""en"")"),"At the same time, JA Solar has also established a ""supplier social responsibility and sustainability assessment"" system.")</f>
        <v>At the same time, JA Solar has also established a "supplier social responsibility and sustainability assessment" system.</v>
      </c>
      <c r="B8134" s="1" t="str">
        <f ca="1">IFERROR(__xludf.DUMMYFUNCTION("GOOGLETRANSLATE(A8134, ""zh"", ""en"")"),"supply chain management")</f>
        <v>supply chain management</v>
      </c>
      <c r="C8134" s="1" t="str">
        <f ca="1">IFERROR(__xludf.DUMMYFUNCTION("GOOGLETRANSLATE(E8134, ""zh"", ""en"")"),"Qualitative text")</f>
        <v>Qualitative text</v>
      </c>
    </row>
    <row r="8135" spans="1:3" ht="13" x14ac:dyDescent="0.15">
      <c r="A8135" s="1" t="str">
        <f ca="1">IFERROR(__xludf.DUMMYFUNCTION("GOOGLETRANSLATE(A8135, ""zh"", ""en"")"),"The annual assessment and evaluation mainly focuses on four aspects: overall supplier strength, supply share, contract execution, and supplier rewards and punishments.")</f>
        <v>The annual assessment and evaluation mainly focuses on four aspects: overall supplier strength, supply share, contract execution, and supplier rewards and punishments.</v>
      </c>
      <c r="B8135" s="1" t="str">
        <f ca="1">IFERROR(__xludf.DUMMYFUNCTION("GOOGLETRANSLATE(A8135, ""zh"", ""en"")"),"supply chain management")</f>
        <v>supply chain management</v>
      </c>
      <c r="C8135" s="1" t="str">
        <f ca="1">IFERROR(__xludf.DUMMYFUNCTION("GOOGLETRANSLATE(E8135, ""zh"", ""en"")"),"Qualitative text")</f>
        <v>Qualitative text</v>
      </c>
    </row>
    <row r="8136" spans="1:3" ht="13" x14ac:dyDescent="0.15">
      <c r="A8136" s="1" t="str">
        <f ca="1">IFERROR(__xludf.DUMMYFUNCTION("GOOGLETRANSLATE(A8136, ""zh"", ""en"")"),"The company has formulated the ""Supplier Management Procedure"" to clarify the relevant requirements for supplier classification, evaluation, management, etc., and implement differentiated management for different categories of suppliers.")</f>
        <v>The company has formulated the "Supplier Management Procedure" to clarify the relevant requirements for supplier classification, evaluation, management, etc., and implement differentiated management for different categories of suppliers.</v>
      </c>
      <c r="B8136" s="1" t="str">
        <f ca="1">IFERROR(__xludf.DUMMYFUNCTION("GOOGLETRANSLATE(A8136, ""zh"", ""en"")"),"supply chain management")</f>
        <v>supply chain management</v>
      </c>
      <c r="C8136" s="1" t="str">
        <f ca="1">IFERROR(__xludf.DUMMYFUNCTION("GOOGLETRANSLATE(E8136, ""zh"", ""en"")"),"Qualitative text")</f>
        <v>Qualitative text</v>
      </c>
    </row>
    <row r="8137" spans="1:3" ht="13" x14ac:dyDescent="0.15">
      <c r="A8137" s="1" t="str">
        <f ca="1">IFERROR(__xludf.DUMMYFUNCTION("GOOGLETRANSLATE(A8137, ""zh"", ""en"")"),"In 2022, the company organized a total of 5 supplier training sessions.")</f>
        <v>In 2022, the company organized a total of 5 supplier training sessions.</v>
      </c>
      <c r="B8137" s="1" t="str">
        <f ca="1">IFERROR(__xludf.DUMMYFUNCTION("GOOGLETRANSLATE(A8137, ""zh"", ""en"")"),"supply chain management")</f>
        <v>supply chain management</v>
      </c>
      <c r="C8137" s="1" t="str">
        <f ca="1">IFERROR(__xludf.DUMMYFUNCTION("GOOGLETRANSLATE(E8137, ""zh"", ""en"")"),"Quantitative Text")</f>
        <v>Quantitative Text</v>
      </c>
    </row>
    <row r="8138" spans="1:3" ht="13" x14ac:dyDescent="0.15">
      <c r="A8138" s="1" t="str">
        <f ca="1">IFERROR(__xludf.DUMMYFUNCTION("GOOGLETRANSLATE(A8138, ""zh"", ""en"")"),"In the future, Shanghai Guijiu will continue to implement lean supply chain management, strengthen the application of information technology, achieve all-round control over suppliers, and achieve further improvements in warehousing and logistics distribut"&amp;"ion.")</f>
        <v>In the future, Shanghai Guijiu will continue to implement lean supply chain management, strengthen the application of information technology, achieve all-round control over suppliers, and achieve further improvements in warehousing and logistics distribution.</v>
      </c>
      <c r="B8138" s="1" t="str">
        <f ca="1">IFERROR(__xludf.DUMMYFUNCTION("GOOGLETRANSLATE(A8138, ""zh"", ""en"")"),"supply chain management")</f>
        <v>supply chain management</v>
      </c>
      <c r="C8138" s="1" t="str">
        <f ca="1">IFERROR(__xludf.DUMMYFUNCTION("GOOGLETRANSLATE(E8138, ""zh"", ""en"")"),"Qualitative text")</f>
        <v>Qualitative text</v>
      </c>
    </row>
    <row r="8139" spans="1:3" ht="13" x14ac:dyDescent="0.15">
      <c r="A8139" s="1" t="str">
        <f ca="1">IFERROR(__xludf.DUMMYFUNCTION("GOOGLETRANSLATE(A8139, ""zh"", ""en"")"),"Build a green supply chain, comprehensively deploy centralized procurement, and realize open, transparent, standardized and orderly management of material procurement.")</f>
        <v>Build a green supply chain, comprehensively deploy centralized procurement, and realize open, transparent, standardized and orderly management of material procurement.</v>
      </c>
      <c r="B8139" s="1" t="str">
        <f ca="1">IFERROR(__xludf.DUMMYFUNCTION("GOOGLETRANSLATE(A8139, ""zh"", ""en"")"),"supply chain management")</f>
        <v>supply chain management</v>
      </c>
      <c r="C8139" s="1" t="str">
        <f ca="1">IFERROR(__xludf.DUMMYFUNCTION("GOOGLETRANSLATE(E8139, ""zh"", ""en"")"),"Qualitative text")</f>
        <v>Qualitative text</v>
      </c>
    </row>
    <row r="8140" spans="1:3" ht="13" x14ac:dyDescent="0.15">
      <c r="A8140" s="1" t="str">
        <f ca="1">IFERROR(__xludf.DUMMYFUNCTION("GOOGLETRANSLATE(A8140, ""zh"", ""en"")"),"The company has established and improved a procurement and bidding management system, formulated systems such as the ""Material Procurement Management Measures"" and the ""Price Comparison Management Measures (Trial)"", and continued to promote transparen"&amp;"t procurement management.")</f>
        <v>The company has established and improved a procurement and bidding management system, formulated systems such as the "Material Procurement Management Measures" and the "Price Comparison Management Measures (Trial)", and continued to promote transparent procurement management.</v>
      </c>
      <c r="B8140" s="1" t="str">
        <f ca="1">IFERROR(__xludf.DUMMYFUNCTION("GOOGLETRANSLATE(A8140, ""zh"", ""en"")"),"supply chain management")</f>
        <v>supply chain management</v>
      </c>
      <c r="C8140" s="1" t="str">
        <f ca="1">IFERROR(__xludf.DUMMYFUNCTION("GOOGLETRANSLATE(E8140, ""zh"", ""en"")"),"Qualitative text")</f>
        <v>Qualitative text</v>
      </c>
    </row>
    <row r="8141" spans="1:3" ht="13" x14ac:dyDescent="0.15">
      <c r="A8141" s="1" t="str">
        <f ca="1">IFERROR(__xludf.DUMMYFUNCTION("GOOGLETRANSLATE(A8141, ""zh"", ""en"")"),"Especially in the supplier access process, new requirements for supplier green supply-related access qualifications are introduced, and green supply project assessments are added to the annual supplier rating evaluation.")</f>
        <v>Especially in the supplier access process, new requirements for supplier green supply-related access qualifications are introduced, and green supply project assessments are added to the annual supplier rating evaluation.</v>
      </c>
      <c r="B8141" s="1" t="str">
        <f ca="1">IFERROR(__xludf.DUMMYFUNCTION("GOOGLETRANSLATE(A8141, ""zh"", ""en"")"),"supply chain management")</f>
        <v>supply chain management</v>
      </c>
      <c r="C8141" s="1" t="str">
        <f ca="1">IFERROR(__xludf.DUMMYFUNCTION("GOOGLETRANSLATE(E8141, ""zh"", ""en"")"),"Qualitative text")</f>
        <v>Qualitative text</v>
      </c>
    </row>
    <row r="8142" spans="1:3" ht="13" x14ac:dyDescent="0.15">
      <c r="A8142" s="1" t="str">
        <f ca="1">IFERROR(__xludf.DUMMYFUNCTION("GOOGLETRANSLATE(A8142, ""zh"", ""en"")"),"The company actively seeks qualified potential suppliers, establishes a strict supplier access mechanism, and carries out its work in accordance with the principle of ""whoever uses it is responsible for it"". It requires that all production materials sho"&amp;"uld be divided into Class I, Class II, and Class III for management according to their importance. Class I materials are key materials, Class II materials are important materials, and Class III materials are general materials.")</f>
        <v>The company actively seeks qualified potential suppliers, establishes a strict supplier access mechanism, and carries out its work in accordance with the principle of "whoever uses it is responsible for it". It requires that all production materials should be divided into Class I, Class II, and Class III for management according to their importance. Class I materials are key materials, Class II materials are important materials, and Class III materials are general materials.</v>
      </c>
      <c r="B8142" s="1" t="str">
        <f ca="1">IFERROR(__xludf.DUMMYFUNCTION("GOOGLETRANSLATE(A8142, ""zh"", ""en"")"),"supply chain management")</f>
        <v>supply chain management</v>
      </c>
      <c r="C8142" s="1" t="str">
        <f ca="1">IFERROR(__xludf.DUMMYFUNCTION("GOOGLETRANSLATE(E8142, ""zh"", ""en"")"),"Qualitative text")</f>
        <v>Qualitative text</v>
      </c>
    </row>
    <row r="8143" spans="1:3" ht="13" x14ac:dyDescent="0.15">
      <c r="A8143" s="1" t="str">
        <f ca="1">IFERROR(__xludf.DUMMYFUNCTION("GOOGLETRANSLATE(A8143, ""zh"", ""en"")"),"The company continues to improve its supplier management system and has established a scientific, fair and long-term supplier management mechanism, which mainly includes supplier qualification and capability verification, supplier performance evaluation a"&amp;"nd assessment, supplier misconduct handling, supplier classification and grading management, etc. It continuously strengthens supplier management, continuously obtains advantageous resources from the outside for the company, and improves the company's sup"&amp;"ply chain competitiveness.")</f>
        <v>The company continues to improve its supplier management system and has established a scientific, fair and long-term supplier management mechanism, which mainly includes supplier qualification and capability verification, supplier performance evaluation and assessment, supplier misconduct handling, supplier classification and grading management, etc. It continuously strengthens supplier management, continuously obtains advantageous resources from the outside for the company, and improves the company's supply chain competitiveness.</v>
      </c>
      <c r="B8143" s="1" t="str">
        <f ca="1">IFERROR(__xludf.DUMMYFUNCTION("GOOGLETRANSLATE(A8143, ""zh"", ""en"")"),"supply chain management")</f>
        <v>supply chain management</v>
      </c>
      <c r="C8143" s="1" t="str">
        <f ca="1">IFERROR(__xludf.DUMMYFUNCTION("GOOGLETRANSLATE(E8143, ""zh"", ""en"")"),"Qualitative text")</f>
        <v>Qualitative text</v>
      </c>
    </row>
    <row r="8144" spans="1:3" ht="13" x14ac:dyDescent="0.15">
      <c r="A8144" s="1" t="str">
        <f ca="1">IFERROR(__xludf.DUMMYFUNCTION("GOOGLETRANSLATE(A8144, ""zh"", ""en"")"),"In accordance with the company's relevant regulations and needs, a strict access management system is implemented for newly developed suppliers to ensure the transparent operation of the supply guarantee system. All engineering and miscellaneous material "&amp;"purchases throughout the year are 100% purchased through public inquiry on the group company's procurement e-commerce platform. The above-mentioned evaluation is used as the basis to achieve survival of the fittest, and the company's qualified supplier li"&amp;"st is updated every year.")</f>
        <v>In accordance with the company's relevant regulations and needs, a strict access management system is implemented for newly developed suppliers to ensure the transparent operation of the supply guarantee system. All engineering and miscellaneous material purchases throughout the year are 100% purchased through public inquiry on the group company's procurement e-commerce platform. The above-mentioned evaluation is used as the basis to achieve survival of the fittest, and the company's qualified supplier list is updated every year.</v>
      </c>
      <c r="B8144" s="1" t="str">
        <f ca="1">IFERROR(__xludf.DUMMYFUNCTION("GOOGLETRANSLATE(A8144, ""zh"", ""en"")"),"supply chain management")</f>
        <v>supply chain management</v>
      </c>
      <c r="C8144" s="1" t="str">
        <f ca="1">IFERROR(__xludf.DUMMYFUNCTION("GOOGLETRANSLATE(E8144, ""zh"", ""en"")"),"Quantitative Text")</f>
        <v>Quantitative Text</v>
      </c>
    </row>
    <row r="8145" spans="1:3" ht="13" x14ac:dyDescent="0.15">
      <c r="A8145" s="1" t="str">
        <f ca="1">IFERROR(__xludf.DUMMYFUNCTION("GOOGLETRANSLATE(A8145, ""zh"", ""en"")"),"Scientific Purchasing The company has formulated the ""Supplier Development and Assessment Management Measures"" and established bulk purchase supplier development processes and sporadic purchase supplier development processes based on procurement attribu"&amp;"tes. Based on the five-dimensional evaluation of technical capabilities, production capabilities, quality control capabilities, delivery capabilities, and financial status, the company selects suppliers suitable for the company's development.")</f>
        <v>Scientific Purchasing The company has formulated the "Supplier Development and Assessment Management Measures" and established bulk purchase supplier development processes and sporadic purchase supplier development processes based on procurement attributes. Based on the five-dimensional evaluation of technical capabilities, production capabilities, quality control capabilities, delivery capabilities, and financial status, the company selects suppliers suitable for the company's development.</v>
      </c>
      <c r="B8145" s="1" t="str">
        <f ca="1">IFERROR(__xludf.DUMMYFUNCTION("GOOGLETRANSLATE(A8145, ""zh"", ""en"")"),"supply chain management")</f>
        <v>supply chain management</v>
      </c>
      <c r="C8145" s="1" t="str">
        <f ca="1">IFERROR(__xludf.DUMMYFUNCTION("GOOGLETRANSLATE(E8145, ""zh"", ""en"")"),"Qualitative text")</f>
        <v>Qualitative text</v>
      </c>
    </row>
    <row r="8146" spans="1:3" ht="13" x14ac:dyDescent="0.15">
      <c r="A8146" s="1" t="str">
        <f ca="1">IFERROR(__xludf.DUMMYFUNCTION("GOOGLETRANSLATE(A8146, ""zh"", ""en"")"),"Strengthen supplier management, standardize access and exit and review processes, and ensure supply chain compliance and stability.")</f>
        <v>Strengthen supplier management, standardize access and exit and review processes, and ensure supply chain compliance and stability.</v>
      </c>
      <c r="B8146" s="1" t="str">
        <f ca="1">IFERROR(__xludf.DUMMYFUNCTION("GOOGLETRANSLATE(A8146, ""zh"", ""en"")"),"supply chain management")</f>
        <v>supply chain management</v>
      </c>
      <c r="C8146" s="1" t="str">
        <f ca="1">IFERROR(__xludf.DUMMYFUNCTION("GOOGLETRANSLATE(E8146, ""zh"", ""en"")"),"Qualitative text")</f>
        <v>Qualitative text</v>
      </c>
    </row>
    <row r="8147" spans="1:3" ht="13" x14ac:dyDescent="0.15">
      <c r="A8147" s="1" t="str">
        <f ca="1">IFERROR(__xludf.DUMMYFUNCTION("GOOGLETRANSLATE(A8147, ""zh"", ""en"")"),"Cooperate with the quality department to establish a systematic evaluation plan for supplier quality capabilities, set up a special quality team, and strictly control supplier access.")</f>
        <v>Cooperate with the quality department to establish a systematic evaluation plan for supplier quality capabilities, set up a special quality team, and strictly control supplier access.</v>
      </c>
      <c r="B8147" s="1" t="str">
        <f ca="1">IFERROR(__xludf.DUMMYFUNCTION("GOOGLETRANSLATE(A8147, ""zh"", ""en"")"),"supply chain management")</f>
        <v>supply chain management</v>
      </c>
      <c r="C8147" s="1" t="str">
        <f ca="1">IFERROR(__xludf.DUMMYFUNCTION("GOOGLETRANSLATE(E8147, ""zh"", ""en"")"),"Qualitative text")</f>
        <v>Qualitative text</v>
      </c>
    </row>
    <row r="8148" spans="1:3" ht="13" x14ac:dyDescent="0.15">
      <c r="A8148" s="1" t="str">
        <f ca="1">IFERROR(__xludf.DUMMYFUNCTION("GOOGLETRANSLATE(A8148, ""zh"", ""en"")"),"The Bank implements a list-based, hierarchical, dynamic management of suppliers, classifying them into dynamically managed suppliers and strategic cooperation suppliers, and continuously optimizes the supplier structure and controls supplier risks.")</f>
        <v>The Bank implements a list-based, hierarchical, dynamic management of suppliers, classifying them into dynamically managed suppliers and strategic cooperation suppliers, and continuously optimizes the supplier structure and controls supplier risks.</v>
      </c>
      <c r="B8148" s="1" t="str">
        <f ca="1">IFERROR(__xludf.DUMMYFUNCTION("GOOGLETRANSLATE(A8148, ""zh"", ""en"")"),"supply chain management")</f>
        <v>supply chain management</v>
      </c>
      <c r="C8148" s="1" t="str">
        <f ca="1">IFERROR(__xludf.DUMMYFUNCTION("GOOGLETRANSLATE(E8148, ""zh"", ""en"")"),"Qualitative text")</f>
        <v>Qualitative text</v>
      </c>
    </row>
    <row r="8149" spans="1:3" ht="13" x14ac:dyDescent="0.15">
      <c r="A8149" s="1" t="str">
        <f ca="1">IFERROR(__xludf.DUMMYFUNCTION("GOOGLETRANSLATE(A8149, ""zh"", ""en"")"),"We have established a Procurement Management Committee to oversee the transparent implementation of various procurement operations and supervise the implementation of various improvement work.")</f>
        <v>We have established a Procurement Management Committee to oversee the transparent implementation of various procurement operations and supervise the implementation of various improvement work.</v>
      </c>
      <c r="B8149" s="1" t="str">
        <f ca="1">IFERROR(__xludf.DUMMYFUNCTION("GOOGLETRANSLATE(A8149, ""zh"", ""en"")"),"supply chain management")</f>
        <v>supply chain management</v>
      </c>
      <c r="C8149" s="1" t="str">
        <f ca="1">IFERROR(__xludf.DUMMYFUNCTION("GOOGLETRANSLATE(E8149, ""zh"", ""en"")"),"Qualitative text")</f>
        <v>Qualitative text</v>
      </c>
    </row>
    <row r="8150" spans="1:3" ht="13" x14ac:dyDescent="0.15">
      <c r="A8150" s="1" t="str">
        <f ca="1">IFERROR(__xludf.DUMMYFUNCTION("GOOGLETRANSLATE(A8150, ""zh"", ""en"")"),"Sustainable supply chain: The company incorporates ESG considerations into supplier management to continuously inject strength into improving the green development of the industrial chain.")</f>
        <v>Sustainable supply chain: The company incorporates ESG considerations into supplier management to continuously inject strength into improving the green development of the industrial chain.</v>
      </c>
      <c r="B8150" s="1" t="str">
        <f ca="1">IFERROR(__xludf.DUMMYFUNCTION("GOOGLETRANSLATE(A8150, ""zh"", ""en"")"),"supply chain management")</f>
        <v>supply chain management</v>
      </c>
      <c r="C8150" s="1" t="str">
        <f ca="1">IFERROR(__xludf.DUMMYFUNCTION("GOOGLETRANSLATE(E8150, ""zh"", ""en"")"),"Qualitative text")</f>
        <v>Qualitative text</v>
      </c>
    </row>
    <row r="8151" spans="1:3" ht="13" x14ac:dyDescent="0.15">
      <c r="A8151" s="1" t="str">
        <f ca="1">IFERROR(__xludf.DUMMYFUNCTION("GOOGLETRANSLATE(A8151, ""zh"", ""en"")"),"Suppliers are classified into three levels of management: Category I, Category II, and Category III.")</f>
        <v>Suppliers are classified into three levels of management: Category I, Category II, and Category III.</v>
      </c>
      <c r="B8151" s="1" t="str">
        <f ca="1">IFERROR(__xludf.DUMMYFUNCTION("GOOGLETRANSLATE(A8151, ""zh"", ""en"")"),"supply chain management")</f>
        <v>supply chain management</v>
      </c>
      <c r="C8151" s="1" t="str">
        <f ca="1">IFERROR(__xludf.DUMMYFUNCTION("GOOGLETRANSLATE(E8151, ""zh"", ""en"")"),"Qualitative text")</f>
        <v>Qualitative text</v>
      </c>
    </row>
    <row r="8152" spans="1:3" ht="13" x14ac:dyDescent="0.15">
      <c r="A8152" s="1" t="str">
        <f ca="1">IFERROR(__xludf.DUMMYFUNCTION("GOOGLETRANSLATE(A8152, ""zh"", ""en"")"),"In the entry-level assessment, the supplier's quality score accounts for 35%, and a ""quality veto system"" is implemented.")</f>
        <v>In the entry-level assessment, the supplier's quality score accounts for 35%, and a "quality veto system" is implemented.</v>
      </c>
      <c r="B8152" s="1" t="str">
        <f ca="1">IFERROR(__xludf.DUMMYFUNCTION("GOOGLETRANSLATE(A8152, ""zh"", ""en"")"),"supply chain management")</f>
        <v>supply chain management</v>
      </c>
      <c r="C8152" s="1" t="str">
        <f ca="1">IFERROR(__xludf.DUMMYFUNCTION("GOOGLETRANSLATE(E8152, ""zh"", ""en"")"),"Quantitative Text")</f>
        <v>Quantitative Text</v>
      </c>
    </row>
    <row r="8153" spans="1:3" ht="13" x14ac:dyDescent="0.15">
      <c r="A8153" s="1" t="str">
        <f ca="1">IFERROR(__xludf.DUMMYFUNCTION("GOOGLETRANSLATE(A8153, ""zh"", ""en"")"),"The company's supplier management follows the basic principles of unified management, hierarchical centralization, dynamic evaluation, and survival of the fittest. The company's procurement department is responsible for organizing the responsible departme"&amp;"nts to establish and improve the company's supplier management information system.")</f>
        <v>The company's supplier management follows the basic principles of unified management, hierarchical centralization, dynamic evaluation, and survival of the fittest. The company's procurement department is responsible for organizing the responsible departments to establish and improve the company's supplier management information system.</v>
      </c>
      <c r="B8153" s="1" t="str">
        <f ca="1">IFERROR(__xludf.DUMMYFUNCTION("GOOGLETRANSLATE(A8153, ""zh"", ""en"")"),"supply chain management")</f>
        <v>supply chain management</v>
      </c>
      <c r="C8153" s="1" t="str">
        <f ca="1">IFERROR(__xludf.DUMMYFUNCTION("GOOGLETRANSLATE(E8153, ""zh"", ""en"")"),"Qualitative text")</f>
        <v>Qualitative text</v>
      </c>
    </row>
    <row r="8154" spans="1:3" ht="13" x14ac:dyDescent="0.15">
      <c r="A8154" s="1" t="str">
        <f ca="1">IFERROR(__xludf.DUMMYFUNCTION("GOOGLETRANSLATE(A8154, ""zh"", ""en"")"),"Monitor and inspect procurement activities through electronic information technology, and promptly report and re-inspect any violations.")</f>
        <v>Monitor and inspect procurement activities through electronic information technology, and promptly report and re-inspect any violations.</v>
      </c>
      <c r="B8154" s="1" t="str">
        <f ca="1">IFERROR(__xludf.DUMMYFUNCTION("GOOGLETRANSLATE(A8154, ""zh"", ""en"")"),"supply chain management")</f>
        <v>supply chain management</v>
      </c>
      <c r="C8154" s="1" t="str">
        <f ca="1">IFERROR(__xludf.DUMMYFUNCTION("GOOGLETRANSLATE(E8154, ""zh"", ""en"")"),"Qualitative text")</f>
        <v>Qualitative text</v>
      </c>
    </row>
    <row r="8155" spans="1:3" ht="13" x14ac:dyDescent="0.15">
      <c r="A8155" s="1" t="str">
        <f ca="1">IFERROR(__xludf.DUMMYFUNCTION("GOOGLETRANSLATE(A8155, ""zh"", ""en"")"),"Regarding supplier management, China National Chemical Corporation has formulated procurement management systems such as the ""Procurement Management Measures"", ""Bidding Evaluation Experts and Expert Database Management Measures"", ""Supplier Management"&amp;" Measures"", ""Internal Product and Service Procurement Management Regulations"", ""Material Trade Business Negative List"", and ""Partner Restricted Transaction List Management Measures"", and established a full-process management system for procurement "&amp;"activities covering procurement authority allocation, supplier determination, procurement supervision and evaluation, to promote the institutionalization and standardization of supplier management processes.")</f>
        <v>Regarding supplier management, China National Chemical Corporation has formulated procurement management systems such as the "Procurement Management Measures", "Bidding Evaluation Experts and Expert Database Management Measures", "Supplier Management Measures", "Internal Product and Service Procurement Management Regulations", "Material Trade Business Negative List", and "Partner Restricted Transaction List Management Measures", and established a full-process management system for procurement activities covering procurement authority allocation, supplier determination, procurement supervision and evaluation, to promote the institutionalization and standardization of supplier management processes.</v>
      </c>
      <c r="B8155" s="1" t="str">
        <f ca="1">IFERROR(__xludf.DUMMYFUNCTION("GOOGLETRANSLATE(A8155, ""zh"", ""en"")"),"supply chain management")</f>
        <v>supply chain management</v>
      </c>
      <c r="C8155" s="1" t="str">
        <f ca="1">IFERROR(__xludf.DUMMYFUNCTION("GOOGLETRANSLATE(E8155, ""zh"", ""en"")"),"Qualitative text")</f>
        <v>Qualitative text</v>
      </c>
    </row>
    <row r="8156" spans="1:3" ht="13" x14ac:dyDescent="0.15">
      <c r="A8156" s="1" t="str">
        <f ca="1">IFERROR(__xludf.DUMMYFUNCTION("GOOGLETRANSLATE(A8156, ""zh"", ""en"")"),"Comply with procurement regulations, revise and improve the ""Procurement Management Regulations"", ""Procurement Implementation Rules"", ""Overseas Procurement Management Measures"" and ""Procurement and Supply Chain Management Comprehensive Evaluation I"&amp;"mplementation Rules"" and other systems, continuously improve the procurement management system, strengthen the procurement management of cooperative development projects, guide project companies to give priority to units within the State Power Investment"&amp;" Corporation as bidding agents, and implement open bidding and sunshine procurement.")</f>
        <v>Comply with procurement regulations, revise and improve the "Procurement Management Regulations", "Procurement Implementation Rules", "Overseas Procurement Management Measures" and "Procurement and Supply Chain Management Comprehensive Evaluation Implementation Rules" and other systems, continuously improve the procurement management system, strengthen the procurement management of cooperative development projects, guide project companies to give priority to units within the State Power Investment Corporation as bidding agents, and implement open bidding and sunshine procurement.</v>
      </c>
      <c r="B8156" s="1" t="str">
        <f ca="1">IFERROR(__xludf.DUMMYFUNCTION("GOOGLETRANSLATE(A8156, ""zh"", ""en"")"),"supply chain management")</f>
        <v>supply chain management</v>
      </c>
      <c r="C8156" s="1" t="str">
        <f ca="1">IFERROR(__xludf.DUMMYFUNCTION("GOOGLETRANSLATE(E8156, ""zh"", ""en"")"),"Qualitative text")</f>
        <v>Qualitative text</v>
      </c>
    </row>
    <row r="8157" spans="1:3" ht="13" x14ac:dyDescent="0.15">
      <c r="A8157" s="1" t="str">
        <f ca="1">IFERROR(__xludf.DUMMYFUNCTION("GOOGLETRANSLATE(A8157, ""zh"", ""en"")"),"The company ensures fairness, impartiality and openness in the procurement process, implements transparent procurement, and signs transparent agreements with all suppliers, committed to maintaining the highest ethical behavior in all business operations.")</f>
        <v>The company ensures fairness, impartiality and openness in the procurement process, implements transparent procurement, and signs transparent agreements with all suppliers, committed to maintaining the highest ethical behavior in all business operations.</v>
      </c>
      <c r="B8157" s="1" t="str">
        <f ca="1">IFERROR(__xludf.DUMMYFUNCTION("GOOGLETRANSLATE(A8157, ""zh"", ""en"")"),"supply chain management")</f>
        <v>supply chain management</v>
      </c>
      <c r="C8157" s="1" t="str">
        <f ca="1">IFERROR(__xludf.DUMMYFUNCTION("GOOGLETRANSLATE(E8157, ""zh"", ""en"")"),"Qualitative text")</f>
        <v>Qualitative text</v>
      </c>
    </row>
    <row r="8158" spans="1:3" ht="13" x14ac:dyDescent="0.15">
      <c r="A8158" s="1" t="str">
        <f ca="1">IFERROR(__xludf.DUMMYFUNCTION("GOOGLETRANSLATE(A8158, ""zh"", ""en"")"),"After a comprehensive evaluation of supplier capabilities, enthusiasm and other dimensions, suppliers are further classified into core suppliers, important suppliers and general suppliers.")</f>
        <v>After a comprehensive evaluation of supplier capabilities, enthusiasm and other dimensions, suppliers are further classified into core suppliers, important suppliers and general suppliers.</v>
      </c>
      <c r="B8158" s="1" t="str">
        <f ca="1">IFERROR(__xludf.DUMMYFUNCTION("GOOGLETRANSLATE(A8158, ""zh"", ""en"")"),"supply chain management")</f>
        <v>supply chain management</v>
      </c>
      <c r="C8158" s="1" t="str">
        <f ca="1">IFERROR(__xludf.DUMMYFUNCTION("GOOGLETRANSLATE(E8158, ""zh"", ""en"")"),"Qualitative text")</f>
        <v>Qualitative text</v>
      </c>
    </row>
    <row r="8159" spans="1:3" ht="13" x14ac:dyDescent="0.15">
      <c r="A8159" s="1" t="str">
        <f ca="1">IFERROR(__xludf.DUMMYFUNCTION("GOOGLETRANSLATE(A8159, ""zh"", ""en"")"),"The company attaches great importance to the performance of suppliers in terms of environment, society and governance. It has formulated normative documents such as the ""Employee Code of Conduct for Integrity and Self-Discipline"" and the ""Environmental"&amp;" Protection and Social Responsibility Commitment Letter"", requiring suppliers to pay attention to their management in anti-corruption and environmental aspects, and stipulates special integrity clauses and reporting telephone numbers and email addresses "&amp;"in contracts (agreements).")</f>
        <v>The company attaches great importance to the performance of suppliers in terms of environment, society and governance. It has formulated normative documents such as the "Employee Code of Conduct for Integrity and Self-Discipline" and the "Environmental Protection and Social Responsibility Commitment Letter", requiring suppliers to pay attention to their management in anti-corruption and environmental aspects, and stipulates special integrity clauses and reporting telephone numbers and email addresses in contracts (agreements).</v>
      </c>
      <c r="B8159" s="1" t="str">
        <f ca="1">IFERROR(__xludf.DUMMYFUNCTION("GOOGLETRANSLATE(A8159, ""zh"", ""en"")"),"supply chain management")</f>
        <v>supply chain management</v>
      </c>
      <c r="C8159" s="1" t="str">
        <f ca="1">IFERROR(__xludf.DUMMYFUNCTION("GOOGLETRANSLATE(E8159, ""zh"", ""en"")"),"Qualitative text")</f>
        <v>Qualitative text</v>
      </c>
    </row>
    <row r="8160" spans="1:3" ht="13" x14ac:dyDescent="0.15">
      <c r="A8160" s="1" t="str">
        <f ca="1">IFERROR(__xludf.DUMMYFUNCTION("GOOGLETRANSLATE(A8160, ""zh"", ""en"")"),"Its energy company has incorporated ESG into the supplier review process, and assesses and evaluates suppliers' quality operations, quality management, EHS management and ESG management levels.")</f>
        <v>Its energy company has incorporated ESG into the supplier review process, and assesses and evaluates suppliers' quality operations, quality management, EHS management and ESG management levels.</v>
      </c>
      <c r="B8160" s="1" t="str">
        <f ca="1">IFERROR(__xludf.DUMMYFUNCTION("GOOGLETRANSLATE(A8160, ""zh"", ""en"")"),"supply chain management")</f>
        <v>supply chain management</v>
      </c>
      <c r="C8160" s="1" t="str">
        <f ca="1">IFERROR(__xludf.DUMMYFUNCTION("GOOGLETRANSLATE(E8160, ""zh"", ""en"")"),"Qualitative text")</f>
        <v>Qualitative text</v>
      </c>
    </row>
    <row r="8161" spans="1:3" ht="13" x14ac:dyDescent="0.15">
      <c r="A8161" s="1" t="str">
        <f ca="1">IFERROR(__xludf.DUMMYFUNCTION("GOOGLETRANSLATE(A8161, ""zh"", ""en"")"),"We work together with suppliers and other diversified and multi-channel methods to strive to build an ""efficient, safe, collaborative and green"" sustainable supply chain, achieve win-win development with supply chain partners, and practice the company's"&amp;" concept of ""being the strongest, cooperating with the strongest, and coexisting and integrating with each other.""")</f>
        <v>We work together with suppliers and other diversified and multi-channel methods to strive to build an "efficient, safe, collaborative and green" sustainable supply chain, achieve win-win development with supply chain partners, and practice the company's concept of "being the strongest, cooperating with the strongest, and coexisting and integrating with each other."</v>
      </c>
      <c r="B8161" s="1" t="str">
        <f ca="1">IFERROR(__xludf.DUMMYFUNCTION("GOOGLETRANSLATE(A8161, ""zh"", ""en"")"),"supply chain management")</f>
        <v>supply chain management</v>
      </c>
      <c r="C8161" s="1" t="str">
        <f ca="1">IFERROR(__xludf.DUMMYFUNCTION("GOOGLETRANSLATE(E8161, ""zh"", ""en"")"),"Qualitative text")</f>
        <v>Qualitative text</v>
      </c>
    </row>
    <row r="8162" spans="1:3" ht="13" x14ac:dyDescent="0.15">
      <c r="A8162" s="1" t="str">
        <f ca="1">IFERROR(__xludf.DUMMYFUNCTION("GOOGLETRANSLATE(A8162, ""zh"", ""en"")"),"The company has formulated supplier management measures, clarified the responsible departments and management rules for supplier management, and managed the evaluation, selection, review and behavioral norms of suppliers.")</f>
        <v>The company has formulated supplier management measures, clarified the responsible departments and management rules for supplier management, and managed the evaluation, selection, review and behavioral norms of suppliers.</v>
      </c>
      <c r="B8162" s="1" t="str">
        <f ca="1">IFERROR(__xludf.DUMMYFUNCTION("GOOGLETRANSLATE(A8162, ""zh"", ""en"")"),"supply chain management")</f>
        <v>supply chain management</v>
      </c>
      <c r="C8162" s="1" t="str">
        <f ca="1">IFERROR(__xludf.DUMMYFUNCTION("GOOGLETRANSLATE(E8162, ""zh"", ""en"")"),"Qualitative text")</f>
        <v>Qualitative text</v>
      </c>
    </row>
    <row r="8163" spans="1:3" ht="13" x14ac:dyDescent="0.15">
      <c r="A8163" s="1" t="str">
        <f ca="1">IFERROR(__xludf.DUMMYFUNCTION("GOOGLETRANSLATE(A8163, ""zh"", ""en"")"),"The company conducts quality management work such as access audit and performance monitoring on all first-tier suppliers and key sub-suppliers.")</f>
        <v>The company conducts quality management work such as access audit and performance monitoring on all first-tier suppliers and key sub-suppliers.</v>
      </c>
      <c r="B8163" s="1" t="str">
        <f ca="1">IFERROR(__xludf.DUMMYFUNCTION("GOOGLETRANSLATE(A8163, ""zh"", ""en"")"),"supply chain management")</f>
        <v>supply chain management</v>
      </c>
      <c r="C8163" s="1" t="str">
        <f ca="1">IFERROR(__xludf.DUMMYFUNCTION("GOOGLETRANSLATE(E8163, ""zh"", ""en"")"),"Qualitative text")</f>
        <v>Qualitative text</v>
      </c>
    </row>
    <row r="8164" spans="1:3" ht="13" x14ac:dyDescent="0.15">
      <c r="A8164" s="1" t="str">
        <f ca="1">IFERROR(__xludf.DUMMYFUNCTION("GOOGLETRANSLATE(A8164, ""zh"", ""en"")"),"Formulate the ""Procurement Activity Management Measures"", disclose the procurement bidding process to the public, continuously expand the scope of bidding procurement, and standardize non-production and operation procurement management.")</f>
        <v>Formulate the "Procurement Activity Management Measures", disclose the procurement bidding process to the public, continuously expand the scope of bidding procurement, and standardize non-production and operation procurement management.</v>
      </c>
      <c r="B8164" s="1" t="str">
        <f ca="1">IFERROR(__xludf.DUMMYFUNCTION("GOOGLETRANSLATE(A8164, ""zh"", ""en"")"),"supply chain management")</f>
        <v>supply chain management</v>
      </c>
      <c r="C8164" s="1" t="str">
        <f ca="1">IFERROR(__xludf.DUMMYFUNCTION("GOOGLETRANSLATE(E8164, ""zh"", ""en"")"),"Qualitative text")</f>
        <v>Qualitative text</v>
      </c>
    </row>
    <row r="8165" spans="1:3" ht="13" x14ac:dyDescent="0.15">
      <c r="A8165" s="1" t="str">
        <f ca="1">IFERROR(__xludf.DUMMYFUNCTION("GOOGLETRANSLATE(A8165, ""zh"", ""en"")"),"By adopting the ERP supply chain system and Longdao electronic procurement platform, the entire procurement process is realized online in electronic and information-based manner, ensuring that the procurement process is open and transparent, and procureme"&amp;"nt behavior is checkable and traceable.")</f>
        <v>By adopting the ERP supply chain system and Longdao electronic procurement platform, the entire procurement process is realized online in electronic and information-based manner, ensuring that the procurement process is open and transparent, and procurement behavior is checkable and traceable.</v>
      </c>
      <c r="B8165" s="1" t="str">
        <f ca="1">IFERROR(__xludf.DUMMYFUNCTION("GOOGLETRANSLATE(A8165, ""zh"", ""en"")"),"supply chain management")</f>
        <v>supply chain management</v>
      </c>
      <c r="C8165" s="1" t="str">
        <f ca="1">IFERROR(__xludf.DUMMYFUNCTION("GOOGLETRANSLATE(E8165, ""zh"", ""en"")"),"Qualitative text")</f>
        <v>Qualitative text</v>
      </c>
    </row>
    <row r="8166" spans="1:3" ht="13" x14ac:dyDescent="0.15">
      <c r="A8166" s="1" t="str">
        <f ca="1">IFERROR(__xludf.DUMMYFUNCTION("GOOGLETRANSLATE(A8166, ""zh"", ""en"")"),"Among them, there are 142 domestic suppliers and 2 overseas suppliers.")</f>
        <v>Among them, there are 142 domestic suppliers and 2 overseas suppliers.</v>
      </c>
      <c r="B8166" s="1" t="str">
        <f ca="1">IFERROR(__xludf.DUMMYFUNCTION("GOOGLETRANSLATE(A8166, ""zh"", ""en"")"),"supply chain management")</f>
        <v>supply chain management</v>
      </c>
      <c r="C8166" s="1" t="str">
        <f ca="1">IFERROR(__xludf.DUMMYFUNCTION("GOOGLETRANSLATE(E8166, ""zh"", ""en"")"),"Quantitative Text")</f>
        <v>Quantitative Text</v>
      </c>
    </row>
    <row r="8167" spans="1:3" ht="13" x14ac:dyDescent="0.15">
      <c r="A8167" s="1" t="str">
        <f ca="1">IFERROR(__xludf.DUMMYFUNCTION("GOOGLETRANSLATE(A8167, ""zh"", ""en"")"),"Implement centralized procurement, optimize procurement management processes, strengthen the management of suppliers and bid evaluation experts, strictly manage contract performance, and strengthen delivery, construction and inspection.")</f>
        <v>Implement centralized procurement, optimize procurement management processes, strengthen the management of suppliers and bid evaluation experts, strictly manage contract performance, and strengthen delivery, construction and inspection.</v>
      </c>
      <c r="B8167" s="1" t="str">
        <f ca="1">IFERROR(__xludf.DUMMYFUNCTION("GOOGLETRANSLATE(A8167, ""zh"", ""en"")"),"supply chain management")</f>
        <v>supply chain management</v>
      </c>
      <c r="C8167" s="1" t="str">
        <f ca="1">IFERROR(__xludf.DUMMYFUNCTION("GOOGLETRANSLATE(E8167, ""zh"", ""en"")"),"Qualitative text")</f>
        <v>Qualitative text</v>
      </c>
    </row>
    <row r="8168" spans="1:3" ht="13" x14ac:dyDescent="0.15">
      <c r="A8168" s="1" t="str">
        <f ca="1">IFERROR(__xludf.DUMMYFUNCTION("GOOGLETRANSLATE(A8168, ""zh"", ""en"")"),"Kunlun Bank actively responds to the capital procurement management requirements of CNPC, institutionalizes the concept of responsible procurement, standardizes supplier access, and conducts regular assessments of existing suppliers.")</f>
        <v>Kunlun Bank actively responds to the capital procurement management requirements of CNPC, institutionalizes the concept of responsible procurement, standardizes supplier access, and conducts regular assessments of existing suppliers.</v>
      </c>
      <c r="B8168" s="1" t="str">
        <f ca="1">IFERROR(__xludf.DUMMYFUNCTION("GOOGLETRANSLATE(A8168, ""zh"", ""en"")"),"supply chain management")</f>
        <v>supply chain management</v>
      </c>
      <c r="C8168" s="1" t="str">
        <f ca="1">IFERROR(__xludf.DUMMYFUNCTION("GOOGLETRANSLATE(E8168, ""zh"", ""en"")"),"Qualitative text")</f>
        <v>Qualitative text</v>
      </c>
    </row>
    <row r="8169" spans="1:3" ht="13" x14ac:dyDescent="0.15">
      <c r="A8169" s="1" t="str">
        <f ca="1">IFERROR(__xludf.DUMMYFUNCTION("GOOGLETRANSLATE(A8169, ""zh"", ""en"")"),"In 2022, there are a total of 1,521 suppliers, with a supplier review coverage rate of 100%. Unified management is implemented from the entry to exit of suppliers, and the audit of supplier entry is promoted. Two batches of 193 suppliers were completed th"&amp;"roughout the year to carry out supplier database review and cleanup. A total of 49 suppliers with bad behavior and suppliers with higher operational and legal risks were cleaned up throughout the year.")</f>
        <v>In 2022, there are a total of 1,521 suppliers, with a supplier review coverage rate of 100%. Unified management is implemented from the entry to exit of suppliers, and the audit of supplier entry is promoted. Two batches of 193 suppliers were completed throughout the year to carry out supplier database review and cleanup. A total of 49 suppliers with bad behavior and suppliers with higher operational and legal risks were cleaned up throughout the year.</v>
      </c>
      <c r="B8169" s="1" t="str">
        <f ca="1">IFERROR(__xludf.DUMMYFUNCTION("GOOGLETRANSLATE(A8169, ""zh"", ""en"")"),"supply chain management")</f>
        <v>supply chain management</v>
      </c>
      <c r="C8169" s="1" t="str">
        <f ca="1">IFERROR(__xludf.DUMMYFUNCTION("GOOGLETRANSLATE(E8169, ""zh"", ""en"")"),"Quantitative Text")</f>
        <v>Quantitative Text</v>
      </c>
    </row>
    <row r="8170" spans="1:3" ht="13" x14ac:dyDescent="0.15">
      <c r="A8170" s="1" t="str">
        <f ca="1">IFERROR(__xludf.DUMMYFUNCTION("GOOGLETRANSLATE(A8170, ""zh"", ""en"")"),"The company will improve and expand the assessment scope and indicators based on the improvement of suppliers' sustainable development management capabilities, and set assessment weights for different modules according to different industries and categori"&amp;"es.")</f>
        <v>The company will improve and expand the assessment scope and indicators based on the improvement of suppliers' sustainable development management capabilities, and set assessment weights for different modules according to different industries and categories.</v>
      </c>
      <c r="B8170" s="1" t="str">
        <f ca="1">IFERROR(__xludf.DUMMYFUNCTION("GOOGLETRANSLATE(A8170, ""zh"", ""en"")"),"supply chain management")</f>
        <v>supply chain management</v>
      </c>
      <c r="C8170" s="1" t="str">
        <f ca="1">IFERROR(__xludf.DUMMYFUNCTION("GOOGLETRANSLATE(E8170, ""zh"", ""en"")"),"Qualitative text")</f>
        <v>Qualitative text</v>
      </c>
    </row>
    <row r="8171" spans="1:3" ht="13" x14ac:dyDescent="0.15">
      <c r="A8171" s="1" t="str">
        <f ca="1">IFERROR(__xludf.DUMMYFUNCTION("GOOGLETRANSLATE(A8171, ""zh"", ""en"")"),"Adhere to green procurement, incorporate green environmental protection concepts into supplier evaluation, and promote green development of the supply chain.")</f>
        <v>Adhere to green procurement, incorporate green environmental protection concepts into supplier evaluation, and promote green development of the supply chain.</v>
      </c>
      <c r="B8171" s="1" t="str">
        <f ca="1">IFERROR(__xludf.DUMMYFUNCTION("GOOGLETRANSLATE(A8171, ""zh"", ""en"")"),"supply chain management")</f>
        <v>supply chain management</v>
      </c>
      <c r="C8171" s="1" t="str">
        <f ca="1">IFERROR(__xludf.DUMMYFUNCTION("GOOGLETRANSLATE(E8171, ""zh"", ""en"")"),"Qualitative text")</f>
        <v>Qualitative text</v>
      </c>
    </row>
    <row r="8172" spans="1:3" ht="13" x14ac:dyDescent="0.15">
      <c r="A8172" s="1" t="str">
        <f ca="1">IFERROR(__xludf.DUMMYFUNCTION("GOOGLETRANSLATE(A8172, ""zh"", ""en"")"),"Supplier access: a unified registered supplier database will be established on the centralized procurement platform. Suppliers who intend to provide products and services to the group company and its affiliated enterprises must register on the platform.")</f>
        <v>Supplier access: a unified registered supplier database will be established on the centralized procurement platform. Suppliers who intend to provide products and services to the group company and its affiliated enterprises must register on the platform.</v>
      </c>
      <c r="B8172" s="1" t="str">
        <f ca="1">IFERROR(__xludf.DUMMYFUNCTION("GOOGLETRANSLATE(A8172, ""zh"", ""en"")"),"supply chain management")</f>
        <v>supply chain management</v>
      </c>
      <c r="C8172" s="1" t="str">
        <f ca="1">IFERROR(__xludf.DUMMYFUNCTION("GOOGLETRANSLATE(E8172, ""zh"", ""en"")"),"Qualitative text")</f>
        <v>Qualitative text</v>
      </c>
    </row>
    <row r="8173" spans="1:3" ht="13" x14ac:dyDescent="0.15">
      <c r="A8173" s="1" t="str">
        <f ca="1">IFERROR(__xludf.DUMMYFUNCTION("GOOGLETRANSLATE(A8173, ""zh"", ""en"")"),"The company strives to create an open, transparent and fair cooperation environment for suppliers. By continuously optimizing the management system, standardizing management methods, and establishing a digital procurement platform, while ensuring the stab"&amp;"ility and efficiency of the company's supply chain, the company also takes suppliers' interests into consideration, assists in supplier management, formulates different audit plans for different suppliers, and insists on growing together with suppliers.")</f>
        <v>The company strives to create an open, transparent and fair cooperation environment for suppliers. By continuously optimizing the management system, standardizing management methods, and establishing a digital procurement platform, while ensuring the stability and efficiency of the company's supply chain, the company also takes suppliers' interests into consideration, assists in supplier management, formulates different audit plans for different suppliers, and insists on growing together with suppliers.</v>
      </c>
      <c r="B8173" s="1" t="str">
        <f ca="1">IFERROR(__xludf.DUMMYFUNCTION("GOOGLETRANSLATE(A8173, ""zh"", ""en"")"),"supply chain management")</f>
        <v>supply chain management</v>
      </c>
      <c r="C8173" s="1" t="str">
        <f ca="1">IFERROR(__xludf.DUMMYFUNCTION("GOOGLETRANSLATE(E8173, ""zh"", ""en"")"),"Qualitative text")</f>
        <v>Qualitative text</v>
      </c>
    </row>
    <row r="8174" spans="1:3" ht="13" x14ac:dyDescent="0.15">
      <c r="A8174" s="1" t="str">
        <f ca="1">IFERROR(__xludf.DUMMYFUNCTION("GOOGLETRANSLATE(A8174, ""zh"", ""en"")"),"Empowering supply chain partners: The company empowers supply chain partners with its own industry experience to form a more stable supply chain cooperation relationship, which helps to improve the quality management capabilities and sustainable developme"&amp;"nt management capabilities of supply chain partners and enhance supply chain resilience.")</f>
        <v>Empowering supply chain partners: The company empowers supply chain partners with its own industry experience to form a more stable supply chain cooperation relationship, which helps to improve the quality management capabilities and sustainable development management capabilities of supply chain partners and enhance supply chain resilience.</v>
      </c>
      <c r="B8174" s="1" t="str">
        <f ca="1">IFERROR(__xludf.DUMMYFUNCTION("GOOGLETRANSLATE(A8174, ""zh"", ""en"")"),"supply chain management")</f>
        <v>supply chain management</v>
      </c>
      <c r="C8174" s="1" t="str">
        <f ca="1">IFERROR(__xludf.DUMMYFUNCTION("GOOGLETRANSLATE(E8174, ""zh"", ""en"")"),"Qualitative text")</f>
        <v>Qualitative text</v>
      </c>
    </row>
    <row r="8175" spans="1:3" ht="13" x14ac:dyDescent="0.15">
      <c r="A8175" s="1" t="str">
        <f ca="1">IFERROR(__xludf.DUMMYFUNCTION("GOOGLETRANSLATE(A8175, ""zh"", ""en"")"),"As of the end of the reporting period, the company had a total of 4,297 suppliers.")</f>
        <v>As of the end of the reporting period, the company had a total of 4,297 suppliers.</v>
      </c>
      <c r="B8175" s="1" t="str">
        <f ca="1">IFERROR(__xludf.DUMMYFUNCTION("GOOGLETRANSLATE(A8175, ""zh"", ""en"")"),"supply chain management")</f>
        <v>supply chain management</v>
      </c>
      <c r="C8175" s="1" t="str">
        <f ca="1">IFERROR(__xludf.DUMMYFUNCTION("GOOGLETRANSLATE(E8175, ""zh"", ""en"")"),"Quantitative Text")</f>
        <v>Quantitative Text</v>
      </c>
    </row>
    <row r="8176" spans="1:3" ht="13" x14ac:dyDescent="0.15">
      <c r="A8176" s="1" t="str">
        <f ca="1">IFERROR(__xludf.DUMMYFUNCTION("GOOGLETRANSLATE(A8176, ""zh"", ""en"")"),"The company conducts regular monitoring of supplier qualifications, contract performance, safety, integrity and other management conditions, guides and supervises suppliers to carry out improvement work based on the problem list, and ensures the safety an"&amp;"d compliance of suppliers' business operations.")</f>
        <v>The company conducts regular monitoring of supplier qualifications, contract performance, safety, integrity and other management conditions, guides and supervises suppliers to carry out improvement work based on the problem list, and ensures the safety and compliance of suppliers' business operations.</v>
      </c>
      <c r="B8176" s="1" t="str">
        <f ca="1">IFERROR(__xludf.DUMMYFUNCTION("GOOGLETRANSLATE(A8176, ""zh"", ""en"")"),"supply chain management")</f>
        <v>supply chain management</v>
      </c>
      <c r="C8176" s="1" t="str">
        <f ca="1">IFERROR(__xludf.DUMMYFUNCTION("GOOGLETRANSLATE(E8176, ""zh"", ""en"")"),"Qualitative text")</f>
        <v>Qualitative text</v>
      </c>
    </row>
    <row r="8177" spans="1:3" ht="13" x14ac:dyDescent="0.15">
      <c r="A8177" s="1" t="str">
        <f ca="1">IFERROR(__xludf.DUMMYFUNCTION("GOOGLETRANSLATE(A8177, ""zh"", ""en"")"),"The company implements centralized procurement and strategic procurement, transparent procurement, and eliminates the transfer of interests.")</f>
        <v>The company implements centralized procurement and strategic procurement, transparent procurement, and eliminates the transfer of interests.</v>
      </c>
      <c r="B8177" s="1" t="str">
        <f ca="1">IFERROR(__xludf.DUMMYFUNCTION("GOOGLETRANSLATE(A8177, ""zh"", ""en"")"),"supply chain management")</f>
        <v>supply chain management</v>
      </c>
      <c r="C8177" s="1" t="str">
        <f ca="1">IFERROR(__xludf.DUMMYFUNCTION("GOOGLETRANSLATE(E8177, ""zh"", ""en"")"),"Qualitative text")</f>
        <v>Qualitative text</v>
      </c>
    </row>
    <row r="8178" spans="1:3" ht="13" x14ac:dyDescent="0.15">
      <c r="A8178" s="1" t="str">
        <f ca="1">IFERROR(__xludf.DUMMYFUNCTION("GOOGLETRANSLATE(A8178, ""zh"", ""en"")"),"In order to further promote the sustainable development of the industrial chain, the company carried out joint research with supply chain partners and produced the ""Carbon Footprint Methodology and Database Research in Power Battery Recycling"".")</f>
        <v>In order to further promote the sustainable development of the industrial chain, the company carried out joint research with supply chain partners and produced the "Carbon Footprint Methodology and Database Research in Power Battery Recycling".</v>
      </c>
      <c r="B8178" s="1" t="str">
        <f ca="1">IFERROR(__xludf.DUMMYFUNCTION("GOOGLETRANSLATE(A8178, ""zh"", ""en"")"),"supply chain management")</f>
        <v>supply chain management</v>
      </c>
      <c r="C8178" s="1" t="str">
        <f ca="1">IFERROR(__xludf.DUMMYFUNCTION("GOOGLETRANSLATE(E8178, ""zh"", ""en"")"),"Qualitative text")</f>
        <v>Qualitative text</v>
      </c>
    </row>
    <row r="8179" spans="1:3" ht="13" x14ac:dyDescent="0.15">
      <c r="A8179" s="1" t="str">
        <f ca="1">IFERROR(__xludf.DUMMYFUNCTION("GOOGLETRANSLATE(A8179, ""zh"", ""en"")"),"Supplier access is achieved by reviewing risks such as supplier corporate form, qualifications and capabilities, key personnel, and operating history, in order to improve supplier quality and supply chain reliability.")</f>
        <v>Supplier access is achieved by reviewing risks such as supplier corporate form, qualifications and capabilities, key personnel, and operating history, in order to improve supplier quality and supply chain reliability.</v>
      </c>
      <c r="B8179" s="1" t="str">
        <f ca="1">IFERROR(__xludf.DUMMYFUNCTION("GOOGLETRANSLATE(A8179, ""zh"", ""en"")"),"supply chain management")</f>
        <v>supply chain management</v>
      </c>
      <c r="C8179" s="1" t="str">
        <f ca="1">IFERROR(__xludf.DUMMYFUNCTION("GOOGLETRANSLATE(E8179, ""zh"", ""en"")"),"Qualitative text")</f>
        <v>Qualitative text</v>
      </c>
    </row>
    <row r="8180" spans="1:3" ht="13" x14ac:dyDescent="0.15">
      <c r="A8180" s="1" t="str">
        <f ca="1">IFERROR(__xludf.DUMMYFUNCTION("GOOGLETRANSLATE(A8180, ""zh"", ""en"")"),"The company has formulated more than ten systems, including the ""Supplier Management System"", ""Procurement Three-Link Management System"", ""Bidding Management Rules"", etc., and continuously standardizes procurement management by standardizing the sup"&amp;"plier access mechanism, continuously promoting standardization, and optimizing bidding management.")</f>
        <v>The company has formulated more than ten systems, including the "Supplier Management System", "Procurement Three-Link Management System", "Bidding Management Rules", etc., and continuously standardizes procurement management by standardizing the supplier access mechanism, continuously promoting standardization, and optimizing bidding management.</v>
      </c>
      <c r="B8180" s="1" t="str">
        <f ca="1">IFERROR(__xludf.DUMMYFUNCTION("GOOGLETRANSLATE(A8180, ""zh"", ""en"")"),"supply chain management")</f>
        <v>supply chain management</v>
      </c>
      <c r="C8180" s="1" t="str">
        <f ca="1">IFERROR(__xludf.DUMMYFUNCTION("GOOGLETRANSLATE(E8180, ""zh"", ""en"")"),"Qualitative text")</f>
        <v>Qualitative text</v>
      </c>
    </row>
    <row r="8181" spans="1:3" ht="13" x14ac:dyDescent="0.15">
      <c r="A8181" s="1" t="str">
        <f ca="1">IFERROR(__xludf.DUMMYFUNCTION("GOOGLETRANSLATE(A8181, ""zh"", ""en"")"),"When selecting suppliers, we give priority to products, technologies and services that are safe, non-toxic, energy-saving, resource-efficient and less polluting, while taking into account both quality and cost-effectiveness.")</f>
        <v>When selecting suppliers, we give priority to products, technologies and services that are safe, non-toxic, energy-saving, resource-efficient and less polluting, while taking into account both quality and cost-effectiveness.</v>
      </c>
      <c r="B8181" s="1" t="str">
        <f ca="1">IFERROR(__xludf.DUMMYFUNCTION("GOOGLETRANSLATE(A8181, ""zh"", ""en"")"),"supply chain management")</f>
        <v>supply chain management</v>
      </c>
      <c r="C8181" s="1" t="str">
        <f ca="1">IFERROR(__xludf.DUMMYFUNCTION("GOOGLETRANSLATE(E8181, ""zh"", ""en"")"),"Qualitative text")</f>
        <v>Qualitative text</v>
      </c>
    </row>
    <row r="8182" spans="1:3" ht="13" x14ac:dyDescent="0.15">
      <c r="A8182" s="1" t="str">
        <f ca="1">IFERROR(__xludf.DUMMYFUNCTION("GOOGLETRANSLATE(A8182, ""zh"", ""en"")"),"In order to improve the living and teaching conditions of volunteer teachers and enhance the stability of educational resources at Liangshan Aimu Primary School, the Aimu Charity Foundation established the ""Candlelight Teaching Assistant Program"" in 201"&amp;"7 to commend and reward volunteer teachers for their loving contributions to the children of Liangshan.")</f>
        <v>In order to improve the living and teaching conditions of volunteer teachers and enhance the stability of educational resources at Liangshan Aimu Primary School, the Aimu Charity Foundation established the "Candlelight Teaching Assistant Program" in 2017 to commend and reward volunteer teachers for their loving contributions to the children of Liangshan.</v>
      </c>
      <c r="B8182" s="1" t="str">
        <f ca="1">IFERROR(__xludf.DUMMYFUNCTION("GOOGLETRANSLATE(A8182, ""zh"", ""en"")"),"Public welfare and volunteer service")</f>
        <v>Public welfare and volunteer service</v>
      </c>
      <c r="C8182" s="1" t="str">
        <f ca="1">IFERROR(__xludf.DUMMYFUNCTION("GOOGLETRANSLATE(E8182, ""zh"", ""en"")"),"Quantitative Text")</f>
        <v>Quantitative Text</v>
      </c>
    </row>
    <row r="8183" spans="1:3" ht="13" x14ac:dyDescent="0.15">
      <c r="A8183" s="1" t="str">
        <f ca="1">IFERROR(__xludf.DUMMYFUNCTION("GOOGLETRANSLATE(A8183, ""zh"", ""en"")"),"With the help of Guoyuan Securities and all its employees, Shuren School gradually emerged from the brink of bankruptcy and gradually developed into ""a pearl of rural education in northern Anhui"", bringing educational hope to poor students.")</f>
        <v>With the help of Guoyuan Securities and all its employees, Shuren School gradually emerged from the brink of bankruptcy and gradually developed into "a pearl of rural education in northern Anhui", bringing educational hope to poor students.</v>
      </c>
      <c r="B8183" s="1" t="str">
        <f ca="1">IFERROR(__xludf.DUMMYFUNCTION("GOOGLETRANSLATE(A8183, ""zh"", ""en"")"),"Public welfare and volunteer service")</f>
        <v>Public welfare and volunteer service</v>
      </c>
      <c r="C8183" s="1" t="str">
        <f ca="1">IFERROR(__xludf.DUMMYFUNCTION("GOOGLETRANSLATE(E8183, ""zh"", ""en"")"),"Qualitative text")</f>
        <v>Qualitative text</v>
      </c>
    </row>
    <row r="8184" spans="1:3" ht="13" x14ac:dyDescent="0.15">
      <c r="A8184" s="1" t="str">
        <f ca="1">IFERROR(__xludf.DUMMYFUNCTION("GOOGLETRANSLATE(A8184, ""zh"", ""en"")"),"The public welfare courses focus on four aspects: understanding money, learning to save, understanding investment, and recognizing risks. They help young people establish a correct view of wealth, popularize basic financial knowledge, basic financial mana"&amp;"gement skills, and enhance risk prevention awareness.")</f>
        <v>The public welfare courses focus on four aspects: understanding money, learning to save, understanding investment, and recognizing risks. They help young people establish a correct view of wealth, popularize basic financial knowledge, basic financial management skills, and enhance risk prevention awareness.</v>
      </c>
      <c r="B8184" s="1" t="str">
        <f ca="1">IFERROR(__xludf.DUMMYFUNCTION("GOOGLETRANSLATE(A8184, ""zh"", ""en"")"),"Public welfare and volunteer service")</f>
        <v>Public welfare and volunteer service</v>
      </c>
      <c r="C8184" s="1" t="str">
        <f ca="1">IFERROR(__xludf.DUMMYFUNCTION("GOOGLETRANSLATE(E8184, ""zh"", ""en"")"),"Qualitative text")</f>
        <v>Qualitative text</v>
      </c>
    </row>
    <row r="8185" spans="1:3" ht="13" x14ac:dyDescent="0.15">
      <c r="A8185" s="1" t="str">
        <f ca="1">IFERROR(__xludf.DUMMYFUNCTION("GOOGLETRANSLATE(A8185, ""zh"", ""en"")"),"During the reporting period, the company made donations of money and materials to its operating locations on many occasions to support local development.")</f>
        <v>During the reporting period, the company made donations of money and materials to its operating locations on many occasions to support local development.</v>
      </c>
      <c r="B8185" s="1" t="str">
        <f ca="1">IFERROR(__xludf.DUMMYFUNCTION("GOOGLETRANSLATE(A8185, ""zh"", ""en"")"),"Public welfare and volunteer service")</f>
        <v>Public welfare and volunteer service</v>
      </c>
      <c r="C8185" s="1" t="str">
        <f ca="1">IFERROR(__xludf.DUMMYFUNCTION("GOOGLETRANSLATE(E8185, ""zh"", ""en"")"),"Qualitative text")</f>
        <v>Qualitative text</v>
      </c>
    </row>
    <row r="8186" spans="1:3" ht="13" x14ac:dyDescent="0.15">
      <c r="A8186" s="1" t="str">
        <f ca="1">IFERROR(__xludf.DUMMYFUNCTION("GOOGLETRANSLATE(A8186, ""zh"", ""en"")"),"At the same time, the park carried out external exchange activities with the theme of ""Green Guardian"" and organized a volunteer cleaning activity to collect and recycle garbage in surrounding rivers or lakes.")</f>
        <v>At the same time, the park carried out external exchange activities with the theme of "Green Guardian" and organized a volunteer cleaning activity to collect and recycle garbage in surrounding rivers or lakes.</v>
      </c>
      <c r="B8186" s="1" t="str">
        <f ca="1">IFERROR(__xludf.DUMMYFUNCTION("GOOGLETRANSLATE(A8186, ""zh"", ""en"")"),"Public welfare and volunteer service")</f>
        <v>Public welfare and volunteer service</v>
      </c>
      <c r="C8186" s="1" t="str">
        <f ca="1">IFERROR(__xludf.DUMMYFUNCTION("GOOGLETRANSLATE(E8186, ""zh"", ""en"")"),"Qualitative text")</f>
        <v>Qualitative text</v>
      </c>
    </row>
    <row r="8187" spans="1:3" ht="13" x14ac:dyDescent="0.15">
      <c r="A8187" s="1" t="str">
        <f ca="1">IFERROR(__xludf.DUMMYFUNCTION("GOOGLETRANSLATE(A8187, ""zh"", ""en"")"),"Cadres and staff actively donated clothes, books, picture books, dolls, toys and other items to help the growth of young people in remote rural areas.")</f>
        <v>Cadres and staff actively donated clothes, books, picture books, dolls, toys and other items to help the growth of young people in remote rural areas.</v>
      </c>
      <c r="B8187" s="1" t="str">
        <f ca="1">IFERROR(__xludf.DUMMYFUNCTION("GOOGLETRANSLATE(A8187, ""zh"", ""en"")"),"Public welfare and volunteer service")</f>
        <v>Public welfare and volunteer service</v>
      </c>
      <c r="C8187" s="1" t="str">
        <f ca="1">IFERROR(__xludf.DUMMYFUNCTION("GOOGLETRANSLATE(E8187, ""zh"", ""en"")"),"Qualitative text")</f>
        <v>Qualitative text</v>
      </c>
    </row>
    <row r="8188" spans="1:3" ht="13" x14ac:dyDescent="0.15">
      <c r="A8188" s="1" t="str">
        <f ca="1">IFERROR(__xludf.DUMMYFUNCTION("GOOGLETRANSLATE(A8188, ""zh"", ""en"")"),"On November 12, 2022, we carried out activities to accompany and comfort mentally disabled children, and on August 6, 2022, we participated in a charity sale to care for the mentally disabled.")</f>
        <v>On November 12, 2022, we carried out activities to accompany and comfort mentally disabled children, and on August 6, 2022, we participated in a charity sale to care for the mentally disabled.</v>
      </c>
      <c r="B8188" s="1" t="str">
        <f ca="1">IFERROR(__xludf.DUMMYFUNCTION("GOOGLETRANSLATE(A8188, ""zh"", ""en"")"),"Public welfare and volunteer service")</f>
        <v>Public welfare and volunteer service</v>
      </c>
      <c r="C8188" s="1" t="str">
        <f ca="1">IFERROR(__xludf.DUMMYFUNCTION("GOOGLETRANSLATE(E8188, ""zh"", ""en"")"),"Qualitative text")</f>
        <v>Qualitative text</v>
      </c>
    </row>
    <row r="8189" spans="1:3" ht="13" x14ac:dyDescent="0.15">
      <c r="A8189" s="1" t="str">
        <f ca="1">IFERROR(__xludf.DUMMYFUNCTION("GOOGLETRANSLATE(A8189, ""zh"", ""en"")"),"A donation of RMB 400,000 was made to launch a rural children's reading aid project in Mengzi City, Yunnan Province, and to set up 200 class book corners.")</f>
        <v>A donation of RMB 400,000 was made to launch a rural children's reading aid project in Mengzi City, Yunnan Province, and to set up 200 class book corners.</v>
      </c>
      <c r="B8189" s="1" t="str">
        <f ca="1">IFERROR(__xludf.DUMMYFUNCTION("GOOGLETRANSLATE(A8189, ""zh"", ""en"")"),"Public welfare and volunteer service")</f>
        <v>Public welfare and volunteer service</v>
      </c>
      <c r="C8189" s="1" t="str">
        <f ca="1">IFERROR(__xludf.DUMMYFUNCTION("GOOGLETRANSLATE(E8189, ""zh"", ""en"")"),"Quantitative Text")</f>
        <v>Quantitative Text</v>
      </c>
    </row>
    <row r="8190" spans="1:3" ht="13" x14ac:dyDescent="0.15">
      <c r="A8190" s="1" t="str">
        <f ca="1">IFERROR(__xludf.DUMMYFUNCTION("GOOGLETRANSLATE(A8190, ""zh"", ""en"")"),"In July 2022, the company's employees used their weekends to work with community social work organizations to carry out a public welfare activity with the theme of ""Polishing the City's Windows - Cleaning Bus Stops"".")</f>
        <v>In July 2022, the company's employees used their weekends to work with community social work organizations to carry out a public welfare activity with the theme of "Polishing the City's Windows - Cleaning Bus Stops".</v>
      </c>
      <c r="B8190" s="1" t="str">
        <f ca="1">IFERROR(__xludf.DUMMYFUNCTION("GOOGLETRANSLATE(A8190, ""zh"", ""en"")"),"Public welfare and volunteer service")</f>
        <v>Public welfare and volunteer service</v>
      </c>
      <c r="C8190" s="1" t="str">
        <f ca="1">IFERROR(__xludf.DUMMYFUNCTION("GOOGLETRANSLATE(E8190, ""zh"", ""en"")"),"Qualitative text")</f>
        <v>Qualitative text</v>
      </c>
    </row>
    <row r="8191" spans="1:3" ht="13" x14ac:dyDescent="0.15">
      <c r="A8191" s="1" t="str">
        <f ca="1">IFERROR(__xludf.DUMMYFUNCTION("GOOGLETRANSLATE(A8191, ""zh"", ""en"")"),"Employees of China Shipbuilding Industry Corporation 9th Research Institute participated in the blood donation activity.")</f>
        <v>Employees of China Shipbuilding Industry Corporation 9th Research Institute participated in the blood donation activity.</v>
      </c>
      <c r="B8191" s="1" t="str">
        <f ca="1">IFERROR(__xludf.DUMMYFUNCTION("GOOGLETRANSLATE(A8191, ""zh"", ""en"")"),"Public welfare and volunteer service")</f>
        <v>Public welfare and volunteer service</v>
      </c>
      <c r="C8191" s="1" t="str">
        <f ca="1">IFERROR(__xludf.DUMMYFUNCTION("GOOGLETRANSLATE(E8191, ""zh"", ""en"")"),"Qualitative text")</f>
        <v>Qualitative text</v>
      </c>
    </row>
    <row r="8192" spans="1:3" ht="13" x14ac:dyDescent="0.15">
      <c r="A8192" s="1" t="str">
        <f ca="1">IFERROR(__xludf.DUMMYFUNCTION("GOOGLETRANSLATE(A8192, ""zh"", ""en"")"),"In November 2022, the base donated RMB 70,000 to the ""Warmth Delivery"" activity in Son Dong County, Bac Giang Province, Vietnam.")</f>
        <v>In November 2022, the base donated RMB 70,000 to the "Warmth Delivery" activity in Son Dong County, Bac Giang Province, Vietnam.</v>
      </c>
      <c r="B8192" s="1" t="str">
        <f ca="1">IFERROR(__xludf.DUMMYFUNCTION("GOOGLETRANSLATE(A8192, ""zh"", ""en"")"),"Public welfare and volunteer service")</f>
        <v>Public welfare and volunteer service</v>
      </c>
      <c r="C8192" s="1" t="str">
        <f ca="1">IFERROR(__xludf.DUMMYFUNCTION("GOOGLETRANSLATE(E8192, ""zh"", ""en"")"),"Quantitative Text")</f>
        <v>Quantitative Text</v>
      </c>
    </row>
    <row r="8193" spans="1:3" ht="13" x14ac:dyDescent="0.15">
      <c r="A8193" s="1" t="str">
        <f ca="1">IFERROR(__xludf.DUMMYFUNCTION("GOOGLETRANSLATE(A8193, ""zh"", ""en"")"),"Case of Lei Feng spirit, passed on from generation to generation. In March 2022, the company organized a series of activities to ""Learn from Lei Feng's spirit and be Lei Feng around you"" to guide the majority of company employees to learn from Lei Feng'"&amp;"s spirit and promote positive energy of youth.")</f>
        <v>Case of Lei Feng spirit, passed on from generation to generation. In March 2022, the company organized a series of activities to "Learn from Lei Feng's spirit and be Lei Feng around you" to guide the majority of company employees to learn from Lei Feng's spirit and promote positive energy of youth.</v>
      </c>
      <c r="B8193" s="1" t="str">
        <f ca="1">IFERROR(__xludf.DUMMYFUNCTION("GOOGLETRANSLATE(A8193, ""zh"", ""en"")"),"Public welfare and volunteer service")</f>
        <v>Public welfare and volunteer service</v>
      </c>
      <c r="C8193" s="1" t="str">
        <f ca="1">IFERROR(__xludf.DUMMYFUNCTION("GOOGLETRANSLATE(E8193, ""zh"", ""en"")"),"Qualitative text")</f>
        <v>Qualitative text</v>
      </c>
    </row>
    <row r="8194" spans="1:3" ht="13" x14ac:dyDescent="0.15">
      <c r="A8194" s="1" t="str">
        <f ca="1">IFERROR(__xludf.DUMMYFUNCTION("GOOGLETRANSLATE(A8194, ""zh"", ""en"")"),"Support and participate in the construction of social welfare undertakings, and support economic construction and education in poor areas.")</f>
        <v>Support and participate in the construction of social welfare undertakings, and support economic construction and education in poor areas.</v>
      </c>
      <c r="B8194" s="1" t="str">
        <f ca="1">IFERROR(__xludf.DUMMYFUNCTION("GOOGLETRANSLATE(A8194, ""zh"", ""en"")"),"Public welfare and volunteer service")</f>
        <v>Public welfare and volunteer service</v>
      </c>
      <c r="C8194" s="1" t="str">
        <f ca="1">IFERROR(__xludf.DUMMYFUNCTION("GOOGLETRANSLATE(E8194, ""zh"", ""en"")"),"Qualitative text")</f>
        <v>Qualitative text</v>
      </c>
    </row>
    <row r="8195" spans="1:3" ht="13" x14ac:dyDescent="0.15">
      <c r="A8195" s="1" t="str">
        <f ca="1">IFERROR(__xludf.DUMMYFUNCTION("GOOGLETRANSLATE(A8195, ""zh"", ""en"")"),"Prosthetic breast donation cares for women. Since its establishment, Aimei has been concerned about women's health. After the establishment of the Aimei Public Welfare Foundation in 2013, it helped breast cancer patients after surgery to restore their bea"&amp;"uty and confidence through the ""prosthetic breast donation"" project. As of the end of 2021, it has traveled to more than 80 provinces and cities, held more than 70 women's health lectures, and donated a total of 34,442 prosthetic breasts and 6,710 prost"&amp;"hetic bras, with a total market value of 31.78 million yuan.")</f>
        <v>Prosthetic breast donation cares for women. Since its establishment, Aimei has been concerned about women's health. After the establishment of the Aimei Public Welfare Foundation in 2013, it helped breast cancer patients after surgery to restore their beauty and confidence through the "prosthetic breast donation" project. As of the end of 2021, it has traveled to more than 80 provinces and cities, held more than 70 women's health lectures, and donated a total of 34,442 prosthetic breasts and 6,710 prosthetic bras, with a total market value of 31.78 million yuan.</v>
      </c>
      <c r="B8195" s="1" t="str">
        <f ca="1">IFERROR(__xludf.DUMMYFUNCTION("GOOGLETRANSLATE(A8195, ""zh"", ""en"")"),"Public welfare and volunteer service")</f>
        <v>Public welfare and volunteer service</v>
      </c>
      <c r="C8195" s="1" t="str">
        <f ca="1">IFERROR(__xludf.DUMMYFUNCTION("GOOGLETRANSLATE(E8195, ""zh"", ""en"")"),"Quantitative Text")</f>
        <v>Quantitative Text</v>
      </c>
    </row>
    <row r="8196" spans="1:3" ht="13" x14ac:dyDescent="0.15">
      <c r="A8196" s="1" t="str">
        <f ca="1">IFERROR(__xludf.DUMMYFUNCTION("GOOGLETRANSLATE(A8196, ""zh"", ""en"")"),"The Yunnan Mengzi Rural Children's Reading Aid Project supports education. BYD continues to work in three major areas: providing financial aid, scholarships, and improving educational facilities.")</f>
        <v>The Yunnan Mengzi Rural Children's Reading Aid Project supports education. BYD continues to work in three major areas: providing financial aid, scholarships, and improving educational facilities.</v>
      </c>
      <c r="B8196" s="1" t="str">
        <f ca="1">IFERROR(__xludf.DUMMYFUNCTION("GOOGLETRANSLATE(A8196, ""zh"", ""en"")"),"Public welfare and volunteer service")</f>
        <v>Public welfare and volunteer service</v>
      </c>
      <c r="C8196" s="1" t="str">
        <f ca="1">IFERROR(__xludf.DUMMYFUNCTION("GOOGLETRANSLATE(E8196, ""zh"", ""en"")"),"Qualitative text")</f>
        <v>Qualitative text</v>
      </c>
    </row>
    <row r="8197" spans="1:3" ht="13" x14ac:dyDescent="0.15">
      <c r="A8197" s="1" t="str">
        <f ca="1">IFERROR(__xludf.DUMMYFUNCTION("GOOGLETRANSLATE(A8197, ""zh"", ""en"")"),"Starting from 2022, all students who are admitted to universities in Jiuquan City, Gansu Province will be rewarded and subsidized.")</f>
        <v>Starting from 2022, all students who are admitted to universities in Jiuquan City, Gansu Province will be rewarded and subsidized.</v>
      </c>
      <c r="B8197" s="1" t="str">
        <f ca="1">IFERROR(__xludf.DUMMYFUNCTION("GOOGLETRANSLATE(A8197, ""zh"", ""en"")"),"Public welfare and volunteer service")</f>
        <v>Public welfare and volunteer service</v>
      </c>
      <c r="C8197" s="1" t="str">
        <f ca="1">IFERROR(__xludf.DUMMYFUNCTION("GOOGLETRANSLATE(E8197, ""zh"", ""en"")"),"Quantitative Text")</f>
        <v>Quantitative Text</v>
      </c>
    </row>
    <row r="8198" spans="1:3" ht="13" x14ac:dyDescent="0.15">
      <c r="A8198" s="1" t="str">
        <f ca="1">IFERROR(__xludf.DUMMYFUNCTION("GOOGLETRANSLATE(A8198, ""zh"", ""en"")"),"We have signed contracts with 38 partner institutions for talent education projects. We have conducted joint research on low-voltage and high-current power supply products and equipment vision system design with well-known research institutes such as the "&amp;"Institute of Semiconductors, Chinese Academy of Sciences, Zhejiang University, and Soochow University. We have also jointly organized vocational skills competitions in engineering capabilities and intelligent manufacturing with Yanshan University, Changch"&amp;"un University of Technology, Hunan University of Technology, and other institutions, and donated PLC and other related products.")</f>
        <v>We have signed contracts with 38 partner institutions for talent education projects. We have conducted joint research on low-voltage and high-current power supply products and equipment vision system design with well-known research institutes such as the Institute of Semiconductors, Chinese Academy of Sciences, Zhejiang University, and Soochow University. We have also jointly organized vocational skills competitions in engineering capabilities and intelligent manufacturing with Yanshan University, Changchun University of Technology, Hunan University of Technology, and other institutions, and donated PLC and other related products.</v>
      </c>
      <c r="B8198" s="1" t="str">
        <f ca="1">IFERROR(__xludf.DUMMYFUNCTION("GOOGLETRANSLATE(A8198, ""zh"", ""en"")"),"Public welfare and volunteer service")</f>
        <v>Public welfare and volunteer service</v>
      </c>
      <c r="C8198" s="1" t="str">
        <f ca="1">IFERROR(__xludf.DUMMYFUNCTION("GOOGLETRANSLATE(E8198, ""zh"", ""en"")"),"Qualitative text")</f>
        <v>Qualitative text</v>
      </c>
    </row>
    <row r="8199" spans="1:3" ht="13" x14ac:dyDescent="0.15">
      <c r="A8199" s="1" t="str">
        <f ca="1">IFERROR(__xludf.DUMMYFUNCTION("GOOGLETRANSLATE(A8199, ""zh"", ""en"")"),"During this period, the Fokai Branch adopted six extremely poor and lonely elderly people in Gonghe Town and Yaoyao Town along the expressway in Jiangmen City, and used its spare time to care for and accompany them, delivered daily necessities, and provid"&amp;"ed meticulous and thoughtful care for their living. About 7,800 volunteers participated in the elderly assistance activities, and the cumulative volunteer service time was about 23,000 hours.")</f>
        <v>During this period, the Fokai Branch adopted six extremely poor and lonely elderly people in Gonghe Town and Yaoyao Town along the expressway in Jiangmen City, and used its spare time to care for and accompany them, delivered daily necessities, and provided meticulous and thoughtful care for their living. About 7,800 volunteers participated in the elderly assistance activities, and the cumulative volunteer service time was about 23,000 hours.</v>
      </c>
      <c r="B8199" s="1" t="str">
        <f ca="1">IFERROR(__xludf.DUMMYFUNCTION("GOOGLETRANSLATE(A8199, ""zh"", ""en"")"),"Public welfare and volunteer service")</f>
        <v>Public welfare and volunteer service</v>
      </c>
      <c r="C8199" s="1" t="str">
        <f ca="1">IFERROR(__xludf.DUMMYFUNCTION("GOOGLETRANSLATE(E8199, ""zh"", ""en"")"),"Quantitative Text")</f>
        <v>Quantitative Text</v>
      </c>
    </row>
    <row r="8200" spans="1:3" ht="13" x14ac:dyDescent="0.15">
      <c r="A8200" s="1" t="str">
        <f ca="1">IFERROR(__xludf.DUMMYFUNCTION("GOOGLETRANSLATE(A8200, ""zh"", ""en"")"),"In March, BGI launched the ""Cancer-Free World"" public welfare campaign in the ""Healthy Chinese"" special column of the National ""Two Sessions"". The project is based on the livelihood project of early screening for colorectal cancer, providing public "&amp;"welfare assistance to screened colorectal cancer patients, and is committed to creating a closed loop of screening, diagnosis and treatment.")</f>
        <v>In March, BGI launched the "Cancer-Free World" public welfare campaign in the "Healthy Chinese" special column of the National "Two Sessions". The project is based on the livelihood project of early screening for colorectal cancer, providing public welfare assistance to screened colorectal cancer patients, and is committed to creating a closed loop of screening, diagnosis and treatment.</v>
      </c>
      <c r="B8200" s="1" t="str">
        <f ca="1">IFERROR(__xludf.DUMMYFUNCTION("GOOGLETRANSLATE(A8200, ""zh"", ""en"")"),"Public welfare and volunteer service")</f>
        <v>Public welfare and volunteer service</v>
      </c>
      <c r="C8200" s="1" t="str">
        <f ca="1">IFERROR(__xludf.DUMMYFUNCTION("GOOGLETRANSLATE(E8200, ""zh"", ""en"")"),"Qualitative text")</f>
        <v>Qualitative text</v>
      </c>
    </row>
    <row r="8201" spans="1:3" ht="13" x14ac:dyDescent="0.15">
      <c r="A8201" s="1" t="str">
        <f ca="1">IFERROR(__xludf.DUMMYFUNCTION("GOOGLETRANSLATE(A8201, ""zh"", ""en"")"),"Donation of medical protective supplies. In 2022, in response to the shortage of medical protective supplies in some enterprises, governments, schools and other institutions, Kangzhi Pharmaceutical, adhering to the company's corporate purpose of ""honesty"&amp;" and kindness in medicine, benefiting mankind"", carried forward the company's spirit of great love and gave back to society with practical actions. It actively mobilized and worked with its production bases and Zhongshan Aihu to actively formulate a dona"&amp;"tion plan for medical protective supplies. It donated basic medicines, masks, alcohol, disinfectants and other loving supplies to South China University of Technology, Hainan Provincial Women's Federation, Hainan Provincial Department of Transportation, H"&amp;"aikou Red Cross Society, Sanya Red Cross Society, Haikou Municipal Party School of the Communist Party of China and others.")</f>
        <v>Donation of medical protective supplies. In 2022, in response to the shortage of medical protective supplies in some enterprises, governments, schools and other institutions, Kangzhi Pharmaceutical, adhering to the company's corporate purpose of "honesty and kindness in medicine, benefiting mankind", carried forward the company's spirit of great love and gave back to society with practical actions. It actively mobilized and worked with its production bases and Zhongshan Aihu to actively formulate a donation plan for medical protective supplies. It donated basic medicines, masks, alcohol, disinfectants and other loving supplies to South China University of Technology, Hainan Provincial Women's Federation, Hainan Provincial Department of Transportation, Haikou Red Cross Society, Sanya Red Cross Society, Haikou Municipal Party School of the Communist Party of China and others.</v>
      </c>
      <c r="B8201" s="1" t="str">
        <f ca="1">IFERROR(__xludf.DUMMYFUNCTION("GOOGLETRANSLATE(A8201, ""zh"", ""en"")"),"Public welfare and volunteer service")</f>
        <v>Public welfare and volunteer service</v>
      </c>
      <c r="C8201" s="1" t="str">
        <f ca="1">IFERROR(__xludf.DUMMYFUNCTION("GOOGLETRANSLATE(E8201, ""zh"", ""en"")"),"Qualitative text")</f>
        <v>Qualitative text</v>
      </c>
    </row>
    <row r="8202" spans="1:3" ht="13" x14ac:dyDescent="0.15">
      <c r="A8202" s="1" t="str">
        <f ca="1">IFERROR(__xludf.DUMMYFUNCTION("GOOGLETRANSLATE(A8202, ""zh"", ""en"")"),"We actively organize and participate in various forms of public welfare activities such as donating to support education, disaster relief, respecting the elderly and loving children, etc., and use loving public welfare actions to convey the warmth of the "&amp;"industry and spread positive energy to the society.")</f>
        <v>We actively organize and participate in various forms of public welfare activities such as donating to support education, disaster relief, respecting the elderly and loving children, etc., and use loving public welfare actions to convey the warmth of the industry and spread positive energy to the society.</v>
      </c>
      <c r="B8202" s="1" t="str">
        <f ca="1">IFERROR(__xludf.DUMMYFUNCTION("GOOGLETRANSLATE(A8202, ""zh"", ""en"")"),"Public welfare and volunteer service")</f>
        <v>Public welfare and volunteer service</v>
      </c>
      <c r="C8202" s="1" t="str">
        <f ca="1">IFERROR(__xludf.DUMMYFUNCTION("GOOGLETRANSLATE(E8202, ""zh"", ""en"")"),"Qualitative text")</f>
        <v>Qualitative text</v>
      </c>
    </row>
    <row r="8203" spans="1:3" ht="13" x14ac:dyDescent="0.15">
      <c r="A8203" s="1" t="str">
        <f ca="1">IFERROR(__xludf.DUMMYFUNCTION("GOOGLETRANSLATE(A8203, ""zh"", ""en"")"),"In June 2022, Li Xin, Chairman of the Guangzhou Trade Union of Shanjin Optoelectronics, led six union members and volunteers to Shenjing Primary School on Changzhou Island in Huangpu District, bringing the children a donation of Dream Well Baby products. "&amp;"This was a meaningful gift for Children's Day, helping them to have a better learning environment, resources, and development opportunities.")</f>
        <v>In June 2022, Li Xin, Chairman of the Guangzhou Trade Union of Shanjin Optoelectronics, led six union members and volunteers to Shenjing Primary School on Changzhou Island in Huangpu District, bringing the children a donation of Dream Well Baby products. This was a meaningful gift for Children's Day, helping them to have a better learning environment, resources, and development opportunities.</v>
      </c>
      <c r="B8203" s="1" t="str">
        <f ca="1">IFERROR(__xludf.DUMMYFUNCTION("GOOGLETRANSLATE(A8203, ""zh"", ""en"")"),"Public welfare and volunteer service")</f>
        <v>Public welfare and volunteer service</v>
      </c>
      <c r="C8203" s="1" t="str">
        <f ca="1">IFERROR(__xludf.DUMMYFUNCTION("GOOGLETRANSLATE(E8203, ""zh"", ""en"")"),"Qualitative text")</f>
        <v>Qualitative text</v>
      </c>
    </row>
    <row r="8204" spans="1:3" ht="13" x14ac:dyDescent="0.15">
      <c r="A8204" s="1" t="str">
        <f ca="1">IFERROR(__xludf.DUMMYFUNCTION("GOOGLETRANSLATE(A8204, ""zh"", ""en"")"),"In July, the company donated 10,000 yuan to the Taihu Street New Era Civilization Practice Fund to develop new era civilization practice work in the jurisdiction.")</f>
        <v>In July, the company donated 10,000 yuan to the Taihu Street New Era Civilization Practice Fund to develop new era civilization practice work in the jurisdiction.</v>
      </c>
      <c r="B8204" s="1" t="str">
        <f ca="1">IFERROR(__xludf.DUMMYFUNCTION("GOOGLETRANSLATE(A8204, ""zh"", ""en"")"),"Public welfare and volunteer service")</f>
        <v>Public welfare and volunteer service</v>
      </c>
      <c r="C8204" s="1" t="str">
        <f ca="1">IFERROR(__xludf.DUMMYFUNCTION("GOOGLETRANSLATE(E8204, ""zh"", ""en"")"),"Quantitative Text")</f>
        <v>Quantitative Text</v>
      </c>
    </row>
    <row r="8205" spans="1:3" ht="13" x14ac:dyDescent="0.15">
      <c r="A8205" s="1" t="str">
        <f ca="1">IFERROR(__xludf.DUMMYFUNCTION("GOOGLETRANSLATE(A8205, ""zh"", ""en"")"),"In 2022, a total amount of RMB 7.036 million was invested in social welfare and charity.")</f>
        <v>In 2022, a total amount of RMB 7.036 million was invested in social welfare and charity.</v>
      </c>
      <c r="B8205" s="1" t="str">
        <f ca="1">IFERROR(__xludf.DUMMYFUNCTION("GOOGLETRANSLATE(A8205, ""zh"", ""en"")"),"Public welfare and volunteer service")</f>
        <v>Public welfare and volunteer service</v>
      </c>
      <c r="C8205" s="1" t="str">
        <f ca="1">IFERROR(__xludf.DUMMYFUNCTION("GOOGLETRANSLATE(E8205, ""zh"", ""en"")"),"Quantitative Text")</f>
        <v>Quantitative Text</v>
      </c>
    </row>
    <row r="8206" spans="1:3" ht="13" x14ac:dyDescent="0.15">
      <c r="A8206" s="1" t="str">
        <f ca="1">IFERROR(__xludf.DUMMYFUNCTION("GOOGLETRANSLATE(A8206, ""zh"", ""en"")"),"China Railway Baoqiao, a subsidiary of the company, is a National Civilized Unit and practices the volunteer service philosophy of ""dedication, friendship, mutual assistance, and progress."" For five consecutive years, it has carried out the ""Home Appli"&amp;"ance Repair in the Community: Youth Science Popularization Warms People's Hearts"" volunteer service project, actively fulfilling its corporate social responsibility and participating in the development of civilized practice communities in the new era. Th"&amp;"is service activity, organized by the China Railway Baoqiao ""Happy Home"" Youth Volunteer Service Association and the company's young electricians and senior technicians, is held twice a year, with approximately 20 participants each time. Volunteers go d"&amp;"eep into the community, utilizing their professional skills and expertise to help residents repair home appliances.")</f>
        <v>China Railway Baoqiao, a subsidiary of the company, is a National Civilized Unit and practices the volunteer service philosophy of "dedication, friendship, mutual assistance, and progress." For five consecutive years, it has carried out the "Home Appliance Repair in the Community: Youth Science Popularization Warms People's Hearts" volunteer service project, actively fulfilling its corporate social responsibility and participating in the development of civilized practice communities in the new era. This service activity, organized by the China Railway Baoqiao "Happy Home" Youth Volunteer Service Association and the company's young electricians and senior technicians, is held twice a year, with approximately 20 participants each time. Volunteers go deep into the community, utilizing their professional skills and expertise to help residents repair home appliances.</v>
      </c>
      <c r="B8206" s="1" t="str">
        <f ca="1">IFERROR(__xludf.DUMMYFUNCTION("GOOGLETRANSLATE(A8206, ""zh"", ""en"")"),"Public welfare and volunteer service")</f>
        <v>Public welfare and volunteer service</v>
      </c>
      <c r="C8206" s="1" t="str">
        <f ca="1">IFERROR(__xludf.DUMMYFUNCTION("GOOGLETRANSLATE(E8206, ""zh"", ""en"")"),"Quantitative Text")</f>
        <v>Quantitative Text</v>
      </c>
    </row>
    <row r="8207" spans="1:3" ht="13" x14ac:dyDescent="0.15">
      <c r="A8207" s="1" t="str">
        <f ca="1">IFERROR(__xludf.DUMMYFUNCTION("GOOGLETRANSLATE(A8207, ""zh"", ""en"")"),"China Railway Shanhaiguan Bridge, a subsidiary of the company, combined the annual key work arrangements for spiritual civilization construction and organized party members and volunteers from various units to carry out the ""Patriotic Health, Clean Home"&amp;""" campaign in the subcontracted areas, focusing on cleaning up dirt and mess, persuading uncivilized behavior, improving the community environment, creating a clean, tidy and beautiful community, and contributing to the normalization of civilized city co"&amp;"nstruction.")</f>
        <v>China Railway Shanhaiguan Bridge, a subsidiary of the company, combined the annual key work arrangements for spiritual civilization construction and organized party members and volunteers from various units to carry out the "Patriotic Health, Clean Home" campaign in the subcontracted areas, focusing on cleaning up dirt and mess, persuading uncivilized behavior, improving the community environment, creating a clean, tidy and beautiful community, and contributing to the normalization of civilized city construction.</v>
      </c>
      <c r="B8207" s="1" t="str">
        <f ca="1">IFERROR(__xludf.DUMMYFUNCTION("GOOGLETRANSLATE(A8207, ""zh"", ""en"")"),"Public welfare and volunteer service")</f>
        <v>Public welfare and volunteer service</v>
      </c>
      <c r="C8207" s="1" t="str">
        <f ca="1">IFERROR(__xludf.DUMMYFUNCTION("GOOGLETRANSLATE(E8207, ""zh"", ""en"")"),"Qualitative text")</f>
        <v>Qualitative text</v>
      </c>
    </row>
    <row r="8208" spans="1:3" ht="13" x14ac:dyDescent="0.15">
      <c r="A8208" s="1" t="str">
        <f ca="1">IFERROR(__xludf.DUMMYFUNCTION("GOOGLETRANSLATE(A8208, ""zh"", ""en"")"),"In 2022, the company’s Party Committee and Volunteer Association held more than 50 activities, covering visits to special children, relief for farmers, care for the elderly in nursing homes, etc., and practiced the spiritual purpose of ""gratitude, dedica"&amp;"tion, mutual assistance, and progress.""")</f>
        <v>In 2022, the company’s Party Committee and Volunteer Association held more than 50 activities, covering visits to special children, relief for farmers, care for the elderly in nursing homes, etc., and practiced the spiritual purpose of "gratitude, dedication, mutual assistance, and progress."</v>
      </c>
      <c r="B8208" s="1" t="str">
        <f ca="1">IFERROR(__xludf.DUMMYFUNCTION("GOOGLETRANSLATE(A8208, ""zh"", ""en"")"),"Public welfare and volunteer service")</f>
        <v>Public welfare and volunteer service</v>
      </c>
      <c r="C8208" s="1" t="str">
        <f ca="1">IFERROR(__xludf.DUMMYFUNCTION("GOOGLETRANSLATE(E8208, ""zh"", ""en"")"),"Quantitative Text")</f>
        <v>Quantitative Text</v>
      </c>
    </row>
    <row r="8209" spans="1:3" ht="13" x14ac:dyDescent="0.15">
      <c r="A8209" s="1" t="str">
        <f ca="1">IFERROR(__xludf.DUMMYFUNCTION("GOOGLETRANSLATE(A8209, ""zh"", ""en"")"),"In 2022, the company organized street and community condolences, care, lectures and friendship activities such as ""World No Tobacco Day Theme Lecture"" and ""Teacher's Inspiration and Love Huichuan Friendship Activity"", and more than 100 volunteers part"&amp;"icipated in the related activities.")</f>
        <v>In 2022, the company organized street and community condolences, care, lectures and friendship activities such as "World No Tobacco Day Theme Lecture" and "Teacher's Inspiration and Love Huichuan Friendship Activity", and more than 100 volunteers participated in the related activities.</v>
      </c>
      <c r="B8209" s="1" t="str">
        <f ca="1">IFERROR(__xludf.DUMMYFUNCTION("GOOGLETRANSLATE(A8209, ""zh"", ""en"")"),"Public welfare and volunteer service")</f>
        <v>Public welfare and volunteer service</v>
      </c>
      <c r="C8209" s="1" t="str">
        <f ca="1">IFERROR(__xludf.DUMMYFUNCTION("GOOGLETRANSLATE(E8209, ""zh"", ""en"")"),"Quantitative Text")</f>
        <v>Quantitative Text</v>
      </c>
    </row>
    <row r="8210" spans="1:3" ht="13" x14ac:dyDescent="0.15">
      <c r="A8210" s="1" t="str">
        <f ca="1">IFERROR(__xludf.DUMMYFUNCTION("GOOGLETRANSLATE(A8210, ""zh"", ""en"")"),"We strive to strengthen community relations, working with local residents to promote and build a community through a variety of community activities and support, deepening our ties with community residents and fostering a harmonious community atmosphere f"&amp;"or the development of businesses and communities. We have actively promoted the successful implementation of town-level household waste sorting in Danzao and Xiqiao towns in Nanhai District.")</f>
        <v>We strive to strengthen community relations, working with local residents to promote and build a community through a variety of community activities and support, deepening our ties with community residents and fostering a harmonious community atmosphere for the development of businesses and communities. We have actively promoted the successful implementation of town-level household waste sorting in Danzao and Xiqiao towns in Nanhai District.</v>
      </c>
      <c r="B8210" s="1" t="str">
        <f ca="1">IFERROR(__xludf.DUMMYFUNCTION("GOOGLETRANSLATE(A8210, ""zh"", ""en"")"),"Public welfare and volunteer service")</f>
        <v>Public welfare and volunteer service</v>
      </c>
      <c r="C8210" s="1" t="str">
        <f ca="1">IFERROR(__xludf.DUMMYFUNCTION("GOOGLETRANSLATE(E8210, ""zh"", ""en"")"),"Qualitative text")</f>
        <v>Qualitative text</v>
      </c>
    </row>
    <row r="8211" spans="1:3" ht="13" x14ac:dyDescent="0.15">
      <c r="A8211" s="1" t="str">
        <f ca="1">IFERROR(__xludf.DUMMYFUNCTION("GOOGLETRANSLATE(A8211, ""zh"", ""en"")"),"We have established a long-term mechanism, regularly carried out the ""I do practical things for the people"" campaign to serve the society, and supervised affiliated enterprises to handle 2,294 practical things for the people.")</f>
        <v>We have established a long-term mechanism, regularly carried out the "I do practical things for the people" campaign to serve the society, and supervised affiliated enterprises to handle 2,294 practical things for the people.</v>
      </c>
      <c r="B8211" s="1" t="str">
        <f ca="1">IFERROR(__xludf.DUMMYFUNCTION("GOOGLETRANSLATE(A8211, ""zh"", ""en"")"),"Public welfare and volunteer service")</f>
        <v>Public welfare and volunteer service</v>
      </c>
      <c r="C8211" s="1" t="str">
        <f ca="1">IFERROR(__xludf.DUMMYFUNCTION("GOOGLETRANSLATE(E8211, ""zh"", ""en"")"),"Quantitative Text")</f>
        <v>Quantitative Text</v>
      </c>
    </row>
    <row r="8212" spans="1:3" ht="13" x14ac:dyDescent="0.15">
      <c r="A8212" s="1" t="str">
        <f ca="1">IFERROR(__xludf.DUMMYFUNCTION("GOOGLETRANSLATE(A8212, ""zh"", ""en"")"),"The company follows the national requirements and standards for creating green factories, continuously promotes its affiliated cement enterprises to actively participate in the evaluation of green factories, accelerates the green transformation and develo"&amp;"pment of enterprises, enhances the company's brand value, and strengthens the new competitive advantages of the company's products in the market.")</f>
        <v>The company follows the national requirements and standards for creating green factories, continuously promotes its affiliated cement enterprises to actively participate in the evaluation of green factories, accelerates the green transformation and development of enterprises, enhances the company's brand value, and strengthens the new competitive advantages of the company's products in the market.</v>
      </c>
      <c r="B8212" s="1" t="str">
        <f ca="1">IFERROR(__xludf.DUMMYFUNCTION("GOOGLETRANSLATE(A8212, ""zh"", ""en"")"),"Responsible Investment")</f>
        <v>Responsible Investment</v>
      </c>
      <c r="C8212" s="1" t="str">
        <f ca="1">IFERROR(__xludf.DUMMYFUNCTION("GOOGLETRANSLATE(E8212, ""zh"", ""en"")"),"Qualitative text")</f>
        <v>Qualitative text</v>
      </c>
    </row>
    <row r="8213" spans="1:3" ht="13" x14ac:dyDescent="0.15">
      <c r="A8213" s="1" t="str">
        <f ca="1">IFERROR(__xludf.DUMMYFUNCTION("GOOGLETRANSLATE(A8213, ""zh"", ""en"")"),"As of the end of 2020, a total of 16 of the company's cement enterprises have been successfully selected into the National Green Factory List.")</f>
        <v>As of the end of 2020, a total of 16 of the company's cement enterprises have been successfully selected into the National Green Factory List.</v>
      </c>
      <c r="B8213" s="1" t="str">
        <f ca="1">IFERROR(__xludf.DUMMYFUNCTION("GOOGLETRANSLATE(A8213, ""zh"", ""en"")"),"Responsible Investment")</f>
        <v>Responsible Investment</v>
      </c>
      <c r="C8213" s="1" t="str">
        <f ca="1">IFERROR(__xludf.DUMMYFUNCTION("GOOGLETRANSLATE(E8213, ""zh"", ""en"")"),"Quantitative Text")</f>
        <v>Quantitative Text</v>
      </c>
    </row>
    <row r="8214" spans="1:3" ht="13" x14ac:dyDescent="0.15">
      <c r="A8214" s="1" t="str">
        <f ca="1">IFERROR(__xludf.DUMMYFUNCTION("GOOGLETRANSLATE(A8214, ""zh"", ""en"")"),"Conduct ESG negative screening of bonds from a credit perspective and track them continuously, comprehensively consider factors such as the company's internal credit rating and market sentiment, eliminate issuers with weaker qualifications, and increase t"&amp;"he safety margin of the invested bonds.")</f>
        <v>Conduct ESG negative screening of bonds from a credit perspective and track them continuously, comprehensively consider factors such as the company's internal credit rating and market sentiment, eliminate issuers with weaker qualifications, and increase the safety margin of the invested bonds.</v>
      </c>
      <c r="B8214" s="1" t="str">
        <f ca="1">IFERROR(__xludf.DUMMYFUNCTION("GOOGLETRANSLATE(A8214, ""zh"", ""en"")"),"Responsible Investment")</f>
        <v>Responsible Investment</v>
      </c>
      <c r="C8214" s="1" t="str">
        <f ca="1">IFERROR(__xludf.DUMMYFUNCTION("GOOGLETRANSLATE(E8214, ""zh"", ""en"")"),"Qualitative text")</f>
        <v>Qualitative text</v>
      </c>
    </row>
    <row r="8215" spans="1:3" ht="13" x14ac:dyDescent="0.15">
      <c r="A8215" s="1" t="str">
        <f ca="1">IFERROR(__xludf.DUMMYFUNCTION("GOOGLETRANSLATE(A8215, ""zh"", ""en"")"),"These projects can be effectively improved through our subsequent investment and management. We will monitor ESG risks, develop management plans, and invest appropriate funds to support ESG work during the subsequent design, construction, operation, and m"&amp;"ine closure stages.")</f>
        <v>These projects can be effectively improved through our subsequent investment and management. We will monitor ESG risks, develop management plans, and invest appropriate funds to support ESG work during the subsequent design, construction, operation, and mine closure stages.</v>
      </c>
      <c r="B8215" s="1" t="str">
        <f ca="1">IFERROR(__xludf.DUMMYFUNCTION("GOOGLETRANSLATE(A8215, ""zh"", ""en"")"),"Responsible Investment")</f>
        <v>Responsible Investment</v>
      </c>
      <c r="C8215" s="1" t="str">
        <f ca="1">IFERROR(__xludf.DUMMYFUNCTION("GOOGLETRANSLATE(E8215, ""zh"", ""en"")"),"Qualitative text")</f>
        <v>Qualitative text</v>
      </c>
    </row>
    <row r="8216" spans="1:3" ht="13" x14ac:dyDescent="0.15">
      <c r="A8216" s="1" t="str">
        <f ca="1">IFERROR(__xludf.DUMMYFUNCTION("GOOGLETRANSLATE(A8216, ""zh"", ""en"")"),"As of the end of 2021, six companies under Shanghai Pharmaceuticals, including Shanghai SPH Sino-Pharma Co., Ltd., Shanghai Sino-Western Sanwei Pharmaceutical Co., Ltd., Shanghai SPH Sino-Western Pharmaceutical Co., Ltd., Shanghai SPH First Biochemical Ph"&amp;"armaceutical Co., Ltd., Shanghai Xinya Pharmaceutical Minhang Co., Ltd., and Shanghai SPH Xinya Pharmaceutical Co., Ltd., have been awarded the title of National Green Factory by the Ministry of Industry and Information Technology.")</f>
        <v>As of the end of 2021, six companies under Shanghai Pharmaceuticals, including Shanghai SPH Sino-Pharma Co., Ltd., Shanghai Sino-Western Sanwei Pharmaceutical Co., Ltd., Shanghai SPH Sino-Western Pharmaceutical Co., Ltd., Shanghai SPH First Biochemical Pharmaceutical Co., Ltd., Shanghai Xinya Pharmaceutical Minhang Co., Ltd., and Shanghai SPH Xinya Pharmaceutical Co., Ltd., have been awarded the title of National Green Factory by the Ministry of Industry and Information Technology.</v>
      </c>
      <c r="B8216" s="1" t="str">
        <f ca="1">IFERROR(__xludf.DUMMYFUNCTION("GOOGLETRANSLATE(A8216, ""zh"", ""en"")"),"Responsible Investment")</f>
        <v>Responsible Investment</v>
      </c>
      <c r="C8216" s="1" t="str">
        <f ca="1">IFERROR(__xludf.DUMMYFUNCTION("GOOGLETRANSLATE(E8216, ""zh"", ""en"")"),"Quantitative Text")</f>
        <v>Quantitative Text</v>
      </c>
    </row>
    <row r="8217" spans="1:3" ht="13" x14ac:dyDescent="0.15">
      <c r="A8217" s="1" t="str">
        <f ca="1">IFERROR(__xludf.DUMMYFUNCTION("GOOGLETRANSLATE(A8217, ""zh"", ""en"")"),"Among the shortlisted companies, Suzhou Jolywood New Photovoltaic Materials Co., Ltd. was recognized as a ""Jiangsu Green Factory"" for its comprehensive green manufacturing system.")</f>
        <v>Among the shortlisted companies, Suzhou Jolywood New Photovoltaic Materials Co., Ltd. was recognized as a "Jiangsu Green Factory" for its comprehensive green manufacturing system.</v>
      </c>
      <c r="B8217" s="1" t="str">
        <f ca="1">IFERROR(__xludf.DUMMYFUNCTION("GOOGLETRANSLATE(A8217, ""zh"", ""en"")"),"Responsible Investment")</f>
        <v>Responsible Investment</v>
      </c>
      <c r="C8217" s="1" t="str">
        <f ca="1">IFERROR(__xludf.DUMMYFUNCTION("GOOGLETRANSLATE(E8217, ""zh"", ""en"")"),"Quantitative Text")</f>
        <v>Quantitative Text</v>
      </c>
    </row>
    <row r="8218" spans="1:3" ht="13" x14ac:dyDescent="0.15">
      <c r="A8218" s="1" t="str">
        <f ca="1">IFERROR(__xludf.DUMMYFUNCTION("GOOGLETRANSLATE(A8218, ""zh"", ""en"")"),"The construction company actively implements ""Made in China 2025"" and the ""14th Five-Year Plan for Industrial Green Development"", earnestly fulfills the social responsibilities of central enterprises, vigorously implements green manufacturing projects"&amp;", builds and improves the green manufacturing system, and promotes its subsidiaries to actively carry out green factory construction and declaration work, maintains a high level of operation of green factories, and ensures that it always complies with the"&amp;" requirements of the ""Green Factory Evaluation General Rules"".")</f>
        <v>The construction company actively implements "Made in China 2025" and the "14th Five-Year Plan for Industrial Green Development", earnestly fulfills the social responsibilities of central enterprises, vigorously implements green manufacturing projects, builds and improves the green manufacturing system, and promotes its subsidiaries to actively carry out green factory construction and declaration work, maintains a high level of operation of green factories, and ensures that it always complies with the requirements of the "Green Factory Evaluation General Rules".</v>
      </c>
      <c r="B8218" s="1" t="str">
        <f ca="1">IFERROR(__xludf.DUMMYFUNCTION("GOOGLETRANSLATE(A8218, ""zh"", ""en"")"),"Responsible Investment")</f>
        <v>Responsible Investment</v>
      </c>
      <c r="C8218" s="1" t="str">
        <f ca="1">IFERROR(__xludf.DUMMYFUNCTION("GOOGLETRANSLATE(E8218, ""zh"", ""en"")"),"Qualitative text")</f>
        <v>Qualitative text</v>
      </c>
    </row>
    <row r="8219" spans="1:3" ht="13" x14ac:dyDescent="0.15">
      <c r="A8219" s="1" t="str">
        <f ca="1">IFERROR(__xludf.DUMMYFUNCTION("GOOGLETRANSLATE(A8219, ""zh"", ""en"")"),"The company follows the national requirements and standards for creating green factories, continuously promotes its affiliated cement enterprises to actively participate in the evaluation of green factories, accelerates the green transformation and develo"&amp;"pment of enterprises, enhances the company's brand value, and strengthens the new competitive advantages of the company's products in the market.")</f>
        <v>The company follows the national requirements and standards for creating green factories, continuously promotes its affiliated cement enterprises to actively participate in the evaluation of green factories, accelerates the green transformation and development of enterprises, enhances the company's brand value, and strengthens the new competitive advantages of the company's products in the market.</v>
      </c>
      <c r="B8219" s="1" t="str">
        <f ca="1">IFERROR(__xludf.DUMMYFUNCTION("GOOGLETRANSLATE(A8219, ""zh"", ""en"")"),"Responsible Investment")</f>
        <v>Responsible Investment</v>
      </c>
      <c r="C8219" s="1" t="str">
        <f ca="1">IFERROR(__xludf.DUMMYFUNCTION("GOOGLETRANSLATE(E8219, ""zh"", ""en"")"),"Qualitative text")</f>
        <v>Qualitative text</v>
      </c>
    </row>
    <row r="8220" spans="1:3" ht="13" x14ac:dyDescent="0.15">
      <c r="A8220" s="1" t="str">
        <f ca="1">IFERROR(__xludf.DUMMYFUNCTION("GOOGLETRANSLATE(A8220, ""zh"", ""en"")"),"In 2020, with the company's active promotion, a total of 19 companies applied for the fifth batch of green factories, of which 14 passed the provincial assessment, 8 were recommended for national review, and finally 6 companies were successfully selected "&amp;"into the fifth batch of green factory ""national team"" list.")</f>
        <v>In 2020, with the company's active promotion, a total of 19 companies applied for the fifth batch of green factories, of which 14 passed the provincial assessment, 8 were recommended for national review, and finally 6 companies were successfully selected into the fifth batch of green factory "national team" list.</v>
      </c>
      <c r="B8220" s="1" t="str">
        <f ca="1">IFERROR(__xludf.DUMMYFUNCTION("GOOGLETRANSLATE(A8220, ""zh"", ""en"")"),"Responsible Investment")</f>
        <v>Responsible Investment</v>
      </c>
      <c r="C8220" s="1" t="str">
        <f ca="1">IFERROR(__xludf.DUMMYFUNCTION("GOOGLETRANSLATE(E8220, ""zh"", ""en"")"),"Quantitative Text")</f>
        <v>Quantitative Text</v>
      </c>
    </row>
    <row r="8221" spans="1:3" ht="13" x14ac:dyDescent="0.15">
      <c r="A8221" s="1" t="str">
        <f ca="1">IFERROR(__xludf.DUMMYFUNCTION("GOOGLETRANSLATE(A8221, ""zh"", ""en"")"),"In 2020, the construction of green mines achieved remarkable results. A total of 8 mines were selected for the national green mine list, and 18 mines entered the ranks of provincial green mines. Currently, there are 24 national green mines and 18 provinci"&amp;"al green mines.")</f>
        <v>In 2020, the construction of green mines achieved remarkable results. A total of 8 mines were selected for the national green mine list, and 18 mines entered the ranks of provincial green mines. Currently, there are 24 national green mines and 18 provincial green mines.</v>
      </c>
      <c r="B8221" s="1" t="str">
        <f ca="1">IFERROR(__xludf.DUMMYFUNCTION("GOOGLETRANSLATE(A8221, ""zh"", ""en"")"),"Responsible Investment")</f>
        <v>Responsible Investment</v>
      </c>
      <c r="C8221" s="1" t="str">
        <f ca="1">IFERROR(__xludf.DUMMYFUNCTION("GOOGLETRANSLATE(E8221, ""zh"", ""en"")"),"Quantitative Text")</f>
        <v>Quantitative Text</v>
      </c>
    </row>
    <row r="8222" spans="1:3" ht="13" x14ac:dyDescent="0.15">
      <c r="A8222" s="1" t="str">
        <f ca="1">IFERROR(__xludf.DUMMYFUNCTION("GOOGLETRANSLATE(A8222, ""zh"", ""en"")"),"In 2018, the company formally established a green factory leadership group and successfully completed carbon emissions verification, energy management system audits and third-party evaluation reports. After provincial Ministry of Industry and Information "&amp;"Technology evaluations, expert demonstrations, and public announcements, it was selected into the third batch of green factories of the Ministry of Industry and Information Technology that year.")</f>
        <v>In 2018, the company formally established a green factory leadership group and successfully completed carbon emissions verification, energy management system audits and third-party evaluation reports. After provincial Ministry of Industry and Information Technology evaluations, expert demonstrations, and public announcements, it was selected into the third batch of green factories of the Ministry of Industry and Information Technology that year.</v>
      </c>
      <c r="B8222" s="1" t="str">
        <f ca="1">IFERROR(__xludf.DUMMYFUNCTION("GOOGLETRANSLATE(A8222, ""zh"", ""en"")"),"Responsible Investment")</f>
        <v>Responsible Investment</v>
      </c>
      <c r="C8222" s="1" t="str">
        <f ca="1">IFERROR(__xludf.DUMMYFUNCTION("GOOGLETRANSLATE(E8222, ""zh"", ""en"")"),"Qualitative text")</f>
        <v>Qualitative text</v>
      </c>
    </row>
    <row r="8223" spans="1:3" ht="13" x14ac:dyDescent="0.15">
      <c r="A8223" s="1" t="str">
        <f ca="1">IFERROR(__xludf.DUMMYFUNCTION("GOOGLETRANSLATE(A8223, ""zh"", ""en"")"),"Today, the construction of a green factory of Noli Group has gradually developed into a normalized work. We invite consulting agencies to conduct in-depth research on the factory situation every year, propose three waste emissions and special energy-savin"&amp;"g optimization plans, and improve and optimize operations, management models, production processes and specifications.")</f>
        <v>Today, the construction of a green factory of Noli Group has gradually developed into a normalized work. We invite consulting agencies to conduct in-depth research on the factory situation every year, propose three waste emissions and special energy-saving optimization plans, and improve and optimize operations, management models, production processes and specifications.</v>
      </c>
      <c r="B8223" s="1" t="str">
        <f ca="1">IFERROR(__xludf.DUMMYFUNCTION("GOOGLETRANSLATE(A8223, ""zh"", ""en"")"),"Responsible Investment")</f>
        <v>Responsible Investment</v>
      </c>
      <c r="C8223" s="1" t="str">
        <f ca="1">IFERROR(__xludf.DUMMYFUNCTION("GOOGLETRANSLATE(E8223, ""zh"", ""en"")"),"Qualitative text")</f>
        <v>Qualitative text</v>
      </c>
    </row>
    <row r="8224" spans="1:3" ht="13" x14ac:dyDescent="0.15">
      <c r="A8224" s="1" t="str">
        <f ca="1">IFERROR(__xludf.DUMMYFUNCTION("GOOGLETRANSLATE(A8224, ""zh"", ""en"")"),"In 2020, the FEXP electric forklift we developed in accordance with the ""Technical Specifications for Green Design Product Evaluation for Forklifts"" (T/CMIF48-2019) standard successfully passed the material review, expert review, public announcement and"&amp;" other links, and was selected as the annual green design product of the Ministry of Industry and Information Technology.")</f>
        <v>In 2020, the FEXP electric forklift we developed in accordance with the "Technical Specifications for Green Design Product Evaluation for Forklifts" (T/CMIF48-2019) standard successfully passed the material review, expert review, public announcement and other links, and was selected as the annual green design product of the Ministry of Industry and Information Technology.</v>
      </c>
      <c r="B8224" s="1" t="str">
        <f ca="1">IFERROR(__xludf.DUMMYFUNCTION("GOOGLETRANSLATE(A8224, ""zh"", ""en"")"),"Responsible Investment")</f>
        <v>Responsible Investment</v>
      </c>
      <c r="C8224" s="1" t="str">
        <f ca="1">IFERROR(__xludf.DUMMYFUNCTION("GOOGLETRANSLATE(E8224, ""zh"", ""en"")"),"Qualitative text")</f>
        <v>Qualitative text</v>
      </c>
    </row>
    <row r="8225" spans="1:3" ht="13" x14ac:dyDescent="0.15">
      <c r="A8225" s="1" t="str">
        <f ca="1">IFERROR(__xludf.DUMMYFUNCTION("GOOGLETRANSLATE(A8225, ""zh"", ""en"")"),"In order to create green factory demonstration sites, establish and maintain a green factory evaluation system, and ensure its continued effective operation, a ""Green Factory"" leadership group with the chairman as the group leader and the production dir"&amp;"ector as the deputy group leader and a ""Green Factory"" office composed of major functional departments were established to promote the construction of green factories. The leadership group and the office will implement various green factory management t"&amp;"asks as required, perform their duties correctly, and organize all members to carry out green factory management work.")</f>
        <v>In order to create green factory demonstration sites, establish and maintain a green factory evaluation system, and ensure its continued effective operation, a "Green Factory" leadership group with the chairman as the group leader and the production director as the deputy group leader and a "Green Factory" office composed of major functional departments were established to promote the construction of green factories. The leadership group and the office will implement various green factory management tasks as required, perform their duties correctly, and organize all members to carry out green factory management work.</v>
      </c>
      <c r="B8225" s="1" t="str">
        <f ca="1">IFERROR(__xludf.DUMMYFUNCTION("GOOGLETRANSLATE(A8225, ""zh"", ""en"")"),"Responsible Investment")</f>
        <v>Responsible Investment</v>
      </c>
      <c r="C8225" s="1" t="str">
        <f ca="1">IFERROR(__xludf.DUMMYFUNCTION("GOOGLETRANSLATE(E8225, ""zh"", ""en"")"),"Qualitative text")</f>
        <v>Qualitative text</v>
      </c>
    </row>
    <row r="8226" spans="1:3" ht="13" x14ac:dyDescent="0.15">
      <c r="A8226" s="1" t="str">
        <f ca="1">IFERROR(__xludf.DUMMYFUNCTION("GOOGLETRANSLATE(A8226, ""zh"", ""en"")"),"Vigorously develop the circular economy, effectively control and reduce the impact on the environment through responsible production and operations, and continuously contribute Watson's strength to achieving the ""dual carbon"" goals and building an ecolo"&amp;"gical civilization.")</f>
        <v>Vigorously develop the circular economy, effectively control and reduce the impact on the environment through responsible production and operations, and continuously contribute Watson's strength to achieving the "dual carbon" goals and building an ecological civilization.</v>
      </c>
      <c r="B8226" s="1" t="str">
        <f ca="1">IFERROR(__xludf.DUMMYFUNCTION("GOOGLETRANSLATE(A8226, ""zh"", ""en"")"),"Responsible Investment")</f>
        <v>Responsible Investment</v>
      </c>
      <c r="C8226" s="1" t="str">
        <f ca="1">IFERROR(__xludf.DUMMYFUNCTION("GOOGLETRANSLATE(E8226, ""zh"", ""en"")"),"Qualitative text")</f>
        <v>Qualitative text</v>
      </c>
    </row>
    <row r="8227" spans="1:3" ht="13" x14ac:dyDescent="0.15">
      <c r="A8227" s="1" t="str">
        <f ca="1">IFERROR(__xludf.DUMMYFUNCTION("GOOGLETRANSLATE(A8227, ""zh"", ""en"")"),"Intelligent manufacturing promotes green production. In recent years, the company has increased its efforts in intelligent manufacturing and established an effective green intelligent manufacturing system. Through a series of advanced intelligent producti"&amp;"on equipment, it has greatly reduced operation time and energy consumption.")</f>
        <v>Intelligent manufacturing promotes green production. In recent years, the company has increased its efforts in intelligent manufacturing and established an effective green intelligent manufacturing system. Through a series of advanced intelligent production equipment, it has greatly reduced operation time and energy consumption.</v>
      </c>
      <c r="B8227" s="1" t="str">
        <f ca="1">IFERROR(__xludf.DUMMYFUNCTION("GOOGLETRANSLATE(A8227, ""zh"", ""en"")"),"Responsible Investment")</f>
        <v>Responsible Investment</v>
      </c>
      <c r="C8227" s="1" t="str">
        <f ca="1">IFERROR(__xludf.DUMMYFUNCTION("GOOGLETRANSLATE(E8227, ""zh"", ""en"")"),"Qualitative text")</f>
        <v>Qualitative text</v>
      </c>
    </row>
    <row r="8228" spans="1:3" ht="13" x14ac:dyDescent="0.15">
      <c r="A8228" s="1" t="str">
        <f ca="1">IFERROR(__xludf.DUMMYFUNCTION("GOOGLETRANSLATE(A8228, ""zh"", ""en"")"),"In order to promote the transformation and upgrading of green development and achieve goals such as intensive land use, cleaner production, waste resource utilization, and low-carbon energy, the Optical Cable Manufacturing Center fully launched the green "&amp;"factory construction planning work in early 2022. During this period, a green factory leadership group and working group were established, and documents such as the ""Green Factory System Compilation"" and ""Medium- and Long-Term Plan for Green Factory Co"&amp;"nstruction"" were formulated to lay a solid foundation for the construction of green factories.")</f>
        <v>In order to promote the transformation and upgrading of green development and achieve goals such as intensive land use, cleaner production, waste resource utilization, and low-carbon energy, the Optical Cable Manufacturing Center fully launched the green factory construction planning work in early 2022. During this period, a green factory leadership group and working group were established, and documents such as the "Green Factory System Compilation" and "Medium- and Long-Term Plan for Green Factory Construction" were formulated to lay a solid foundation for the construction of green factories.</v>
      </c>
      <c r="B8228" s="1" t="str">
        <f ca="1">IFERROR(__xludf.DUMMYFUNCTION("GOOGLETRANSLATE(A8228, ""zh"", ""en"")"),"Responsible Investment")</f>
        <v>Responsible Investment</v>
      </c>
      <c r="C8228" s="1" t="str">
        <f ca="1">IFERROR(__xludf.DUMMYFUNCTION("GOOGLETRANSLATE(E8228, ""zh"", ""en"")"),"Qualitative text")</f>
        <v>Qualitative text</v>
      </c>
    </row>
    <row r="8229" spans="1:3" ht="13" x14ac:dyDescent="0.15">
      <c r="A8229" s="1" t="str">
        <f ca="1">IFERROR(__xludf.DUMMYFUNCTION("GOOGLETRANSLATE(A8229, ""zh"", ""en"")"),"The output share and sales share of green products account for 100%, which is at the leading level in the industry.")</f>
        <v>The output share and sales share of green products account for 100%, which is at the leading level in the industry.</v>
      </c>
      <c r="B8229" s="1" t="str">
        <f ca="1">IFERROR(__xludf.DUMMYFUNCTION("GOOGLETRANSLATE(A8229, ""zh"", ""en"")"),"Responsible Investment")</f>
        <v>Responsible Investment</v>
      </c>
      <c r="C8229" s="1" t="str">
        <f ca="1">IFERROR(__xludf.DUMMYFUNCTION("GOOGLETRANSLATE(E8229, ""zh"", ""en"")"),"Quantitative Text")</f>
        <v>Quantitative Text</v>
      </c>
    </row>
    <row r="8230" spans="1:3" ht="13" x14ac:dyDescent="0.15">
      <c r="A8230" s="1" t="str">
        <f ca="1">IFERROR(__xludf.DUMMYFUNCTION("GOOGLETRANSLATE(A8230, ""zh"", ""en"")"),"In Ordos, Inner Mongolia, an investment of 47.8 billion yuan was made to build an olefin project with an annual output of 3 million tons. Among them, 400,000 tons of olefins are produced by relying on the supporting wind-solar integrated hydrogen producti"&amp;"on demonstration project and using green hydrogen direct supply chemical equipment for collaborative production. It is the world's only green industrial intelligent manufacturing enterprise that uses green hydrogen to replace fossil energy on a large scal"&amp;"e.")</f>
        <v>In Ordos, Inner Mongolia, an investment of 47.8 billion yuan was made to build an olefin project with an annual output of 3 million tons. Among them, 400,000 tons of olefins are produced by relying on the supporting wind-solar integrated hydrogen production demonstration project and using green hydrogen direct supply chemical equipment for collaborative production. It is the world's only green industrial intelligent manufacturing enterprise that uses green hydrogen to replace fossil energy on a large scale.</v>
      </c>
      <c r="B8230" s="1" t="str">
        <f ca="1">IFERROR(__xludf.DUMMYFUNCTION("GOOGLETRANSLATE(A8230, ""zh"", ""en"")"),"Responsible Investment")</f>
        <v>Responsible Investment</v>
      </c>
      <c r="C8230" s="1" t="str">
        <f ca="1">IFERROR(__xludf.DUMMYFUNCTION("GOOGLETRANSLATE(E8230, ""zh"", ""en"")"),"Quantitative Text")</f>
        <v>Quantitative Text</v>
      </c>
    </row>
    <row r="8231" spans="1:3" ht="13" x14ac:dyDescent="0.15">
      <c r="A8231" s="1" t="str">
        <f ca="1">IFERROR(__xludf.DUMMYFUNCTION("GOOGLETRANSLATE(A8231, ""zh"", ""en"")"),"The company comprehensively promotes the construction of a green factory system and establishes a green industrial chain from product design, procurement, production to product sales, which features intensive land use, clean production, waste resource uti"&amp;"lization, and low-carbon energy.")</f>
        <v>The company comprehensively promotes the construction of a green factory system and establishes a green industrial chain from product design, procurement, production to product sales, which features intensive land use, clean production, waste resource utilization, and low-carbon energy.</v>
      </c>
      <c r="B8231" s="1" t="str">
        <f ca="1">IFERROR(__xludf.DUMMYFUNCTION("GOOGLETRANSLATE(A8231, ""zh"", ""en"")"),"Responsible Investment")</f>
        <v>Responsible Investment</v>
      </c>
      <c r="C8231" s="1" t="str">
        <f ca="1">IFERROR(__xludf.DUMMYFUNCTION("GOOGLETRANSLATE(E8231, ""zh"", ""en"")"),"Qualitative text")</f>
        <v>Qualitative text</v>
      </c>
    </row>
    <row r="8232" spans="1:3" ht="13" x14ac:dyDescent="0.15">
      <c r="A8232" s="1" t="str">
        <f ca="1">IFERROR(__xludf.DUMMYFUNCTION("GOOGLETRANSLATE(A8232, ""zh"", ""en"")"),"Establish strategic cooperation with green and environmentally friendly enterprises, and use financial instruments such as green bonds to encourage more social capital to invest in green industries.")</f>
        <v>Establish strategic cooperation with green and environmentally friendly enterprises, and use financial instruments such as green bonds to encourage more social capital to invest in green industries.</v>
      </c>
      <c r="B8232" s="1" t="str">
        <f ca="1">IFERROR(__xludf.DUMMYFUNCTION("GOOGLETRANSLATE(A8232, ""zh"", ""en"")"),"Responsible Investment")</f>
        <v>Responsible Investment</v>
      </c>
      <c r="C8232" s="1" t="str">
        <f ca="1">IFERROR(__xludf.DUMMYFUNCTION("GOOGLETRANSLATE(E8232, ""zh"", ""en"")"),"Qualitative text")</f>
        <v>Qualitative text</v>
      </c>
    </row>
    <row r="8233" spans="1:3" ht="13" x14ac:dyDescent="0.15">
      <c r="A8233" s="1" t="str">
        <f ca="1">IFERROR(__xludf.DUMMYFUNCTION("GOOGLETRANSLATE(A8233, ""zh"", ""en"")"),"The company focuses on the green and environmentally friendly performance of its products, insists on using green and environmentally friendly materials, and the recyclability rate of its products basically reaches more than 99%.")</f>
        <v>The company focuses on the green and environmentally friendly performance of its products, insists on using green and environmentally friendly materials, and the recyclability rate of its products basically reaches more than 99%.</v>
      </c>
      <c r="B8233" s="1" t="str">
        <f ca="1">IFERROR(__xludf.DUMMYFUNCTION("GOOGLETRANSLATE(A8233, ""zh"", ""en"")"),"Responsible Investment")</f>
        <v>Responsible Investment</v>
      </c>
      <c r="C8233" s="1" t="str">
        <f ca="1">IFERROR(__xludf.DUMMYFUNCTION("GOOGLETRANSLATE(E8233, ""zh"", ""en"")"),"Quantitative Text")</f>
        <v>Quantitative Text</v>
      </c>
    </row>
    <row r="8234" spans="1:3" ht="13" x14ac:dyDescent="0.15">
      <c r="A8234" s="1" t="str">
        <f ca="1">IFERROR(__xludf.DUMMYFUNCTION("GOOGLETRANSLATE(A8234, ""zh"", ""en"")"),"In 2022, the amount of general solid waste generated in the company's operations was 527.34 tons, the amount of hazardous waste was 10.47 tons, and the amount of non-hazardous waste discharged was 475 tons. For three consecutive years, the compliance disp"&amp;"osal rate of general solid waste and the compliance disposal rate of hazardous waste have reached 100%.")</f>
        <v>In 2022, the amount of general solid waste generated in the company's operations was 527.34 tons, the amount of hazardous waste was 10.47 tons, and the amount of non-hazardous waste discharged was 475 tons. For three consecutive years, the compliance disposal rate of general solid waste and the compliance disposal rate of hazardous waste have reached 100%.</v>
      </c>
      <c r="B8234" s="1" t="str">
        <f ca="1">IFERROR(__xludf.DUMMYFUNCTION("GOOGLETRANSLATE(A8234, ""zh"", ""en"")"),"Waste Management")</f>
        <v>Waste Management</v>
      </c>
      <c r="C8234" s="1" t="str">
        <f ca="1">IFERROR(__xludf.DUMMYFUNCTION("GOOGLETRANSLATE(E8234, ""zh"", ""en"")"),"Quantitative Text")</f>
        <v>Quantitative Text</v>
      </c>
    </row>
    <row r="8235" spans="1:3" ht="13" x14ac:dyDescent="0.15">
      <c r="A8235" s="1" t="str">
        <f ca="1">IFERROR(__xludf.DUMMYFUNCTION("GOOGLETRANSLATE(A8235, ""zh"", ""en"")"),"Shanghai Guijiu strictly abides by the ""Law of the People's Republic of China on the Prevention and Control of Air Pollution"", ""Law of the People's Republic of China on the Prevention and Control of Water Pollution"", ""Law of the People's Republic of "&amp;"China on the Prevention and Control of Environmental Pollution by Solid Wastes"" and other laws and regulations as well as relevant environmental protection standards, and is committed to maximizing the harmless disposal and compliant discharge of emissio"&amp;"ns from production operations, thereby reducing the negative impact of its own operations on the surrounding environment.")</f>
        <v>Shanghai Guijiu strictly abides by the "Law of the People's Republic of China on the Prevention and Control of Air Pollution", "Law of the People's Republic of China on the Prevention and Control of Water Pollution", "Law of the People's Republic of China on the Prevention and Control of Environmental Pollution by Solid Wastes" and other laws and regulations as well as relevant environmental protection standards, and is committed to maximizing the harmless disposal and compliant discharge of emissions from production operations, thereby reducing the negative impact of its own operations on the surrounding environment.</v>
      </c>
      <c r="B8235" s="1" t="str">
        <f ca="1">IFERROR(__xludf.DUMMYFUNCTION("GOOGLETRANSLATE(A8235, ""zh"", ""en"")"),"Waste Management")</f>
        <v>Waste Management</v>
      </c>
      <c r="C8235" s="1" t="str">
        <f ca="1">IFERROR(__xludf.DUMMYFUNCTION("GOOGLETRANSLATE(E8235, ""zh"", ""en"")"),"Qualitative text")</f>
        <v>Qualitative text</v>
      </c>
    </row>
    <row r="8236" spans="1:3" ht="13" x14ac:dyDescent="0.15">
      <c r="A8236" s="1" t="str">
        <f ca="1">IFERROR(__xludf.DUMMYFUNCTION("GOOGLETRANSLATE(A8236, ""zh"", ""en"")"),"In 2020, the company utilized a total of 44.84 million tons of various waste residues.")</f>
        <v>In 2020, the company utilized a total of 44.84 million tons of various waste residues.</v>
      </c>
      <c r="B8236" s="1" t="str">
        <f ca="1">IFERROR(__xludf.DUMMYFUNCTION("GOOGLETRANSLATE(A8236, ""zh"", ""en"")"),"Waste Management")</f>
        <v>Waste Management</v>
      </c>
      <c r="C8236" s="1" t="str">
        <f ca="1">IFERROR(__xludf.DUMMYFUNCTION("GOOGLETRANSLATE(E8236, ""zh"", ""en"")"),"Quantitative Text")</f>
        <v>Quantitative Text</v>
      </c>
    </row>
    <row r="8237" spans="1:3" ht="13" x14ac:dyDescent="0.15">
      <c r="A8237" s="1" t="str">
        <f ca="1">IFERROR(__xludf.DUMMYFUNCTION("GOOGLETRANSLATE(A8237, ""zh"", ""en"")"),"In 2022, Huilian Resource Recycling processed 132,100 tons of perishable food waste. Through refined process control, the factory area was odor-free, and the ammonia nitrogen, COD and total nitrogen in the total sewage discharge were better than the emiss"&amp;"ion standards. All indicators of organized atmospheric pollutants were far below the emission standards, with ammonia less than 1.5 mg/m3 and hydrogen sulfide less than 0.05 mg/m3.")</f>
        <v>In 2022, Huilian Resource Recycling processed 132,100 tons of perishable food waste. Through refined process control, the factory area was odor-free, and the ammonia nitrogen, COD and total nitrogen in the total sewage discharge were better than the emission standards. All indicators of organized atmospheric pollutants were far below the emission standards, with ammonia less than 1.5 mg/m3 and hydrogen sulfide less than 0.05 mg/m3.</v>
      </c>
      <c r="B8237" s="1" t="str">
        <f ca="1">IFERROR(__xludf.DUMMYFUNCTION("GOOGLETRANSLATE(A8237, ""zh"", ""en"")"),"Waste Management")</f>
        <v>Waste Management</v>
      </c>
      <c r="C8237" s="1" t="str">
        <f ca="1">IFERROR(__xludf.DUMMYFUNCTION("GOOGLETRANSLATE(E8237, ""zh"", ""en"")"),"Quantitative Text")</f>
        <v>Quantitative Text</v>
      </c>
    </row>
    <row r="8238" spans="1:3" ht="13" x14ac:dyDescent="0.15">
      <c r="A8238" s="1" t="str">
        <f ca="1">IFERROR(__xludf.DUMMYFUNCTION("GOOGLETRANSLATE(A8238, ""zh"", ""en"")"),"Mixing station sewage treatment system The mixing station is equipped with a sewage and waste treatment system. All wastewater in the mixing station and waste water from washing concrete are treated through sewage filtration, mud and sand separators and o"&amp;"ther devices. After treatment, acid and alkaline reagents are added and it can be used as water for concrete mixing or site washing.")</f>
        <v>Mixing station sewage treatment system The mixing station is equipped with a sewage and waste treatment system. All wastewater in the mixing station and waste water from washing concrete are treated through sewage filtration, mud and sand separators and other devices. After treatment, acid and alkaline reagents are added and it can be used as water for concrete mixing or site washing.</v>
      </c>
      <c r="B8238" s="1" t="str">
        <f ca="1">IFERROR(__xludf.DUMMYFUNCTION("GOOGLETRANSLATE(A8238, ""zh"", ""en"")"),"Waste Management")</f>
        <v>Waste Management</v>
      </c>
      <c r="C8238" s="1" t="str">
        <f ca="1">IFERROR(__xludf.DUMMYFUNCTION("GOOGLETRANSLATE(E8238, ""zh"", ""en"")"),"Qualitative text")</f>
        <v>Qualitative text</v>
      </c>
    </row>
    <row r="8239" spans="1:3" ht="13" x14ac:dyDescent="0.15">
      <c r="A8239" s="1" t="str">
        <f ca="1">IFERROR(__xludf.DUMMYFUNCTION("GOOGLETRANSLATE(A8239, ""zh"", ""en"")"),"During the reporting period, the company implemented the ""Solid Waste Pollution Prevention and Control Management Measures"" and other internal emission management systems, actively carried out industrial waste discharge monitoring and control work, and "&amp;"strived to minimize pollution emissions.")</f>
        <v>During the reporting period, the company implemented the "Solid Waste Pollution Prevention and Control Management Measures" and other internal emission management systems, actively carried out industrial waste discharge monitoring and control work, and strived to minimize pollution emissions.</v>
      </c>
      <c r="B8239" s="1" t="str">
        <f ca="1">IFERROR(__xludf.DUMMYFUNCTION("GOOGLETRANSLATE(A8239, ""zh"", ""en"")"),"Waste Management")</f>
        <v>Waste Management</v>
      </c>
      <c r="C8239" s="1" t="str">
        <f ca="1">IFERROR(__xludf.DUMMYFUNCTION("GOOGLETRANSLATE(E8239, ""zh"", ""en"")"),"Qualitative text")</f>
        <v>Qualitative text</v>
      </c>
    </row>
    <row r="8240" spans="1:3" ht="13" x14ac:dyDescent="0.15">
      <c r="A8240" s="1" t="str">
        <f ca="1">IFERROR(__xludf.DUMMYFUNCTION("GOOGLETRANSLATE(A8240, ""zh"", ""en"")"),"During the reporting period, we added two exhaust chimneys for centralized waste gas treatment and reduced two exhaust chimneys. The details are as follows: The chimney of the 15t/h boiler No. DA0012 is 45 meters high and has an inner diameter of 1.0m. It"&amp;" is equipped with LCDM pulse bag dust collector + SNCR denitrification + double alkali desulfurization.")</f>
        <v>During the reporting period, we added two exhaust chimneys for centralized waste gas treatment and reduced two exhaust chimneys. The details are as follows: The chimney of the 15t/h boiler No. DA0012 is 45 meters high and has an inner diameter of 1.0m. It is equipped with LCDM pulse bag dust collector + SNCR denitrification + double alkali desulfurization.</v>
      </c>
      <c r="B8240" s="1" t="str">
        <f ca="1">IFERROR(__xludf.DUMMYFUNCTION("GOOGLETRANSLATE(A8240, ""zh"", ""en"")"),"Waste Management")</f>
        <v>Waste Management</v>
      </c>
      <c r="C8240" s="1" t="str">
        <f ca="1">IFERROR(__xludf.DUMMYFUNCTION("GOOGLETRANSLATE(E8240, ""zh"", ""en"")"),"Quantitative Text")</f>
        <v>Quantitative Text</v>
      </c>
    </row>
    <row r="8241" spans="1:3" ht="13" x14ac:dyDescent="0.15">
      <c r="A8241" s="1" t="str">
        <f ca="1">IFERROR(__xludf.DUMMYFUNCTION("GOOGLETRANSLATE(A8241, ""zh"", ""en"")"),"The Dehong plant implemented a Fenton wastewater decolorization project, reducing its emission indicators to well below local environmental standards.")</f>
        <v>The Dehong plant implemented a Fenton wastewater decolorization project, reducing its emission indicators to well below local environmental standards.</v>
      </c>
      <c r="B8241" s="1" t="str">
        <f ca="1">IFERROR(__xludf.DUMMYFUNCTION("GOOGLETRANSLATE(A8241, ""zh"", ""en"")"),"Waste Management")</f>
        <v>Waste Management</v>
      </c>
      <c r="C8241" s="1" t="str">
        <f ca="1">IFERROR(__xludf.DUMMYFUNCTION("GOOGLETRANSLATE(E8241, ""zh"", ""en"")"),"Qualitative text")</f>
        <v>Qualitative text</v>
      </c>
    </row>
    <row r="8242" spans="1:3" ht="13" x14ac:dyDescent="0.15">
      <c r="A8242" s="1" t="str">
        <f ca="1">IFERROR(__xludf.DUMMYFUNCTION("GOOGLETRANSLATE(A8242, ""zh"", ""en"")"),"The supporting treatment measures for the calcination waste gas outlet include waste gas collection cyclone dust removal + bag dust removal + secondary water spray, with a collection efficiency of 99% and a treatment efficiency of 99.88%.")</f>
        <v>The supporting treatment measures for the calcination waste gas outlet include waste gas collection cyclone dust removal + bag dust removal + secondary water spray, with a collection efficiency of 99% and a treatment efficiency of 99.88%.</v>
      </c>
      <c r="B8242" s="1" t="str">
        <f ca="1">IFERROR(__xludf.DUMMYFUNCTION("GOOGLETRANSLATE(A8242, ""zh"", ""en"")"),"Waste Management")</f>
        <v>Waste Management</v>
      </c>
      <c r="C8242" s="1" t="str">
        <f ca="1">IFERROR(__xludf.DUMMYFUNCTION("GOOGLETRANSLATE(E8242, ""zh"", ""en"")"),"Quantitative Text")</f>
        <v>Quantitative Text</v>
      </c>
    </row>
    <row r="8243" spans="1:3" ht="13" x14ac:dyDescent="0.15">
      <c r="A8243" s="1" t="str">
        <f ca="1">IFERROR(__xludf.DUMMYFUNCTION("GOOGLETRANSLATE(A8243, ""zh"", ""en"")"),"Waste gas emissions: Huizhou BYD Electronics Co., Ltd. has upgraded its degreasing and sintering organic waste gas treatment process from the original ""UV photolysis + activated carbon adsorption"" treatment process to a ""condensation + water spray + co"&amp;"ndensation + dry filtration + electrostatic oil mist purification + UV photolysis + activated carbon adsorption + low-temperature plasma"" treatment process, further reducing the concentration of pollutants emitted from the waste gas outlet.")</f>
        <v>Waste gas emissions: Huizhou BYD Electronics Co., Ltd. has upgraded its degreasing and sintering organic waste gas treatment process from the original "UV photolysis + activated carbon adsorption" treatment process to a "condensation + water spray + condensation + dry filtration + electrostatic oil mist purification + UV photolysis + activated carbon adsorption + low-temperature plasma" treatment process, further reducing the concentration of pollutants emitted from the waste gas outlet.</v>
      </c>
      <c r="B8243" s="1" t="str">
        <f ca="1">IFERROR(__xludf.DUMMYFUNCTION("GOOGLETRANSLATE(A8243, ""zh"", ""en"")"),"Waste Management")</f>
        <v>Waste Management</v>
      </c>
      <c r="C8243" s="1" t="str">
        <f ca="1">IFERROR(__xludf.DUMMYFUNCTION("GOOGLETRANSLATE(E8243, ""zh"", ""en"")"),"Qualitative text")</f>
        <v>Qualitative text</v>
      </c>
    </row>
    <row r="8244" spans="1:3" ht="13" x14ac:dyDescent="0.15">
      <c r="A8244" s="1" t="str">
        <f ca="1">IFERROR(__xludf.DUMMYFUNCTION("GOOGLETRANSLATE(A8244, ""zh"", ""en"")"),"The generation of other general industrial solid waste such as fly ash, slag, and chemical waste residue was 6.97 million tons, and the comprehensive utilization volume was 4.29 million tons.")</f>
        <v>The generation of other general industrial solid waste such as fly ash, slag, and chemical waste residue was 6.97 million tons, and the comprehensive utilization volume was 4.29 million tons.</v>
      </c>
      <c r="B8244" s="1" t="str">
        <f ca="1">IFERROR(__xludf.DUMMYFUNCTION("GOOGLETRANSLATE(A8244, ""zh"", ""en"")"),"Waste Management")</f>
        <v>Waste Management</v>
      </c>
      <c r="C8244" s="1" t="str">
        <f ca="1">IFERROR(__xludf.DUMMYFUNCTION("GOOGLETRANSLATE(E8244, ""zh"", ""en"")"),"Quantitative Text")</f>
        <v>Quantitative Text</v>
      </c>
    </row>
    <row r="8245" spans="1:3" ht="13" x14ac:dyDescent="0.15">
      <c r="A8245" s="1" t="str">
        <f ca="1">IFERROR(__xludf.DUMMYFUNCTION("GOOGLETRANSLATE(A8245, ""zh"", ""en"")"),"The company's comprehensive resource utilization has achieved fruitful results, and the scope, types and amount of industrial waste residue utilization have increased year by year.")</f>
        <v>The company's comprehensive resource utilization has achieved fruitful results, and the scope, types and amount of industrial waste residue utilization have increased year by year.</v>
      </c>
      <c r="B8245" s="1" t="str">
        <f ca="1">IFERROR(__xludf.DUMMYFUNCTION("GOOGLETRANSLATE(A8245, ""zh"", ""en"")"),"Waste Management")</f>
        <v>Waste Management</v>
      </c>
      <c r="C8245" s="1" t="str">
        <f ca="1">IFERROR(__xludf.DUMMYFUNCTION("GOOGLETRANSLATE(E8245, ""zh"", ""en"")"),"Qualitative text")</f>
        <v>Qualitative text</v>
      </c>
    </row>
    <row r="8246" spans="1:3" ht="13" x14ac:dyDescent="0.15">
      <c r="A8246" s="1" t="str">
        <f ca="1">IFERROR(__xludf.DUMMYFUNCTION("GOOGLETRANSLATE(A8246, ""zh"", ""en"")"),"The company's solid waste mainly includes industrial solid waste, domestic waste and office solid waste.")</f>
        <v>The company's solid waste mainly includes industrial solid waste, domestic waste and office solid waste.</v>
      </c>
      <c r="B8246" s="1" t="str">
        <f ca="1">IFERROR(__xludf.DUMMYFUNCTION("GOOGLETRANSLATE(A8246, ""zh"", ""en"")"),"Waste Management")</f>
        <v>Waste Management</v>
      </c>
      <c r="C8246" s="1" t="str">
        <f ca="1">IFERROR(__xludf.DUMMYFUNCTION("GOOGLETRANSLATE(E8246, ""zh"", ""en"")"),"Qualitative text")</f>
        <v>Qualitative text</v>
      </c>
    </row>
    <row r="8247" spans="1:3" ht="13" x14ac:dyDescent="0.15">
      <c r="A8247" s="1" t="str">
        <f ca="1">IFERROR(__xludf.DUMMYFUNCTION("GOOGLETRANSLATE(A8247, ""zh"", ""en"")"),"During the construction period, the company optimized various pollutant treatment facilities: the supporting treatment facilities for the exhaust gas discharge outlet of raw materials pre-treatment adopt two-stage combustion chamber combustion + cyclone d"&amp;"ust removal + water mist spray quenching + bag dust removal + activated carbon adsorption + two-stage alkali solution spray, with a collection efficiency of 99%, particulate matter and various metal treatment efficiency of 99%, SO2 treatment efficiency of"&amp;" 90%, HF treatment efficiency of 95%, VOCs treatment efficiency of 50%, and emission standards meet regulatory requirements;")</f>
        <v>During the construction period, the company optimized various pollutant treatment facilities: the supporting treatment facilities for the exhaust gas discharge outlet of raw materials pre-treatment adopt two-stage combustion chamber combustion + cyclone dust removal + water mist spray quenching + bag dust removal + activated carbon adsorption + two-stage alkali solution spray, with a collection efficiency of 99%, particulate matter and various metal treatment efficiency of 99%, SO2 treatment efficiency of 90%, HF treatment efficiency of 95%, VOCs treatment efficiency of 50%, and emission standards meet regulatory requirements;</v>
      </c>
      <c r="B8247" s="1" t="str">
        <f ca="1">IFERROR(__xludf.DUMMYFUNCTION("GOOGLETRANSLATE(A8247, ""zh"", ""en"")"),"Waste Management")</f>
        <v>Waste Management</v>
      </c>
      <c r="C8247" s="1" t="str">
        <f ca="1">IFERROR(__xludf.DUMMYFUNCTION("GOOGLETRANSLATE(E8247, ""zh"", ""en"")"),"Quantitative Text")</f>
        <v>Quantitative Text</v>
      </c>
    </row>
    <row r="8248" spans="1:3" ht="13" x14ac:dyDescent="0.15">
      <c r="A8248" s="1" t="str">
        <f ca="1">IFERROR(__xludf.DUMMYFUNCTION("GOOGLETRANSLATE(A8248, ""zh"", ""en"")"),"The company has set up four types of garbage bins in the main office areas: recyclables, kitchen waste, other waste, and hazardous waste. It does a good job in classifying hazardous and non-hazardous waste, recycling recyclable waste, strengthening public"&amp;"ity on waste classification, and striving to achieve source reduction, classified disposal, on-site disposal, and resource utilization.")</f>
        <v>The company has set up four types of garbage bins in the main office areas: recyclables, kitchen waste, other waste, and hazardous waste. It does a good job in classifying hazardous and non-hazardous waste, recycling recyclable waste, strengthening publicity on waste classification, and striving to achieve source reduction, classified disposal, on-site disposal, and resource utilization.</v>
      </c>
      <c r="B8248" s="1" t="str">
        <f ca="1">IFERROR(__xludf.DUMMYFUNCTION("GOOGLETRANSLATE(A8248, ""zh"", ""en"")"),"Waste Management")</f>
        <v>Waste Management</v>
      </c>
      <c r="C8248" s="1" t="str">
        <f ca="1">IFERROR(__xludf.DUMMYFUNCTION("GOOGLETRANSLATE(E8248, ""zh"", ""en"")"),"Qualitative text")</f>
        <v>Qualitative text</v>
      </c>
    </row>
    <row r="8249" spans="1:3" ht="13" x14ac:dyDescent="0.15">
      <c r="A8249" s="1" t="str">
        <f ca="1">IFERROR(__xludf.DUMMYFUNCTION("GOOGLETRANSLATE(A8249, ""zh"", ""en"")"),"Strengthen the management of solid waste and hazardous waste disposal and realize the recycling of boiler ash.")</f>
        <v>Strengthen the management of solid waste and hazardous waste disposal and realize the recycling of boiler ash.</v>
      </c>
      <c r="B8249" s="1" t="str">
        <f ca="1">IFERROR(__xludf.DUMMYFUNCTION("GOOGLETRANSLATE(A8249, ""zh"", ""en"")"),"Waste Management")</f>
        <v>Waste Management</v>
      </c>
      <c r="C8249" s="1" t="str">
        <f ca="1">IFERROR(__xludf.DUMMYFUNCTION("GOOGLETRANSLATE(E8249, ""zh"", ""en"")"),"Qualitative text")</f>
        <v>Qualitative text</v>
      </c>
    </row>
    <row r="8250" spans="1:3" ht="13" x14ac:dyDescent="0.15">
      <c r="A8250" s="1" t="str">
        <f ca="1">IFERROR(__xludf.DUMMYFUNCTION("GOOGLETRANSLATE(A8250, ""zh"", ""en"")"),"It is prohibited to discharge, dump or directly bury soluble and highly toxic waste residues containing mercury, cadmium, arsenic, chromium, lead, cyanide, yellow phosphorus, etc. into water bodies;")</f>
        <v>It is prohibited to discharge, dump or directly bury soluble and highly toxic waste residues containing mercury, cadmium, arsenic, chromium, lead, cyanide, yellow phosphorus, etc. into water bodies;</v>
      </c>
      <c r="B8250" s="1" t="str">
        <f ca="1">IFERROR(__xludf.DUMMYFUNCTION("GOOGLETRANSLATE(A8250, ""zh"", ""en"")"),"Waste Management")</f>
        <v>Waste Management</v>
      </c>
      <c r="C8250" s="1" t="str">
        <f ca="1">IFERROR(__xludf.DUMMYFUNCTION("GOOGLETRANSLATE(E8250, ""zh"", ""en"")"),"Qualitative text")</f>
        <v>Qualitative text</v>
      </c>
    </row>
    <row r="8251" spans="1:3" ht="13" x14ac:dyDescent="0.15">
      <c r="A8251" s="1" t="str">
        <f ca="1">IFERROR(__xludf.DUMMYFUNCTION("GOOGLETRANSLATE(A8251, ""zh"", ""en"")"),"Mango Super Media has fully implemented garbage classification work, encouraged employees to sort garbage, and set up classified garbage bins on each floor and in the cafeteria. Employees are required to sort recyclables and non-recyclables, and printed g"&amp;"arbage classification leaflets to promote garbage classification and environmental protection knowledge, which has played a good publicity role.")</f>
        <v>Mango Super Media has fully implemented garbage classification work, encouraged employees to sort garbage, and set up classified garbage bins on each floor and in the cafeteria. Employees are required to sort recyclables and non-recyclables, and printed garbage classification leaflets to promote garbage classification and environmental protection knowledge, which has played a good publicity role.</v>
      </c>
      <c r="B8251" s="1" t="str">
        <f ca="1">IFERROR(__xludf.DUMMYFUNCTION("GOOGLETRANSLATE(A8251, ""zh"", ""en"")"),"Waste Management")</f>
        <v>Waste Management</v>
      </c>
      <c r="C8251" s="1" t="str">
        <f ca="1">IFERROR(__xludf.DUMMYFUNCTION("GOOGLETRANSLATE(E8251, ""zh"", ""en"")"),"Qualitative text")</f>
        <v>Qualitative text</v>
      </c>
    </row>
    <row r="8252" spans="1:3" ht="13" x14ac:dyDescent="0.15">
      <c r="A8252" s="1" t="str">
        <f ca="1">IFERROR(__xludf.DUMMYFUNCTION("GOOGLETRANSLATE(A8252, ""zh"", ""en"")"),"Currently, the company utilizes dozens of types of solid waste including limestone powder, sandstone powder, converter slag, phosphogypsum, desulfurization gypsum, fly ash, coal gangue, carbide slag, sulfuric acid slag, red mud, contaminated soil, constru"&amp;"ction waste, domestic waste and other solid waste.")</f>
        <v>Currently, the company utilizes dozens of types of solid waste including limestone powder, sandstone powder, converter slag, phosphogypsum, desulfurization gypsum, fly ash, coal gangue, carbide slag, sulfuric acid slag, red mud, contaminated soil, construction waste, domestic waste and other solid waste.</v>
      </c>
      <c r="B8252" s="1" t="str">
        <f ca="1">IFERROR(__xludf.DUMMYFUNCTION("GOOGLETRANSLATE(A8252, ""zh"", ""en"")"),"Waste Management")</f>
        <v>Waste Management</v>
      </c>
      <c r="C8252" s="1" t="str">
        <f ca="1">IFERROR(__xludf.DUMMYFUNCTION("GOOGLETRANSLATE(E8252, ""zh"", ""en"")"),"Qualitative text")</f>
        <v>Qualitative text</v>
      </c>
    </row>
    <row r="8253" spans="1:3" ht="13" x14ac:dyDescent="0.15">
      <c r="A8253" s="1" t="str">
        <f ca="1">IFERROR(__xludf.DUMMYFUNCTION("GOOGLETRANSLATE(A8253, ""zh"", ""en"")"),"Set up a chimney at least 15 meters high for direct discharge, and the emitted ozone and nitrogen oxides will automatically decompose and be discharged according to standards.")</f>
        <v>Set up a chimney at least 15 meters high for direct discharge, and the emitted ozone and nitrogen oxides will automatically decompose and be discharged according to standards.</v>
      </c>
      <c r="B8253" s="1" t="str">
        <f ca="1">IFERROR(__xludf.DUMMYFUNCTION("GOOGLETRANSLATE(A8253, ""zh"", ""en"")"),"Waste Management")</f>
        <v>Waste Management</v>
      </c>
      <c r="C8253" s="1" t="str">
        <f ca="1">IFERROR(__xludf.DUMMYFUNCTION("GOOGLETRANSLATE(E8253, ""zh"", ""en"")"),"Quantitative Text")</f>
        <v>Quantitative Text</v>
      </c>
    </row>
    <row r="8254" spans="1:3" ht="13" x14ac:dyDescent="0.15">
      <c r="A8254" s="1" t="str">
        <f ca="1">IFERROR(__xludf.DUMMYFUNCTION("GOOGLETRANSLATE(A8254, ""zh"", ""en"")"),"1,246.58 tons of hazardous waste were collected.")</f>
        <v>1,246.58 tons of hazardous waste were collected.</v>
      </c>
      <c r="B8254" s="1" t="str">
        <f ca="1">IFERROR(__xludf.DUMMYFUNCTION("GOOGLETRANSLATE(A8254, ""zh"", ""en"")"),"Waste Management")</f>
        <v>Waste Management</v>
      </c>
      <c r="C8254" s="1" t="str">
        <f ca="1">IFERROR(__xludf.DUMMYFUNCTION("GOOGLETRANSLATE(E8254, ""zh"", ""en"")"),"Quantitative Text")</f>
        <v>Quantitative Text</v>
      </c>
    </row>
    <row r="8255" spans="1:3" ht="13" x14ac:dyDescent="0.15">
      <c r="A8255" s="1" t="str">
        <f ca="1">IFERROR(__xludf.DUMMYFUNCTION("GOOGLETRANSLATE(A8255, ""zh"", ""en"")"),"Digital management accelerates the digital construction of energy-saving and emission-reduction platforms, uses big data to monitor corporate energy consumption and pollutant emissions, and implements early warning linkage for abnormal energy consumption "&amp;"and pollution indicators.")</f>
        <v>Digital management accelerates the digital construction of energy-saving and emission-reduction platforms, uses big data to monitor corporate energy consumption and pollutant emissions, and implements early warning linkage for abnormal energy consumption and pollution indicators.</v>
      </c>
      <c r="B8255" s="1" t="str">
        <f ca="1">IFERROR(__xludf.DUMMYFUNCTION("GOOGLETRANSLATE(A8255, ""zh"", ""en"")"),"Waste Management")</f>
        <v>Waste Management</v>
      </c>
      <c r="C8255" s="1" t="str">
        <f ca="1">IFERROR(__xludf.DUMMYFUNCTION("GOOGLETRANSLATE(E8255, ""zh"", ""en"")"),"Qualitative text")</f>
        <v>Qualitative text</v>
      </c>
    </row>
    <row r="8256" spans="1:3" ht="13" x14ac:dyDescent="0.15">
      <c r="A8256" s="1" t="str">
        <f ca="1">IFERROR(__xludf.DUMMYFUNCTION("GOOGLETRANSLATE(A8256, ""zh"", ""en"")"),"The Suixian factory has improved its solid waste disposal management, and the Chifeng factory has accelerated the implementation of solid waste projects.")</f>
        <v>The Suixian factory has improved its solid waste disposal management, and the Chifeng factory has accelerated the implementation of solid waste projects.</v>
      </c>
      <c r="B8256" s="1" t="str">
        <f ca="1">IFERROR(__xludf.DUMMYFUNCTION("GOOGLETRANSLATE(A8256, ""zh"", ""en"")"),"Waste Management")</f>
        <v>Waste Management</v>
      </c>
      <c r="C8256" s="1" t="str">
        <f ca="1">IFERROR(__xludf.DUMMYFUNCTION("GOOGLETRANSLATE(E8256, ""zh"", ""en"")"),"Qualitative text")</f>
        <v>Qualitative text</v>
      </c>
    </row>
    <row r="8257" spans="1:3" ht="13" x14ac:dyDescent="0.15">
      <c r="A8257" s="1" t="str">
        <f ca="1">IFERROR(__xludf.DUMMYFUNCTION("GOOGLETRANSLATE(A8257, ""zh"", ""en"")"),"In order to dispose of fly ash in compliance with regulations, Wuxi Huilian Solid Waste Disposal Co., Ltd. was established. It also developed the first ""fly ash mold bag filling technology"", which increased the storage capacity utilization rate by 20-30"&amp;"%, greatly improving the ""reduction, resource utilization, and harmless"" treatment rate of Wuxi's domestic waste.")</f>
        <v>In order to dispose of fly ash in compliance with regulations, Wuxi Huilian Solid Waste Disposal Co., Ltd. was established. It also developed the first "fly ash mold bag filling technology", which increased the storage capacity utilization rate by 20-30%, greatly improving the "reduction, resource utilization, and harmless" treatment rate of Wuxi's domestic waste.</v>
      </c>
      <c r="B8257" s="1" t="str">
        <f ca="1">IFERROR(__xludf.DUMMYFUNCTION("GOOGLETRANSLATE(A8257, ""zh"", ""en"")"),"Waste Management")</f>
        <v>Waste Management</v>
      </c>
      <c r="C8257" s="1" t="str">
        <f ca="1">IFERROR(__xludf.DUMMYFUNCTION("GOOGLETRANSLATE(E8257, ""zh"", ""en"")"),"Quantitative Text")</f>
        <v>Quantitative Text</v>
      </c>
    </row>
    <row r="8258" spans="1:3" ht="13" x14ac:dyDescent="0.15">
      <c r="A8258" s="1" t="str">
        <f ca="1">IFERROR(__xludf.DUMMYFUNCTION("GOOGLETRANSLATE(A8258, ""zh"", ""en"")"),"To ensure compliance with regulations in the discharge of domestic sewage in the living area, Youshan Nickel put into operation two sewage treatment stations during the reporting period. Based on the specific characteristics of the sewage water quality in"&amp;" the living area, the conventional ""A/O biological contact oxidation"" process was adopted to build two sewage treatment stations with treatment capacities of 1,500 cubic meters/day and 2,000 cubic meters/day respectively.")</f>
        <v>To ensure compliance with regulations in the discharge of domestic sewage in the living area, Youshan Nickel put into operation two sewage treatment stations during the reporting period. Based on the specific characteristics of the sewage water quality in the living area, the conventional "A/O biological contact oxidation" process was adopted to build two sewage treatment stations with treatment capacities of 1,500 cubic meters/day and 2,000 cubic meters/day respectively.</v>
      </c>
      <c r="B8258" s="1" t="str">
        <f ca="1">IFERROR(__xludf.DUMMYFUNCTION("GOOGLETRANSLATE(A8258, ""zh"", ""en"")"),"Waste Management")</f>
        <v>Waste Management</v>
      </c>
      <c r="C8258" s="1" t="str">
        <f ca="1">IFERROR(__xludf.DUMMYFUNCTION("GOOGLETRANSLATE(E8258, ""zh"", ""en"")"),"Quantitative Text")</f>
        <v>Quantitative Text</v>
      </c>
    </row>
    <row r="8259" spans="1:3" ht="13" x14ac:dyDescent="0.15">
      <c r="A8259" s="1" t="str">
        <f ca="1">IFERROR(__xludf.DUMMYFUNCTION("GOOGLETRANSLATE(A8259, ""zh"", ""en"")"),"We insist on good manure management during livestock and poultry farming to prevent the release of methane and nitrous oxide into the atmosphere.")</f>
        <v>We insist on good manure management during livestock and poultry farming to prevent the release of methane and nitrous oxide into the atmosphere.</v>
      </c>
      <c r="B8259" s="1" t="str">
        <f ca="1">IFERROR(__xludf.DUMMYFUNCTION("GOOGLETRANSLATE(A8259, ""zh"", ""en"")"),"Waste Management")</f>
        <v>Waste Management</v>
      </c>
      <c r="C8259" s="1" t="str">
        <f ca="1">IFERROR(__xludf.DUMMYFUNCTION("GOOGLETRANSLATE(E8259, ""zh"", ""en"")"),"Qualitative text")</f>
        <v>Qualitative text</v>
      </c>
    </row>
    <row r="8260" spans="1:3" ht="13" x14ac:dyDescent="0.15">
      <c r="A8260" s="1" t="str">
        <f ca="1">IFERROR(__xludf.DUMMYFUNCTION("GOOGLETRANSLATE(A8260, ""zh"", ""en"")"),"We combine process requirements to increase the reuse of industrial wastewater and domestic sewage and continuously reduce sewage discharge.")</f>
        <v>We combine process requirements to increase the reuse of industrial wastewater and domestic sewage and continuously reduce sewage discharge.</v>
      </c>
      <c r="B8260" s="1" t="str">
        <f ca="1">IFERROR(__xludf.DUMMYFUNCTION("GOOGLETRANSLATE(A8260, ""zh"", ""en"")"),"Waste Management")</f>
        <v>Waste Management</v>
      </c>
      <c r="C8260" s="1" t="str">
        <f ca="1">IFERROR(__xludf.DUMMYFUNCTION("GOOGLETRANSLATE(E8260, ""zh"", ""en"")"),"Qualitative text")</f>
        <v>Qualitative text</v>
      </c>
    </row>
    <row r="8261" spans="1:3" ht="13" x14ac:dyDescent="0.15">
      <c r="A8261" s="1" t="str">
        <f ca="1">IFERROR(__xludf.DUMMYFUNCTION("GOOGLETRANSLATE(A8261, ""zh"", ""en"")"),"With a sewage treatment capacity of 1.1 million cubic meters per day, the Zhuyuan No. 1 Sewage Treatment Plant is China's first municipal sewage BOT project. With a designed treatment capacity of 1.1 million cubic meters per day and effluent standards mee"&amp;"ting Level A of the ""Pollutant Discharge Standard for Urban Wastewater Treatment Plants"" (GB18918-2002), the plant's single-plant treatment capacity ranks second in China. It is China's first municipal sewage BOT project and one of the few high-tech ent"&amp;"erprises in the domestic sewage treatment sector. It also boasts the largest effective water depth in its biological pools.")</f>
        <v>With a sewage treatment capacity of 1.1 million cubic meters per day, the Zhuyuan No. 1 Sewage Treatment Plant is China's first municipal sewage BOT project. With a designed treatment capacity of 1.1 million cubic meters per day and effluent standards meeting Level A of the "Pollutant Discharge Standard for Urban Wastewater Treatment Plants" (GB18918-2002), the plant's single-plant treatment capacity ranks second in China. It is China's first municipal sewage BOT project and one of the few high-tech enterprises in the domestic sewage treatment sector. It also boasts the largest effective water depth in its biological pools.</v>
      </c>
      <c r="B8261" s="1" t="str">
        <f ca="1">IFERROR(__xludf.DUMMYFUNCTION("GOOGLETRANSLATE(A8261, ""zh"", ""en"")"),"Waste Management")</f>
        <v>Waste Management</v>
      </c>
      <c r="C8261" s="1" t="str">
        <f ca="1">IFERROR(__xludf.DUMMYFUNCTION("GOOGLETRANSLATE(E8261, ""zh"", ""en"")"),"Quantitative Text")</f>
        <v>Quantitative Text</v>
      </c>
    </row>
    <row r="8262" spans="1:3" ht="13" x14ac:dyDescent="0.15">
      <c r="A8262" s="1" t="str">
        <f ca="1">IFERROR(__xludf.DUMMYFUNCTION("GOOGLETRANSLATE(A8262, ""zh"", ""en"")"),"After the project transformation, Guangzhou Jianfeng's wastewater discharge in 2022 was about 6,000 tons, and wastewater emissions were effectively reduced by more than 10%, achieving the effects of cost reduction, efficiency improvement, energy conservat"&amp;"ion and emission reduction.")</f>
        <v>After the project transformation, Guangzhou Jianfeng's wastewater discharge in 2022 was about 6,000 tons, and wastewater emissions were effectively reduced by more than 10%, achieving the effects of cost reduction, efficiency improvement, energy conservation and emission reduction.</v>
      </c>
      <c r="B8262" s="1" t="str">
        <f ca="1">IFERROR(__xludf.DUMMYFUNCTION("GOOGLETRANSLATE(A8262, ""zh"", ""en"")"),"Waste Management")</f>
        <v>Waste Management</v>
      </c>
      <c r="C8262" s="1" t="str">
        <f ca="1">IFERROR(__xludf.DUMMYFUNCTION("GOOGLETRANSLATE(E8262, ""zh"", ""en"")"),"Quantitative Text")</f>
        <v>Quantitative Text</v>
      </c>
    </row>
    <row r="8263" spans="1:3" ht="13" x14ac:dyDescent="0.15">
      <c r="A8263" s="1" t="str">
        <f ca="1">IFERROR(__xludf.DUMMYFUNCTION("GOOGLETRANSLATE(A8263, ""zh"", ""en"")"),"Strictly regulate the operating process exhaust system, improve industrial waste gas treatment technology and equipment, fundamentally reduce waste gas emissions, and reduce waste gas pollutant emissions during the production process.")</f>
        <v>Strictly regulate the operating process exhaust system, improve industrial waste gas treatment technology and equipment, fundamentally reduce waste gas emissions, and reduce waste gas pollutant emissions during the production process.</v>
      </c>
      <c r="B8263" s="1" t="str">
        <f ca="1">IFERROR(__xludf.DUMMYFUNCTION("GOOGLETRANSLATE(A8263, ""zh"", ""en"")"),"Waste Management")</f>
        <v>Waste Management</v>
      </c>
      <c r="C8263" s="1" t="str">
        <f ca="1">IFERROR(__xludf.DUMMYFUNCTION("GOOGLETRANSLATE(E8263, ""zh"", ""en"")"),"Qualitative text")</f>
        <v>Qualitative text</v>
      </c>
    </row>
    <row r="8264" spans="1:3" ht="13" x14ac:dyDescent="0.15">
      <c r="A8264" s="1" t="str">
        <f ca="1">IFERROR(__xludf.DUMMYFUNCTION("GOOGLETRANSLATE(A8264, ""zh"", ""en"")"),"Strictly limit the emission of toxic and harmful waste gases and dust into the atmosphere. If it is necessary to discharge, it must be purified and the concentration of pollutants must not exceed the national and local emission standards.")</f>
        <v>Strictly limit the emission of toxic and harmful waste gases and dust into the atmosphere. If it is necessary to discharge, it must be purified and the concentration of pollutants must not exceed the national and local emission standards.</v>
      </c>
      <c r="B8264" s="1" t="str">
        <f ca="1">IFERROR(__xludf.DUMMYFUNCTION("GOOGLETRANSLATE(A8264, ""zh"", ""en"")"),"Waste Management")</f>
        <v>Waste Management</v>
      </c>
      <c r="C8264" s="1" t="str">
        <f ca="1">IFERROR(__xludf.DUMMYFUNCTION("GOOGLETRANSLATE(E8264, ""zh"", ""en"")"),"Qualitative text")</f>
        <v>Qualitative text</v>
      </c>
    </row>
    <row r="8265" spans="1:3" ht="13" x14ac:dyDescent="0.15">
      <c r="A8265" s="1" t="str">
        <f ca="1">IFERROR(__xludf.DUMMYFUNCTION("GOOGLETRANSLATE(A8265, ""zh"", ""en"")"),"Classify and recycle medicines to prevent expired medicines from polluting the environment.")</f>
        <v>Classify and recycle medicines to prevent expired medicines from polluting the environment.</v>
      </c>
      <c r="B8265" s="1" t="str">
        <f ca="1">IFERROR(__xludf.DUMMYFUNCTION("GOOGLETRANSLATE(A8265, ""zh"", ""en"")"),"Waste Management")</f>
        <v>Waste Management</v>
      </c>
      <c r="C8265" s="1" t="str">
        <f ca="1">IFERROR(__xludf.DUMMYFUNCTION("GOOGLETRANSLATE(E8265, ""zh"", ""en"")"),"Qualitative text")</f>
        <v>Qualitative text</v>
      </c>
    </row>
    <row r="8266" spans="1:3" ht="13" x14ac:dyDescent="0.15">
      <c r="A8266" s="1" t="str">
        <f ca="1">IFERROR(__xludf.DUMMYFUNCTION("GOOGLETRANSLATE(A8266, ""zh"", ""en"")"),"Classification labels must be affixed to garbage classification bins as required.")</f>
        <v>Classification labels must be affixed to garbage classification bins as required.</v>
      </c>
      <c r="B8266" s="1" t="str">
        <f ca="1">IFERROR(__xludf.DUMMYFUNCTION("GOOGLETRANSLATE(A8266, ""zh"", ""en"")"),"Waste Management")</f>
        <v>Waste Management</v>
      </c>
      <c r="C8266" s="1" t="str">
        <f ca="1">IFERROR(__xludf.DUMMYFUNCTION("GOOGLETRANSLATE(E8266, ""zh"", ""en"")"),"Qualitative text")</f>
        <v>Qualitative text</v>
      </c>
    </row>
    <row r="8267" spans="1:3" ht="13" x14ac:dyDescent="0.15">
      <c r="A8267" s="1" t="str">
        <f ca="1">IFERROR(__xludf.DUMMYFUNCTION("GOOGLETRANSLATE(A8267, ""zh"", ""en"")"),"During the circuit board welding and testing process, the emission of atmospheric pollutants can be reduced by using a fume purifier.")</f>
        <v>During the circuit board welding and testing process, the emission of atmospheric pollutants can be reduced by using a fume purifier.</v>
      </c>
      <c r="B8267" s="1" t="str">
        <f ca="1">IFERROR(__xludf.DUMMYFUNCTION("GOOGLETRANSLATE(A8267, ""zh"", ""en"")"),"Waste Management")</f>
        <v>Waste Management</v>
      </c>
      <c r="C8267" s="1" t="str">
        <f ca="1">IFERROR(__xludf.DUMMYFUNCTION("GOOGLETRANSLATE(E8267, ""zh"", ""en"")"),"Qualitative text")</f>
        <v>Qualitative text</v>
      </c>
    </row>
    <row r="8268" spans="1:3" ht="13" x14ac:dyDescent="0.15">
      <c r="A8268" s="1" t="str">
        <f ca="1">IFERROR(__xludf.DUMMYFUNCTION("GOOGLETRANSLATE(A8268, ""zh"", ""en"")"),"During the project construction process, the main air pollutants involved are dust, vehicle exhaust, etc. The company suppresses dust pollution by installing an automatic spray dust reduction system, conducts solid particulate matter monitoring around the"&amp;" project, and entrusts a third-party agency to carry out mechanical equipment.")</f>
        <v>During the project construction process, the main air pollutants involved are dust, vehicle exhaust, etc. The company suppresses dust pollution by installing an automatic spray dust reduction system, conducts solid particulate matter monitoring around the project, and entrusts a third-party agency to carry out mechanical equipment.</v>
      </c>
      <c r="B8268" s="1" t="str">
        <f ca="1">IFERROR(__xludf.DUMMYFUNCTION("GOOGLETRANSLATE(A8268, ""zh"", ""en"")"),"Waste Management")</f>
        <v>Waste Management</v>
      </c>
      <c r="C8268" s="1" t="str">
        <f ca="1">IFERROR(__xludf.DUMMYFUNCTION("GOOGLETRANSLATE(E8268, ""zh"", ""en"")"),"Qualitative text")</f>
        <v>Qualitative text</v>
      </c>
    </row>
    <row r="8269" spans="1:3" ht="13" x14ac:dyDescent="0.15">
      <c r="A8269" s="1" t="str">
        <f ca="1">IFERROR(__xludf.DUMMYFUNCTION("GOOGLETRANSLATE(A8269, ""zh"", ""en"")"),"Further promote the optimized management of hazardous waste, and the amount of hazardous waste generated per MW wind turbine produced will decrease by 5.6% compared with 2021")</f>
        <v>Further promote the optimized management of hazardous waste, and the amount of hazardous waste generated per MW wind turbine produced will decrease by 5.6% compared with 2021</v>
      </c>
      <c r="B8269" s="1" t="str">
        <f ca="1">IFERROR(__xludf.DUMMYFUNCTION("GOOGLETRANSLATE(A8269, ""zh"", ""en"")"),"Waste Management")</f>
        <v>Waste Management</v>
      </c>
      <c r="C8269" s="1" t="str">
        <f ca="1">IFERROR(__xludf.DUMMYFUNCTION("GOOGLETRANSLATE(E8269, ""zh"", ""en"")"),"Quantitative Text")</f>
        <v>Quantitative Text</v>
      </c>
    </row>
    <row r="8270" spans="1:3" ht="13" x14ac:dyDescent="0.15">
      <c r="A8270" s="1" t="str">
        <f ca="1">IFERROR(__xludf.DUMMYFUNCTION("GOOGLETRANSLATE(A8270, ""zh"", ""en"")"),"Goldwind Technology's zero-carbon smart manufacturing base deploys wind power, rooftop photovoltaics, and smart microgrid facilities. Waste and recycling The company generates relatively little waste during the wind turbine manufacturing process, mainly h"&amp;"azardous waste and general solid waste.")</f>
        <v>Goldwind Technology's zero-carbon smart manufacturing base deploys wind power, rooftop photovoltaics, and smart microgrid facilities. Waste and recycling The company generates relatively little waste during the wind turbine manufacturing process, mainly hazardous waste and general solid waste.</v>
      </c>
      <c r="B8270" s="1" t="str">
        <f ca="1">IFERROR(__xludf.DUMMYFUNCTION("GOOGLETRANSLATE(A8270, ""zh"", ""en"")"),"Waste Management")</f>
        <v>Waste Management</v>
      </c>
      <c r="C8270" s="1" t="str">
        <f ca="1">IFERROR(__xludf.DUMMYFUNCTION("GOOGLETRANSLATE(E8270, ""zh"", ""en"")"),"Qualitative text")</f>
        <v>Qualitative text</v>
      </c>
    </row>
    <row r="8271" spans="1:3" ht="13" x14ac:dyDescent="0.15">
      <c r="A8271" s="1" t="str">
        <f ca="1">IFERROR(__xludf.DUMMYFUNCTION("GOOGLETRANSLATE(A8271, ""zh"", ""en"")"),"The company's hazardous waste mainly includes organic resin waste, organic solvent waste, waste mineral oil and its containers, etc. By identifying emission sources at each link and continuously optimizing the process, the amount of hazardous waste genera"&amp;"ted is reduced.")</f>
        <v>The company's hazardous waste mainly includes organic resin waste, organic solvent waste, waste mineral oil and its containers, etc. By identifying emission sources at each link and continuously optimizing the process, the amount of hazardous waste generated is reduced.</v>
      </c>
      <c r="B8271" s="1" t="str">
        <f ca="1">IFERROR(__xludf.DUMMYFUNCTION("GOOGLETRANSLATE(A8271, ""zh"", ""en"")"),"Waste Management")</f>
        <v>Waste Management</v>
      </c>
      <c r="C8271" s="1" t="str">
        <f ca="1">IFERROR(__xludf.DUMMYFUNCTION("GOOGLETRANSLATE(E8271, ""zh"", ""en"")"),"Qualitative text")</f>
        <v>Qualitative text</v>
      </c>
    </row>
    <row r="8272" spans="1:3" ht="13" x14ac:dyDescent="0.15">
      <c r="A8272" s="1" t="str">
        <f ca="1">IFERROR(__xludf.DUMMYFUNCTION("GOOGLETRANSLATE(A8272, ""zh"", ""en"")"),"The amount of hazardous waste generated by a single transmission system has been reduced from 120kg to 20kg, an 83% reduction compared to the previous single unit hazardous waste generation.")</f>
        <v>The amount of hazardous waste generated by a single transmission system has been reduced from 120kg to 20kg, an 83% reduction compared to the previous single unit hazardous waste generation.</v>
      </c>
      <c r="B8272" s="1" t="str">
        <f ca="1">IFERROR(__xludf.DUMMYFUNCTION("GOOGLETRANSLATE(A8272, ""zh"", ""en"")"),"Waste Management")</f>
        <v>Waste Management</v>
      </c>
      <c r="C8272" s="1" t="str">
        <f ca="1">IFERROR(__xludf.DUMMYFUNCTION("GOOGLETRANSLATE(E8272, ""zh"", ""en"")"),"Quantitative Text")</f>
        <v>Quantitative Text</v>
      </c>
    </row>
    <row r="8273" spans="1:3" ht="13" x14ac:dyDescent="0.15">
      <c r="A8273" s="1" t="str">
        <f ca="1">IFERROR(__xludf.DUMMYFUNCTION("GOOGLETRANSLATE(A8273, ""zh"", ""en"")"),"In terms of daily hazardous waste management, the company has completed the addition and upgrade of hazardous waste temporary storage rooms at 35 wind farms, clarified hazardous waste operation requirements, and produced templates for identification signs"&amp;" in hazardous waste temporary storage rooms and containers/packaging.")</f>
        <v>In terms of daily hazardous waste management, the company has completed the addition and upgrade of hazardous waste temporary storage rooms at 35 wind farms, clarified hazardous waste operation requirements, and produced templates for identification signs in hazardous waste temporary storage rooms and containers/packaging.</v>
      </c>
      <c r="B8273" s="1" t="str">
        <f ca="1">IFERROR(__xludf.DUMMYFUNCTION("GOOGLETRANSLATE(A8273, ""zh"", ""en"")"),"Waste Management")</f>
        <v>Waste Management</v>
      </c>
      <c r="C8273" s="1" t="str">
        <f ca="1">IFERROR(__xludf.DUMMYFUNCTION("GOOGLETRANSLATE(E8273, ""zh"", ""en"")"),"Quantitative Text")</f>
        <v>Quantitative Text</v>
      </c>
    </row>
    <row r="8274" spans="1:3" ht="13" x14ac:dyDescent="0.15">
      <c r="A8274" s="1" t="str">
        <f ca="1">IFERROR(__xludf.DUMMYFUNCTION("GOOGLETRANSLATE(A8274, ""zh"", ""en"")"),"2022 2021 2020 103.74 73.24 73.95 2022 2021 2020 0.008 20.0071 Hazardous waste generation Unit: ton Production unit MW Hazardous waste generation unit: ton/MW 0.0067")</f>
        <v>2022 2021 2020 103.74 73.24 73.95 2022 2021 2020 0.008 20.0071 Hazardous waste generation Unit: ton Production unit MW Hazardous waste generation unit: ton/MW 0.0067</v>
      </c>
      <c r="B8274" s="1" t="str">
        <f ca="1">IFERROR(__xludf.DUMMYFUNCTION("GOOGLETRANSLATE(A8274, ""zh"", ""en"")"),"Waste Management")</f>
        <v>Waste Management</v>
      </c>
      <c r="C8274" s="1" t="str">
        <f ca="1">IFERROR(__xludf.DUMMYFUNCTION("GOOGLETRANSLATE(E8274, ""zh"", ""en"")"),"Quantitative Text")</f>
        <v>Quantitative Text</v>
      </c>
    </row>
    <row r="8275" spans="1:3" ht="13" x14ac:dyDescent="0.15">
      <c r="A8275" s="1" t="str">
        <f ca="1">IFERROR(__xludf.DUMMYFUNCTION("GOOGLETRANSLATE(A8275, ""zh"", ""en"")"),"General solid waste mainly comes from construction waste generated during the construction of wind farms")</f>
        <v>General solid waste mainly comes from construction waste generated during the construction of wind farms</v>
      </c>
      <c r="B8275" s="1" t="str">
        <f ca="1">IFERROR(__xludf.DUMMYFUNCTION("GOOGLETRANSLATE(A8275, ""zh"", ""en"")"),"Waste Management")</f>
        <v>Waste Management</v>
      </c>
      <c r="C8275" s="1" t="str">
        <f ca="1">IFERROR(__xludf.DUMMYFUNCTION("GOOGLETRANSLATE(E8275, ""zh"", ""en"")"),"Qualitative text")</f>
        <v>Qualitative text</v>
      </c>
    </row>
    <row r="8276" spans="1:3" ht="13" x14ac:dyDescent="0.15">
      <c r="A8276" s="1" t="str">
        <f ca="1">IFERROR(__xludf.DUMMYFUNCTION("GOOGLETRANSLATE(A8276, ""zh"", ""en"")"),"The company produces almost no air pollutants such as nitrogen oxides and sulfur oxides during its operations")</f>
        <v>The company produces almost no air pollutants such as nitrogen oxides and sulfur oxides during its operations</v>
      </c>
      <c r="B8276" s="1" t="str">
        <f ca="1">IFERROR(__xludf.DUMMYFUNCTION("GOOGLETRANSLATE(A8276, ""zh"", ""en"")"),"Waste Management")</f>
        <v>Waste Management</v>
      </c>
      <c r="C8276" s="1" t="str">
        <f ca="1">IFERROR(__xludf.DUMMYFUNCTION("GOOGLETRANSLATE(E8276, ""zh"", ""en"")"),"Qualitative text")</f>
        <v>Qualitative text</v>
      </c>
    </row>
    <row r="8277" spans="1:3" ht="13" x14ac:dyDescent="0.15">
      <c r="A8277" s="1" t="str">
        <f ca="1">IFERROR(__xludf.DUMMYFUNCTION("GOOGLETRANSLATE(A8277, ""zh"", ""en"")"),"The company strictly abides by the ""Solid Waste Pollution Protection Law"" and other laws and regulations, and properly handles various types of waste in accordance with the principles of ""classified recycling, centralized storage, unified treatment, an"&amp;"d comprehensive evaluation""")</f>
        <v>The company strictly abides by the "Solid Waste Pollution Protection Law" and other laws and regulations, and properly handles various types of waste in accordance with the principles of "classified recycling, centralized storage, unified treatment, and comprehensive evaluation"</v>
      </c>
      <c r="B8277" s="1" t="str">
        <f ca="1">IFERROR(__xludf.DUMMYFUNCTION("GOOGLETRANSLATE(A8277, ""zh"", ""en"")"),"Waste Management")</f>
        <v>Waste Management</v>
      </c>
      <c r="C8277" s="1" t="str">
        <f ca="1">IFERROR(__xludf.DUMMYFUNCTION("GOOGLETRANSLATE(E8277, ""zh"", ""en"")"),"Qualitative text")</f>
        <v>Qualitative text</v>
      </c>
    </row>
    <row r="8278" spans="1:3" ht="13" x14ac:dyDescent="0.15">
      <c r="A8278" s="1" t="str">
        <f ca="1">IFERROR(__xludf.DUMMYFUNCTION("GOOGLETRANSLATE(A8278, ""zh"", ""en"")"),"For general solid waste, the company implements centralized management and adopts recycling or regularly sends it to third-party companies for recycling and treatment.")</f>
        <v>For general solid waste, the company implements centralized management and adopts recycling or regularly sends it to third-party companies for recycling and treatment.</v>
      </c>
      <c r="B8278" s="1" t="str">
        <f ca="1">IFERROR(__xludf.DUMMYFUNCTION("GOOGLETRANSLATE(A8278, ""zh"", ""en"")"),"Waste Management")</f>
        <v>Waste Management</v>
      </c>
      <c r="C8278" s="1" t="str">
        <f ca="1">IFERROR(__xludf.DUMMYFUNCTION("GOOGLETRANSLATE(E8278, ""zh"", ""en"")"),"Qualitative text")</f>
        <v>Qualitative text</v>
      </c>
    </row>
    <row r="8279" spans="1:3" ht="13" x14ac:dyDescent="0.15">
      <c r="A8279" s="1" t="str">
        <f ca="1">IFERROR(__xludf.DUMMYFUNCTION("GOOGLETRANSLATE(A8279, ""zh"", ""en"")"),"The company actively promotes the recycling of resources in the production and operation process, actively builds a wind turbine recycling and reuse system, and builds a service network for old turbine recycling and logistics transportation based on its w"&amp;"ind turbine R&amp;D and manufacturing capabilities and service stations throughout the country. By improving the recycling and processing utilization level of wind turbine components and establishing sales channels for refurbished equipment, an ecological clo"&amp;"sed loop of the old turbine recycling and remanufacturing chain is formed.")</f>
        <v>The company actively promotes the recycling of resources in the production and operation process, actively builds a wind turbine recycling and reuse system, and builds a service network for old turbine recycling and logistics transportation based on its wind turbine R&amp;D and manufacturing capabilities and service stations throughout the country. By improving the recycling and processing utilization level of wind turbine components and establishing sales channels for refurbished equipment, an ecological closed loop of the old turbine recycling and remanufacturing chain is formed.</v>
      </c>
      <c r="B8279" s="1" t="str">
        <f ca="1">IFERROR(__xludf.DUMMYFUNCTION("GOOGLETRANSLATE(A8279, ""zh"", ""en"")"),"Waste Management")</f>
        <v>Waste Management</v>
      </c>
      <c r="C8279" s="1" t="str">
        <f ca="1">IFERROR(__xludf.DUMMYFUNCTION("GOOGLETRANSLATE(E8279, ""zh"", ""en"")"),"Qualitative text")</f>
        <v>Qualitative text</v>
      </c>
    </row>
    <row r="8280" spans="1:3" ht="13" x14ac:dyDescent="0.15">
      <c r="A8280" s="1" t="str">
        <f ca="1">IFERROR(__xludf.DUMMYFUNCTION("GOOGLETRANSLATE(A8280, ""zh"", ""en"")"),"The whole machine and core components are classified and recycled through the ""reuse and recycling + component classification recycling"" model to achieve classified disposal and cascade utilization, thereby increasing the residual value")</f>
        <v>The whole machine and core components are classified and recycled through the "reuse and recycling + component classification recycling" model to achieve classified disposal and cascade utilization, thereby increasing the residual value</v>
      </c>
      <c r="B8280" s="1" t="str">
        <f ca="1">IFERROR(__xludf.DUMMYFUNCTION("GOOGLETRANSLATE(A8280, ""zh"", ""en"")"),"Waste Management")</f>
        <v>Waste Management</v>
      </c>
      <c r="C8280" s="1" t="str">
        <f ca="1">IFERROR(__xludf.DUMMYFUNCTION("GOOGLETRANSLATE(E8280, ""zh"", ""en"")"),"Qualitative text")</f>
        <v>Qualitative text</v>
      </c>
    </row>
    <row r="8281" spans="1:3" ht="13" x14ac:dyDescent="0.15">
      <c r="A8281" s="1" t="str">
        <f ca="1">IFERROR(__xludf.DUMMYFUNCTION("GOOGLETRANSLATE(A8281, ""zh"", ""en"")"),"The company has established a professional company with renewable resource recycling qualifications, and realizes the recycling of resources in a legal, compliant, green and profitable way through three methods: whole machine reuse, component remanufactur"&amp;"ing and scrapping.")</f>
        <v>The company has established a professional company with renewable resource recycling qualifications, and realizes the recycling of resources in a legal, compliant, green and profitable way through three methods: whole machine reuse, component remanufacturing and scrapping.</v>
      </c>
      <c r="B8281" s="1" t="str">
        <f ca="1">IFERROR(__xludf.DUMMYFUNCTION("GOOGLETRANSLATE(A8281, ""zh"", ""en"")"),"Waste Management")</f>
        <v>Waste Management</v>
      </c>
      <c r="C8281" s="1" t="str">
        <f ca="1">IFERROR(__xludf.DUMMYFUNCTION("GOOGLETRANSLATE(E8281, ""zh"", ""en"")"),"Qualitative text")</f>
        <v>Qualitative text</v>
      </c>
    </row>
    <row r="8282" spans="1:3" ht="13" x14ac:dyDescent="0.15">
      <c r="A8282" s="1" t="str">
        <f ca="1">IFERROR(__xludf.DUMMYFUNCTION("GOOGLETRANSLATE(A8282, ""zh"", ""en"")"),"For the pallets used in the production of wind turbine nacelles, impellers, and transmission chains, the company cooperates with the manufacturer's technical department to carry out a pallet recycling project, so that the pallets for transporting the five"&amp;" major components of the nacelle, transmission chain electric gears, bearing seats, housings, and main shafts are all recycled and reused by the manufacturer, thereby increasing the recycling value of materials in the production process; the company also "&amp;"cooperates with the manufacturer to improve the process of wooden pallets such as hubs and bases, optimize the quality and size of pallets, reduce the use of wooden pallets, and reduce material consumption.")</f>
        <v>For the pallets used in the production of wind turbine nacelles, impellers, and transmission chains, the company cooperates with the manufacturer's technical department to carry out a pallet recycling project, so that the pallets for transporting the five major components of the nacelle, transmission chain electric gears, bearing seats, housings, and main shafts are all recycled and reused by the manufacturer, thereby increasing the recycling value of materials in the production process; the company also cooperates with the manufacturer to improve the process of wooden pallets such as hubs and bases, optimize the quality and size of pallets, reduce the use of wooden pallets, and reduce material consumption.</v>
      </c>
      <c r="B8282" s="1" t="str">
        <f ca="1">IFERROR(__xludf.DUMMYFUNCTION("GOOGLETRANSLATE(A8282, ""zh"", ""en"")"),"Waste Management")</f>
        <v>Waste Management</v>
      </c>
      <c r="C8282" s="1" t="str">
        <f ca="1">IFERROR(__xludf.DUMMYFUNCTION("GOOGLETRANSLATE(E8282, ""zh"", ""en"")"),"Qualitative text")</f>
        <v>Qualitative text</v>
      </c>
    </row>
    <row r="8283" spans="1:3" ht="13" x14ac:dyDescent="0.15">
      <c r="A8283" s="1" t="str">
        <f ca="1">IFERROR(__xludf.DUMMYFUNCTION("GOOGLETRANSLATE(A8283, ""zh"", ""en"")"),"The whole machine is reused to make full use of the residual value of the unit, and is used as a distributed unit in high-energy-consuming industrial parks, towns, or as a training platform and carbon-neutral park.")</f>
        <v>The whole machine is reused to make full use of the residual value of the unit, and is used as a distributed unit in high-energy-consuming industrial parks, towns, or as a training platform and carbon-neutral park.</v>
      </c>
      <c r="B8283" s="1" t="str">
        <f ca="1">IFERROR(__xludf.DUMMYFUNCTION("GOOGLETRANSLATE(A8283, ""zh"", ""en"")"),"Waste Management")</f>
        <v>Waste Management</v>
      </c>
      <c r="C8283" s="1" t="str">
        <f ca="1">IFERROR(__xludf.DUMMYFUNCTION("GOOGLETRANSLATE(E8283, ""zh"", ""en"")"),"Qualitative text")</f>
        <v>Qualitative text</v>
      </c>
    </row>
    <row r="8284" spans="1:3" ht="13" x14ac:dyDescent="0.15">
      <c r="A8284" s="1" t="str">
        <f ca="1">IFERROR(__xludf.DUMMYFUNCTION("GOOGLETRANSLATE(A8284, ""zh"", ""en"")"),"Scrap treatment is based on the principles of solid waste reduction, resource utilization, and harmlessness, and strives to achieve green recycling of towers, cables, and other electrical components, structural parts, and blades to maximize residual value"&amp;" benefits.")</f>
        <v>Scrap treatment is based on the principles of solid waste reduction, resource utilization, and harmlessness, and strives to achieve green recycling of towers, cables, and other electrical components, structural parts, and blades to maximize residual value benefits.</v>
      </c>
      <c r="B8284" s="1" t="str">
        <f ca="1">IFERROR(__xludf.DUMMYFUNCTION("GOOGLETRANSLATE(A8284, ""zh"", ""en"")"),"Waste Management")</f>
        <v>Waste Management</v>
      </c>
      <c r="C8284" s="1" t="str">
        <f ca="1">IFERROR(__xludf.DUMMYFUNCTION("GOOGLETRANSLATE(E8284, ""zh"", ""en"")"),"Qualitative text")</f>
        <v>Qualitative text</v>
      </c>
    </row>
    <row r="8285" spans="1:3" ht="13" x14ac:dyDescent="0.15">
      <c r="A8285" s="1" t="str">
        <f ca="1">IFERROR(__xludf.DUMMYFUNCTION("GOOGLETRANSLATE(A8285, ""zh"", ""en"")"),"Component remanufacturing and recycling remanufacture core components of units such as gearboxes and generators, which are then used for replacement in the after-sales service and maintenance market to maximize residual value and reduce customers' operati"&amp;"on and maintenance spare parts costs.")</f>
        <v>Component remanufacturing and recycling remanufacture core components of units such as gearboxes and generators, which are then used for replacement in the after-sales service and maintenance market to maximize residual value and reduce customers' operation and maintenance spare parts costs.</v>
      </c>
      <c r="B8285" s="1" t="str">
        <f ca="1">IFERROR(__xludf.DUMMYFUNCTION("GOOGLETRANSLATE(A8285, ""zh"", ""en"")"),"Waste Management")</f>
        <v>Waste Management</v>
      </c>
      <c r="C8285" s="1" t="str">
        <f ca="1">IFERROR(__xludf.DUMMYFUNCTION("GOOGLETRANSLATE(E8285, ""zh"", ""en"")"),"Qualitative text")</f>
        <v>Qualitative text</v>
      </c>
    </row>
    <row r="8286" spans="1:3" ht="13" x14ac:dyDescent="0.15">
      <c r="A8286" s="1" t="str">
        <f ca="1">IFERROR(__xludf.DUMMYFUNCTION("GOOGLETRANSLATE(A8286, ""zh"", ""en"")"),"For example, the company actively promotes the dismantling and reuse of scrap magnetic steel. From 2015 to 2022, the company has recycled about 1,800 tons of scrap magnetic steel, saved 640 tons of rare earth concentrate, and re-produced about 1,360 tons "&amp;"of magnetic steel, reducing rare earth mining volume and reducing rare earth consumption.")</f>
        <v>For example, the company actively promotes the dismantling and reuse of scrap magnetic steel. From 2015 to 2022, the company has recycled about 1,800 tons of scrap magnetic steel, saved 640 tons of rare earth concentrate, and re-produced about 1,360 tons of magnetic steel, reducing rare earth mining volume and reducing rare earth consumption.</v>
      </c>
      <c r="B8286" s="1" t="str">
        <f ca="1">IFERROR(__xludf.DUMMYFUNCTION("GOOGLETRANSLATE(A8286, ""zh"", ""en"")"),"Waste Management")</f>
        <v>Waste Management</v>
      </c>
      <c r="C8286" s="1" t="str">
        <f ca="1">IFERROR(__xludf.DUMMYFUNCTION("GOOGLETRANSLATE(E8286, ""zh"", ""en"")"),"Quantitative Text")</f>
        <v>Quantitative Text</v>
      </c>
    </row>
    <row r="8287" spans="1:3" ht="13" x14ac:dyDescent="0.15">
      <c r="A8287" s="1" t="str">
        <f ca="1">IFERROR(__xludf.DUMMYFUNCTION("GOOGLETRANSLATE(A8287, ""zh"", ""en"")"),"Indicator Unit 2022 2021 2020 Wind farm construction waste tons 397.89 1,231.178 26.68 Main general solid waste emissions Sustainable development management Integrity and compliance management Green and environmentally friendly operation Sustainable indus"&amp;"trial chain Fair and healthy working environment Harmonious community relations, innovative exploration of efficient recycling solutions for wind turbine blades The efficient recycling and reuse of wind turbine blade waste is a huge challenge currently fa"&amp;"cing the industry.")</f>
        <v>Indicator Unit 2022 2021 2020 Wind farm construction waste tons 397.89 1,231.178 26.68 Main general solid waste emissions Sustainable development management Integrity and compliance management Green and environmentally friendly operation Sustainable industrial chain Fair and healthy working environment Harmonious community relations, innovative exploration of efficient recycling solutions for wind turbine blades The efficient recycling and reuse of wind turbine blade waste is a huge challenge currently facing the industry.</v>
      </c>
      <c r="B8287" s="1" t="str">
        <f ca="1">IFERROR(__xludf.DUMMYFUNCTION("GOOGLETRANSLATE(A8287, ""zh"", ""en"")"),"Waste Management")</f>
        <v>Waste Management</v>
      </c>
      <c r="C8287" s="1" t="str">
        <f ca="1">IFERROR(__xludf.DUMMYFUNCTION("GOOGLETRANSLATE(E8287, ""zh"", ""en"")"),"Quantitative Text")</f>
        <v>Quantitative Text</v>
      </c>
    </row>
    <row r="8288" spans="1:3" ht="13" x14ac:dyDescent="0.15">
      <c r="A8288" s="1" t="str">
        <f ca="1">IFERROR(__xludf.DUMMYFUNCTION("GOOGLETRANSLATE(A8288, ""zh"", ""en"")"),"Since waste wind turbine blades are mostly made of thermosetting resin-based composite materials, recycling technology is difficult and costly, so there is no ideal large-scale recycling method.")</f>
        <v>Since waste wind turbine blades are mostly made of thermosetting resin-based composite materials, recycling technology is difficult and costly, so there is no ideal large-scale recycling method.</v>
      </c>
      <c r="B8288" s="1" t="str">
        <f ca="1">IFERROR(__xludf.DUMMYFUNCTION("GOOGLETRANSLATE(A8288, ""zh"", ""en"")"),"Waste Management")</f>
        <v>Waste Management</v>
      </c>
      <c r="C8288" s="1" t="str">
        <f ca="1">IFERROR(__xludf.DUMMYFUNCTION("GOOGLETRANSLATE(E8288, ""zh"", ""en"")"),"Qualitative text")</f>
        <v>Qualitative text</v>
      </c>
    </row>
    <row r="8289" spans="1:3" ht="13" x14ac:dyDescent="0.15">
      <c r="A8289" s="1" t="str">
        <f ca="1">IFERROR(__xludf.DUMMYFUNCTION("GOOGLETRANSLATE(A8289, ""zh"", ""en"")"),"In 2022, the company will continue to explore a waste blade recycling solution that takes into account both feasibility and economy, and try to form a complete and large-scale supporting industrial chain for waste wind turbine blades along the lines of """&amp;"on-site recycling, on-site crushing, screening, batching, solid waste 3D printing and making finished products"".")</f>
        <v>In 2022, the company will continue to explore a waste blade recycling solution that takes into account both feasibility and economy, and try to form a complete and large-scale supporting industrial chain for waste wind turbine blades along the lines of "on-site recycling, on-site crushing, screening, batching, solid waste 3D printing and making finished products".</v>
      </c>
      <c r="B8289" s="1" t="str">
        <f ca="1">IFERROR(__xludf.DUMMYFUNCTION("GOOGLETRANSLATE(A8289, ""zh"", ""en"")"),"Waste Management")</f>
        <v>Waste Management</v>
      </c>
      <c r="C8289" s="1" t="str">
        <f ca="1">IFERROR(__xludf.DUMMYFUNCTION("GOOGLETRANSLATE(E8289, ""zh"", ""en"")"),"Qualitative text")</f>
        <v>Qualitative text</v>
      </c>
    </row>
    <row r="8290" spans="1:3" ht="13" x14ac:dyDescent="0.15">
      <c r="A8290" s="1" t="str">
        <f ca="1">IFERROR(__xludf.DUMMYFUNCTION("GOOGLETRANSLATE(A8290, ""zh"", ""en"")"),"A landscape flower bed built using solid waste 3D printing technology was built in the company's Beijing headquarters' ""Carbon Neutral"" Smart Park. This transforms waste wind turbine blades into raw materials for 3D printing, enabling the large-scale di"&amp;"sposal of blade solid waste through the 3D printing industry.")</f>
        <v>A landscape flower bed built using solid waste 3D printing technology was built in the company's Beijing headquarters' "Carbon Neutral" Smart Park. This transforms waste wind turbine blades into raw materials for 3D printing, enabling the large-scale disposal of blade solid waste through the 3D printing industry.</v>
      </c>
      <c r="B8290" s="1" t="str">
        <f ca="1">IFERROR(__xludf.DUMMYFUNCTION("GOOGLETRANSLATE(A8290, ""zh"", ""en"")"),"Waste Management")</f>
        <v>Waste Management</v>
      </c>
      <c r="C8290" s="1" t="str">
        <f ca="1">IFERROR(__xludf.DUMMYFUNCTION("GOOGLETRANSLATE(E8290, ""zh"", ""en"")"),"Qualitative text")</f>
        <v>Qualitative text</v>
      </c>
    </row>
    <row r="8291" spans="1:3" ht="13" x14ac:dyDescent="0.15">
      <c r="A8291" s="1" t="str">
        <f ca="1">IFERROR(__xludf.DUMMYFUNCTION("GOOGLETRANSLATE(A8291, ""zh"", ""en"")"),"Another major advantage of this technology is that it can be used in collaboration with construction projects around wind farms, using mobile 3D printing robots to achieve local processing and disposal of blade solid waste, reducing the cost of long-dista"&amp;"nce transportation.")</f>
        <v>Another major advantage of this technology is that it can be used in collaboration with construction projects around wind farms, using mobile 3D printing robots to achieve local processing and disposal of blade solid waste, reducing the cost of long-distance transportation.</v>
      </c>
      <c r="B8291" s="1" t="str">
        <f ca="1">IFERROR(__xludf.DUMMYFUNCTION("GOOGLETRANSLATE(A8291, ""zh"", ""en"")"),"Waste Management")</f>
        <v>Waste Management</v>
      </c>
      <c r="C8291" s="1" t="str">
        <f ca="1">IFERROR(__xludf.DUMMYFUNCTION("GOOGLETRANSLATE(E8291, ""zh"", ""en"")"),"Qualitative text")</f>
        <v>Qualitative text</v>
      </c>
    </row>
    <row r="8292" spans="1:3" ht="13" x14ac:dyDescent="0.15">
      <c r="A8292" s="1" t="str">
        <f ca="1">IFERROR(__xludf.DUMMYFUNCTION("GOOGLETRANSLATE(A8292, ""zh"", ""en"")"),"To reduce the use of packaging for large components of wind turbines, the company will recycle waste blades and make them into flower bed packaging through 3D printing. In 2022, the company will further reduce the annual weight of plastic packaging for la"&amp;"rge components of wind turbines per kilowatt by applying hard packaging made of biodegradable plastic materials to the packaging of large components of GWHV12 platform models and applying partial packaging solutions to other models.")</f>
        <v>To reduce the use of packaging for large components of wind turbines, the company will recycle waste blades and make them into flower bed packaging through 3D printing. In 2022, the company will further reduce the annual weight of plastic packaging for large components of wind turbines per kilowatt by applying hard packaging made of biodegradable plastic materials to the packaging of large components of GWHV12 platform models and applying partial packaging solutions to other models.</v>
      </c>
      <c r="B8292" s="1" t="str">
        <f ca="1">IFERROR(__xludf.DUMMYFUNCTION("GOOGLETRANSLATE(A8292, ""zh"", ""en"")"),"Waste Management")</f>
        <v>Waste Management</v>
      </c>
      <c r="C8292" s="1" t="str">
        <f ca="1">IFERROR(__xludf.DUMMYFUNCTION("GOOGLETRANSLATE(E8292, ""zh"", ""en"")"),"Qualitative text")</f>
        <v>Qualitative text</v>
      </c>
    </row>
    <row r="8293" spans="1:3" ht="13" x14ac:dyDescent="0.15">
      <c r="A8293" s="1" t="str">
        <f ca="1">IFERROR(__xludf.DUMMYFUNCTION("GOOGLETRANSLATE(A8293, ""zh"", ""en"")"),"The company is trying to use waste leaves to make recyclable packaging to replace existing wooden disposable packaging, realize the recycling of packaging, and realize the green environmental value of reducing wood consumption.")</f>
        <v>The company is trying to use waste leaves to make recyclable packaging to replace existing wooden disposable packaging, realize the recycling of packaging, and realize the green environmental value of reducing wood consumption.</v>
      </c>
      <c r="B8293" s="1" t="str">
        <f ca="1">IFERROR(__xludf.DUMMYFUNCTION("GOOGLETRANSLATE(A8293, ""zh"", ""en"")"),"Waste Management")</f>
        <v>Waste Management</v>
      </c>
      <c r="C8293" s="1" t="str">
        <f ca="1">IFERROR(__xludf.DUMMYFUNCTION("GOOGLETRANSLATE(E8293, ""zh"", ""en"")"),"Qualitative text")</f>
        <v>Qualitative text</v>
      </c>
    </row>
    <row r="8294" spans="1:3" ht="13" x14ac:dyDescent="0.15">
      <c r="A8294" s="1" t="str">
        <f ca="1">IFERROR(__xludf.DUMMYFUNCTION("GOOGLETRANSLATE(A8294, ""zh"", ""en"")"),"In 2022, the company will pilot the recycling of blade main beams, auxiliary beams, and webs to cut into pallets, packaging box covers, etc.; all cutting dust will be collected and used for laboratory research and board making; leftover scraps will be cru"&amp;"shed and added to packaging plywood or glulam piers.")</f>
        <v>In 2022, the company will pilot the recycling of blade main beams, auxiliary beams, and webs to cut into pallets, packaging box covers, etc.; all cutting dust will be collected and used for laboratory research and board making; leftover scraps will be crushed and added to packaging plywood or glulam piers.</v>
      </c>
      <c r="B8294" s="1" t="str">
        <f ca="1">IFERROR(__xludf.DUMMYFUNCTION("GOOGLETRANSLATE(A8294, ""zh"", ""en"")"),"Waste Management")</f>
        <v>Waste Management</v>
      </c>
      <c r="C8294" s="1" t="str">
        <f ca="1">IFERROR(__xludf.DUMMYFUNCTION("GOOGLETRANSLATE(E8294, ""zh"", ""en"")"),"Qualitative text")</f>
        <v>Qualitative text</v>
      </c>
    </row>
    <row r="8295" spans="1:3" ht="13" x14ac:dyDescent="0.15">
      <c r="A8295" s="1" t="str">
        <f ca="1">IFERROR(__xludf.DUMMYFUNCTION("GOOGLETRANSLATE(A8295, ""zh"", ""en"")"),"229 blades were recycled and reused in the pilot program throughout the year, achieving the recycling of solid waste")</f>
        <v>229 blades were recycled and reused in the pilot program throughout the year, achieving the recycling of solid waste</v>
      </c>
      <c r="B8295" s="1" t="str">
        <f ca="1">IFERROR(__xludf.DUMMYFUNCTION("GOOGLETRANSLATE(A8295, ""zh"", ""en"")"),"Waste Management")</f>
        <v>Waste Management</v>
      </c>
      <c r="C8295" s="1" t="str">
        <f ca="1">IFERROR(__xludf.DUMMYFUNCTION("GOOGLETRANSLATE(E8295, ""zh"", ""en"")"),"Quantitative Text")</f>
        <v>Quantitative Text</v>
      </c>
    </row>
    <row r="8296" spans="1:3" ht="13" x14ac:dyDescent="0.15">
      <c r="A8296" s="1" t="str">
        <f ca="1">IFERROR(__xludf.DUMMYFUNCTION("GOOGLETRANSLATE(A8296, ""zh"", ""en"")"),"The laboratory mainly produces inorganic metal waste liquid, organic waste liquid and chemical waste containers, etc., and strictly implements the management system of classified collection, dedicated management and designated storage. The company's EHS r"&amp;"egularly organizes formal hazardous waste treatment agencies to dispose of them. The harmless treatment rate of hazardous waste is 100%, and the waste gas generated in the laboratory is discharged after being treated to meet the standards.")</f>
        <v>The laboratory mainly produces inorganic metal waste liquid, organic waste liquid and chemical waste containers, etc., and strictly implements the management system of classified collection, dedicated management and designated storage. The company's EHS regularly organizes formal hazardous waste treatment agencies to dispose of them. The harmless treatment rate of hazardous waste is 100%, and the waste gas generated in the laboratory is discharged after being treated to meet the standards.</v>
      </c>
      <c r="B8296" s="1" t="str">
        <f ca="1">IFERROR(__xludf.DUMMYFUNCTION("GOOGLETRANSLATE(A8296, ""zh"", ""en"")"),"Waste Management")</f>
        <v>Waste Management</v>
      </c>
      <c r="C8296" s="1" t="str">
        <f ca="1">IFERROR(__xludf.DUMMYFUNCTION("GOOGLETRANSLATE(E8296, ""zh"", ""en"")"),"Quantitative Text")</f>
        <v>Quantitative Text</v>
      </c>
    </row>
    <row r="8297" spans="1:3" ht="13" x14ac:dyDescent="0.15">
      <c r="A8297" s="1" t="str">
        <f ca="1">IFERROR(__xludf.DUMMYFUNCTION("GOOGLETRANSLATE(A8297, ""zh"", ""en"")"),"In 2021, a large-scale ""Compliance and Business Ethics Management Training"" was organized, covering important content such as anti-fraud, anti-corruption, anti-bribery, company prohibited behaviors, and business ethics publicity, warnings, and education"&amp;". All internal high school and grassroots employees, customers, and suppliers of the company participated in the training. The courseware content was placed on the Watson Academy online learning platform for employees to continue learning in 2022.")</f>
        <v>In 2021, a large-scale "Compliance and Business Ethics Management Training" was organized, covering important content such as anti-fraud, anti-corruption, anti-bribery, company prohibited behaviors, and business ethics publicity, warnings, and education. All internal high school and grassroots employees, customers, and suppliers of the company participated in the training. The courseware content was placed on the Watson Academy online learning platform for employees to continue learning in 2022.</v>
      </c>
      <c r="B8297" s="1" t="str">
        <f ca="1">IFERROR(__xludf.DUMMYFUNCTION("GOOGLETRANSLATE(A8297, ""zh"", ""en"")"),"Anti-corruption and anti-money laundering")</f>
        <v>Anti-corruption and anti-money laundering</v>
      </c>
      <c r="C8297" s="1" t="str">
        <f ca="1">IFERROR(__xludf.DUMMYFUNCTION("GOOGLETRANSLATE(E8297, ""zh"", ""en"")"),"Qualitative text")</f>
        <v>Qualitative text</v>
      </c>
    </row>
    <row r="8298" spans="1:3" ht="13" x14ac:dyDescent="0.15">
      <c r="A8298" s="1" t="str">
        <f ca="1">IFERROR(__xludf.DUMMYFUNCTION("GOOGLETRANSLATE(A8298, ""zh"", ""en"")"),"In 2022, there were 0 corruption-related cases and 2,911 people participated in anti-corruption training.")</f>
        <v>In 2022, there were 0 corruption-related cases and 2,911 people participated in anti-corruption training.</v>
      </c>
      <c r="B8298" s="1" t="str">
        <f ca="1">IFERROR(__xludf.DUMMYFUNCTION("GOOGLETRANSLATE(A8298, ""zh"", ""en"")"),"Anti-corruption and anti-money laundering")</f>
        <v>Anti-corruption and anti-money laundering</v>
      </c>
      <c r="C8298" s="1" t="str">
        <f ca="1">IFERROR(__xludf.DUMMYFUNCTION("GOOGLETRANSLATE(E8298, ""zh"", ""en"")"),"Quantitative Text")</f>
        <v>Quantitative Text</v>
      </c>
    </row>
    <row r="8299" spans="1:3" ht="13" x14ac:dyDescent="0.15">
      <c r="A8299" s="1" t="str">
        <f ca="1">IFERROR(__xludf.DUMMYFUNCTION("GOOGLETRANSLATE(A8299, ""zh"", ""en"")"),"During the reporting period, the company's management and relevant departments received 92 hours of centralized anti-corruption training. This training significantly improved the integrity of the management team.")</f>
        <v>During the reporting period, the company's management and relevant departments received 92 hours of centralized anti-corruption training. This training significantly improved the integrity of the management team.</v>
      </c>
      <c r="B8299" s="1" t="str">
        <f ca="1">IFERROR(__xludf.DUMMYFUNCTION("GOOGLETRANSLATE(A8299, ""zh"", ""en"")"),"Anti-corruption and anti-money laundering")</f>
        <v>Anti-corruption and anti-money laundering</v>
      </c>
      <c r="C8299" s="1" t="str">
        <f ca="1">IFERROR(__xludf.DUMMYFUNCTION("GOOGLETRANSLATE(E8299, ""zh"", ""en"")"),"Quantitative Text")</f>
        <v>Quantitative Text</v>
      </c>
    </row>
    <row r="8300" spans="1:3" ht="13" x14ac:dyDescent="0.15">
      <c r="A8300" s="1" t="str">
        <f ca="1">IFERROR(__xludf.DUMMYFUNCTION("GOOGLETRANSLATE(A8300, ""zh"", ""en"")"),"During the reporting period, the Company was not involved in any corruption lawsuits, and no matters that had a significant impact on the Company and seriously violated the relevant laws and regulations on preventing bribery, extortion, fraud and money la"&amp;"undering were found.")</f>
        <v>During the reporting period, the Company was not involved in any corruption lawsuits, and no matters that had a significant impact on the Company and seriously violated the relevant laws and regulations on preventing bribery, extortion, fraud and money laundering were found.</v>
      </c>
      <c r="B8300" s="1" t="str">
        <f ca="1">IFERROR(__xludf.DUMMYFUNCTION("GOOGLETRANSLATE(A8300, ""zh"", ""en"")"),"Anti-corruption and anti-money laundering")</f>
        <v>Anti-corruption and anti-money laundering</v>
      </c>
      <c r="C8300" s="1" t="str">
        <f ca="1">IFERROR(__xludf.DUMMYFUNCTION("GOOGLETRANSLATE(E8300, ""zh"", ""en"")"),"Quantitative Text")</f>
        <v>Quantitative Text</v>
      </c>
    </row>
    <row r="8301" spans="1:3" ht="13" x14ac:dyDescent="0.15">
      <c r="A8301" s="1" t="str">
        <f ca="1">IFERROR(__xludf.DUMMYFUNCTION("GOOGLETRANSLATE(A8301, ""zh"", ""en"")"),"We have zero tolerance for bribery, fraud and other illegal activities.")</f>
        <v>We have zero tolerance for bribery, fraud and other illegal activities.</v>
      </c>
      <c r="B8301" s="1" t="str">
        <f ca="1">IFERROR(__xludf.DUMMYFUNCTION("GOOGLETRANSLATE(A8301, ""zh"", ""en"")"),"Anti-corruption and anti-money laundering")</f>
        <v>Anti-corruption and anti-money laundering</v>
      </c>
      <c r="C8301" s="1" t="str">
        <f ca="1">IFERROR(__xludf.DUMMYFUNCTION("GOOGLETRANSLATE(E8301, ""zh"", ""en"")"),"Qualitative text")</f>
        <v>Qualitative text</v>
      </c>
    </row>
    <row r="8302" spans="1:3" ht="13" x14ac:dyDescent="0.15">
      <c r="A8302" s="1" t="str">
        <f ca="1">IFERROR(__xludf.DUMMYFUNCTION("GOOGLETRANSLATE(A8302, ""zh"", ""en"")"),"We have strengthened external anti-commercial bribery control measures, requiring suppliers to sign a ""Cooperation and Integrity Agreement"", providing business ethics training to new suppliers during the onboarding and cooperation process, and incorpora"&amp;"ting business ethics into annual supplier audits.")</f>
        <v>We have strengthened external anti-commercial bribery control measures, requiring suppliers to sign a "Cooperation and Integrity Agreement", providing business ethics training to new suppliers during the onboarding and cooperation process, and incorporating business ethics into annual supplier audits.</v>
      </c>
      <c r="B8302" s="1" t="str">
        <f ca="1">IFERROR(__xludf.DUMMYFUNCTION("GOOGLETRANSLATE(A8302, ""zh"", ""en"")"),"Anti-corruption and anti-money laundering")</f>
        <v>Anti-corruption and anti-money laundering</v>
      </c>
      <c r="C8302" s="1" t="str">
        <f ca="1">IFERROR(__xludf.DUMMYFUNCTION("GOOGLETRANSLATE(E8302, ""zh"", ""en"")"),"Qualitative text")</f>
        <v>Qualitative text</v>
      </c>
    </row>
    <row r="8303" spans="1:3" ht="13" x14ac:dyDescent="0.15">
      <c r="A8303" s="1" t="str">
        <f ca="1">IFERROR(__xludf.DUMMYFUNCTION("GOOGLETRANSLATE(A8303, ""zh"", ""en"")"),"The company has taken proactive measures and procedures to prevent corruption risks, established an internal commercial bribery reporting and punishment mechanism, and provided business ethics training to employees;")</f>
        <v>The company has taken proactive measures and procedures to prevent corruption risks, established an internal commercial bribery reporting and punishment mechanism, and provided business ethics training to employees;</v>
      </c>
      <c r="B8303" s="1" t="str">
        <f ca="1">IFERROR(__xludf.DUMMYFUNCTION("GOOGLETRANSLATE(A8303, ""zh"", ""en"")"),"Anti-corruption and anti-money laundering")</f>
        <v>Anti-corruption and anti-money laundering</v>
      </c>
      <c r="C8303" s="1" t="str">
        <f ca="1">IFERROR(__xludf.DUMMYFUNCTION("GOOGLETRANSLATE(E8303, ""zh"", ""en"")"),"Qualitative text")</f>
        <v>Qualitative text</v>
      </c>
    </row>
    <row r="8304" spans="1:3" ht="13" x14ac:dyDescent="0.15">
      <c r="A8304" s="1" t="str">
        <f ca="1">IFERROR(__xludf.DUMMYFUNCTION("GOOGLETRANSLATE(A8304, ""zh"", ""en"")"),"The company has a firm attitude and decisive actions against violations of discipline and regulations. Since 2018, it has closed-loop investigated and dealt with 21 clues and 9 petty corruption incidents;")</f>
        <v>The company has a firm attitude and decisive actions against violations of discipline and regulations. Since 2018, it has closed-loop investigated and dealt with 21 clues and 9 petty corruption incidents;</v>
      </c>
      <c r="B8304" s="1" t="str">
        <f ca="1">IFERROR(__xludf.DUMMYFUNCTION("GOOGLETRANSLATE(A8304, ""zh"", ""en"")"),"Anti-corruption and anti-money laundering")</f>
        <v>Anti-corruption and anti-money laundering</v>
      </c>
      <c r="C8304" s="1" t="str">
        <f ca="1">IFERROR(__xludf.DUMMYFUNCTION("GOOGLETRANSLATE(E8304, ""zh"", ""en"")"),"Quantitative Text")</f>
        <v>Quantitative Text</v>
      </c>
    </row>
    <row r="8305" spans="1:3" ht="13" x14ac:dyDescent="0.15">
      <c r="A8305" s="1" t="str">
        <f ca="1">IFERROR(__xludf.DUMMYFUNCTION("GOOGLETRANSLATE(A8305, ""zh"", ""en"")"),"The company has established a systematic anti-fraud and supervision mechanism and continues to improve it.")</f>
        <v>The company has established a systematic anti-fraud and supervision mechanism and continues to improve it.</v>
      </c>
      <c r="B8305" s="1" t="str">
        <f ca="1">IFERROR(__xludf.DUMMYFUNCTION("GOOGLETRANSLATE(A8305, ""zh"", ""en"")"),"Anti-corruption and anti-money laundering")</f>
        <v>Anti-corruption and anti-money laundering</v>
      </c>
      <c r="C8305" s="1" t="str">
        <f ca="1">IFERROR(__xludf.DUMMYFUNCTION("GOOGLETRANSLATE(E8305, ""zh"", ""en"")"),"Qualitative text")</f>
        <v>Qualitative text</v>
      </c>
    </row>
    <row r="8306" spans="1:3" ht="13" x14ac:dyDescent="0.15">
      <c r="A8306" s="1" t="str">
        <f ca="1">IFERROR(__xludf.DUMMYFUNCTION("GOOGLETRANSLATE(A8306, ""zh"", ""en"")"),"The company promotes the extension of the ""four responsibilities coordination"" mechanism of comprehensive and strict party governance to the grassroots level, promotes the ""dare not, cannot, and do not want to"" mechanism in an integrated manner, formu"&amp;"lates the ""Anti-Corruption Work System"", and forms a set of anti-corruption work systems for identification, prevention, management, supervision and handling of violations.")</f>
        <v>The company promotes the extension of the "four responsibilities coordination" mechanism of comprehensive and strict party governance to the grassroots level, promotes the "dare not, cannot, and do not want to" mechanism in an integrated manner, formulates the "Anti-Corruption Work System", and forms a set of anti-corruption work systems for identification, prevention, management, supervision and handling of violations.</v>
      </c>
      <c r="B8306" s="1" t="str">
        <f ca="1">IFERROR(__xludf.DUMMYFUNCTION("GOOGLETRANSLATE(A8306, ""zh"", ""en"")"),"Anti-corruption and anti-money laundering")</f>
        <v>Anti-corruption and anti-money laundering</v>
      </c>
      <c r="C8306" s="1" t="str">
        <f ca="1">IFERROR(__xludf.DUMMYFUNCTION("GOOGLETRANSLATE(E8306, ""zh"", ""en"")"),"Qualitative text")</f>
        <v>Qualitative text</v>
      </c>
    </row>
    <row r="8307" spans="1:3" ht="13" x14ac:dyDescent="0.15">
      <c r="A8307" s="1" t="str">
        <f ca="1">IFERROR(__xludf.DUMMYFUNCTION("GOOGLETRANSLATE(A8307, ""zh"", ""en"")"),"To strengthen the internal atmosphere of integrity, the company conducted anti-corruption and anti-bribery training for all new employees during the reporting period to regulate employee behavior, and used typical cases of violations to warn employees of "&amp;"their daily behavior and enhance their awareness of business ethics.")</f>
        <v>To strengthen the internal atmosphere of integrity, the company conducted anti-corruption and anti-bribery training for all new employees during the reporting period to regulate employee behavior, and used typical cases of violations to warn employees of their daily behavior and enhance their awareness of business ethics.</v>
      </c>
      <c r="B8307" s="1" t="str">
        <f ca="1">IFERROR(__xludf.DUMMYFUNCTION("GOOGLETRANSLATE(A8307, ""zh"", ""en"")"),"Anti-corruption and anti-money laundering")</f>
        <v>Anti-corruption and anti-money laundering</v>
      </c>
      <c r="C8307" s="1" t="str">
        <f ca="1">IFERROR(__xludf.DUMMYFUNCTION("GOOGLETRANSLATE(E8307, ""zh"", ""en"")"),"Qualitative text")</f>
        <v>Qualitative text</v>
      </c>
    </row>
    <row r="8308" spans="1:3" ht="13" x14ac:dyDescent="0.15">
      <c r="A8308" s="1" t="str">
        <f ca="1">IFERROR(__xludf.DUMMYFUNCTION("GOOGLETRANSLATE(A8308, ""zh"", ""en"")"),"The company strictly fulfills its social responsibilities, regulates employees' business ethics, opposes commercial bribery, purifies social atmosphere, and actively requires employees to sign the ""Integrity Commitment Letter"" to adhere to the company's"&amp;" consistent requirements in combating commercial bribery.")</f>
        <v>The company strictly fulfills its social responsibilities, regulates employees' business ethics, opposes commercial bribery, purifies social atmosphere, and actively requires employees to sign the "Integrity Commitment Letter" to adhere to the company's consistent requirements in combating commercial bribery.</v>
      </c>
      <c r="B8308" s="1" t="str">
        <f ca="1">IFERROR(__xludf.DUMMYFUNCTION("GOOGLETRANSLATE(A8308, ""zh"", ""en"")"),"Anti-corruption and anti-money laundering")</f>
        <v>Anti-corruption and anti-money laundering</v>
      </c>
      <c r="C8308" s="1" t="str">
        <f ca="1">IFERROR(__xludf.DUMMYFUNCTION("GOOGLETRANSLATE(E8308, ""zh"", ""en"")"),"Qualitative text")</f>
        <v>Qualitative text</v>
      </c>
    </row>
    <row r="8309" spans="1:3" ht="13" x14ac:dyDescent="0.15">
      <c r="A8309" s="1" t="str">
        <f ca="1">IFERROR(__xludf.DUMMYFUNCTION("GOOGLETRANSLATE(A8309, ""zh"", ""en"")"),"The company and its employees have signed an ""Integrity Agreement"" to prevent conflicts of interest, private agreements, bribery and other corruption and fraud issues from the source.")</f>
        <v>The company and its employees have signed an "Integrity Agreement" to prevent conflicts of interest, private agreements, bribery and other corruption and fraud issues from the source.</v>
      </c>
      <c r="B8309" s="1" t="str">
        <f ca="1">IFERROR(__xludf.DUMMYFUNCTION("GOOGLETRANSLATE(A8309, ""zh"", ""en"")"),"Anti-corruption and anti-money laundering")</f>
        <v>Anti-corruption and anti-money laundering</v>
      </c>
      <c r="C8309" s="1" t="str">
        <f ca="1">IFERROR(__xludf.DUMMYFUNCTION("GOOGLETRANSLATE(E8309, ""zh"", ""en"")"),"Qualitative text")</f>
        <v>Qualitative text</v>
      </c>
    </row>
    <row r="8310" spans="1:3" ht="13" x14ac:dyDescent="0.15">
      <c r="A8310" s="1" t="str">
        <f ca="1">IFERROR(__xludf.DUMMYFUNCTION("GOOGLETRANSLATE(A8310, ""zh"", ""en"")"),"Company employees should adhere to the principle of integrity and anti-corruption, abide by laws and regulations and the company's internal regulations on anti-commercial bribery and anti-embezzlement, must not accept bribes, and must not use their positi"&amp;"on or power to seek improper benefits. If they are unable to refuse bribes for various reasons, they must promptly report to the company's Human Resources Department for unified processing.")</f>
        <v>Company employees should adhere to the principle of integrity and anti-corruption, abide by laws and regulations and the company's internal regulations on anti-commercial bribery and anti-embezzlement, must not accept bribes, and must not use their position or power to seek improper benefits. If they are unable to refuse bribes for various reasons, they must promptly report to the company's Human Resources Department for unified processing.</v>
      </c>
      <c r="B8310" s="1" t="str">
        <f ca="1">IFERROR(__xludf.DUMMYFUNCTION("GOOGLETRANSLATE(A8310, ""zh"", ""en"")"),"Anti-corruption and anti-money laundering")</f>
        <v>Anti-corruption and anti-money laundering</v>
      </c>
      <c r="C8310" s="1" t="str">
        <f ca="1">IFERROR(__xludf.DUMMYFUNCTION("GOOGLETRANSLATE(E8310, ""zh"", ""en"")"),"Qualitative text")</f>
        <v>Qualitative text</v>
      </c>
    </row>
    <row r="8311" spans="1:3" ht="13" x14ac:dyDescent="0.15">
      <c r="A8311" s="1" t="str">
        <f ca="1">IFERROR(__xludf.DUMMYFUNCTION("GOOGLETRANSLATE(A8311, ""zh"", ""en"")"),"The company has formulated internal policies and systems such as the ""Anti-Fraud, Anti-Money Laundering, and Anti-Bribery Management System"" and the ""Employee Professional Ethics and Code of Conduct"" to cover anti-fraud, anti-money laundering, and ant"&amp;"i-bribery requirements for all employees and partners, and has vigorously promoted business ethics and anti-corruption audit and supervision to ensure that the anti-corruption, anti-fraud, anti-money laundering and compliance with business ethics codes of"&amp;" conduct are fully implemented.")</f>
        <v>The company has formulated internal policies and systems such as the "Anti-Fraud, Anti-Money Laundering, and Anti-Bribery Management System" and the "Employee Professional Ethics and Code of Conduct" to cover anti-fraud, anti-money laundering, and anti-bribery requirements for all employees and partners, and has vigorously promoted business ethics and anti-corruption audit and supervision to ensure that the anti-corruption, anti-fraud, anti-money laundering and compliance with business ethics codes of conduct are fully implemented.</v>
      </c>
      <c r="B8311" s="1" t="str">
        <f ca="1">IFERROR(__xludf.DUMMYFUNCTION("GOOGLETRANSLATE(A8311, ""zh"", ""en"")"),"Anti-corruption and anti-money laundering")</f>
        <v>Anti-corruption and anti-money laundering</v>
      </c>
      <c r="C8311" s="1" t="str">
        <f ca="1">IFERROR(__xludf.DUMMYFUNCTION("GOOGLETRANSLATE(E8311, ""zh"", ""en"")"),"Qualitative text")</f>
        <v>Qualitative text</v>
      </c>
    </row>
    <row r="8312" spans="1:3" ht="13" x14ac:dyDescent="0.15">
      <c r="A8312" s="1" t="str">
        <f ca="1">IFERROR(__xludf.DUMMYFUNCTION("GOOGLETRANSLATE(A8312, ""zh"", ""en"")"),"The company has formulated the ""Company Integrity Management System"" and the ""Company Employee Self-Discipline Management Regulations"" to strengthen the development of a clean and honest culture, enhance employees' awareness of honest practices, and b"&amp;"uild an anti-corruption system. During the reporting period, the company did not experience any corruption or embezzlement incidents.")</f>
        <v>The company has formulated the "Company Integrity Management System" and the "Company Employee Self-Discipline Management Regulations" to strengthen the development of a clean and honest culture, enhance employees' awareness of honest practices, and build an anti-corruption system. During the reporting period, the company did not experience any corruption or embezzlement incidents.</v>
      </c>
      <c r="B8312" s="1" t="str">
        <f ca="1">IFERROR(__xludf.DUMMYFUNCTION("GOOGLETRANSLATE(A8312, ""zh"", ""en"")"),"Anti-corruption and anti-money laundering")</f>
        <v>Anti-corruption and anti-money laundering</v>
      </c>
      <c r="C8312" s="1" t="str">
        <f ca="1">IFERROR(__xludf.DUMMYFUNCTION("GOOGLETRANSLATE(E8312, ""zh"", ""en"")"),"Quantitative Text")</f>
        <v>Quantitative Text</v>
      </c>
    </row>
    <row r="8313" spans="1:3" ht="13" x14ac:dyDescent="0.15">
      <c r="A8313" s="1" t="str">
        <f ca="1">IFERROR(__xludf.DUMMYFUNCTION("GOOGLETRANSLATE(A8313, ""zh"", ""en"")"),"The company is committed to creating a transparent and fair business environment, adhering to business ethics, taking high-quality development as its sustainable development strategy, and eliminating all commercial corruption. The company strictly abides "&amp;"by the Anti-Unfair Competition Law, the Interim Provisions on Prohibition of Commercial Bribery and other legal standards, and organizes key project personnel to sign the ""Integrity and Self-discipline Commitment Letter"". While continuously improving th"&amp;"e anti-fraud and reporting system, it also continuously enhances employees' awareness of anti-corruption and promoting integrity.")</f>
        <v>The company is committed to creating a transparent and fair business environment, adhering to business ethics, taking high-quality development as its sustainable development strategy, and eliminating all commercial corruption. The company strictly abides by the Anti-Unfair Competition Law, the Interim Provisions on Prohibition of Commercial Bribery and other legal standards, and organizes key project personnel to sign the "Integrity and Self-discipline Commitment Letter". While continuously improving the anti-fraud and reporting system, it also continuously enhances employees' awareness of anti-corruption and promoting integrity.</v>
      </c>
      <c r="B8313" s="1" t="str">
        <f ca="1">IFERROR(__xludf.DUMMYFUNCTION("GOOGLETRANSLATE(A8313, ""zh"", ""en"")"),"Anti-corruption and anti-money laundering")</f>
        <v>Anti-corruption and anti-money laundering</v>
      </c>
      <c r="C8313" s="1" t="str">
        <f ca="1">IFERROR(__xludf.DUMMYFUNCTION("GOOGLETRANSLATE(E8313, ""zh"", ""en"")"),"Qualitative text")</f>
        <v>Qualitative text</v>
      </c>
    </row>
    <row r="8314" spans="1:3" ht="13" x14ac:dyDescent="0.15">
      <c r="A8314" s="1" t="str">
        <f ca="1">IFERROR(__xludf.DUMMYFUNCTION("GOOGLETRANSLATE(A8314, ""zh"", ""en"")"),"The company attaches great importance to the construction of corporate integrity culture, advocates law-abiding operation, and resolutely fights corruption and promotes integrity.")</f>
        <v>The company attaches great importance to the construction of corporate integrity culture, advocates law-abiding operation, and resolutely fights corruption and promotes integrity.</v>
      </c>
      <c r="B8314" s="1" t="str">
        <f ca="1">IFERROR(__xludf.DUMMYFUNCTION("GOOGLETRANSLATE(A8314, ""zh"", ""en"")"),"Anti-corruption and anti-money laundering")</f>
        <v>Anti-corruption and anti-money laundering</v>
      </c>
      <c r="C8314" s="1" t="str">
        <f ca="1">IFERROR(__xludf.DUMMYFUNCTION("GOOGLETRANSLATE(E8314, ""zh"", ""en"")"),"Qualitative text")</f>
        <v>Qualitative text</v>
      </c>
    </row>
    <row r="8315" spans="1:3" ht="13" x14ac:dyDescent="0.15">
      <c r="A8315" s="1" t="str">
        <f ca="1">IFERROR(__xludf.DUMMYFUNCTION("GOOGLETRANSLATE(A8315, ""zh"", ""en"")"),"Adhere to the normalization and effectiveness of the investigation of corruption risks, clarify the responsible persons for corruption risks, draw up a work flow chart for corruption risk prevention and control, and incorporate the construction of Party c"&amp;"onduct and clean government into the assessment system")</f>
        <v>Adhere to the normalization and effectiveness of the investigation of corruption risks, clarify the responsible persons for corruption risks, draw up a work flow chart for corruption risk prevention and control, and incorporate the construction of Party conduct and clean government into the assessment system</v>
      </c>
      <c r="B8315" s="1" t="str">
        <f ca="1">IFERROR(__xludf.DUMMYFUNCTION("GOOGLETRANSLATE(A8315, ""zh"", ""en"")"),"Anti-corruption and anti-money laundering")</f>
        <v>Anti-corruption and anti-money laundering</v>
      </c>
      <c r="C8315" s="1" t="str">
        <f ca="1">IFERROR(__xludf.DUMMYFUNCTION("GOOGLETRANSLATE(E8315, ""zh"", ""en"")"),"Qualitative text")</f>
        <v>Qualitative text</v>
      </c>
    </row>
    <row r="8316" spans="1:3" ht="13" x14ac:dyDescent="0.15">
      <c r="A8316" s="1" t="str">
        <f ca="1">IFERROR(__xludf.DUMMYFUNCTION("GOOGLETRANSLATE(A8316, ""zh"", ""en"")"),"Report the latest international and domestic anti-fraud, anti-corruption, anti-bribery and business ethics policies to the leadership, and serve as a means of disseminating, promoting and warning top management.")</f>
        <v>Report the latest international and domestic anti-fraud, anti-corruption, anti-bribery and business ethics policies to the leadership, and serve as a means of disseminating, promoting and warning top management.</v>
      </c>
      <c r="B8316" s="1" t="str">
        <f ca="1">IFERROR(__xludf.DUMMYFUNCTION("GOOGLETRANSLATE(A8316, ""zh"", ""en"")"),"Anti-corruption and anti-money laundering")</f>
        <v>Anti-corruption and anti-money laundering</v>
      </c>
      <c r="C8316" s="1" t="str">
        <f ca="1">IFERROR(__xludf.DUMMYFUNCTION("GOOGLETRANSLATE(E8316, ""zh"", ""en"")"),"Qualitative text")</f>
        <v>Qualitative text</v>
      </c>
    </row>
    <row r="8317" spans="1:3" ht="13" x14ac:dyDescent="0.15">
      <c r="A8317" s="1" t="str">
        <f ca="1">IFERROR(__xludf.DUMMYFUNCTION("GOOGLETRANSLATE(A8317, ""zh"", ""en"")"),"All employees are prohibited from accepting any bribes, kickbacks or improper compensation.")</f>
        <v>All employees are prohibited from accepting any bribes, kickbacks or improper compensation.</v>
      </c>
      <c r="B8317" s="1" t="str">
        <f ca="1">IFERROR(__xludf.DUMMYFUNCTION("GOOGLETRANSLATE(A8317, ""zh"", ""en"")"),"Anti-corruption and anti-money laundering")</f>
        <v>Anti-corruption and anti-money laundering</v>
      </c>
      <c r="C8317" s="1" t="str">
        <f ca="1">IFERROR(__xludf.DUMMYFUNCTION("GOOGLETRANSLATE(E8317, ""zh"", ""en"")"),"Qualitative text")</f>
        <v>Qualitative text</v>
      </c>
    </row>
    <row r="8318" spans="1:3" ht="13" x14ac:dyDescent="0.15">
      <c r="A8318" s="1" t="str">
        <f ca="1">IFERROR(__xludf.DUMMYFUNCTION("GOOGLETRANSLATE(A8318, ""zh"", ""en"")"),"Carry out anti-corruption risk investigation work, focus on key areas, key tasks, and key positions, and keep a close eye on key links where power is concentrated, funds are intensive, resources are enriched, and assets are concentrated.")</f>
        <v>Carry out anti-corruption risk investigation work, focus on key areas, key tasks, and key positions, and keep a close eye on key links where power is concentrated, funds are intensive, resources are enriched, and assets are concentrated.</v>
      </c>
      <c r="B8318" s="1" t="str">
        <f ca="1">IFERROR(__xludf.DUMMYFUNCTION("GOOGLETRANSLATE(A8318, ""zh"", ""en"")"),"Anti-corruption and anti-money laundering")</f>
        <v>Anti-corruption and anti-money laundering</v>
      </c>
      <c r="C8318" s="1" t="str">
        <f ca="1">IFERROR(__xludf.DUMMYFUNCTION("GOOGLETRANSLATE(E8318, ""zh"", ""en"")"),"Qualitative text")</f>
        <v>Qualitative text</v>
      </c>
    </row>
    <row r="8319" spans="1:3" ht="13" x14ac:dyDescent="0.15">
      <c r="A8319" s="1" t="str">
        <f ca="1">IFERROR(__xludf.DUMMYFUNCTION("GOOGLETRANSLATE(A8319, ""zh"", ""en"")"),"Compliance and special audits are conducted multiple times each year. Potential fraud and corruption risks are considered in every audit project. Audit project members will expand the audit scope for ""red flag matters"" (matters where corruption may occu"&amp;"r). If deemed necessary during the audit process, separate audits will be conducted and reported to the top management or the audit committee.")</f>
        <v>Compliance and special audits are conducted multiple times each year. Potential fraud and corruption risks are considered in every audit project. Audit project members will expand the audit scope for "red flag matters" (matters where corruption may occur). If deemed necessary during the audit process, separate audits will be conducted and reported to the top management or the audit committee.</v>
      </c>
      <c r="B8319" s="1" t="str">
        <f ca="1">IFERROR(__xludf.DUMMYFUNCTION("GOOGLETRANSLATE(A8319, ""zh"", ""en"")"),"Anti-corruption and anti-money laundering")</f>
        <v>Anti-corruption and anti-money laundering</v>
      </c>
      <c r="C8319" s="1" t="str">
        <f ca="1">IFERROR(__xludf.DUMMYFUNCTION("GOOGLETRANSLATE(E8319, ""zh"", ""en"")"),"Qualitative text")</f>
        <v>Qualitative text</v>
      </c>
    </row>
    <row r="8320" spans="1:3" ht="13" x14ac:dyDescent="0.15">
      <c r="A8320" s="1" t="str">
        <f ca="1">IFERROR(__xludf.DUMMYFUNCTION("GOOGLETRANSLATE(A8320, ""zh"", ""en"")"),"Communicate and learn the latest anti-corruption regulations through OA and WeChat work groups")</f>
        <v>Communicate and learn the latest anti-corruption regulations through OA and WeChat work groups</v>
      </c>
      <c r="B8320" s="1" t="str">
        <f ca="1">IFERROR(__xludf.DUMMYFUNCTION("GOOGLETRANSLATE(A8320, ""zh"", ""en"")"),"Anti-corruption and anti-money laundering")</f>
        <v>Anti-corruption and anti-money laundering</v>
      </c>
      <c r="C8320" s="1" t="str">
        <f ca="1">IFERROR(__xludf.DUMMYFUNCTION("GOOGLETRANSLATE(E8320, ""zh"", ""en"")"),"Qualitative text")</f>
        <v>Qualitative text</v>
      </c>
    </row>
    <row r="8321" spans="1:3" ht="13" x14ac:dyDescent="0.15">
      <c r="A8321" s="1" t="str">
        <f ca="1">IFERROR(__xludf.DUMMYFUNCTION("GOOGLETRANSLATE(A8321, ""zh"", ""en"")"),"To prevent and control supplier corruption, the company requires suppliers to sign the ""Supplier Anti-Bribery Commitment Letter"" and maintain a work style of integrity and self-discipline during the procurement process to prevent any improper behavior.")</f>
        <v>To prevent and control supplier corruption, the company requires suppliers to sign the "Supplier Anti-Bribery Commitment Letter" and maintain a work style of integrity and self-discipline during the procurement process to prevent any improper behavior.</v>
      </c>
      <c r="B8321" s="1" t="str">
        <f ca="1">IFERROR(__xludf.DUMMYFUNCTION("GOOGLETRANSLATE(A8321, ""zh"", ""en"")"),"Anti-corruption and anti-money laundering")</f>
        <v>Anti-corruption and anti-money laundering</v>
      </c>
      <c r="C8321" s="1" t="str">
        <f ca="1">IFERROR(__xludf.DUMMYFUNCTION("GOOGLETRANSLATE(E8321, ""zh"", ""en"")"),"Qualitative text")</f>
        <v>Qualitative text</v>
      </c>
    </row>
    <row r="8322" spans="1:3" ht="13" x14ac:dyDescent="0.15">
      <c r="A8322" s="1" t="str">
        <f ca="1">IFERROR(__xludf.DUMMYFUNCTION("GOOGLETRANSLATE(A8322, ""zh"", ""en"")"),"We have a zero-tolerance attitude towards corruption. Employees at all levels of the company and all sectors of society that have direct or indirect economic relations with the company may report actual or suspected fraud cases involving the company and i"&amp;"ts personnel through reporting telephones, emails, letters, and other channels, including complaints and reports of violations of professional ethics by the company and its personnel.")</f>
        <v>We have a zero-tolerance attitude towards corruption. Employees at all levels of the company and all sectors of society that have direct or indirect economic relations with the company may report actual or suspected fraud cases involving the company and its personnel through reporting telephones, emails, letters, and other channels, including complaints and reports of violations of professional ethics by the company and its personnel.</v>
      </c>
      <c r="B8322" s="1" t="str">
        <f ca="1">IFERROR(__xludf.DUMMYFUNCTION("GOOGLETRANSLATE(A8322, ""zh"", ""en"")"),"Anti-corruption and anti-money laundering")</f>
        <v>Anti-corruption and anti-money laundering</v>
      </c>
      <c r="C8322" s="1" t="str">
        <f ca="1">IFERROR(__xludf.DUMMYFUNCTION("GOOGLETRANSLATE(E8322, ""zh"", ""en"")"),"Qualitative text")</f>
        <v>Qualitative text</v>
      </c>
    </row>
    <row r="8323" spans="1:3" ht="13" x14ac:dyDescent="0.15">
      <c r="A8323" s="1" t="str">
        <f ca="1">IFERROR(__xludf.DUMMYFUNCTION("GOOGLETRANSLATE(A8323, ""zh"", ""en"")"),"Sign integrity agreements with the leadership team, employees, and suppliers to ensure integrity and self-discipline.")</f>
        <v>Sign integrity agreements with the leadership team, employees, and suppliers to ensure integrity and self-discipline.</v>
      </c>
      <c r="B8323" s="1" t="str">
        <f ca="1">IFERROR(__xludf.DUMMYFUNCTION("GOOGLETRANSLATE(A8323, ""zh"", ""en"")"),"Anti-corruption and anti-money laundering")</f>
        <v>Anti-corruption and anti-money laundering</v>
      </c>
      <c r="C8323" s="1" t="str">
        <f ca="1">IFERROR(__xludf.DUMMYFUNCTION("GOOGLETRANSLATE(E8323, ""zh"", ""en"")"),"Qualitative text")</f>
        <v>Qualitative text</v>
      </c>
    </row>
    <row r="8324" spans="1:3" ht="13" x14ac:dyDescent="0.15">
      <c r="A8324" s="1" t="str">
        <f ca="1">IFERROR(__xludf.DUMMYFUNCTION("GOOGLETRANSLATE(A8324, ""zh"", ""en"")"),"Formulate the ""Anti-Corruption and Integrity Work System"" to provide clear normative guidelines for the behavior of leading cadres and employees;")</f>
        <v>Formulate the "Anti-Corruption and Integrity Work System" to provide clear normative guidelines for the behavior of leading cadres and employees;</v>
      </c>
      <c r="B8324" s="1" t="str">
        <f ca="1">IFERROR(__xludf.DUMMYFUNCTION("GOOGLETRANSLATE(A8324, ""zh"", ""en"")"),"Anti-corruption and anti-money laundering")</f>
        <v>Anti-corruption and anti-money laundering</v>
      </c>
      <c r="C8324" s="1" t="str">
        <f ca="1">IFERROR(__xludf.DUMMYFUNCTION("GOOGLETRANSLATE(E8324, ""zh"", ""en"")"),"Qualitative text")</f>
        <v>Qualitative text</v>
      </c>
    </row>
    <row r="8325" spans="1:3" ht="13" x14ac:dyDescent="0.15">
      <c r="A8325" s="1" t="str">
        <f ca="1">IFERROR(__xludf.DUMMYFUNCTION("GOOGLETRANSLATE(A8325, ""zh"", ""en"")"),"We prioritize education and guidance, conducting Party conduct and clean governance education in various forms and at multiple events throughout the year. For example, we organize participants to attend Party conduct and clean governance education lecture"&amp;"s and watch cautionary education films; produce ""Integrity Tips""; and conduct timely clean governance publicity and education, as well as pre-holiday reminders, during important dates like New Year's Day, Spring Festival, National Day, and Mid-Autumn Fe"&amp;"stival.")</f>
        <v>We prioritize education and guidance, conducting Party conduct and clean governance education in various forms and at multiple events throughout the year. For example, we organize participants to attend Party conduct and clean governance education lectures and watch cautionary education films; produce "Integrity Tips"; and conduct timely clean governance publicity and education, as well as pre-holiday reminders, during important dates like New Year's Day, Spring Festival, National Day, and Mid-Autumn Festival.</v>
      </c>
      <c r="B8325" s="1" t="str">
        <f ca="1">IFERROR(__xludf.DUMMYFUNCTION("GOOGLETRANSLATE(A8325, ""zh"", ""en"")"),"Anti-corruption and anti-money laundering")</f>
        <v>Anti-corruption and anti-money laundering</v>
      </c>
      <c r="C8325" s="1" t="str">
        <f ca="1">IFERROR(__xludf.DUMMYFUNCTION("GOOGLETRANSLATE(E8325, ""zh"", ""en"")"),"Qualitative text")</f>
        <v>Qualitative text</v>
      </c>
    </row>
    <row r="8326" spans="1:3" ht="13" x14ac:dyDescent="0.15">
      <c r="A8326" s="1" t="str">
        <f ca="1">IFERROR(__xludf.DUMMYFUNCTION("GOOGLETRANSLATE(A8326, ""zh"", ""en"")"),"Organize leading cadres to watch the anti-corruption culture education video")</f>
        <v>Organize leading cadres to watch the anti-corruption culture education video</v>
      </c>
      <c r="B8326" s="1" t="str">
        <f ca="1">IFERROR(__xludf.DUMMYFUNCTION("GOOGLETRANSLATE(A8326, ""zh"", ""en"")"),"Anti-corruption and anti-money laundering")</f>
        <v>Anti-corruption and anti-money laundering</v>
      </c>
      <c r="C8326" s="1" t="str">
        <f ca="1">IFERROR(__xludf.DUMMYFUNCTION("GOOGLETRANSLATE(E8326, ""zh"", ""en"")"),"Qualitative text")</f>
        <v>Qualitative text</v>
      </c>
    </row>
    <row r="8327" spans="1:3" ht="13" x14ac:dyDescent="0.15">
      <c r="A8327" s="1" t="str">
        <f ca="1">IFERROR(__xludf.DUMMYFUNCTION("GOOGLETRANSLATE(A8327, ""zh"", ""en"")"),"In 2021, the company did not engage in any activities that damaged the legitimate rights and interests of other operators or disrupted the social and economic order, and no anti-unfair competition cases occurred against the company.")</f>
        <v>In 2021, the company did not engage in any activities that damaged the legitimate rights and interests of other operators or disrupted the social and economic order, and no anti-unfair competition cases occurred against the company.</v>
      </c>
      <c r="B8327" s="1" t="str">
        <f ca="1">IFERROR(__xludf.DUMMYFUNCTION("GOOGLETRANSLATE(A8327, ""zh"", ""en"")"),"Anti-unfair competition")</f>
        <v>Anti-unfair competition</v>
      </c>
      <c r="C8327" s="1" t="str">
        <f ca="1">IFERROR(__xludf.DUMMYFUNCTION("GOOGLETRANSLATE(E8327, ""zh"", ""en"")"),"Quantitative Text")</f>
        <v>Quantitative Text</v>
      </c>
    </row>
    <row r="8328" spans="1:3" ht="13" x14ac:dyDescent="0.15">
      <c r="A8328" s="1" t="str">
        <f ca="1">IFERROR(__xludf.DUMMYFUNCTION("GOOGLETRANSLATE(A8328, ""zh"", ""en"")"),"In 2022, the company was not sanctioned by relevant departments due to unfair competition in its operations or violations of antitrust laws.")</f>
        <v>In 2022, the company was not sanctioned by relevant departments due to unfair competition in its operations or violations of antitrust laws.</v>
      </c>
      <c r="B8328" s="1" t="str">
        <f ca="1">IFERROR(__xludf.DUMMYFUNCTION("GOOGLETRANSLATE(A8328, ""zh"", ""en"")"),"Anti-unfair competition")</f>
        <v>Anti-unfair competition</v>
      </c>
      <c r="C8328" s="1" t="str">
        <f ca="1">IFERROR(__xludf.DUMMYFUNCTION("GOOGLETRANSLATE(E8328, ""zh"", ""en"")"),"Quantitative Text")</f>
        <v>Quantitative Text</v>
      </c>
    </row>
    <row r="8329" spans="1:3" ht="13" x14ac:dyDescent="0.15">
      <c r="A8329" s="1" t="str">
        <f ca="1">IFERROR(__xludf.DUMMYFUNCTION("GOOGLETRANSLATE(A8329, ""zh"", ""en"")"),"In 2022, the company was not involved in any legal proceedings regarding anti-competitive behavior, antitrust and monopolistic practices.")</f>
        <v>In 2022, the company was not involved in any legal proceedings regarding anti-competitive behavior, antitrust and monopolistic practices.</v>
      </c>
      <c r="B8329" s="1" t="str">
        <f ca="1">IFERROR(__xludf.DUMMYFUNCTION("GOOGLETRANSLATE(A8329, ""zh"", ""en"")"),"Anti-unfair competition")</f>
        <v>Anti-unfair competition</v>
      </c>
      <c r="C8329" s="1" t="str">
        <f ca="1">IFERROR(__xludf.DUMMYFUNCTION("GOOGLETRANSLATE(E8329, ""zh"", ""en"")"),"Quantitative Text")</f>
        <v>Quantitative Text</v>
      </c>
    </row>
    <row r="8330" spans="1:3" ht="13" x14ac:dyDescent="0.15">
      <c r="A8330" s="1" t="str">
        <f ca="1">IFERROR(__xludf.DUMMYFUNCTION("GOOGLETRANSLATE(A8330, ""zh"", ""en"")"),"In accordance with the relevant requirements of the Anti-Unfair Competition Law of the People's Republic of China, the Anti-Monopoly Law of the People's Republic of China and other relevant requirements, we encourage and protect fair competition and striv"&amp;"e to safeguard the legitimate rights and interests of others from infringement.")</f>
        <v>In accordance with the relevant requirements of the Anti-Unfair Competition Law of the People's Republic of China, the Anti-Monopoly Law of the People's Republic of China and other relevant requirements, we encourage and protect fair competition and strive to safeguard the legitimate rights and interests of others from infringement.</v>
      </c>
      <c r="B8330" s="1" t="str">
        <f ca="1">IFERROR(__xludf.DUMMYFUNCTION("GOOGLETRANSLATE(A8330, ""zh"", ""en"")"),"Anti-unfair competition")</f>
        <v>Anti-unfair competition</v>
      </c>
      <c r="C8330" s="1" t="str">
        <f ca="1">IFERROR(__xludf.DUMMYFUNCTION("GOOGLETRANSLATE(E8330, ""zh"", ""en"")"),"Qualitative text")</f>
        <v>Qualitative text</v>
      </c>
    </row>
    <row r="8331" spans="1:3" ht="13" x14ac:dyDescent="0.15">
      <c r="A8331" s="1" t="str">
        <f ca="1">IFERROR(__xludf.DUMMYFUNCTION("GOOGLETRANSLATE(A8331, ""zh"", ""en"")"),"We hold supplier conferences regularly, cooperate with suppliers in a fair manner, eliminate corruption, and avoid unfair competition.")</f>
        <v>We hold supplier conferences regularly, cooperate with suppliers in a fair manner, eliminate corruption, and avoid unfair competition.</v>
      </c>
      <c r="B8331" s="1" t="str">
        <f ca="1">IFERROR(__xludf.DUMMYFUNCTION("GOOGLETRANSLATE(A8331, ""zh"", ""en"")"),"Anti-unfair competition")</f>
        <v>Anti-unfair competition</v>
      </c>
      <c r="C8331" s="1" t="str">
        <f ca="1">IFERROR(__xludf.DUMMYFUNCTION("GOOGLETRANSLATE(E8331, ""zh"", ""en"")"),"Qualitative text")</f>
        <v>Qualitative text</v>
      </c>
    </row>
    <row r="8332" spans="1:3" ht="13" x14ac:dyDescent="0.15">
      <c r="A8332" s="1" t="str">
        <f ca="1">IFERROR(__xludf.DUMMYFUNCTION("GOOGLETRANSLATE(A8332, ""zh"", ""en"")"),"The Company continues to pay attention to the antitrust situation in the jurisdictions involved in its business, and regularly reviews and evaluates the compliance of its own competitive behavior and business operations.")</f>
        <v>The Company continues to pay attention to the antitrust situation in the jurisdictions involved in its business, and regularly reviews and evaluates the compliance of its own competitive behavior and business operations.</v>
      </c>
      <c r="B8332" s="1" t="str">
        <f ca="1">IFERROR(__xludf.DUMMYFUNCTION("GOOGLETRANSLATE(A8332, ""zh"", ""en"")"),"Anti-unfair competition")</f>
        <v>Anti-unfair competition</v>
      </c>
      <c r="C8332" s="1" t="str">
        <f ca="1">IFERROR(__xludf.DUMMYFUNCTION("GOOGLETRANSLATE(E8332, ""zh"", ""en"")"),"Qualitative text")</f>
        <v>Qualitative text</v>
      </c>
    </row>
    <row r="8333" spans="1:3" ht="13" x14ac:dyDescent="0.15">
      <c r="A8333" s="1" t="str">
        <f ca="1">IFERROR(__xludf.DUMMYFUNCTION("GOOGLETRANSLATE(A8333, ""zh"", ""en"")"),"Under the guidance of professional lawyers, the company organizes various departments to carry out antitrust compliance training to enhance employees' compliance awareness of fair competition.")</f>
        <v>Under the guidance of professional lawyers, the company organizes various departments to carry out antitrust compliance training to enhance employees' compliance awareness of fair competition.</v>
      </c>
      <c r="B8333" s="1" t="str">
        <f ca="1">IFERROR(__xludf.DUMMYFUNCTION("GOOGLETRANSLATE(A8333, ""zh"", ""en"")"),"Anti-unfair competition")</f>
        <v>Anti-unfair competition</v>
      </c>
      <c r="C8333" s="1" t="str">
        <f ca="1">IFERROR(__xludf.DUMMYFUNCTION("GOOGLETRANSLATE(E8333, ""zh"", ""en"")"),"Qualitative text")</f>
        <v>Qualitative text</v>
      </c>
    </row>
    <row r="8334" spans="1:3" ht="13" x14ac:dyDescent="0.15">
      <c r="A8334" s="1" t="str">
        <f ca="1">IFERROR(__xludf.DUMMYFUNCTION("GOOGLETRANSLATE(A8334, ""zh"", ""en"")"),"The company firmly opposes unfair competition and strictly abides by relevant laws, regulations and guidelines such as the Anti-Monopoly Law of the People's Republic of China, the Interim Provisions on Prohibition of Monopoly Agreements, the Anti-Monopoly"&amp;" Compliance Guidelines for Operators, and the Anti-Unfair Competition Law of the People's Republic of China. It actively guides employees to maintain good business ethics and conduct, ensures compliance with competition, eliminates vicious competition and"&amp;" price wars, and maintains fair competition order in the industry.")</f>
        <v>The company firmly opposes unfair competition and strictly abides by relevant laws, regulations and guidelines such as the Anti-Monopoly Law of the People's Republic of China, the Interim Provisions on Prohibition of Monopoly Agreements, the Anti-Monopoly Compliance Guidelines for Operators, and the Anti-Unfair Competition Law of the People's Republic of China. It actively guides employees to maintain good business ethics and conduct, ensures compliance with competition, eliminates vicious competition and price wars, and maintains fair competition order in the industry.</v>
      </c>
      <c r="B8334" s="1" t="str">
        <f ca="1">IFERROR(__xludf.DUMMYFUNCTION("GOOGLETRANSLATE(A8334, ""zh"", ""en"")"),"Anti-unfair competition")</f>
        <v>Anti-unfair competition</v>
      </c>
      <c r="C8334" s="1" t="str">
        <f ca="1">IFERROR(__xludf.DUMMYFUNCTION("GOOGLETRANSLATE(E8334, ""zh"", ""en"")"),"Qualitative text")</f>
        <v>Qualitative text</v>
      </c>
    </row>
    <row r="8335" spans="1:3" ht="13" x14ac:dyDescent="0.15">
      <c r="A8335" s="1" t="str">
        <f ca="1">IFERROR(__xludf.DUMMYFUNCTION("GOOGLETRANSLATE(A8335, ""zh"", ""en"")"),"The company always abides by the Anti-Monopoly Law and anti-monopoly laws and regulations in the locations where its international business is located, opposes acts that restrict competition, advocates and protects fair competition, and actively works wit"&amp;"h market participants to maintain a fair and competitive market environment.")</f>
        <v>The company always abides by the Anti-Monopoly Law and anti-monopoly laws and regulations in the locations where its international business is located, opposes acts that restrict competition, advocates and protects fair competition, and actively works with market participants to maintain a fair and competitive market environment.</v>
      </c>
      <c r="B8335" s="1" t="str">
        <f ca="1">IFERROR(__xludf.DUMMYFUNCTION("GOOGLETRANSLATE(A8335, ""zh"", ""en"")"),"Anti-unfair competition")</f>
        <v>Anti-unfair competition</v>
      </c>
      <c r="C8335" s="1" t="str">
        <f ca="1">IFERROR(__xludf.DUMMYFUNCTION("GOOGLETRANSLATE(E8335, ""zh"", ""en"")"),"Qualitative text")</f>
        <v>Qualitative text</v>
      </c>
    </row>
    <row r="8336" spans="1:3" ht="13" x14ac:dyDescent="0.15">
      <c r="A8336" s="1" t="str">
        <f ca="1">IFERROR(__xludf.DUMMYFUNCTION("GOOGLETRANSLATE(A8336, ""zh"", ""en"")"),"The company has continuously enhanced the compliance awareness of fair competition among all employees by holding special meetings on anti-price monopoly, formulating and issuing the ""Anti-monopoly Compliance Guidelines"", and promoting the publicity of "&amp;"laws and regulations related to anti-unfair competition.")</f>
        <v>The company has continuously enhanced the compliance awareness of fair competition among all employees by holding special meetings on anti-price monopoly, formulating and issuing the "Anti-monopoly Compliance Guidelines", and promoting the publicity of laws and regulations related to anti-unfair competition.</v>
      </c>
      <c r="B8336" s="1" t="str">
        <f ca="1">IFERROR(__xludf.DUMMYFUNCTION("GOOGLETRANSLATE(A8336, ""zh"", ""en"")"),"Anti-unfair competition")</f>
        <v>Anti-unfair competition</v>
      </c>
      <c r="C8336" s="1" t="str">
        <f ca="1">IFERROR(__xludf.DUMMYFUNCTION("GOOGLETRANSLATE(E8336, ""zh"", ""en"")"),"Qualitative text")</f>
        <v>Qualitative text</v>
      </c>
    </row>
    <row r="8337" spans="1:3" ht="13" x14ac:dyDescent="0.15">
      <c r="A8337" s="1" t="str">
        <f ca="1">IFERROR(__xludf.DUMMYFUNCTION("GOOGLETRANSLATE(A8337, ""zh"", ""en"")"),"The company strictly abides by the requirements of laws and regulations such as the Anti-Monopoly Law of the People's Republic of China and the Anti-Unfair Competition Law of the People's Republic of China, practices the principle of fair competition in i"&amp;"ts daily business activities, and is committed to maintaining a good market economic order.")</f>
        <v>The company strictly abides by the requirements of laws and regulations such as the Anti-Monopoly Law of the People's Republic of China and the Anti-Unfair Competition Law of the People's Republic of China, practices the principle of fair competition in its daily business activities, and is committed to maintaining a good market economic order.</v>
      </c>
      <c r="B8337" s="1" t="str">
        <f ca="1">IFERROR(__xludf.DUMMYFUNCTION("GOOGLETRANSLATE(A8337, ""zh"", ""en"")"),"Anti-unfair competition")</f>
        <v>Anti-unfair competition</v>
      </c>
      <c r="C8337" s="1" t="str">
        <f ca="1">IFERROR(__xludf.DUMMYFUNCTION("GOOGLETRANSLATE(E8337, ""zh"", ""en"")"),"Qualitative text")</f>
        <v>Qualitative text</v>
      </c>
    </row>
    <row r="8338" spans="1:3" ht="13" x14ac:dyDescent="0.15">
      <c r="A8338" s="1" t="str">
        <f ca="1">IFERROR(__xludf.DUMMYFUNCTION("GOOGLETRANSLATE(A8338, ""zh"", ""en"")"),"The company strictly abides by the Anti-Monopoly Law of the People's Republic of China, the Anti-Unfair Competition Law of the People's Republic of China and other relevant national laws and regulations, abides by market rules and business ethics, faithfu"&amp;"lly performs contracts, and opposes unfair competition.")</f>
        <v>The company strictly abides by the Anti-Monopoly Law of the People's Republic of China, the Anti-Unfair Competition Law of the People's Republic of China and other relevant national laws and regulations, abides by market rules and business ethics, faithfully performs contracts, and opposes unfair competition.</v>
      </c>
      <c r="B8338" s="1" t="str">
        <f ca="1">IFERROR(__xludf.DUMMYFUNCTION("GOOGLETRANSLATE(A8338, ""zh"", ""en"")"),"Anti-unfair competition")</f>
        <v>Anti-unfair competition</v>
      </c>
      <c r="C8338" s="1" t="str">
        <f ca="1">IFERROR(__xludf.DUMMYFUNCTION("GOOGLETRANSLATE(E8338, ""zh"", ""en"")"),"Qualitative text")</f>
        <v>Qualitative text</v>
      </c>
    </row>
    <row r="8339" spans="1:3" ht="13" x14ac:dyDescent="0.15">
      <c r="A8339" s="1" t="str">
        <f ca="1">IFERROR(__xludf.DUMMYFUNCTION("GOOGLETRANSLATE(A8339, ""zh"", ""en"")"),"In its production and operation activities, the company strictly abides by the provisions of the Anti-Unfair Competition Law of the People's Republic of China and other laws and regulations, and has not engaged in any behavior that disrupts market competi"&amp;"tion order or damages the legitimate rights and interests of other operators or consumers.")</f>
        <v>In its production and operation activities, the company strictly abides by the provisions of the Anti-Unfair Competition Law of the People's Republic of China and other laws and regulations, and has not engaged in any behavior that disrupts market competition order or damages the legitimate rights and interests of other operators or consumers.</v>
      </c>
      <c r="B8339" s="1" t="str">
        <f ca="1">IFERROR(__xludf.DUMMYFUNCTION("GOOGLETRANSLATE(A8339, ""zh"", ""en"")"),"Anti-unfair competition")</f>
        <v>Anti-unfair competition</v>
      </c>
      <c r="C8339" s="1" t="str">
        <f ca="1">IFERROR(__xludf.DUMMYFUNCTION("GOOGLETRANSLATE(E8339, ""zh"", ""en"")"),"Quantitative Text")</f>
        <v>Quantitative Text</v>
      </c>
    </row>
    <row r="8340" spans="1:3" ht="13" x14ac:dyDescent="0.15">
      <c r="A8340" s="1" t="str">
        <f ca="1">IFERROR(__xludf.DUMMYFUNCTION("GOOGLETRANSLATE(A8340, ""zh"", ""en"")"),"The National Inspection Group strictly abides by market trading rules, improves transaction management systems, establishes and improves a self-discipline and integrity system, resolutely opposes monopoly and unfair competition, and regulates production a"&amp;"nd operation activities such as asset transactions, equity transactions, bidding and procurement, and related transactions. It has also formulated relevant systems and policies in accordance with the ""Anti-Unfair Competition Law of the People's Republic "&amp;"of China"" to regulate company management and employee behavior.")</f>
        <v>The National Inspection Group strictly abides by market trading rules, improves transaction management systems, establishes and improves a self-discipline and integrity system, resolutely opposes monopoly and unfair competition, and regulates production and operation activities such as asset transactions, equity transactions, bidding and procurement, and related transactions. It has also formulated relevant systems and policies in accordance with the "Anti-Unfair Competition Law of the People's Republic of China" to regulate company management and employee behavior.</v>
      </c>
      <c r="B8340" s="1" t="str">
        <f ca="1">IFERROR(__xludf.DUMMYFUNCTION("GOOGLETRANSLATE(A8340, ""zh"", ""en"")"),"Anti-unfair competition")</f>
        <v>Anti-unfair competition</v>
      </c>
      <c r="C8340" s="1" t="str">
        <f ca="1">IFERROR(__xludf.DUMMYFUNCTION("GOOGLETRANSLATE(E8340, ""zh"", ""en"")"),"Qualitative text")</f>
        <v>Qualitative text</v>
      </c>
    </row>
    <row r="8341" spans="1:3" ht="13" x14ac:dyDescent="0.15">
      <c r="A8341" s="1" t="str">
        <f ca="1">IFERROR(__xludf.DUMMYFUNCTION("GOOGLETRANSLATE(A8341, ""zh"", ""en"")"),"Establish and form an anti-unfair competition management mechanism, implement a product review system, strictly conduct infringement and unfair competition reviews on new products, and only put them into production after passing the review.")</f>
        <v>Establish and form an anti-unfair competition management mechanism, implement a product review system, strictly conduct infringement and unfair competition reviews on new products, and only put them into production after passing the review.</v>
      </c>
      <c r="B8341" s="1" t="str">
        <f ca="1">IFERROR(__xludf.DUMMYFUNCTION("GOOGLETRANSLATE(A8341, ""zh"", ""en"")"),"Anti-unfair competition")</f>
        <v>Anti-unfair competition</v>
      </c>
      <c r="C8341" s="1" t="str">
        <f ca="1">IFERROR(__xludf.DUMMYFUNCTION("GOOGLETRANSLATE(E8341, ""zh"", ""en"")"),"Qualitative text")</f>
        <v>Qualitative text</v>
      </c>
    </row>
    <row r="8342" spans="1:3" ht="13" x14ac:dyDescent="0.15">
      <c r="A8342" s="1" t="str">
        <f ca="1">IFERROR(__xludf.DUMMYFUNCTION("GOOGLETRANSLATE(A8342, ""zh"", ""en"")"),"In the past three years, we have not received any lawsuits against our company regarding unfair competition.")</f>
        <v>In the past three years, we have not received any lawsuits against our company regarding unfair competition.</v>
      </c>
      <c r="B8342" s="1" t="str">
        <f ca="1">IFERROR(__xludf.DUMMYFUNCTION("GOOGLETRANSLATE(A8342, ""zh"", ""en"")"),"Anti-unfair competition")</f>
        <v>Anti-unfair competition</v>
      </c>
      <c r="C8342" s="1" t="str">
        <f ca="1">IFERROR(__xludf.DUMMYFUNCTION("GOOGLETRANSLATE(E8342, ""zh"", ""en"")"),"Quantitative Text")</f>
        <v>Quantitative Text</v>
      </c>
    </row>
    <row r="8343" spans="1:3" ht="13" x14ac:dyDescent="0.15">
      <c r="A8343" s="1" t="str">
        <f ca="1">IFERROR(__xludf.DUMMYFUNCTION("GOOGLETRANSLATE(A8343, ""zh"", ""en"")"),"Carry out training on anti-unfair competition, anti-monopoly and other knowledge for enterprises, and contribute to the standardization of industry order.")</f>
        <v>Carry out training on anti-unfair competition, anti-monopoly and other knowledge for enterprises, and contribute to the standardization of industry order.</v>
      </c>
      <c r="B8343" s="1" t="str">
        <f ca="1">IFERROR(__xludf.DUMMYFUNCTION("GOOGLETRANSLATE(A8343, ""zh"", ""en"")"),"Anti-unfair competition")</f>
        <v>Anti-unfair competition</v>
      </c>
      <c r="C8343" s="1" t="str">
        <f ca="1">IFERROR(__xludf.DUMMYFUNCTION("GOOGLETRANSLATE(E8343, ""zh"", ""en"")"),"Qualitative text")</f>
        <v>Qualitative text</v>
      </c>
    </row>
    <row r="8344" spans="1:3" ht="13" x14ac:dyDescent="0.15">
      <c r="A8344" s="1" t="str">
        <f ca="1">IFERROR(__xludf.DUMMYFUNCTION("GOOGLETRANSLATE(A8344, ""zh"", ""en"")"),"No acts that disrupted the market economic order occurred throughout the year, and no anti-unfair competition cases occurred against the company.")</f>
        <v>No acts that disrupted the market economic order occurred throughout the year, and no anti-unfair competition cases occurred against the company.</v>
      </c>
      <c r="B8344" s="1" t="str">
        <f ca="1">IFERROR(__xludf.DUMMYFUNCTION("GOOGLETRANSLATE(A8344, ""zh"", ""en"")"),"Anti-unfair competition")</f>
        <v>Anti-unfair competition</v>
      </c>
      <c r="C8344" s="1" t="str">
        <f ca="1">IFERROR(__xludf.DUMMYFUNCTION("GOOGLETRANSLATE(E8344, ""zh"", ""en"")"),"Quantitative Text")</f>
        <v>Quantitative Text</v>
      </c>
    </row>
    <row r="8345" spans="1:3" ht="13" x14ac:dyDescent="0.15">
      <c r="A8345" s="1" t="str">
        <f ca="1">IFERROR(__xludf.DUMMYFUNCTION("GOOGLETRANSLATE(A8345, ""zh"", ""en"")"),"Promote legal publicity of laws and regulations related to anti-unfair competition.")</f>
        <v>Promote legal publicity of laws and regulations related to anti-unfair competition.</v>
      </c>
      <c r="B8345" s="1" t="str">
        <f ca="1">IFERROR(__xludf.DUMMYFUNCTION("GOOGLETRANSLATE(A8345, ""zh"", ""en"")"),"Anti-unfair competition")</f>
        <v>Anti-unfair competition</v>
      </c>
      <c r="C8345" s="1" t="str">
        <f ca="1">IFERROR(__xludf.DUMMYFUNCTION("GOOGLETRANSLATE(E8345, ""zh"", ""en"")"),"Qualitative text")</f>
        <v>Qualitative text</v>
      </c>
    </row>
    <row r="8346" spans="1:3" ht="13" x14ac:dyDescent="0.15">
      <c r="A8346" s="1" t="str">
        <f ca="1">IFERROR(__xludf.DUMMYFUNCTION("GOOGLETRANSLATE(A8346, ""zh"", ""en"")"),"Improve the market-oriented trading system and mechanism, maintain the relationship between supply and demand based on the principles of fairness and justice, and promote legal, compliant, orderly and healthy competition among suppliers.")</f>
        <v>Improve the market-oriented trading system and mechanism, maintain the relationship between supply and demand based on the principles of fairness and justice, and promote legal, compliant, orderly and healthy competition among suppliers.</v>
      </c>
      <c r="B8346" s="1" t="str">
        <f ca="1">IFERROR(__xludf.DUMMYFUNCTION("GOOGLETRANSLATE(A8346, ""zh"", ""en"")"),"Anti-unfair competition")</f>
        <v>Anti-unfair competition</v>
      </c>
      <c r="C8346" s="1" t="str">
        <f ca="1">IFERROR(__xludf.DUMMYFUNCTION("GOOGLETRANSLATE(E8346, ""zh"", ""en"")"),"Qualitative text")</f>
        <v>Qualitative text</v>
      </c>
    </row>
    <row r="8347" spans="1:3" ht="13" x14ac:dyDescent="0.15">
      <c r="A8347" s="1" t="str">
        <f ca="1">IFERROR(__xludf.DUMMYFUNCTION("GOOGLETRANSLATE(A8347, ""zh"", ""en"")"),"In order to establish a fair and honest competition mechanism and avoid unfair competition, we conduct special investigations into the clues of unfair competition discovered and reported.")</f>
        <v>In order to establish a fair and honest competition mechanism and avoid unfair competition, we conduct special investigations into the clues of unfair competition discovered and reported.</v>
      </c>
      <c r="B8347" s="1" t="str">
        <f ca="1">IFERROR(__xludf.DUMMYFUNCTION("GOOGLETRANSLATE(A8347, ""zh"", ""en"")"),"Anti-unfair competition")</f>
        <v>Anti-unfair competition</v>
      </c>
      <c r="C8347" s="1" t="str">
        <f ca="1">IFERROR(__xludf.DUMMYFUNCTION("GOOGLETRANSLATE(E8347, ""zh"", ""en"")"),"Qualitative text")</f>
        <v>Qualitative text</v>
      </c>
    </row>
    <row r="8348" spans="1:3" ht="13" x14ac:dyDescent="0.15">
      <c r="A8348" s="1" t="str">
        <f ca="1">IFERROR(__xludf.DUMMYFUNCTION("GOOGLETRANSLATE(A8348, ""zh"", ""en"")"),"We strictly abide by China's Anti-Unfair Competition Law, the Contract Law of the People's Republic of China, the Model Clauses for Anti-Unfair Competition and other domestic and international laws, regulations and international standards.")</f>
        <v>We strictly abide by China's Anti-Unfair Competition Law, the Contract Law of the People's Republic of China, the Model Clauses for Anti-Unfair Competition and other domestic and international laws, regulations and international standards.</v>
      </c>
      <c r="B8348" s="1" t="str">
        <f ca="1">IFERROR(__xludf.DUMMYFUNCTION("GOOGLETRANSLATE(A8348, ""zh"", ""en"")"),"Anti-unfair competition")</f>
        <v>Anti-unfair competition</v>
      </c>
      <c r="C8348" s="1" t="str">
        <f ca="1">IFERROR(__xludf.DUMMYFUNCTION("GOOGLETRANSLATE(E8348, ""zh"", ""en"")"),"Qualitative text")</f>
        <v>Qualitative text</v>
      </c>
    </row>
    <row r="8349" spans="1:3" ht="13" x14ac:dyDescent="0.15">
      <c r="A8349" s="1" t="str">
        <f ca="1">IFERROR(__xludf.DUMMYFUNCTION("GOOGLETRANSLATE(A8349, ""zh"", ""en"")"),"We work with suppliers to maintain a healthy market competition order and put an end to any acts of monopolizing the market or engaging in unfair competition, whether alone or in collusion.")</f>
        <v>We work with suppliers to maintain a healthy market competition order and put an end to any acts of monopolizing the market or engaging in unfair competition, whether alone or in collusion.</v>
      </c>
      <c r="B8349" s="1" t="str">
        <f ca="1">IFERROR(__xludf.DUMMYFUNCTION("GOOGLETRANSLATE(A8349, ""zh"", ""en"")"),"Anti-unfair competition")</f>
        <v>Anti-unfair competition</v>
      </c>
      <c r="C8349" s="1" t="str">
        <f ca="1">IFERROR(__xludf.DUMMYFUNCTION("GOOGLETRANSLATE(E8349, ""zh"", ""en"")"),"Qualitative text")</f>
        <v>Qualitative text</v>
      </c>
    </row>
    <row r="8350" spans="1:3" ht="13" x14ac:dyDescent="0.15">
      <c r="A8350" s="1" t="str">
        <f ca="1">IFERROR(__xludf.DUMMYFUNCTION("GOOGLETRANSLATE(A8350, ""zh"", ""en"")"),"Employees should strictly abide by the relevant provisions of the Company Law of the People's Republic of China, the Anti-Unfair Competition Law of the People's Republic of China and other laws and regulations, follow the principles of voluntariness and e"&amp;"quality in business activities, and prohibit unfair business competition behaviors such as forced purchases and sales, and illegal acquisition of competitive advantages.")</f>
        <v>Employees should strictly abide by the relevant provisions of the Company Law of the People's Republic of China, the Anti-Unfair Competition Law of the People's Republic of China and other laws and regulations, follow the principles of voluntariness and equality in business activities, and prohibit unfair business competition behaviors such as forced purchases and sales, and illegal acquisition of competitive advantages.</v>
      </c>
      <c r="B8350" s="1" t="str">
        <f ca="1">IFERROR(__xludf.DUMMYFUNCTION("GOOGLETRANSLATE(A8350, ""zh"", ""en"")"),"Anti-unfair competition")</f>
        <v>Anti-unfair competition</v>
      </c>
      <c r="C8350" s="1" t="str">
        <f ca="1">IFERROR(__xludf.DUMMYFUNCTION("GOOGLETRANSLATE(E8350, ""zh"", ""en"")"),"Qualitative text")</f>
        <v>Qualitative text</v>
      </c>
    </row>
    <row r="8351" spans="1:3" ht="13" x14ac:dyDescent="0.15">
      <c r="A8351" s="1" t="str">
        <f ca="1">IFERROR(__xludf.DUMMYFUNCTION("GOOGLETRANSLATE(A8351, ""zh"", ""en"")"),"As a century-old leading enterprise in the beauty and daily chemical industry, Shanghai Jahwa firmly opposes unfair competition, maintains good business ethics and conduct, abides by relevant laws in competition, eliminates vicious competition and price w"&amp;"ars, and sets a solid example for maintaining fair competition order and sustainable development in the industry.")</f>
        <v>As a century-old leading enterprise in the beauty and daily chemical industry, Shanghai Jahwa firmly opposes unfair competition, maintains good business ethics and conduct, abides by relevant laws in competition, eliminates vicious competition and price wars, and sets a solid example for maintaining fair competition order and sustainable development in the industry.</v>
      </c>
      <c r="B8351" s="1" t="str">
        <f ca="1">IFERROR(__xludf.DUMMYFUNCTION("GOOGLETRANSLATE(A8351, ""zh"", ""en"")"),"Anti-unfair competition")</f>
        <v>Anti-unfair competition</v>
      </c>
      <c r="C8351" s="1" t="str">
        <f ca="1">IFERROR(__xludf.DUMMYFUNCTION("GOOGLETRANSLATE(E8351, ""zh"", ""en"")"),"Qualitative text")</f>
        <v>Qualitative text</v>
      </c>
    </row>
    <row r="8352" spans="1:3" ht="13" x14ac:dyDescent="0.15">
      <c r="A8352" s="1" t="str">
        <f ca="1">IFERROR(__xludf.DUMMYFUNCTION("GOOGLETRANSLATE(A8352, ""zh"", ""en"")"),"During the reporting period, the company had no legal cases transferred to judicial authorities, and was awarded the title of ""Unit with Outstanding Achievements in Clean Government Construction in Zhejiang Province"".")</f>
        <v>During the reporting period, the company had no legal cases transferred to judicial authorities, and was awarded the title of "Unit with Outstanding Achievements in Clean Government Construction in Zhejiang Province".</v>
      </c>
      <c r="B8352" s="1" t="str">
        <f ca="1">IFERROR(__xludf.DUMMYFUNCTION("GOOGLETRANSLATE(A8352, ""zh"", ""en"")"),"Legal proceedings and external sanctions")</f>
        <v>Legal proceedings and external sanctions</v>
      </c>
      <c r="C8352" s="1" t="str">
        <f ca="1">IFERROR(__xludf.DUMMYFUNCTION("GOOGLETRANSLATE(E8352, ""zh"", ""en"")"),"Quantitative Text")</f>
        <v>Quantitative Text</v>
      </c>
    </row>
    <row r="8353" spans="1:3" ht="13" x14ac:dyDescent="0.15">
      <c r="A8353" s="1" t="str">
        <f ca="1">IFERROR(__xludf.DUMMYFUNCTION("GOOGLETRANSLATE(A8353, ""zh"", ""en"")"),"Number of corruption lawsuits: 0")</f>
        <v>Number of corruption lawsuits: 0</v>
      </c>
      <c r="B8353" s="1" t="str">
        <f ca="1">IFERROR(__xludf.DUMMYFUNCTION("GOOGLETRANSLATE(A8353, ""zh"", ""en"")"),"Legal proceedings and external sanctions")</f>
        <v>Legal proceedings and external sanctions</v>
      </c>
      <c r="C8353" s="1" t="str">
        <f ca="1">IFERROR(__xludf.DUMMYFUNCTION("GOOGLETRANSLATE(E8353, ""zh"", ""en"")"),"Quantitative Text")</f>
        <v>Quantitative Text</v>
      </c>
    </row>
    <row r="8354" spans="1:3" ht="13" x14ac:dyDescent="0.15">
      <c r="A8354" s="1" t="str">
        <f ca="1">IFERROR(__xludf.DUMMYFUNCTION("GOOGLETRANSLATE(A8354, ""zh"", ""en"")"),"During the reporting period, there were no anti-bribery, anti-corruption, and anti-money laundering lawsuits.")</f>
        <v>During the reporting period, there were no anti-bribery, anti-corruption, and anti-money laundering lawsuits.</v>
      </c>
      <c r="B8354" s="1" t="str">
        <f ca="1">IFERROR(__xludf.DUMMYFUNCTION("GOOGLETRANSLATE(A8354, ""zh"", ""en"")"),"Legal proceedings and external sanctions")</f>
        <v>Legal proceedings and external sanctions</v>
      </c>
      <c r="C8354" s="1" t="str">
        <f ca="1">IFERROR(__xludf.DUMMYFUNCTION("GOOGLETRANSLATE(E8354, ""zh"", ""en"")"),"Quantitative Text")</f>
        <v>Quantitative Text</v>
      </c>
    </row>
    <row r="8355" spans="1:3" ht="13" x14ac:dyDescent="0.15">
      <c r="A8355" s="1" t="str">
        <f ca="1">IFERROR(__xludf.DUMMYFUNCTION("GOOGLETRANSLATE(A8355, ""zh"", ""en"")"),"On June 15, 2020, the company conducted business ethics training. This training focused on the ""Anti-Corruption, Anti-Bribery, Anti-Fraud, and Reporting Management Regulations."" While explaining the regulations, the training emphasized that all employee"&amp;"s should sign an anti-corruption and anti-bribery commitment letter, requiring them to be honest and work cleanly. Current suppliers were also required to sign a supplier anti-corruption and anti-bribery commitment letter. The training also promoted the t"&amp;"heme of ""Integrity, Self-Discipline, and Fighting Corruption.""")</f>
        <v>On June 15, 2020, the company conducted business ethics training. This training focused on the "Anti-Corruption, Anti-Bribery, Anti-Fraud, and Reporting Management Regulations." While explaining the regulations, the training emphasized that all employees should sign an anti-corruption and anti-bribery commitment letter, requiring them to be honest and work cleanly. Current suppliers were also required to sign a supplier anti-corruption and anti-bribery commitment letter. The training also promoted the theme of "Integrity, Self-Discipline, and Fighting Corruption."</v>
      </c>
      <c r="B8355" s="1" t="str">
        <f ca="1">IFERROR(__xludf.DUMMYFUNCTION("GOOGLETRANSLATE(A8355, ""zh"", ""en"")"),"Legal proceedings and external sanctions")</f>
        <v>Legal proceedings and external sanctions</v>
      </c>
      <c r="C8355" s="1" t="str">
        <f ca="1">IFERROR(__xludf.DUMMYFUNCTION("GOOGLETRANSLATE(E8355, ""zh"", ""en"")"),"Qualitative text")</f>
        <v>Qualitative text</v>
      </c>
    </row>
    <row r="8356" spans="1:3" ht="13" x14ac:dyDescent="0.15">
      <c r="A8356" s="1" t="str">
        <f ca="1">IFERROR(__xludf.DUMMYFUNCTION("GOOGLETRANSLATE(A8356, ""zh"", ""en"")"),"In 2022, in order to strengthen the company's refined management, prevent and control various legal risks in the company's operations, and further strengthen the company's legal system, the ""Regulations on Rewards and Punishments for Non-litigation Dispu"&amp;"tes"" were formulated, and the ""Compilation of Contract and Dispute Litigation Management Systems"" were revised and improved. At the same time, a total of 15 legal systems of various units were sorted out.")</f>
        <v>In 2022, in order to strengthen the company's refined management, prevent and control various legal risks in the company's operations, and further strengthen the company's legal system, the "Regulations on Rewards and Punishments for Non-litigation Disputes" were formulated, and the "Compilation of Contract and Dispute Litigation Management Systems" were revised and improved. At the same time, a total of 15 legal systems of various units were sorted out.</v>
      </c>
      <c r="B8356" s="1" t="str">
        <f ca="1">IFERROR(__xludf.DUMMYFUNCTION("GOOGLETRANSLATE(A8356, ""zh"", ""en"")"),"Legal proceedings and external sanctions")</f>
        <v>Legal proceedings and external sanctions</v>
      </c>
      <c r="C8356" s="1" t="str">
        <f ca="1">IFERROR(__xludf.DUMMYFUNCTION("GOOGLETRANSLATE(E8356, ""zh"", ""en"")"),"Quantitative Text")</f>
        <v>Quantitative Text</v>
      </c>
    </row>
    <row r="8357" spans="1:3" ht="13" x14ac:dyDescent="0.15">
      <c r="A8357" s="1" t="str">
        <f ca="1">IFERROR(__xludf.DUMMYFUNCTION("GOOGLETRANSLATE(A8357, ""zh"", ""en"")"),"Legal actions for unfair competition, antitrust, and anti-stakeholder practices, no such cases")</f>
        <v>Legal actions for unfair competition, antitrust, and anti-stakeholder practices, no such cases</v>
      </c>
      <c r="B8357" s="1" t="str">
        <f ca="1">IFERROR(__xludf.DUMMYFUNCTION("GOOGLETRANSLATE(A8357, ""zh"", ""en"")"),"Legal proceedings and external sanctions")</f>
        <v>Legal proceedings and external sanctions</v>
      </c>
      <c r="C8357" s="1" t="str">
        <f ca="1">IFERROR(__xludf.DUMMYFUNCTION("GOOGLETRANSLATE(E8357, ""zh"", ""en"")"),"Quantitative Text")</f>
        <v>Quantitative Text</v>
      </c>
    </row>
    <row r="8358" spans="1:3" ht="13" x14ac:dyDescent="0.15">
      <c r="A8358" s="1" t="str">
        <f ca="1">IFERROR(__xludf.DUMMYFUNCTION("GOOGLETRANSLATE(A8358, ""zh"", ""en"")"),"Infringement litigation case: In 2022, the company filed packaging infringement lawsuits against three companies. After negotiation and court judgment, it successfully stopped their infringement and obtained compensation.")</f>
        <v>Infringement litigation case: In 2022, the company filed packaging infringement lawsuits against three companies. After negotiation and court judgment, it successfully stopped their infringement and obtained compensation.</v>
      </c>
      <c r="B8358" s="1" t="str">
        <f ca="1">IFERROR(__xludf.DUMMYFUNCTION("GOOGLETRANSLATE(A8358, ""zh"", ""en"")"),"Legal proceedings and external sanctions")</f>
        <v>Legal proceedings and external sanctions</v>
      </c>
      <c r="C8358" s="1" t="str">
        <f ca="1">IFERROR(__xludf.DUMMYFUNCTION("GOOGLETRANSLATE(E8358, ""zh"", ""en"")"),"Qualitative text")</f>
        <v>Qualitative text</v>
      </c>
    </row>
    <row r="8359" spans="1:3" ht="13" x14ac:dyDescent="0.15">
      <c r="A8359" s="1" t="str">
        <f ca="1">IFERROR(__xludf.DUMMYFUNCTION("GOOGLETRANSLATE(A8359, ""zh"", ""en"")"),"Legal actions against anticompetitive behavior, antitrust, and antitrust practices")</f>
        <v>Legal actions against anticompetitive behavior, antitrust, and antitrust practices</v>
      </c>
      <c r="B8359" s="1" t="str">
        <f ca="1">IFERROR(__xludf.DUMMYFUNCTION("GOOGLETRANSLATE(A8359, ""zh"", ""en"")"),"Legal proceedings and external sanctions")</f>
        <v>Legal proceedings and external sanctions</v>
      </c>
      <c r="C8359" s="1" t="str">
        <f ca="1">IFERROR(__xludf.DUMMYFUNCTION("GOOGLETRANSLATE(E8359, ""zh"", ""en"")"),"Qualitative text")</f>
        <v>Qualitative text</v>
      </c>
    </row>
    <row r="8360" spans="1:3" ht="13" x14ac:dyDescent="0.15">
      <c r="A8360" s="1" t="str">
        <f ca="1">IFERROR(__xludf.DUMMYFUNCTION("GOOGLETRANSLATE(A8360, ""zh"", ""en"")"),"Yahua Group has established a standard integrity agreement, which is signed simultaneously with contracts for procurement, project collaboration, and engineering construction. This helps maintain a level playing field and fosters an atmosphere of efficien"&amp;"t, honest, and fair cooperation. During the reporting period, there were no lawsuits for embezzlement or corruption. In 2022, the Group launched a series of special activities focused on cadre management and corporate governance to support the Group's hig"&amp;"h-quality development. The goal is to cultivate a cadre team that is courageous, responsible, honest, self-disciplined, and upright.")</f>
        <v>Yahua Group has established a standard integrity agreement, which is signed simultaneously with contracts for procurement, project collaboration, and engineering construction. This helps maintain a level playing field and fosters an atmosphere of efficient, honest, and fair cooperation. During the reporting period, there were no lawsuits for embezzlement or corruption. In 2022, the Group launched a series of special activities focused on cadre management and corporate governance to support the Group's high-quality development. The goal is to cultivate a cadre team that is courageous, responsible, honest, self-disciplined, and upright.</v>
      </c>
      <c r="B8360" s="1" t="str">
        <f ca="1">IFERROR(__xludf.DUMMYFUNCTION("GOOGLETRANSLATE(A8360, ""zh"", ""en"")"),"Legal proceedings and external sanctions")</f>
        <v>Legal proceedings and external sanctions</v>
      </c>
      <c r="C8360" s="1" t="str">
        <f ca="1">IFERROR(__xludf.DUMMYFUNCTION("GOOGLETRANSLATE(E8360, ""zh"", ""en"")"),"Quantitative Text")</f>
        <v>Quantitative Text</v>
      </c>
    </row>
    <row r="8361" spans="1:3" ht="13" x14ac:dyDescent="0.15">
      <c r="A8361" s="1" t="str">
        <f ca="1">IFERROR(__xludf.DUMMYFUNCTION("GOOGLETRANSLATE(A8361, ""zh"", ""en"")"),"During the reporting period, the company had no lawsuits or administrative penalties related to corruption.")</f>
        <v>During the reporting period, the company had no lawsuits or administrative penalties related to corruption.</v>
      </c>
      <c r="B8361" s="1" t="str">
        <f ca="1">IFERROR(__xludf.DUMMYFUNCTION("GOOGLETRANSLATE(A8361, ""zh"", ""en"")"),"Legal proceedings and external sanctions")</f>
        <v>Legal proceedings and external sanctions</v>
      </c>
      <c r="C8361" s="1" t="str">
        <f ca="1">IFERROR(__xludf.DUMMYFUNCTION("GOOGLETRANSLATE(E8361, ""zh"", ""en"")"),"Quantitative Text")</f>
        <v>Quantitative Text</v>
      </c>
    </row>
    <row r="8362" spans="1:3" ht="13" x14ac:dyDescent="0.15">
      <c r="A8362" s="1" t="str">
        <f ca="1">IFERROR(__xludf.DUMMYFUNCTION("GOOGLETRANSLATE(A8362, ""zh"", ""en"")"),"The number of concluded legal cases involving corruption filed against the issuer or its employees during the reporting period, and the outcomes of the cases.")</f>
        <v>The number of concluded legal cases involving corruption filed against the issuer or its employees during the reporting period, and the outcomes of the cases.</v>
      </c>
      <c r="B8362" s="1" t="str">
        <f ca="1">IFERROR(__xludf.DUMMYFUNCTION("GOOGLETRANSLATE(A8362, ""zh"", ""en"")"),"Legal proceedings and external sanctions")</f>
        <v>Legal proceedings and external sanctions</v>
      </c>
      <c r="C8362" s="1" t="str">
        <f ca="1">IFERROR(__xludf.DUMMYFUNCTION("GOOGLETRANSLATE(E8362, ""zh"", ""en"")"),"Qualitative text")</f>
        <v>Qualitative text</v>
      </c>
    </row>
    <row r="8363" spans="1:3" ht="13" x14ac:dyDescent="0.15">
      <c r="A8363" s="1" t="str">
        <f ca="1">IFERROR(__xludf.DUMMYFUNCTION("GOOGLETRANSLATE(A8363, ""zh"", ""en"")"),"In 2022, the company has not been penalized by relevant departments for violating laws and regulations related to information security and privacy protection.")</f>
        <v>In 2022, the company has not been penalized by relevant departments for violating laws and regulations related to information security and privacy protection.</v>
      </c>
      <c r="B8363" s="1" t="str">
        <f ca="1">IFERROR(__xludf.DUMMYFUNCTION("GOOGLETRANSLATE(A8363, ""zh"", ""en"")"),"Legal proceedings and external sanctions")</f>
        <v>Legal proceedings and external sanctions</v>
      </c>
      <c r="C8363" s="1" t="str">
        <f ca="1">IFERROR(__xludf.DUMMYFUNCTION("GOOGLETRANSLATE(E8363, ""zh"", ""en"")"),"Quantitative Text")</f>
        <v>Quantitative Text</v>
      </c>
    </row>
    <row r="8364" spans="1:3" ht="13" x14ac:dyDescent="0.15">
      <c r="A8364" s="1" t="str">
        <f ca="1">IFERROR(__xludf.DUMMYFUNCTION("GOOGLETRANSLATE(A8364, ""zh"", ""en"")"),"In 2022, the company disclosed a total of 106 announcements. During the reporting period, the company did not selectively disclose information and was not punished for any violations in information disclosure.")</f>
        <v>In 2022, the company disclosed a total of 106 announcements. During the reporting period, the company did not selectively disclose information and was not punished for any violations in information disclosure.</v>
      </c>
      <c r="B8364" s="1" t="str">
        <f ca="1">IFERROR(__xludf.DUMMYFUNCTION("GOOGLETRANSLATE(A8364, ""zh"", ""en"")"),"Legal proceedings and external sanctions")</f>
        <v>Legal proceedings and external sanctions</v>
      </c>
      <c r="C8364" s="1" t="str">
        <f ca="1">IFERROR(__xludf.DUMMYFUNCTION("GOOGLETRANSLATE(E8364, ""zh"", ""en"")"),"Quantitative Text")</f>
        <v>Quantitative Text</v>
      </c>
    </row>
    <row r="8365" spans="1:3" ht="13" x14ac:dyDescent="0.15">
      <c r="A8365" s="1" t="str">
        <f ca="1">IFERROR(__xludf.DUMMYFUNCTION("GOOGLETRANSLATE(A8365, ""zh"", ""en"")"),"In 2022, the company disclosed a total of 108 announcements and attachments and was not punished for violating relevant information disclosure regulations.")</f>
        <v>In 2022, the company disclosed a total of 108 announcements and attachments and was not punished for violating relevant information disclosure regulations.</v>
      </c>
      <c r="B8365" s="1" t="str">
        <f ca="1">IFERROR(__xludf.DUMMYFUNCTION("GOOGLETRANSLATE(A8365, ""zh"", ""en"")"),"Legal proceedings and external sanctions")</f>
        <v>Legal proceedings and external sanctions</v>
      </c>
      <c r="C8365" s="1" t="str">
        <f ca="1">IFERROR(__xludf.DUMMYFUNCTION("GOOGLETRANSLATE(E8365, ""zh"", ""en"")"),"Quantitative Text")</f>
        <v>Quantitative Text</v>
      </c>
    </row>
    <row r="8366" spans="1:3" ht="13" x14ac:dyDescent="0.15">
      <c r="A8366" s="1" t="str">
        <f ca="1">IFERROR(__xludf.DUMMYFUNCTION("GOOGLETRANSLATE(A8366, ""zh"", ""en"")"),"In 2022, the company was not punished by relevant competent authorities due to quality issues of its products or services.")</f>
        <v>In 2022, the company was not punished by relevant competent authorities due to quality issues of its products or services.</v>
      </c>
      <c r="B8366" s="1" t="str">
        <f ca="1">IFERROR(__xludf.DUMMYFUNCTION("GOOGLETRANSLATE(A8366, ""zh"", ""en"")"),"Legal proceedings and external sanctions")</f>
        <v>Legal proceedings and external sanctions</v>
      </c>
      <c r="C8366" s="1" t="str">
        <f ca="1">IFERROR(__xludf.DUMMYFUNCTION("GOOGLETRANSLATE(E8366, ""zh"", ""en"")"),"Quantitative Text")</f>
        <v>Quantitative Text</v>
      </c>
    </row>
    <row r="8367" spans="1:3" ht="13" x14ac:dyDescent="0.15">
      <c r="A8367" s="1" t="str">
        <f ca="1">IFERROR(__xludf.DUMMYFUNCTION("GOOGLETRANSLATE(A8367, ""zh"", ""en"")"),"In 2022, the company had no deaths due to work-related injuries, nor was it punished for violating laws and regulations related to occupational health and safety.")</f>
        <v>In 2022, the company had no deaths due to work-related injuries, nor was it punished for violating laws and regulations related to occupational health and safety.</v>
      </c>
      <c r="B8367" s="1" t="str">
        <f ca="1">IFERROR(__xludf.DUMMYFUNCTION("GOOGLETRANSLATE(A8367, ""zh"", ""en"")"),"Legal proceedings and external sanctions")</f>
        <v>Legal proceedings and external sanctions</v>
      </c>
      <c r="C8367" s="1" t="str">
        <f ca="1">IFERROR(__xludf.DUMMYFUNCTION("GOOGLETRANSLATE(E8367, ""zh"", ""en"")"),"Quantitative Text")</f>
        <v>Quantitative Text</v>
      </c>
    </row>
    <row r="8368" spans="1:3" ht="13" x14ac:dyDescent="0.15">
      <c r="A8368" s="1" t="str">
        <f ca="1">IFERROR(__xludf.DUMMYFUNCTION("GOOGLETRANSLATE(A8368, ""zh"", ""en"")"),"In 2022, the company strictly fulfilled its information disclosure obligations and was not punished for any violations of information disclosure.")</f>
        <v>In 2022, the company strictly fulfilled its information disclosure obligations and was not punished for any violations of information disclosure.</v>
      </c>
      <c r="B8368" s="1" t="str">
        <f ca="1">IFERROR(__xludf.DUMMYFUNCTION("GOOGLETRANSLATE(A8368, ""zh"", ""en"")"),"Legal proceedings and external sanctions")</f>
        <v>Legal proceedings and external sanctions</v>
      </c>
      <c r="C8368" s="1" t="str">
        <f ca="1">IFERROR(__xludf.DUMMYFUNCTION("GOOGLETRANSLATE(E8368, ""zh"", ""en"")"),"Quantitative Text")</f>
        <v>Quantitative Text</v>
      </c>
    </row>
    <row r="8369" spans="1:3" ht="13" x14ac:dyDescent="0.15">
      <c r="A8369" s="1" t="str">
        <f ca="1">IFERROR(__xludf.DUMMYFUNCTION("GOOGLETRANSLATE(A8369, ""zh"", ""en"")"),"In 2022, the company will not be subject to tax-related penalties.")</f>
        <v>In 2022, the company will not be subject to tax-related penalties.</v>
      </c>
      <c r="B8369" s="1" t="str">
        <f ca="1">IFERROR(__xludf.DUMMYFUNCTION("GOOGLETRANSLATE(A8369, ""zh"", ""en"")"),"Legal proceedings and external sanctions")</f>
        <v>Legal proceedings and external sanctions</v>
      </c>
      <c r="C8369" s="1" t="str">
        <f ca="1">IFERROR(__xludf.DUMMYFUNCTION("GOOGLETRANSLATE(E8369, ""zh"", ""en"")"),"Quantitative Text")</f>
        <v>Quantitative Text</v>
      </c>
    </row>
    <row r="8370" spans="1:3" ht="13" x14ac:dyDescent="0.15">
      <c r="A8370" s="1" t="str">
        <f ca="1">IFERROR(__xludf.DUMMYFUNCTION("GOOGLETRANSLATE(A8370, ""zh"", ""en"")"),"In 2022, the company issued 4 regular reports, 65 interim announcements, and disclosed 55 relevant documents. No violations or penalties occurred in information disclosure throughout the year.")</f>
        <v>In 2022, the company issued 4 regular reports, 65 interim announcements, and disclosed 55 relevant documents. No violations or penalties occurred in information disclosure throughout the year.</v>
      </c>
      <c r="B8370" s="1" t="str">
        <f ca="1">IFERROR(__xludf.DUMMYFUNCTION("GOOGLETRANSLATE(A8370, ""zh"", ""en"")"),"Legal proceedings and external sanctions")</f>
        <v>Legal proceedings and external sanctions</v>
      </c>
      <c r="C8370" s="1" t="str">
        <f ca="1">IFERROR(__xludf.DUMMYFUNCTION("GOOGLETRANSLATE(E8370, ""zh"", ""en"")"),"Quantitative Text")</f>
        <v>Quantitative Text</v>
      </c>
    </row>
    <row r="8371" spans="1:3" ht="13" x14ac:dyDescent="0.15">
      <c r="A8371" s="1" t="str">
        <f ca="1">IFERROR(__xludf.DUMMYFUNCTION("GOOGLETRANSLATE(A8371, ""zh"", ""en"")"),"A total of 464,300 yuan in administrative penalty fines were paid for four incidents in 2021, and one incident received an administrative penalty notice in January 2022. All incidents have completed rectification or are actively undergoing rectification.")</f>
        <v>A total of 464,300 yuan in administrative penalty fines were paid for four incidents in 2021, and one incident received an administrative penalty notice in January 2022. All incidents have completed rectification or are actively undergoing rectification.</v>
      </c>
      <c r="B8371" s="1" t="str">
        <f ca="1">IFERROR(__xludf.DUMMYFUNCTION("GOOGLETRANSLATE(A8371, ""zh"", ""en"")"),"Legal proceedings and external sanctions")</f>
        <v>Legal proceedings and external sanctions</v>
      </c>
      <c r="C8371" s="1" t="str">
        <f ca="1">IFERROR(__xludf.DUMMYFUNCTION("GOOGLETRANSLATE(E8371, ""zh"", ""en"")"),"Quantitative Text")</f>
        <v>Quantitative Text</v>
      </c>
    </row>
    <row r="8372" spans="1:3" ht="13" x14ac:dyDescent="0.15">
      <c r="A8372" s="1" t="str">
        <f ca="1">IFERROR(__xludf.DUMMYFUNCTION("GOOGLETRANSLATE(A8372, ""zh"", ""en"")"),"During the reporting period, the company did not violate any laws and regulations related to product and service quality and safety and was not punished by the competent authorities.")</f>
        <v>During the reporting period, the company did not violate any laws and regulations related to product and service quality and safety and was not punished by the competent authorities.</v>
      </c>
      <c r="B8372" s="1" t="str">
        <f ca="1">IFERROR(__xludf.DUMMYFUNCTION("GOOGLETRANSLATE(A8372, ""zh"", ""en"")"),"Legal proceedings and external sanctions")</f>
        <v>Legal proceedings and external sanctions</v>
      </c>
      <c r="C8372" s="1" t="str">
        <f ca="1">IFERROR(__xludf.DUMMYFUNCTION("GOOGLETRANSLATE(E8372, ""zh"", ""en"")"),"Quantitative Text")</f>
        <v>Quantitative Text</v>
      </c>
    </row>
    <row r="8373" spans="1:3" ht="13" x14ac:dyDescent="0.15">
      <c r="A8373" s="1" t="str">
        <f ca="1">IFERROR(__xludf.DUMMYFUNCTION("GOOGLETRANSLATE(A8373, ""zh"", ""en"")"),"During the reporting period, the company did not receive any penalties from relevant authorities or be held liable by court ruling for infringement of others' intellectual property rights during its operations.")</f>
        <v>During the reporting period, the company did not receive any penalties from relevant authorities or be held liable by court ruling for infringement of others' intellectual property rights during its operations.</v>
      </c>
      <c r="B8373" s="1" t="str">
        <f ca="1">IFERROR(__xludf.DUMMYFUNCTION("GOOGLETRANSLATE(A8373, ""zh"", ""en"")"),"Legal proceedings and external sanctions")</f>
        <v>Legal proceedings and external sanctions</v>
      </c>
      <c r="C8373" s="1" t="str">
        <f ca="1">IFERROR(__xludf.DUMMYFUNCTION("GOOGLETRANSLATE(E8373, ""zh"", ""en"")"),"Quantitative Text")</f>
        <v>Quantitative Text</v>
      </c>
    </row>
    <row r="8374" spans="1:3" ht="13" x14ac:dyDescent="0.15">
      <c r="A8374" s="1" t="str">
        <f ca="1">IFERROR(__xludf.DUMMYFUNCTION("GOOGLETRANSLATE(A8374, ""zh"", ""en"")"),"During the reporting period, the company did not receive any penalties for improper publicity.")</f>
        <v>During the reporting period, the company did not receive any penalties for improper publicity.</v>
      </c>
      <c r="B8374" s="1" t="str">
        <f ca="1">IFERROR(__xludf.DUMMYFUNCTION("GOOGLETRANSLATE(A8374, ""zh"", ""en"")"),"Legal proceedings and external sanctions")</f>
        <v>Legal proceedings and external sanctions</v>
      </c>
      <c r="C8374" s="1" t="str">
        <f ca="1">IFERROR(__xludf.DUMMYFUNCTION("GOOGLETRANSLATE(E8374, ""zh"", ""en"")"),"Quantitative Text")</f>
        <v>Quantitative Text</v>
      </c>
    </row>
    <row r="8375" spans="1:3" ht="13" x14ac:dyDescent="0.15">
      <c r="A8375" s="1" t="str">
        <f ca="1">IFERROR(__xludf.DUMMYFUNCTION("GOOGLETRANSLATE(A8375, ""zh"", ""en"")"),"During the reporting period, the company strictly complied with the requirements and standards of national laws and regulations, had no major environmental and safety accidents, was not included in the environmental protection department's list of serious"&amp;"ly polluting enterprises, and had no major administrative penalties.")</f>
        <v>During the reporting period, the company strictly complied with the requirements and standards of national laws and regulations, had no major environmental and safety accidents, was not included in the environmental protection department's list of seriously polluting enterprises, and had no major administrative penalties.</v>
      </c>
      <c r="B8375" s="1" t="str">
        <f ca="1">IFERROR(__xludf.DUMMYFUNCTION("GOOGLETRANSLATE(A8375, ""zh"", ""en"")"),"Legal proceedings and external sanctions")</f>
        <v>Legal proceedings and external sanctions</v>
      </c>
      <c r="C8375" s="1" t="str">
        <f ca="1">IFERROR(__xludf.DUMMYFUNCTION("GOOGLETRANSLATE(E8375, ""zh"", ""en"")"),"Quantitative Text")</f>
        <v>Quantitative Text</v>
      </c>
    </row>
    <row r="8376" spans="1:3" ht="13" x14ac:dyDescent="0.15">
      <c r="A8376" s="1" t="str">
        <f ca="1">IFERROR(__xludf.DUMMYFUNCTION("GOOGLETRANSLATE(A8376, ""zh"", ""en"")"),"During the reporting period, the company obtained 100 registered trademarks and no regulatory penalties related to product and service labeling were incurred.")</f>
        <v>During the reporting period, the company obtained 100 registered trademarks and no regulatory penalties related to product and service labeling were incurred.</v>
      </c>
      <c r="B8376" s="1" t="str">
        <f ca="1">IFERROR(__xludf.DUMMYFUNCTION("GOOGLETRANSLATE(A8376, ""zh"", ""en"")"),"Legal proceedings and external sanctions")</f>
        <v>Legal proceedings and external sanctions</v>
      </c>
      <c r="C8376" s="1" t="str">
        <f ca="1">IFERROR(__xludf.DUMMYFUNCTION("GOOGLETRANSLATE(E8376, ""zh"", ""en"")"),"Quantitative Text")</f>
        <v>Quantitative Text</v>
      </c>
    </row>
    <row r="8377" spans="1:3" ht="13" x14ac:dyDescent="0.15">
      <c r="A8377" s="1" t="str">
        <f ca="1">IFERROR(__xludf.DUMMYFUNCTION("GOOGLETRANSLATE(A8377, ""zh"", ""en"")"),"During the reporting period, there were no penalties for production regulations or other issues.")</f>
        <v>During the reporting period, there were no penalties for production regulations or other issues.</v>
      </c>
      <c r="B8377" s="1" t="str">
        <f ca="1">IFERROR(__xludf.DUMMYFUNCTION("GOOGLETRANSLATE(A8377, ""zh"", ""en"")"),"Legal proceedings and external sanctions")</f>
        <v>Legal proceedings and external sanctions</v>
      </c>
      <c r="C8377" s="1" t="str">
        <f ca="1">IFERROR(__xludf.DUMMYFUNCTION("GOOGLETRANSLATE(E8377, ""zh"", ""en"")"),"Quantitative Text")</f>
        <v>Quantitative Text</v>
      </c>
    </row>
    <row r="8378" spans="1:3" ht="13" x14ac:dyDescent="0.15">
      <c r="A8378" s="1" t="str">
        <f ca="1">IFERROR(__xludf.DUMMYFUNCTION("GOOGLETRANSLATE(A8378, ""zh"", ""en"")"),"During the reporting period, the company was penalized 0 times for violating employee employment and labor laws and regulations.")</f>
        <v>During the reporting period, the company was penalized 0 times for violating employee employment and labor laws and regulations.</v>
      </c>
      <c r="B8378" s="1" t="str">
        <f ca="1">IFERROR(__xludf.DUMMYFUNCTION("GOOGLETRANSLATE(A8378, ""zh"", ""en"")"),"Legal proceedings and external sanctions")</f>
        <v>Legal proceedings and external sanctions</v>
      </c>
      <c r="C8378" s="1" t="str">
        <f ca="1">IFERROR(__xludf.DUMMYFUNCTION("GOOGLETRANSLATE(E8378, ""zh"", ""en"")"),"Quantitative Text")</f>
        <v>Quantitative Text</v>
      </c>
    </row>
    <row r="8379" spans="1:3" ht="13" x14ac:dyDescent="0.15">
      <c r="A8379" s="1" t="str">
        <f ca="1">IFERROR(__xludf.DUMMYFUNCTION("GOOGLETRANSLATE(A8379, ""zh"", ""en"")"),"The project makes full use of technologies such as big data and artificial intelligence to automatically collect and analyze external laws and regulations and penalty cases in the securities industry. The system uses technologies such as natural language "&amp;"processing and knowledge graphs to achieve the linkage between the company's internal rules and regulations and external laws and regulations, as well as self-service Q&amp;A functions for common compliance issues, thereby improving the efficiency of complian"&amp;"ce management in the securities industry and maximizing data sharing.")</f>
        <v>The project makes full use of technologies such as big data and artificial intelligence to automatically collect and analyze external laws and regulations and penalty cases in the securities industry. The system uses technologies such as natural language processing and knowledge graphs to achieve the linkage between the company's internal rules and regulations and external laws and regulations, as well as self-service Q&amp;A functions for common compliance issues, thereby improving the efficiency of compliance management in the securities industry and maximizing data sharing.</v>
      </c>
      <c r="B8379" s="1" t="str">
        <f ca="1">IFERROR(__xludf.DUMMYFUNCTION("GOOGLETRANSLATE(A8379, ""zh"", ""en"")"),"Legal proceedings and external sanctions")</f>
        <v>Legal proceedings and external sanctions</v>
      </c>
      <c r="C8379" s="1" t="str">
        <f ca="1">IFERROR(__xludf.DUMMYFUNCTION("GOOGLETRANSLATE(E8379, ""zh"", ""en"")"),"Qualitative text")</f>
        <v>Qualitative text</v>
      </c>
    </row>
    <row r="8380" spans="1:3" ht="13" x14ac:dyDescent="0.15">
      <c r="A8380" s="1" t="str">
        <f ca="1">IFERROR(__xludf.DUMMYFUNCTION("GOOGLETRANSLATE(A8380, ""zh"", ""en"")"),"The company's board of directors and senior management attach great importance to compliance risk prevention and control management, promote the construction of the compliance system through three lines of defense, and continuously improve the company's c"&amp;"ompliance governance capabilities.")</f>
        <v>The company's board of directors and senior management attach great importance to compliance risk prevention and control management, promote the construction of the compliance system through three lines of defense, and continuously improve the company's compliance governance capabilities.</v>
      </c>
      <c r="B8380" s="1" t="str">
        <f ca="1">IFERROR(__xludf.DUMMYFUNCTION("GOOGLETRANSLATE(A8380, ""zh"", ""en"")"),"Legal proceedings and external sanctions")</f>
        <v>Legal proceedings and external sanctions</v>
      </c>
      <c r="C8380" s="1" t="str">
        <f ca="1">IFERROR(__xludf.DUMMYFUNCTION("GOOGLETRANSLATE(E8380, ""zh"", ""en"")"),"Qualitative text")</f>
        <v>Qualitative text</v>
      </c>
    </row>
    <row r="8381" spans="1:3" ht="13" x14ac:dyDescent="0.15">
      <c r="A8381" s="1" t="str">
        <f ca="1">IFERROR(__xludf.DUMMYFUNCTION("GOOGLETRANSLATE(A8381, ""zh"", ""en"")"),"The company has established special compliance working groups under the Compliance Center, including anti-bribery, anti-monopoly, trade compliance, and data compliance, to improve the company's compliance system item by item.")</f>
        <v>The company has established special compliance working groups under the Compliance Center, including anti-bribery, anti-monopoly, trade compliance, and data compliance, to improve the company's compliance system item by item.</v>
      </c>
      <c r="B8381" s="1" t="str">
        <f ca="1">IFERROR(__xludf.DUMMYFUNCTION("GOOGLETRANSLATE(A8381, ""zh"", ""en"")"),"Legal proceedings and external sanctions")</f>
        <v>Legal proceedings and external sanctions</v>
      </c>
      <c r="C8381" s="1" t="str">
        <f ca="1">IFERROR(__xludf.DUMMYFUNCTION("GOOGLETRANSLATE(E8381, ""zh"", ""en"")"),"Qualitative text")</f>
        <v>Qualitative text</v>
      </c>
    </row>
    <row r="8382" spans="1:3" ht="13" x14ac:dyDescent="0.15">
      <c r="A8382" s="1" t="str">
        <f ca="1">IFERROR(__xludf.DUMMYFUNCTION("GOOGLETRANSLATE(A8382, ""zh"", ""en"")"),"There was no stock pledge, no external guarantee, and no related party funds occupied. No major losses occurred and no penalties were imposed by regulatory authorities. The risk management work achieved remarkable results.")</f>
        <v>There was no stock pledge, no external guarantee, and no related party funds occupied. No major losses occurred and no penalties were imposed by regulatory authorities. The risk management work achieved remarkable results.</v>
      </c>
      <c r="B8382" s="1" t="str">
        <f ca="1">IFERROR(__xludf.DUMMYFUNCTION("GOOGLETRANSLATE(A8382, ""zh"", ""en"")"),"Legal proceedings and external sanctions")</f>
        <v>Legal proceedings and external sanctions</v>
      </c>
      <c r="C8382" s="1" t="str">
        <f ca="1">IFERROR(__xludf.DUMMYFUNCTION("GOOGLETRANSLATE(E8382, ""zh"", ""en"")"),"Quantitative Text")</f>
        <v>Quantitative Text</v>
      </c>
    </row>
    <row r="8383" spans="1:3" ht="13" x14ac:dyDescent="0.15">
      <c r="A8383" s="1" t="str">
        <f ca="1">IFERROR(__xludf.DUMMYFUNCTION("GOOGLETRANSLATE(A8383, ""zh"", ""en"")"),"All products comply with relevant technical standards and indicators in accordance with the laws and regulations on quality and technical supervision, and there is no administrative penalty for violating the laws and regulations on quality and technical s"&amp;"upervision.")</f>
        <v>All products comply with relevant technical standards and indicators in accordance with the laws and regulations on quality and technical supervision, and there is no administrative penalty for violating the laws and regulations on quality and technical supervision.</v>
      </c>
      <c r="B8383" s="1" t="str">
        <f ca="1">IFERROR(__xludf.DUMMYFUNCTION("GOOGLETRANSLATE(A8383, ""zh"", ""en"")"),"Legal proceedings and external sanctions")</f>
        <v>Legal proceedings and external sanctions</v>
      </c>
      <c r="C8383" s="1" t="str">
        <f ca="1">IFERROR(__xludf.DUMMYFUNCTION("GOOGLETRANSLATE(E8383, ""zh"", ""en"")"),"Quantitative Text")</f>
        <v>Quantitative Text</v>
      </c>
    </row>
    <row r="8384" spans="1:3" ht="13" x14ac:dyDescent="0.15">
      <c r="A8384" s="1" t="str">
        <f ca="1">IFERROR(__xludf.DUMMYFUNCTION("GOOGLETRANSLATE(A8384, ""zh"", ""en"")"),"Midea has established a three-level compliance organizational structure, and by continuously empowering various business units, it has continuously strengthened the implementation of the company's compliance risk identification, assessment, and prevention"&amp;" and control work.")</f>
        <v>Midea has established a three-level compliance organizational structure, and by continuously empowering various business units, it has continuously strengthened the implementation of the company's compliance risk identification, assessment, and prevention and control work.</v>
      </c>
      <c r="B8384" s="1" t="str">
        <f ca="1">IFERROR(__xludf.DUMMYFUNCTION("GOOGLETRANSLATE(A8384, ""zh"", ""en"")"),"Legal proceedings and external sanctions")</f>
        <v>Legal proceedings and external sanctions</v>
      </c>
      <c r="C8384" s="1" t="str">
        <f ca="1">IFERROR(__xludf.DUMMYFUNCTION("GOOGLETRANSLATE(E8384, ""zh"", ""en"")"),"Qualitative text")</f>
        <v>Qualitative text</v>
      </c>
    </row>
    <row r="8385" spans="1:3" ht="13" x14ac:dyDescent="0.15">
      <c r="A8385" s="1" t="str">
        <f ca="1">IFERROR(__xludf.DUMMYFUNCTION("GOOGLETRANSLATE(A8385, ""zh"", ""en"")"),"We conscientiously implement relevant national laws and regulations and relevant provisions of regulatory authorities, and consciously abide by the self-regulatory norms of the Shenzhen Stock Exchange, the Listed Companies Association and other associatio"&amp;"ns. We have never been investigated or administratively punished by regulatory authorities for violating national laws and regulations or breaching trust.")</f>
        <v>We conscientiously implement relevant national laws and regulations and relevant provisions of regulatory authorities, and consciously abide by the self-regulatory norms of the Shenzhen Stock Exchange, the Listed Companies Association and other associations. We have never been investigated or administratively punished by regulatory authorities for violating national laws and regulations or breaching trust.</v>
      </c>
      <c r="B8385" s="1" t="str">
        <f ca="1">IFERROR(__xludf.DUMMYFUNCTION("GOOGLETRANSLATE(A8385, ""zh"", ""en"")"),"Legal proceedings and external sanctions")</f>
        <v>Legal proceedings and external sanctions</v>
      </c>
      <c r="C8385" s="1" t="str">
        <f ca="1">IFERROR(__xludf.DUMMYFUNCTION("GOOGLETRANSLATE(E8385, ""zh"", ""en"")"),"Quantitative Text")</f>
        <v>Quantitative Text</v>
      </c>
    </row>
    <row r="8386" spans="1:3" ht="13" x14ac:dyDescent="0.15">
      <c r="A8386" s="1" t="str">
        <f ca="1">IFERROR(__xludf.DUMMYFUNCTION("GOOGLETRANSLATE(A8386, ""zh"", ""en"")"),"We have carried out in-depth special rectification of compliance operations, strictly conducted self-inspections and supervision on issues such as violations of safety and environmental protection laws and regulations, unfair competition, failure to bid a"&amp;"nd false bidding, false contracts, illegal subcontracting, etc., comprehensively sorted out compliance risks, continuously improved management systems, actively carried out operational standard training, and dealt with violators in strict accordance with "&amp;"regulations. For major business matters, we have formed a closed-loop compliance management system with pre-review and approval, in-process tracking and control, and post-supervision and evaluation.")</f>
        <v>We have carried out in-depth special rectification of compliance operations, strictly conducted self-inspections and supervision on issues such as violations of safety and environmental protection laws and regulations, unfair competition, failure to bid and false bidding, false contracts, illegal subcontracting, etc., comprehensively sorted out compliance risks, continuously improved management systems, actively carried out operational standard training, and dealt with violators in strict accordance with regulations. For major business matters, we have formed a closed-loop compliance management system with pre-review and approval, in-process tracking and control, and post-supervision and evaluation.</v>
      </c>
      <c r="B8386" s="1" t="str">
        <f ca="1">IFERROR(__xludf.DUMMYFUNCTION("GOOGLETRANSLATE(A8386, ""zh"", ""en"")"),"Legal proceedings and external sanctions")</f>
        <v>Legal proceedings and external sanctions</v>
      </c>
      <c r="C8386" s="1" t="str">
        <f ca="1">IFERROR(__xludf.DUMMYFUNCTION("GOOGLETRANSLATE(E8386, ""zh"", ""en"")"),"Qualitative text")</f>
        <v>Qualitative text</v>
      </c>
    </row>
    <row r="8387" spans="1:3" ht="13" x14ac:dyDescent="0.15">
      <c r="A8387" s="1" t="str">
        <f ca="1">IFERROR(__xludf.DUMMYFUNCTION("GOOGLETRANSLATE(A8387, ""zh"", ""en"")"),"By introducing the basic knowledge of the Civil Code, the key points of the Civil Code revision that should be paid attention to in corporate management, and the key points of daily contract review, we can enhance the compliance awareness and legal level "&amp;"of various departments and ensure the company's legal and compliant operations.")</f>
        <v>By introducing the basic knowledge of the Civil Code, the key points of the Civil Code revision that should be paid attention to in corporate management, and the key points of daily contract review, we can enhance the compliance awareness and legal level of various departments and ensure the company's legal and compliant operations.</v>
      </c>
      <c r="B8387" s="1" t="str">
        <f ca="1">IFERROR(__xludf.DUMMYFUNCTION("GOOGLETRANSLATE(A8387, ""zh"", ""en"")"),"Legal proceedings and external sanctions")</f>
        <v>Legal proceedings and external sanctions</v>
      </c>
      <c r="C8387" s="1" t="str">
        <f ca="1">IFERROR(__xludf.DUMMYFUNCTION("GOOGLETRANSLATE(E8387, ""zh"", ""en"")"),"Qualitative text")</f>
        <v>Qualitative text</v>
      </c>
    </row>
    <row r="8388" spans="1:3" ht="13" x14ac:dyDescent="0.15">
      <c r="A8388" s="1" t="str">
        <f ca="1">IFERROR(__xludf.DUMMYFUNCTION("GOOGLETRANSLATE(A8388, ""zh"", ""en"")"),"The number of penalties for violating employee employment and labor laws and regulations is 0")</f>
        <v>The number of penalties for violating employee employment and labor laws and regulations is 0</v>
      </c>
      <c r="B8388" s="1" t="str">
        <f ca="1">IFERROR(__xludf.DUMMYFUNCTION("GOOGLETRANSLATE(A8388, ""zh"", ""en"")"),"Legal proceedings and external sanctions")</f>
        <v>Legal proceedings and external sanctions</v>
      </c>
      <c r="C8388" s="1" t="str">
        <f ca="1">IFERROR(__xludf.DUMMYFUNCTION("GOOGLETRANSLATE(E8388, ""zh"", ""en"")"),"Quantitative Text")</f>
        <v>Quantitative Text</v>
      </c>
    </row>
    <row r="8389" spans="1:3" ht="13" x14ac:dyDescent="0.15">
      <c r="A8389" s="1" t="str">
        <f ca="1">IFERROR(__xludf.DUMMYFUNCTION("GOOGLETRANSLATE(A8389, ""zh"", ""en"")"),"To ensure compliance within the company's operations, the company produces and distributes ethics and compliance hotline cards to urge employees to abide by the code of conduct and safeguard the company's rights and interests.")</f>
        <v>To ensure compliance within the company's operations, the company produces and distributes ethics and compliance hotline cards to urge employees to abide by the code of conduct and safeguard the company's rights and interests.</v>
      </c>
      <c r="B8389" s="1" t="str">
        <f ca="1">IFERROR(__xludf.DUMMYFUNCTION("GOOGLETRANSLATE(A8389, ""zh"", ""en"")"),"Legal proceedings and external sanctions")</f>
        <v>Legal proceedings and external sanctions</v>
      </c>
      <c r="C8389" s="1" t="str">
        <f ca="1">IFERROR(__xludf.DUMMYFUNCTION("GOOGLETRANSLATE(E8389, ""zh"", ""en"")"),"Qualitative text")</f>
        <v>Qualitative text</v>
      </c>
    </row>
    <row r="8390" spans="1:3" ht="13" x14ac:dyDescent="0.15">
      <c r="A8390" s="1" t="str">
        <f ca="1">IFERROR(__xludf.DUMMYFUNCTION("GOOGLETRANSLATE(A8390, ""zh"", ""en"")"),"To effectively implement the Group's various compliance policies, the Group appoints compliance officers and compliance representatives in its business units to be responsible for the company's daily compliance management, promptly reporting major complia"&amp;"nce risks, and actively conducting compliance training and publicity.")</f>
        <v>To effectively implement the Group's various compliance policies, the Group appoints compliance officers and compliance representatives in its business units to be responsible for the company's daily compliance management, promptly reporting major compliance risks, and actively conducting compliance training and publicity.</v>
      </c>
      <c r="B8390" s="1" t="str">
        <f ca="1">IFERROR(__xludf.DUMMYFUNCTION("GOOGLETRANSLATE(A8390, ""zh"", ""en"")"),"Legal proceedings and external sanctions")</f>
        <v>Legal proceedings and external sanctions</v>
      </c>
      <c r="C8390" s="1" t="str">
        <f ca="1">IFERROR(__xludf.DUMMYFUNCTION("GOOGLETRANSLATE(E8390, ""zh"", ""en"")"),"Qualitative text")</f>
        <v>Qualitative text</v>
      </c>
    </row>
    <row r="8391" spans="1:3" ht="13" x14ac:dyDescent="0.15">
      <c r="A8391" s="1" t="str">
        <f ca="1">IFERROR(__xludf.DUMMYFUNCTION("GOOGLETRANSLATE(A8391, ""zh"", ""en"")"),"Has not been subject to any administrative penalties or lawsuits related to product quality and customer service")</f>
        <v>Has not been subject to any administrative penalties or lawsuits related to product quality and customer service</v>
      </c>
      <c r="B8391" s="1" t="str">
        <f ca="1">IFERROR(__xludf.DUMMYFUNCTION("GOOGLETRANSLATE(A8391, ""zh"", ""en"")"),"Legal proceedings and external sanctions")</f>
        <v>Legal proceedings and external sanctions</v>
      </c>
      <c r="C8391" s="1" t="str">
        <f ca="1">IFERROR(__xludf.DUMMYFUNCTION("GOOGLETRANSLATE(E8391, ""zh"", ""en"")"),"Quantitative Text")</f>
        <v>Quantitative Text</v>
      </c>
    </row>
    <row r="8392" spans="1:3" ht="13" x14ac:dyDescent="0.15">
      <c r="A8392" s="1" t="str">
        <f ca="1">IFERROR(__xludf.DUMMYFUNCTION("GOOGLETRANSLATE(A8392, ""zh"", ""en"")"),"0 employees punished or fired for violating anti-corruption policies")</f>
        <v>0 employees punished or fired for violating anti-corruption policies</v>
      </c>
      <c r="B8392" s="1" t="str">
        <f ca="1">IFERROR(__xludf.DUMMYFUNCTION("GOOGLETRANSLATE(A8392, ""zh"", ""en"")"),"Legal proceedings and external sanctions")</f>
        <v>Legal proceedings and external sanctions</v>
      </c>
      <c r="C8392" s="1" t="str">
        <f ca="1">IFERROR(__xludf.DUMMYFUNCTION("GOOGLETRANSLATE(E8392, ""zh"", ""en"")"),"Quantitative Text")</f>
        <v>Quantitative Text</v>
      </c>
    </row>
    <row r="8393" spans="1:3" ht="13" x14ac:dyDescent="0.15">
      <c r="A8393" s="1" t="str">
        <f ca="1">IFERROR(__xludf.DUMMYFUNCTION("GOOGLETRANSLATE(A8393, ""zh"", ""en"")"),"Corruption-related fines, penalties, or settlement costs")</f>
        <v>Corruption-related fines, penalties, or settlement costs</v>
      </c>
      <c r="B8393" s="1" t="str">
        <f ca="1">IFERROR(__xludf.DUMMYFUNCTION("GOOGLETRANSLATE(A8393, ""zh"", ""en"")"),"Legal proceedings and external sanctions")</f>
        <v>Legal proceedings and external sanctions</v>
      </c>
      <c r="C8393" s="1" t="str">
        <f ca="1">IFERROR(__xludf.DUMMYFUNCTION("GOOGLETRANSLATE(E8393, ""zh"", ""en"")"),"Quantitative Text")</f>
        <v>Quantitative Text</v>
      </c>
    </row>
    <row r="8394" spans="1:3" ht="13" x14ac:dyDescent="0.15">
      <c r="A8394" s="1" t="str">
        <f ca="1">IFERROR(__xludf.DUMMYFUNCTION("GOOGLETRANSLATE(A8394, ""zh"", ""en"")"),"In terms of building a second line of defense dedicated to compliance, Midea has established a Group Legal Compliance Center, which is responsible for studying relevant laws, regulations and regulatory policies, coordinating the Group's compliance managem"&amp;"ent, and guiding each business unit to actively carry out compliance management work.")</f>
        <v>In terms of building a second line of defense dedicated to compliance, Midea has established a Group Legal Compliance Center, which is responsible for studying relevant laws, regulations and regulatory policies, coordinating the Group's compliance management, and guiding each business unit to actively carry out compliance management work.</v>
      </c>
      <c r="B8394" s="1" t="str">
        <f ca="1">IFERROR(__xludf.DUMMYFUNCTION("GOOGLETRANSLATE(A8394, ""zh"", ""en"")"),"Legal proceedings and external sanctions")</f>
        <v>Legal proceedings and external sanctions</v>
      </c>
      <c r="C8394" s="1" t="str">
        <f ca="1">IFERROR(__xludf.DUMMYFUNCTION("GOOGLETRANSLATE(E8394, ""zh"", ""en"")"),"Qualitative text")</f>
        <v>Qualitative text</v>
      </c>
    </row>
    <row r="8395" spans="1:3" ht="13" x14ac:dyDescent="0.15">
      <c r="A8395" s="1" t="str">
        <f ca="1">IFERROR(__xludf.DUMMYFUNCTION("GOOGLETRANSLATE(A8395, ""zh"", ""en"")"),"Attach importance to the construction of the rule of law culture, establish the ""six unifications"" and ""seven ones"" legal affairs work ideas and methods, create an information-based closed-loop management model for the entire process of contracts and "&amp;"litigation cases, and promote the systematization, process-based, information-based and standardized management of corporate compliance.")</f>
        <v>Attach importance to the construction of the rule of law culture, establish the "six unifications" and "seven ones" legal affairs work ideas and methods, create an information-based closed-loop management model for the entire process of contracts and litigation cases, and promote the systematization, process-based, information-based and standardized management of corporate compliance.</v>
      </c>
      <c r="B8395" s="1" t="str">
        <f ca="1">IFERROR(__xludf.DUMMYFUNCTION("GOOGLETRANSLATE(A8395, ""zh"", ""en"")"),"Legal proceedings and external sanctions")</f>
        <v>Legal proceedings and external sanctions</v>
      </c>
      <c r="C8395" s="1" t="str">
        <f ca="1">IFERROR(__xludf.DUMMYFUNCTION("GOOGLETRANSLATE(E8395, ""zh"", ""en"")"),"Qualitative text")</f>
        <v>Qualitative text</v>
      </c>
    </row>
    <row r="8396" spans="1:3" ht="13" x14ac:dyDescent="0.15">
      <c r="A8396" s="1" t="str">
        <f ca="1">IFERROR(__xludf.DUMMYFUNCTION("GOOGLETRANSLATE(A8396, ""zh"", ""en"")"),"The number of lawsuits arising from corruption, bribery, extortion, fraud and money laundering was 0.")</f>
        <v>The number of lawsuits arising from corruption, bribery, extortion, fraud and money laundering was 0.</v>
      </c>
      <c r="B8396" s="1" t="str">
        <f ca="1">IFERROR(__xludf.DUMMYFUNCTION("GOOGLETRANSLATE(A8396, ""zh"", ""en"")"),"Legal proceedings and external sanctions")</f>
        <v>Legal proceedings and external sanctions</v>
      </c>
      <c r="C8396" s="1" t="str">
        <f ca="1">IFERROR(__xludf.DUMMYFUNCTION("GOOGLETRANSLATE(E8396, ""zh"", ""en"")"),"Quantitative Text")</f>
        <v>Quantitative Text</v>
      </c>
    </row>
    <row r="8397" spans="1:3" ht="13" x14ac:dyDescent="0.15">
      <c r="A8397" s="1" t="str">
        <f ca="1">IFERROR(__xludf.DUMMYFUNCTION("GOOGLETRANSLATE(A8397, ""zh"", ""en"")"),"During the reporting period, the company was not involved in any litigation related to corruption and bribery.")</f>
        <v>During the reporting period, the company was not involved in any litigation related to corruption and bribery.</v>
      </c>
      <c r="B8397" s="1" t="str">
        <f ca="1">IFERROR(__xludf.DUMMYFUNCTION("GOOGLETRANSLATE(A8397, ""zh"", ""en"")"),"Legal proceedings and external sanctions")</f>
        <v>Legal proceedings and external sanctions</v>
      </c>
      <c r="C8397" s="1" t="str">
        <f ca="1">IFERROR(__xludf.DUMMYFUNCTION("GOOGLETRANSLATE(E8397, ""zh"", ""en"")"),"Quantitative Text")</f>
        <v>Quantitative Text</v>
      </c>
    </row>
    <row r="8398" spans="1:3" ht="13" x14ac:dyDescent="0.15">
      <c r="A8398" s="1" t="str">
        <f ca="1">IFERROR(__xludf.DUMMYFUNCTION("GOOGLETRANSLATE(A8398, ""zh"", ""en"")"),"0 corruption lawsuits in 2022")</f>
        <v>0 corruption lawsuits in 2022</v>
      </c>
      <c r="B8398" s="1" t="str">
        <f ca="1">IFERROR(__xludf.DUMMYFUNCTION("GOOGLETRANSLATE(A8398, ""zh"", ""en"")"),"Legal proceedings and external sanctions")</f>
        <v>Legal proceedings and external sanctions</v>
      </c>
      <c r="C8398" s="1" t="str">
        <f ca="1">IFERROR(__xludf.DUMMYFUNCTION("GOOGLETRANSLATE(E8398, ""zh"", ""en"")"),"Quantitative Text")</f>
        <v>Quantitative Text</v>
      </c>
    </row>
    <row r="8399" spans="1:3" ht="13" x14ac:dyDescent="0.15">
      <c r="A8399" s="1" t="str">
        <f ca="1">IFERROR(__xludf.DUMMYFUNCTION("GOOGLETRANSLATE(A8399, ""zh"", ""en"")"),"Publicity and training on litigation and non-litigation processes")</f>
        <v>Publicity and training on litigation and non-litigation processes</v>
      </c>
      <c r="B8399" s="1" t="str">
        <f ca="1">IFERROR(__xludf.DUMMYFUNCTION("GOOGLETRANSLATE(A8399, ""zh"", ""en"")"),"Legal proceedings and external sanctions")</f>
        <v>Legal proceedings and external sanctions</v>
      </c>
      <c r="C8399" s="1" t="str">
        <f ca="1">IFERROR(__xludf.DUMMYFUNCTION("GOOGLETRANSLATE(E8399, ""zh"", ""en"")"),"Qualitative text")</f>
        <v>Qualitative text</v>
      </c>
    </row>
    <row r="8400" spans="1:3" ht="13" x14ac:dyDescent="0.15">
      <c r="A8400" s="1" t="str">
        <f ca="1">IFERROR(__xludf.DUMMYFUNCTION("GOOGLETRANSLATE(A8400, ""zh"", ""en"")"),"There were no litigation or arbitration cases during the reporting period.")</f>
        <v>There were no litigation or arbitration cases during the reporting period.</v>
      </c>
      <c r="B8400" s="1" t="str">
        <f ca="1">IFERROR(__xludf.DUMMYFUNCTION("GOOGLETRANSLATE(A8400, ""zh"", ""en"")"),"Legal proceedings and external sanctions")</f>
        <v>Legal proceedings and external sanctions</v>
      </c>
      <c r="C8400" s="1" t="str">
        <f ca="1">IFERROR(__xludf.DUMMYFUNCTION("GOOGLETRANSLATE(E8400, ""zh"", ""en"")"),"Quantitative Text")</f>
        <v>Quantitative Text</v>
      </c>
    </row>
    <row r="8401" spans="1:3" ht="13" x14ac:dyDescent="0.15">
      <c r="A8401" s="1" t="str">
        <f ca="1">IFERROR(__xludf.DUMMYFUNCTION("GOOGLETRANSLATE(A8401, ""zh"", ""en"")"),"The following table reflects the number of cases and litigation outcomes during the reporting period.")</f>
        <v>The following table reflects the number of cases and litigation outcomes during the reporting period.</v>
      </c>
      <c r="B8401" s="1" t="str">
        <f ca="1">IFERROR(__xludf.DUMMYFUNCTION("GOOGLETRANSLATE(A8401, ""zh"", ""en"")"),"Legal proceedings and external sanctions")</f>
        <v>Legal proceedings and external sanctions</v>
      </c>
      <c r="C8401" s="1" t="str">
        <f ca="1">IFERROR(__xludf.DUMMYFUNCTION("GOOGLETRANSLATE(E8401, ""zh"", ""en"")"),"Qualitative text")</f>
        <v>Qualitative text</v>
      </c>
    </row>
    <row r="8402" spans="1:3" ht="13" x14ac:dyDescent="0.15">
      <c r="A8402" s="1" t="str">
        <f ca="1">IFERROR(__xludf.DUMMYFUNCTION("GOOGLETRANSLATE(A8402, ""zh"", ""en"")"),"Case management actively responds to legal disputes occurring at the company headquarters, safeguards the company's legitimate rights and interests in accordance with the law, and guides subordinate units involved in the case to handle the cases in accord"&amp;"ance with the law.")</f>
        <v>Case management actively responds to legal disputes occurring at the company headquarters, safeguards the company's legitimate rights and interests in accordance with the law, and guides subordinate units involved in the case to handle the cases in accordance with the law.</v>
      </c>
      <c r="B8402" s="1" t="str">
        <f ca="1">IFERROR(__xludf.DUMMYFUNCTION("GOOGLETRANSLATE(A8402, ""zh"", ""en"")"),"Legal proceedings and external sanctions")</f>
        <v>Legal proceedings and external sanctions</v>
      </c>
      <c r="C8402" s="1" t="str">
        <f ca="1">IFERROR(__xludf.DUMMYFUNCTION("GOOGLETRANSLATE(E8402, ""zh"", ""en"")"),"Qualitative text")</f>
        <v>Qualitative text</v>
      </c>
    </row>
    <row r="8403" spans="1:3" ht="13" x14ac:dyDescent="0.15">
      <c r="A8403" s="1" t="str">
        <f ca="1">IFERROR(__xludf.DUMMYFUNCTION("GOOGLETRANSLATE(A8403, ""zh"", ""en"")"),"Focus on promoting employment for local residents, women, ethnic minorities and college students, and strive to increase employment opportunities in the local community.")</f>
        <v>Focus on promoting employment for local residents, women, ethnic minorities and college students, and strive to increase employment opportunities in the local community.</v>
      </c>
      <c r="B8403" s="1" t="str">
        <f ca="1">IFERROR(__xludf.DUMMYFUNCTION("GOOGLETRANSLATE(A8403, ""zh"", ""en"")"),"Promoting employment")</f>
        <v>Promoting employment</v>
      </c>
      <c r="C8403" s="1" t="str">
        <f ca="1">IFERROR(__xludf.DUMMYFUNCTION("GOOGLETRANSLATE(E8403, ""zh"", ""en"")"),"Qualitative text")</f>
        <v>Qualitative text</v>
      </c>
    </row>
    <row r="8404" spans="1:3" ht="13" x14ac:dyDescent="0.15">
      <c r="A8404" s="1" t="str">
        <f ca="1">IFERROR(__xludf.DUMMYFUNCTION("GOOGLETRANSLATE(A8404, ""zh"", ""en"")"),"We strive to provide suitable employment opportunities for people with disabilities. To date, a total of four people with disabilities (including one with a first-level disability and three with a second-level disability) are employed by the company.")</f>
        <v>We strive to provide suitable employment opportunities for people with disabilities. To date, a total of four people with disabilities (including one with a first-level disability and three with a second-level disability) are employed by the company.</v>
      </c>
      <c r="B8404" s="1" t="str">
        <f ca="1">IFERROR(__xludf.DUMMYFUNCTION("GOOGLETRANSLATE(A8404, ""zh"", ""en"")"),"Promoting employment")</f>
        <v>Promoting employment</v>
      </c>
      <c r="C8404" s="1" t="str">
        <f ca="1">IFERROR(__xludf.DUMMYFUNCTION("GOOGLETRANSLATE(E8404, ""zh"", ""en"")"),"Quantitative Text")</f>
        <v>Quantitative Text</v>
      </c>
    </row>
    <row r="8405" spans="1:3" ht="13" x14ac:dyDescent="0.15">
      <c r="A8405" s="1" t="str">
        <f ca="1">IFERROR(__xludf.DUMMYFUNCTION("GOOGLETRANSLATE(A8405, ""zh"", ""en"")"),"Signed a strategic cooperation agreement with China University of Petroleum (East China) to further strengthen cooperation in talent training and the deep integration of school-enterprise production, education and research, promote students' off-campus in"&amp;"ternships, social practice, employment and entrepreneurship, and donated 150,000 yuan in scholarships.")</f>
        <v>Signed a strategic cooperation agreement with China University of Petroleum (East China) to further strengthen cooperation in talent training and the deep integration of school-enterprise production, education and research, promote students' off-campus internships, social practice, employment and entrepreneurship, and donated 150,000 yuan in scholarships.</v>
      </c>
      <c r="B8405" s="1" t="str">
        <f ca="1">IFERROR(__xludf.DUMMYFUNCTION("GOOGLETRANSLATE(A8405, ""zh"", ""en"")"),"Promoting employment")</f>
        <v>Promoting employment</v>
      </c>
      <c r="C8405" s="1" t="str">
        <f ca="1">IFERROR(__xludf.DUMMYFUNCTION("GOOGLETRANSLATE(E8405, ""zh"", ""en"")"),"Quantitative Text")</f>
        <v>Quantitative Text</v>
      </c>
    </row>
    <row r="8406" spans="1:3" ht="13" x14ac:dyDescent="0.15">
      <c r="A8406" s="1" t="str">
        <f ca="1">IFERROR(__xludf.DUMMYFUNCTION("GOOGLETRANSLATE(A8406, ""zh"", ""en"")"),"Recruiting new employees from all walks of life. In 2022, the company and its branches and subsidiaries recruited more than 900 graduates from various colleges and universities, contributing to alleviating social employment pressure.")</f>
        <v>Recruiting new employees from all walks of life. In 2022, the company and its branches and subsidiaries recruited more than 900 graduates from various colleges and universities, contributing to alleviating social employment pressure.</v>
      </c>
      <c r="B8406" s="1" t="str">
        <f ca="1">IFERROR(__xludf.DUMMYFUNCTION("GOOGLETRANSLATE(A8406, ""zh"", ""en"")"),"Promoting employment")</f>
        <v>Promoting employment</v>
      </c>
      <c r="C8406" s="1" t="str">
        <f ca="1">IFERROR(__xludf.DUMMYFUNCTION("GOOGLETRANSLATE(E8406, ""zh"", ""en"")"),"Quantitative Text")</f>
        <v>Quantitative Text</v>
      </c>
    </row>
    <row r="8407" spans="1:3" ht="13" x14ac:dyDescent="0.15">
      <c r="A8407" s="1" t="str">
        <f ca="1">IFERROR(__xludf.DUMMYFUNCTION("GOOGLETRANSLATE(A8407, ""zh"", ""en"")"),"The company signed an employment agreement with Zhejiang Daye University and Zhejiang Pharmaceutical Academy, accepting students from the above schools to come to the company for internships on a regular basis.")</f>
        <v>The company signed an employment agreement with Zhejiang Daye University and Zhejiang Pharmaceutical Academy, accepting students from the above schools to come to the company for internships on a regular basis.</v>
      </c>
      <c r="B8407" s="1" t="str">
        <f ca="1">IFERROR(__xludf.DUMMYFUNCTION("GOOGLETRANSLATE(A8407, ""zh"", ""en"")"),"Promoting employment")</f>
        <v>Promoting employment</v>
      </c>
      <c r="C8407" s="1" t="str">
        <f ca="1">IFERROR(__xludf.DUMMYFUNCTION("GOOGLETRANSLATE(E8407, ""zh"", ""en"")"),"Qualitative text")</f>
        <v>Qualitative text</v>
      </c>
    </row>
    <row r="8408" spans="1:3" ht="13" x14ac:dyDescent="0.15">
      <c r="A8408" s="1" t="str">
        <f ca="1">IFERROR(__xludf.DUMMYFUNCTION("GOOGLETRANSLATE(A8408, ""zh"", ""en"")"),"67 public welfare assistance positions were launched in Wenchuan area on a long-term basis to solve the employment problem of surplus labor force.")</f>
        <v>67 public welfare assistance positions were launched in Wenchuan area on a long-term basis to solve the employment problem of surplus labor force.</v>
      </c>
      <c r="B8408" s="1" t="str">
        <f ca="1">IFERROR(__xludf.DUMMYFUNCTION("GOOGLETRANSLATE(A8408, ""zh"", ""en"")"),"Promoting employment")</f>
        <v>Promoting employment</v>
      </c>
      <c r="C8408" s="1" t="str">
        <f ca="1">IFERROR(__xludf.DUMMYFUNCTION("GOOGLETRANSLATE(E8408, ""zh"", ""en"")"),"Quantitative Text")</f>
        <v>Quantitative Text</v>
      </c>
    </row>
    <row r="8409" spans="1:3" ht="13" x14ac:dyDescent="0.15">
      <c r="A8409" s="1" t="str">
        <f ca="1">IFERROR(__xludf.DUMMYFUNCTION("GOOGLETRANSLATE(A8409, ""zh"", ""en"")"),"Pressure can be reduced by timely adjusting business development strategies, actively exploring potential markets, constantly innovating and improving product quality, creating new jobs, and most importantly, advocating that enterprises scientifically arr"&amp;"ange labor, expand employment opportunities, create experiences that increase efficiency without reducing staff, and minimize pushing people into society and increasing employment pressure.")</f>
        <v>Pressure can be reduced by timely adjusting business development strategies, actively exploring potential markets, constantly innovating and improving product quality, creating new jobs, and most importantly, advocating that enterprises scientifically arrange labor, expand employment opportunities, create experiences that increase efficiency without reducing staff, and minimize pushing people into society and increasing employment pressure.</v>
      </c>
      <c r="B8409" s="1" t="str">
        <f ca="1">IFERROR(__xludf.DUMMYFUNCTION("GOOGLETRANSLATE(A8409, ""zh"", ""en"")"),"Promoting employment")</f>
        <v>Promoting employment</v>
      </c>
      <c r="C8409" s="1" t="str">
        <f ca="1">IFERROR(__xludf.DUMMYFUNCTION("GOOGLETRANSLATE(E8409, ""zh"", ""en"")"),"Qualitative text")</f>
        <v>Qualitative text</v>
      </c>
    </row>
    <row r="8410" spans="1:3" ht="13" x14ac:dyDescent="0.15">
      <c r="A8410" s="1" t="str">
        <f ca="1">IFERROR(__xludf.DUMMYFUNCTION("GOOGLETRANSLATE(A8410, ""zh"", ""en"")"),"For example, the Gongyi project in Henan and the Shijiazhuang project in Hebei have attracted a large number of businesses to settle in. While contributing tax revenue to the local area, they have also directly and indirectly provided a large number of jo"&amp;"bs, driving the development of the local economy.")</f>
        <v>For example, the Gongyi project in Henan and the Shijiazhuang project in Hebei have attracted a large number of businesses to settle in. While contributing tax revenue to the local area, they have also directly and indirectly provided a large number of jobs, driving the development of the local economy.</v>
      </c>
      <c r="B8410" s="1" t="str">
        <f ca="1">IFERROR(__xludf.DUMMYFUNCTION("GOOGLETRANSLATE(A8410, ""zh"", ""en"")"),"Promoting employment")</f>
        <v>Promoting employment</v>
      </c>
      <c r="C8410" s="1" t="str">
        <f ca="1">IFERROR(__xludf.DUMMYFUNCTION("GOOGLETRANSLATE(E8410, ""zh"", ""en"")"),"Qualitative text")</f>
        <v>Qualitative text</v>
      </c>
    </row>
    <row r="8411" spans="1:3" ht="13" x14ac:dyDescent="0.15">
      <c r="A8411" s="1" t="str">
        <f ca="1">IFERROR(__xludf.DUMMYFUNCTION("GOOGLETRANSLATE(A8411, ""zh"", ""en"")"),"In 2021, more than 20 people were hired to support the villages.")</f>
        <v>In 2021, more than 20 people were hired to support the villages.</v>
      </c>
      <c r="B8411" s="1" t="str">
        <f ca="1">IFERROR(__xludf.DUMMYFUNCTION("GOOGLETRANSLATE(A8411, ""zh"", ""en"")"),"Promoting employment")</f>
        <v>Promoting employment</v>
      </c>
      <c r="C8411" s="1" t="str">
        <f ca="1">IFERROR(__xludf.DUMMYFUNCTION("GOOGLETRANSLATE(E8411, ""zh"", ""en"")"),"Quantitative Text")</f>
        <v>Quantitative Text</v>
      </c>
    </row>
    <row r="8412" spans="1:3" ht="13" x14ac:dyDescent="0.15">
      <c r="A8412" s="1" t="str">
        <f ca="1">IFERROR(__xludf.DUMMYFUNCTION("GOOGLETRANSLATE(A8412, ""zh"", ""en"")"),"At the same time, we recruit personnel from different industries, professions, and cultural backgrounds to optimize our talent structure. We are committed to building a diverse talent team and include foreign nationals, people from Hong Kong, Macau, and T"&amp;"aiwan, retired military personnel, and veterans.")</f>
        <v>At the same time, we recruit personnel from different industries, professions, and cultural backgrounds to optimize our talent structure. We are committed to building a diverse talent team and include foreign nationals, people from Hong Kong, Macau, and Taiwan, retired military personnel, and veterans.</v>
      </c>
      <c r="B8412" s="1" t="str">
        <f ca="1">IFERROR(__xludf.DUMMYFUNCTION("GOOGLETRANSLATE(A8412, ""zh"", ""en"")"),"Promoting employment")</f>
        <v>Promoting employment</v>
      </c>
      <c r="C8412" s="1" t="str">
        <f ca="1">IFERROR(__xludf.DUMMYFUNCTION("GOOGLETRANSLATE(E8412, ""zh"", ""en"")"),"Qualitative text")</f>
        <v>Qualitative text</v>
      </c>
    </row>
    <row r="8413" spans="1:3" ht="13" x14ac:dyDescent="0.15">
      <c r="A8413" s="1" t="str">
        <f ca="1">IFERROR(__xludf.DUMMYFUNCTION("GOOGLETRANSLATE(A8413, ""zh"", ""en"")"),"When it comes to hiring ethnic minorities and other groups, the company strictly follows relevant policies. As of the end of 2022, the company had a total of 36 ethnic minority employees.")</f>
        <v>When it comes to hiring ethnic minorities and other groups, the company strictly follows relevant policies. As of the end of 2022, the company had a total of 36 ethnic minority employees.</v>
      </c>
      <c r="B8413" s="1" t="str">
        <f ca="1">IFERROR(__xludf.DUMMYFUNCTION("GOOGLETRANSLATE(A8413, ""zh"", ""en"")"),"Promoting employment")</f>
        <v>Promoting employment</v>
      </c>
      <c r="C8413" s="1" t="str">
        <f ca="1">IFERROR(__xludf.DUMMYFUNCTION("GOOGLETRANSLATE(E8413, ""zh"", ""en"")"),"Quantitative Text")</f>
        <v>Quantitative Text</v>
      </c>
    </row>
    <row r="8414" spans="1:3" ht="13" x14ac:dyDescent="0.15">
      <c r="A8414" s="1" t="str">
        <f ca="1">IFERROR(__xludf.DUMMYFUNCTION("GOOGLETRANSLATE(A8414, ""zh"", ""en"")"),"The Bank attracts, selects and cultivates outstanding young talents, and is continuously committed to building its campus recruitment brand and optimizing distinctive graduate recruitment programs. It has established a campus recruitment system with ""Fut"&amp;"ure Banker"" as the main brand and ""Yanfan Management Trainee Program"", ""Minxin Fintech Talent Program"" and ""Hsinchu Professional Talent Program"" as sub-brands to actively recruit outstanding graduates from diverse professional backgrounds.")</f>
        <v>The Bank attracts, selects and cultivates outstanding young talents, and is continuously committed to building its campus recruitment brand and optimizing distinctive graduate recruitment programs. It has established a campus recruitment system with "Future Banker" as the main brand and "Yanfan Management Trainee Program", "Minxin Fintech Talent Program" and "Hsinchu Professional Talent Program" as sub-brands to actively recruit outstanding graduates from diverse professional backgrounds.</v>
      </c>
      <c r="B8414" s="1" t="str">
        <f ca="1">IFERROR(__xludf.DUMMYFUNCTION("GOOGLETRANSLATE(A8414, ""zh"", ""en"")"),"Promoting employment")</f>
        <v>Promoting employment</v>
      </c>
      <c r="C8414" s="1" t="str">
        <f ca="1">IFERROR(__xludf.DUMMYFUNCTION("GOOGLETRANSLATE(E8414, ""zh"", ""en"")"),"Qualitative text")</f>
        <v>Qualitative text</v>
      </c>
    </row>
    <row r="8415" spans="1:3" ht="13" x14ac:dyDescent="0.15">
      <c r="A8415" s="1" t="str">
        <f ca="1">IFERROR(__xludf.DUMMYFUNCTION("GOOGLETRANSLATE(A8415, ""zh"", ""en"")"),"In addition, the company also accepts demobilized soldiers, disabled people and other groups based on the needs of different positions to provide more employment opportunities for the society.")</f>
        <v>In addition, the company also accepts demobilized soldiers, disabled people and other groups based on the needs of different positions to provide more employment opportunities for the society.</v>
      </c>
      <c r="B8415" s="1" t="str">
        <f ca="1">IFERROR(__xludf.DUMMYFUNCTION("GOOGLETRANSLATE(A8415, ""zh"", ""en"")"),"Promoting employment")</f>
        <v>Promoting employment</v>
      </c>
      <c r="C8415" s="1" t="str">
        <f ca="1">IFERROR(__xludf.DUMMYFUNCTION("GOOGLETRANSLATE(E8415, ""zh"", ""en"")"),"Qualitative text")</f>
        <v>Qualitative text</v>
      </c>
    </row>
    <row r="8416" spans="1:3" ht="13" x14ac:dyDescent="0.15">
      <c r="A8416" s="1" t="str">
        <f ca="1">IFERROR(__xludf.DUMMYFUNCTION("GOOGLETRANSLATE(A8416, ""zh"", ""en"")"),"In addition, we fairly recruit retired military personnel and persons with disabilities who meet the requirements of the corresponding job positions. As of the end of the reporting period, there were more than 30 persons with disabilities among the Group'"&amp;"s employees who were paying social security contributions.")</f>
        <v>In addition, we fairly recruit retired military personnel and persons with disabilities who meet the requirements of the corresponding job positions. As of the end of the reporting period, there were more than 30 persons with disabilities among the Group's employees who were paying social security contributions.</v>
      </c>
      <c r="B8416" s="1" t="str">
        <f ca="1">IFERROR(__xludf.DUMMYFUNCTION("GOOGLETRANSLATE(A8416, ""zh"", ""en"")"),"Promoting employment")</f>
        <v>Promoting employment</v>
      </c>
      <c r="C8416" s="1" t="str">
        <f ca="1">IFERROR(__xludf.DUMMYFUNCTION("GOOGLETRANSLATE(E8416, ""zh"", ""en"")"),"Quantitative Text")</f>
        <v>Quantitative Text</v>
      </c>
    </row>
    <row r="8417" spans="1:3" ht="13" x14ac:dyDescent="0.15">
      <c r="A8417" s="1" t="str">
        <f ca="1">IFERROR(__xludf.DUMMYFUNCTION("GOOGLETRANSLATE(A8417, ""zh"", ""en"")"),"In order to attract high-level talents, we actively applied for government talent support projects, and through cooperation with talent service agencies, local universities and research institutes, we introduced talents in a targeted and precise manner. D"&amp;"uring the reporting period, a total of 205 new employees were introduced.")</f>
        <v>In order to attract high-level talents, we actively applied for government talent support projects, and through cooperation with talent service agencies, local universities and research institutes, we introduced talents in a targeted and precise manner. During the reporting period, a total of 205 new employees were introduced.</v>
      </c>
      <c r="B8417" s="1" t="str">
        <f ca="1">IFERROR(__xludf.DUMMYFUNCTION("GOOGLETRANSLATE(A8417, ""zh"", ""en"")"),"Promoting employment")</f>
        <v>Promoting employment</v>
      </c>
      <c r="C8417" s="1" t="str">
        <f ca="1">IFERROR(__xludf.DUMMYFUNCTION("GOOGLETRANSLATE(E8417, ""zh"", ""en"")"),"Quantitative Text")</f>
        <v>Quantitative Text</v>
      </c>
    </row>
    <row r="8418" spans="1:3" ht="13" x14ac:dyDescent="0.15">
      <c r="A8418" s="1" t="str">
        <f ca="1">IFERROR(__xludf.DUMMYFUNCTION("GOOGLETRANSLATE(A8418, ""zh"", ""en"")"),"It is strictly prohibited to screen and restrict employees based on their gender, race, ethnicity, etc., and it is strictly prohibited to use discriminatory expressions such as gender, ethnicity, etc. in external recruitment advertisements, so as to achie"&amp;"ve diversity in the employee composition in terms of age, race, ethnicity, professional background, and ability.")</f>
        <v>It is strictly prohibited to screen and restrict employees based on their gender, race, ethnicity, etc., and it is strictly prohibited to use discriminatory expressions such as gender, ethnicity, etc. in external recruitment advertisements, so as to achieve diversity in the employee composition in terms of age, race, ethnicity, professional background, and ability.</v>
      </c>
      <c r="B8418" s="1" t="str">
        <f ca="1">IFERROR(__xludf.DUMMYFUNCTION("GOOGLETRANSLATE(A8418, ""zh"", ""en"")"),"Promoting employment")</f>
        <v>Promoting employment</v>
      </c>
      <c r="C8418" s="1" t="str">
        <f ca="1">IFERROR(__xludf.DUMMYFUNCTION("GOOGLETRANSLATE(E8418, ""zh"", ""en"")"),"Qualitative text")</f>
        <v>Qualitative text</v>
      </c>
    </row>
    <row r="8419" spans="1:3" ht="13" x14ac:dyDescent="0.15">
      <c r="A8419" s="1" t="str">
        <f ca="1">IFERROR(__xludf.DUMMYFUNCTION("GOOGLETRANSLATE(A8419, ""zh"", ""en"")"),"The Guangzhou Container Factory has helped more than 17,000 migrant workers in remote mountainous areas solve graduation problems, established files and cards for people in need, helped them learn skills and obtain certificates, and achieved the goal of "&amp;"""one person's employment, the whole family's poverty alleviation.""")</f>
        <v>The Guangzhou Container Factory has helped more than 17,000 migrant workers in remote mountainous areas solve graduation problems, established files and cards for people in need, helped them learn skills and obtain certificates, and achieved the goal of "one person's employment, the whole family's poverty alleviation."</v>
      </c>
      <c r="B8419" s="1" t="str">
        <f ca="1">IFERROR(__xludf.DUMMYFUNCTION("GOOGLETRANSLATE(A8419, ""zh"", ""en"")"),"Promoting employment")</f>
        <v>Promoting employment</v>
      </c>
      <c r="C8419" s="1" t="str">
        <f ca="1">IFERROR(__xludf.DUMMYFUNCTION("GOOGLETRANSLATE(E8419, ""zh"", ""en"")"),"Quantitative Text")</f>
        <v>Quantitative Text</v>
      </c>
    </row>
    <row r="8420" spans="1:3" ht="13" x14ac:dyDescent="0.15">
      <c r="A8420" s="1" t="str">
        <f ca="1">IFERROR(__xludf.DUMMYFUNCTION("GOOGLETRANSLATE(A8420, ""zh"", ""en"")"),"The company's Changxing branch sent representatives to Lanping County to carry out recruitment work during the year, including two job fairs in Lanping County and two job fairs in Tu'e Township, Lanping County. A total of 111 workers from Lanping County w"&amp;"ere recruited throughout the year, of whom 76 are currently employed stably in positions such as fitters, wire arrangers, and grinders.")</f>
        <v>The company's Changxing branch sent representatives to Lanping County to carry out recruitment work during the year, including two job fairs in Lanping County and two job fairs in Tu'e Township, Lanping County. A total of 111 workers from Lanping County were recruited throughout the year, of whom 76 are currently employed stably in positions such as fitters, wire arrangers, and grinders.</v>
      </c>
      <c r="B8420" s="1" t="str">
        <f ca="1">IFERROR(__xludf.DUMMYFUNCTION("GOOGLETRANSLATE(A8420, ""zh"", ""en"")"),"Promoting employment")</f>
        <v>Promoting employment</v>
      </c>
      <c r="C8420" s="1" t="str">
        <f ca="1">IFERROR(__xludf.DUMMYFUNCTION("GOOGLETRANSLATE(E8420, ""zh"", ""en"")"),"Quantitative Text")</f>
        <v>Quantitative Text</v>
      </c>
    </row>
    <row r="8421" spans="1:3" ht="13" x14ac:dyDescent="0.15">
      <c r="A8421" s="1" t="str">
        <f ca="1">IFERROR(__xludf.DUMMYFUNCTION("GOOGLETRANSLATE(A8421, ""zh"", ""en"")"),"Create job opportunities and absorb employment.")</f>
        <v>Create job opportunities and absorb employment.</v>
      </c>
      <c r="B8421" s="1" t="str">
        <f ca="1">IFERROR(__xludf.DUMMYFUNCTION("GOOGLETRANSLATE(A8421, ""zh"", ""en"")"),"Promoting employment")</f>
        <v>Promoting employment</v>
      </c>
      <c r="C8421" s="1" t="str">
        <f ca="1">IFERROR(__xludf.DUMMYFUNCTION("GOOGLETRANSLATE(E8421, ""zh"", ""en"")"),"Qualitative text")</f>
        <v>Qualitative text</v>
      </c>
    </row>
    <row r="8422" spans="1:3" ht="13" x14ac:dyDescent="0.15">
      <c r="A8422" s="1" t="str">
        <f ca="1">IFERROR(__xludf.DUMMYFUNCTION("GOOGLETRANSLATE(A8422, ""zh"", ""en"")"),"The employment and growth opportunities brought by the system have enabled countless talents to transform from farmers into professional senior pig farming technicians, move into management positions, and realize their life value.")</f>
        <v>The employment and growth opportunities brought by the system have enabled countless talents to transform from farmers into professional senior pig farming technicians, move into management positions, and realize their life value.</v>
      </c>
      <c r="B8422" s="1" t="str">
        <f ca="1">IFERROR(__xludf.DUMMYFUNCTION("GOOGLETRANSLATE(A8422, ""zh"", ""en"")"),"Promoting employment")</f>
        <v>Promoting employment</v>
      </c>
      <c r="C8422" s="1" t="str">
        <f ca="1">IFERROR(__xludf.DUMMYFUNCTION("GOOGLETRANSLATE(E8422, ""zh"", ""en"")"),"Qualitative text")</f>
        <v>Qualitative text</v>
      </c>
    </row>
    <row r="8423" spans="1:3" ht="13" x14ac:dyDescent="0.15">
      <c r="A8423" s="1" t="str">
        <f ca="1">IFERROR(__xludf.DUMMYFUNCTION("GOOGLETRANSLATE(A8423, ""zh"", ""en"")"),"Based on accurate traceability, the PCBA Division has established a precise sampling management system, achieving a breakthrough in precise quality inspection: quality management personnel can easily and quickly identify high-risk products, thereby achiev"&amp;"ing precise monitoring and precise inspection. Inspection efficiency has been greatly improved, quality risks have been significantly reduced, first-article inspection efficiency has been increased by more than 50%, and the missed inspection rate has been"&amp;" reduced by more than 50%.")</f>
        <v>Based on accurate traceability, the PCBA Division has established a precise sampling management system, achieving a breakthrough in precise quality inspection: quality management personnel can easily and quickly identify high-risk products, thereby achieving precise monitoring and precise inspection. Inspection efficiency has been greatly improved, quality risks have been significantly reduced, first-article inspection efficiency has been increased by more than 50%, and the missed inspection rate has been reduced by more than 50%.</v>
      </c>
      <c r="B8423" s="1" t="str">
        <f ca="1">IFERROR(__xludf.DUMMYFUNCTION("GOOGLETRANSLATE(A8423, ""zh"", ""en"")"),"Product quality")</f>
        <v>Product quality</v>
      </c>
      <c r="C8423" s="1" t="str">
        <f ca="1">IFERROR(__xludf.DUMMYFUNCTION("GOOGLETRANSLATE(E8423, ""zh"", ""en"")"),"Quantitative Text")</f>
        <v>Quantitative Text</v>
      </c>
    </row>
    <row r="8424" spans="1:3" ht="13" x14ac:dyDescent="0.15">
      <c r="A8424" s="1" t="str">
        <f ca="1">IFERROR(__xludf.DUMMYFUNCTION("GOOGLETRANSLATE(A8424, ""zh"", ""en"")"),"Every year, the group organizes ""Quality Award"" selection and QC group activity results presentation competitions among all subsidiaries of the group. The purpose is to select employees who have made significant contributions to quality management activ"&amp;"ities and encourage QC group activities, thereby motivating more subsidiaries to pay attention to product quality management.")</f>
        <v>Every year, the group organizes "Quality Award" selection and QC group activity results presentation competitions among all subsidiaries of the group. The purpose is to select employees who have made significant contributions to quality management activities and encourage QC group activities, thereby motivating more subsidiaries to pay attention to product quality management.</v>
      </c>
      <c r="B8424" s="1" t="str">
        <f ca="1">IFERROR(__xludf.DUMMYFUNCTION("GOOGLETRANSLATE(A8424, ""zh"", ""en"")"),"Product quality")</f>
        <v>Product quality</v>
      </c>
      <c r="C8424" s="1" t="str">
        <f ca="1">IFERROR(__xludf.DUMMYFUNCTION("GOOGLETRANSLATE(E8424, ""zh"", ""en"")"),"Qualitative text")</f>
        <v>Qualitative text</v>
      </c>
    </row>
    <row r="8425" spans="1:3" ht="13" x14ac:dyDescent="0.15">
      <c r="A8425" s="1" t="str">
        <f ca="1">IFERROR(__xludf.DUMMYFUNCTION("GOOGLETRANSLATE(A8425, ""zh"", ""en"")"),"The Group is user-centric and aims to bring a better life experience to every user by providing high-quality products.")</f>
        <v>The Group is user-centric and aims to bring a better life experience to every user by providing high-quality products.</v>
      </c>
      <c r="B8425" s="1" t="str">
        <f ca="1">IFERROR(__xludf.DUMMYFUNCTION("GOOGLETRANSLATE(A8425, ""zh"", ""en"")"),"Product quality")</f>
        <v>Product quality</v>
      </c>
      <c r="C8425" s="1" t="str">
        <f ca="1">IFERROR(__xludf.DUMMYFUNCTION("GOOGLETRANSLATE(E8425, ""zh"", ""en"")"),"Qualitative text")</f>
        <v>Qualitative text</v>
      </c>
    </row>
    <row r="8426" spans="1:3" ht="13" x14ac:dyDescent="0.15">
      <c r="A8426" s="1" t="str">
        <f ca="1">IFERROR(__xludf.DUMMYFUNCTION("GOOGLETRANSLATE(A8426, ""zh"", ""en"")"),"In 2021, the Russian company achieved full coverage of quality functions by building a large quality system, and its quality level has steadily improved. It has successively passed GMP+, Halal, Kosher, Uzbek commodity inspection and AA-level BRC.")</f>
        <v>In 2021, the Russian company achieved full coverage of quality functions by building a large quality system, and its quality level has steadily improved. It has successively passed GMP+, Halal, Kosher, Uzbek commodity inspection and AA-level BRC.</v>
      </c>
      <c r="B8426" s="1" t="str">
        <f ca="1">IFERROR(__xludf.DUMMYFUNCTION("GOOGLETRANSLATE(A8426, ""zh"", ""en"")"),"Product quality")</f>
        <v>Product quality</v>
      </c>
      <c r="C8426" s="1" t="str">
        <f ca="1">IFERROR(__xludf.DUMMYFUNCTION("GOOGLETRANSLATE(E8426, ""zh"", ""en"")"),"Qualitative text")</f>
        <v>Qualitative text</v>
      </c>
    </row>
    <row r="8427" spans="1:3" ht="13" x14ac:dyDescent="0.15">
      <c r="A8427" s="1" t="str">
        <f ca="1">IFERROR(__xludf.DUMMYFUNCTION("GOOGLETRANSLATE(A8427, ""zh"", ""en"")"),"Safety technology services provide standardized, information-based, controllable and traceable overall solutions for agricultural product quality and safety, providing quality assurance for the majority of agricultural product consumers.")</f>
        <v>Safety technology services provide standardized, information-based, controllable and traceable overall solutions for agricultural product quality and safety, providing quality assurance for the majority of agricultural product consumers.</v>
      </c>
      <c r="B8427" s="1" t="str">
        <f ca="1">IFERROR(__xludf.DUMMYFUNCTION("GOOGLETRANSLATE(A8427, ""zh"", ""en"")"),"Product quality")</f>
        <v>Product quality</v>
      </c>
      <c r="C8427" s="1" t="str">
        <f ca="1">IFERROR(__xludf.DUMMYFUNCTION("GOOGLETRANSLATE(E8427, ""zh"", ""en"")"),"Qualitative text")</f>
        <v>Qualitative text</v>
      </c>
    </row>
    <row r="8428" spans="1:3" ht="13" x14ac:dyDescent="0.15">
      <c r="A8428" s="1" t="str">
        <f ca="1">IFERROR(__xludf.DUMMYFUNCTION("GOOGLETRANSLATE(A8428, ""zh"", ""en"")"),"In terms of production process control, Sanyuan Food always puts product quality first and establishes a multi-level production supervision system. From the acceptance, storage, sterilization, filling, warehousing of finished products to dairy processing "&amp;"of raw milk, each process will be strictly sampled and tested to achieve full openness and transparency to ensure product quality and safety.")</f>
        <v>In terms of production process control, Sanyuan Food always puts product quality first and establishes a multi-level production supervision system. From the acceptance, storage, sterilization, filling, warehousing of finished products to dairy processing of raw milk, each process will be strictly sampled and tested to achieve full openness and transparency to ensure product quality and safety.</v>
      </c>
      <c r="B8428" s="1" t="str">
        <f ca="1">IFERROR(__xludf.DUMMYFUNCTION("GOOGLETRANSLATE(A8428, ""zh"", ""en"")"),"Product quality")</f>
        <v>Product quality</v>
      </c>
      <c r="C8428" s="1" t="str">
        <f ca="1">IFERROR(__xludf.DUMMYFUNCTION("GOOGLETRANSLATE(E8428, ""zh"", ""en"")"),"Qualitative text")</f>
        <v>Qualitative text</v>
      </c>
    </row>
    <row r="8429" spans="1:3" ht="13" x14ac:dyDescent="0.15">
      <c r="A8429" s="1" t="str">
        <f ca="1">IFERROR(__xludf.DUMMYFUNCTION("GOOGLETRANSLATE(A8429, ""zh"", ""en"")"),"In 2021, there were no incidents of recalls of products sold or shipped by the company due to product safety and health issues.")</f>
        <v>In 2021, there were no incidents of recalls of products sold or shipped by the company due to product safety and health issues.</v>
      </c>
      <c r="B8429" s="1" t="str">
        <f ca="1">IFERROR(__xludf.DUMMYFUNCTION("GOOGLETRANSLATE(A8429, ""zh"", ""en"")"),"Product quality")</f>
        <v>Product quality</v>
      </c>
      <c r="C8429" s="1" t="str">
        <f ca="1">IFERROR(__xludf.DUMMYFUNCTION("GOOGLETRANSLATE(E8429, ""zh"", ""en"")"),"Quantitative Text")</f>
        <v>Quantitative Text</v>
      </c>
    </row>
    <row r="8430" spans="1:3" ht="13" x14ac:dyDescent="0.15">
      <c r="A8430" s="1" t="str">
        <f ca="1">IFERROR(__xludf.DUMMYFUNCTION("GOOGLETRANSLATE(A8430, ""zh"", ""en"")"),"In order to ensure the safety of material selection, Tuobang requires raw material suppliers to provide a third-party hazardous substance testing report within one year.")</f>
        <v>In order to ensure the safety of material selection, Tuobang requires raw material suppliers to provide a third-party hazardous substance testing report within one year.</v>
      </c>
      <c r="B8430" s="1" t="str">
        <f ca="1">IFERROR(__xludf.DUMMYFUNCTION("GOOGLETRANSLATE(A8430, ""zh"", ""en"")"),"Product quality")</f>
        <v>Product quality</v>
      </c>
      <c r="C8430" s="1" t="str">
        <f ca="1">IFERROR(__xludf.DUMMYFUNCTION("GOOGLETRANSLATE(E8430, ""zh"", ""en"")"),"Qualitative text")</f>
        <v>Qualitative text</v>
      </c>
    </row>
    <row r="8431" spans="1:3" ht="13" x14ac:dyDescent="0.15">
      <c r="A8431" s="1" t="str">
        <f ca="1">IFERROR(__xludf.DUMMYFUNCTION("GOOGLETRANSLATE(A8431, ""zh"", ""en"")"),"Our closed-loop process includes a full-process feedback mechanism to improve recall efficiency and customer experience.")</f>
        <v>Our closed-loop process includes a full-process feedback mechanism to improve recall efficiency and customer experience.</v>
      </c>
      <c r="B8431" s="1" t="str">
        <f ca="1">IFERROR(__xludf.DUMMYFUNCTION("GOOGLETRANSLATE(A8431, ""zh"", ""en"")"),"Product quality")</f>
        <v>Product quality</v>
      </c>
      <c r="C8431" s="1" t="str">
        <f ca="1">IFERROR(__xludf.DUMMYFUNCTION("GOOGLETRANSLATE(E8431, ""zh"", ""en"")"),"Qualitative text")</f>
        <v>Qualitative text</v>
      </c>
    </row>
    <row r="8432" spans="1:3" ht="13" x14ac:dyDescent="0.15">
      <c r="A8432" s="1" t="str">
        <f ca="1">IFERROR(__xludf.DUMMYFUNCTION("GOOGLETRANSLATE(A8432, ""zh"", ""en"")"),"Manage and control the company's products, ensuring that there are complete operating instructions, inspection and testing standards, enterprise product standards, supporting management systems and management processes to support the procurement of raw an"&amp;"d auxiliary materials, process control, testing and analysis, and product delivery.")</f>
        <v>Manage and control the company's products, ensuring that there are complete operating instructions, inspection and testing standards, enterprise product standards, supporting management systems and management processes to support the procurement of raw and auxiliary materials, process control, testing and analysis, and product delivery.</v>
      </c>
      <c r="B8432" s="1" t="str">
        <f ca="1">IFERROR(__xludf.DUMMYFUNCTION("GOOGLETRANSLATE(A8432, ""zh"", ""en"")"),"Product quality")</f>
        <v>Product quality</v>
      </c>
      <c r="C8432" s="1" t="str">
        <f ca="1">IFERROR(__xludf.DUMMYFUNCTION("GOOGLETRANSLATE(E8432, ""zh"", ""en"")"),"Qualitative text")</f>
        <v>Qualitative text</v>
      </c>
    </row>
    <row r="8433" spans="1:3" ht="13" x14ac:dyDescent="0.15">
      <c r="A8433" s="1" t="str">
        <f ca="1">IFERROR(__xludf.DUMMYFUNCTION("GOOGLETRANSLATE(A8433, ""zh"", ""en"")"),"Key Performance Indicator: In 2022, the company's drug inspection pass rate reached 100%.")</f>
        <v>Key Performance Indicator: In 2022, the company's drug inspection pass rate reached 100%.</v>
      </c>
      <c r="B8433" s="1" t="str">
        <f ca="1">IFERROR(__xludf.DUMMYFUNCTION("GOOGLETRANSLATE(A8433, ""zh"", ""en"")"),"Product quality")</f>
        <v>Product quality</v>
      </c>
      <c r="C8433" s="1" t="str">
        <f ca="1">IFERROR(__xludf.DUMMYFUNCTION("GOOGLETRANSLATE(E8433, ""zh"", ""en"")"),"Quantitative Text")</f>
        <v>Quantitative Text</v>
      </c>
    </row>
    <row r="8434" spans="1:3" ht="13" x14ac:dyDescent="0.15">
      <c r="A8434" s="1" t="str">
        <f ca="1">IFERROR(__xludf.DUMMYFUNCTION("GOOGLETRANSLATE(A8434, ""zh"", ""en"")"),"During the reporting period, the company won the honorary title of ""Shaanxi Province Quality Benchmark 2020"" and was recommended as a display unit for Shaanxi Province's ""China Brand Day"" event.")</f>
        <v>During the reporting period, the company won the honorary title of "Shaanxi Province Quality Benchmark 2020" and was recommended as a display unit for Shaanxi Province's "China Brand Day" event.</v>
      </c>
      <c r="B8434" s="1" t="str">
        <f ca="1">IFERROR(__xludf.DUMMYFUNCTION("GOOGLETRANSLATE(A8434, ""zh"", ""en"")"),"Product quality")</f>
        <v>Product quality</v>
      </c>
      <c r="C8434" s="1" t="str">
        <f ca="1">IFERROR(__xludf.DUMMYFUNCTION("GOOGLETRANSLATE(E8434, ""zh"", ""en"")"),"Quantitative Text")</f>
        <v>Quantitative Text</v>
      </c>
    </row>
    <row r="8435" spans="1:3" ht="13" x14ac:dyDescent="0.15">
      <c r="A8435" s="1" t="str">
        <f ca="1">IFERROR(__xludf.DUMMYFUNCTION("GOOGLETRANSLATE(A8435, ""zh"", ""en"")"),"Its subsidiary Baotou Aluminum Co., Ltd. won the 19th National Quality Award.")</f>
        <v>Its subsidiary Baotou Aluminum Co., Ltd. won the 19th National Quality Award.</v>
      </c>
      <c r="B8435" s="1" t="str">
        <f ca="1">IFERROR(__xludf.DUMMYFUNCTION("GOOGLETRANSLATE(A8435, ""zh"", ""en"")"),"Product quality")</f>
        <v>Product quality</v>
      </c>
      <c r="C8435" s="1" t="str">
        <f ca="1">IFERROR(__xludf.DUMMYFUNCTION("GOOGLETRANSLATE(E8435, ""zh"", ""en"")"),"Quantitative Text")</f>
        <v>Quantitative Text</v>
      </c>
    </row>
    <row r="8436" spans="1:3" ht="13" x14ac:dyDescent="0.15">
      <c r="A8436" s="1" t="str">
        <f ca="1">IFERROR(__xludf.DUMMYFUNCTION("GOOGLETRANSLATE(A8436, ""zh"", ""en"")"),"The company has established a special recall team to collect and receive product information reports that meet the recall conditions and to carry out the reporting, review, approval, initiation, recording, and follow-up activities of recalled products.")</f>
        <v>The company has established a special recall team to collect and receive product information reports that meet the recall conditions and to carry out the reporting, review, approval, initiation, recording, and follow-up activities of recalled products.</v>
      </c>
      <c r="B8436" s="1" t="str">
        <f ca="1">IFERROR(__xludf.DUMMYFUNCTION("GOOGLETRANSLATE(A8436, ""zh"", ""en"")"),"Product quality")</f>
        <v>Product quality</v>
      </c>
      <c r="C8436" s="1" t="str">
        <f ca="1">IFERROR(__xludf.DUMMYFUNCTION("GOOGLETRANSLATE(E8436, ""zh"", ""en"")"),"Qualitative text")</f>
        <v>Qualitative text</v>
      </c>
    </row>
    <row r="8437" spans="1:3" ht="13" x14ac:dyDescent="0.15">
      <c r="A8437" s="1" t="str">
        <f ca="1">IFERROR(__xludf.DUMMYFUNCTION("GOOGLETRANSLATE(A8437, ""zh"", ""en"")"),"Quality management adheres to the spirit of being highly responsible to customers, abides by corporate social responsibility, strictly controls quality, promotes the steady improvement of the company's quality assurance capabilities, and fulfills the prim"&amp;"ary responsibility of strengthening the military without fail.")</f>
        <v>Quality management adheres to the spirit of being highly responsible to customers, abides by corporate social responsibility, strictly controls quality, promotes the steady improvement of the company's quality assurance capabilities, and fulfills the primary responsibility of strengthening the military without fail.</v>
      </c>
      <c r="B8437" s="1" t="str">
        <f ca="1">IFERROR(__xludf.DUMMYFUNCTION("GOOGLETRANSLATE(A8437, ""zh"", ""en"")"),"Product quality")</f>
        <v>Product quality</v>
      </c>
      <c r="C8437" s="1" t="str">
        <f ca="1">IFERROR(__xludf.DUMMYFUNCTION("GOOGLETRANSLATE(E8437, ""zh"", ""en"")"),"Qualitative text")</f>
        <v>Qualitative text</v>
      </c>
    </row>
    <row r="8438" spans="1:3" ht="13" x14ac:dyDescent="0.15">
      <c r="A8438" s="1" t="str">
        <f ca="1">IFERROR(__xludf.DUMMYFUNCTION("GOOGLETRANSLATE(A8438, ""zh"", ""en"")"),"Attach importance to quality management, insist on the effective operation of the quality management system, and integrate it into the business process.")</f>
        <v>Attach importance to quality management, insist on the effective operation of the quality management system, and integrate it into the business process.</v>
      </c>
      <c r="B8438" s="1" t="str">
        <f ca="1">IFERROR(__xludf.DUMMYFUNCTION("GOOGLETRANSLATE(A8438, ""zh"", ""en"")"),"Product quality")</f>
        <v>Product quality</v>
      </c>
      <c r="C8438" s="1" t="str">
        <f ca="1">IFERROR(__xludf.DUMMYFUNCTION("GOOGLETRANSLATE(E8438, ""zh"", ""en"")"),"Qualitative text")</f>
        <v>Qualitative text</v>
      </c>
    </row>
    <row r="8439" spans="1:3" ht="13" x14ac:dyDescent="0.15">
      <c r="A8439" s="1" t="str">
        <f ca="1">IFERROR(__xludf.DUMMYFUNCTION("GOOGLETRANSLATE(A8439, ""zh"", ""en"")"),"In 2022, five internal audits of the quality management system were conducted, and 37 quality management systems were revised and issued for implementation.")</f>
        <v>In 2022, five internal audits of the quality management system were conducted, and 37 quality management systems were revised and issued for implementation.</v>
      </c>
      <c r="B8439" s="1" t="str">
        <f ca="1">IFERROR(__xludf.DUMMYFUNCTION("GOOGLETRANSLATE(A8439, ""zh"", ""en"")"),"Product quality")</f>
        <v>Product quality</v>
      </c>
      <c r="C8439" s="1" t="str">
        <f ca="1">IFERROR(__xludf.DUMMYFUNCTION("GOOGLETRANSLATE(E8439, ""zh"", ""en"")"),"Quantitative Text")</f>
        <v>Quantitative Text</v>
      </c>
    </row>
    <row r="8440" spans="1:3" ht="13" x14ac:dyDescent="0.15">
      <c r="A8440" s="1" t="str">
        <f ca="1">IFERROR(__xludf.DUMMYFUNCTION("GOOGLETRANSLATE(A8440, ""zh"", ""en"")"),"Calabash Brothers’ defective product handling mechanism is to review and process products that fail quality inspections before they are released to the market, in accordance with the procedures specified in the “Defective Product Handling Management Syste"&amp;"m”. Defective finished products will never be allowed to leave the factory.")</f>
        <v>Calabash Brothers’ defective product handling mechanism is to review and process products that fail quality inspections before they are released to the market, in accordance with the procedures specified in the “Defective Product Handling Management System”. Defective finished products will never be allowed to leave the factory.</v>
      </c>
      <c r="B8440" s="1" t="str">
        <f ca="1">IFERROR(__xludf.DUMMYFUNCTION("GOOGLETRANSLATE(A8440, ""zh"", ""en"")"),"Product quality")</f>
        <v>Product quality</v>
      </c>
      <c r="C8440" s="1" t="str">
        <f ca="1">IFERROR(__xludf.DUMMYFUNCTION("GOOGLETRANSLATE(E8440, ""zh"", ""en"")"),"Qualitative text")</f>
        <v>Qualitative text</v>
      </c>
    </row>
    <row r="8441" spans="1:3" ht="13" x14ac:dyDescent="0.15">
      <c r="A8441" s="1" t="str">
        <f ca="1">IFERROR(__xludf.DUMMYFUNCTION("GOOGLETRANSLATE(A8441, ""zh"", ""en"")"),"By conducting comprehensive and detailed testing on products, we can timely discover and eliminate product quality problems and improve the stability and reliability of product quality.")</f>
        <v>By conducting comprehensive and detailed testing on products, we can timely discover and eliminate product quality problems and improve the stability and reliability of product quality.</v>
      </c>
      <c r="B8441" s="1" t="str">
        <f ca="1">IFERROR(__xludf.DUMMYFUNCTION("GOOGLETRANSLATE(A8441, ""zh"", ""en"")"),"Product quality")</f>
        <v>Product quality</v>
      </c>
      <c r="C8441" s="1" t="str">
        <f ca="1">IFERROR(__xludf.DUMMYFUNCTION("GOOGLETRANSLATE(E8441, ""zh"", ""en"")"),"Qualitative text")</f>
        <v>Qualitative text</v>
      </c>
    </row>
    <row r="8442" spans="1:3" ht="13" x14ac:dyDescent="0.15">
      <c r="A8442" s="1" t="str">
        <f ca="1">IFERROR(__xludf.DUMMYFUNCTION("GOOGLETRANSLATE(A8442, ""zh"", ""en"")"),"Angang has established a complete ISO9001 quality management system, closely focusing on the main theme of ""high quality"" development, promoting product quality improvement based on high-end customer needs, continuously increasing varieties, improving q"&amp;"uality, creating brands, vigorously developing service-oriented steel, and continuously improving product quality.")</f>
        <v>Angang has established a complete ISO9001 quality management system, closely focusing on the main theme of "high quality" development, promoting product quality improvement based on high-end customer needs, continuously increasing varieties, improving quality, creating brands, vigorously developing service-oriented steel, and continuously improving product quality.</v>
      </c>
      <c r="B8442" s="1" t="str">
        <f ca="1">IFERROR(__xludf.DUMMYFUNCTION("GOOGLETRANSLATE(A8442, ""zh"", ""en"")"),"Product quality")</f>
        <v>Product quality</v>
      </c>
      <c r="C8442" s="1" t="str">
        <f ca="1">IFERROR(__xludf.DUMMYFUNCTION("GOOGLETRANSLATE(E8442, ""zh"", ""en"")"),"Qualitative text")</f>
        <v>Qualitative text</v>
      </c>
    </row>
    <row r="8443" spans="1:3" ht="13" x14ac:dyDescent="0.15">
      <c r="A8443" s="1" t="str">
        <f ca="1">IFERROR(__xludf.DUMMYFUNCTION("GOOGLETRANSLATE(A8443, ""zh"", ""en"")"),"By issuing annual quality management goals and tasks, signing quality responsibility letters, strengthening quality supervision and inspection, and assessment and evaluation, we strictly control quality risks, effectively prevent quality accidents, and en"&amp;"sure the quality of projects, products and services.")</f>
        <v>By issuing annual quality management goals and tasks, signing quality responsibility letters, strengthening quality supervision and inspection, and assessment and evaluation, we strictly control quality risks, effectively prevent quality accidents, and ensure the quality of projects, products and services.</v>
      </c>
      <c r="B8443" s="1" t="str">
        <f ca="1">IFERROR(__xludf.DUMMYFUNCTION("GOOGLETRANSLATE(A8443, ""zh"", ""en"")"),"Product quality")</f>
        <v>Product quality</v>
      </c>
      <c r="C8443" s="1" t="str">
        <f ca="1">IFERROR(__xludf.DUMMYFUNCTION("GOOGLETRANSLATE(E8443, ""zh"", ""en"")"),"Qualitative text")</f>
        <v>Qualitative text</v>
      </c>
    </row>
    <row r="8444" spans="1:3" ht="13" x14ac:dyDescent="0.15">
      <c r="A8444" s="1" t="str">
        <f ca="1">IFERROR(__xludf.DUMMYFUNCTION("GOOGLETRANSLATE(A8444, ""zh"", ""en"")"),"The core of Shanjin Optoelectronics' quality management system is customer-oriented, supplemented by management processes covering product risks, product management plans, quality operations, and support processes divided by various production factors.")</f>
        <v>The core of Shanjin Optoelectronics' quality management system is customer-oriented, supplemented by management processes covering product risks, product management plans, quality operations, and support processes divided by various production factors.</v>
      </c>
      <c r="B8444" s="1" t="str">
        <f ca="1">IFERROR(__xludf.DUMMYFUNCTION("GOOGLETRANSLATE(A8444, ""zh"", ""en"")"),"Product quality")</f>
        <v>Product quality</v>
      </c>
      <c r="C8444" s="1" t="str">
        <f ca="1">IFERROR(__xludf.DUMMYFUNCTION("GOOGLETRANSLATE(E8444, ""zh"", ""en"")"),"Qualitative text")</f>
        <v>Qualitative text</v>
      </c>
    </row>
    <row r="8445" spans="1:3" ht="13" x14ac:dyDescent="0.15">
      <c r="A8445" s="1" t="str">
        <f ca="1">IFERROR(__xludf.DUMMYFUNCTION("GOOGLETRANSLATE(A8445, ""zh"", ""en"")"),"BYD has formulated a series of customer complaint management measures, including ""BYD Customer Service and Communication Management"" and ""BYD Auto After-Sales Customer Complaint Management Process"", to ensure continuous improvement in service quality "&amp;"and quick and effective resolution of customer complaints.")</f>
        <v>BYD has formulated a series of customer complaint management measures, including "BYD Customer Service and Communication Management" and "BYD Auto After-Sales Customer Complaint Management Process", to ensure continuous improvement in service quality and quick and effective resolution of customer complaints.</v>
      </c>
      <c r="B8445" s="1" t="str">
        <f ca="1">IFERROR(__xludf.DUMMYFUNCTION("GOOGLETRANSLATE(A8445, ""zh"", ""en"")"),"Product quality")</f>
        <v>Product quality</v>
      </c>
      <c r="C8445" s="1" t="str">
        <f ca="1">IFERROR(__xludf.DUMMYFUNCTION("GOOGLETRANSLATE(E8445, ""zh"", ""en"")"),"Qualitative text")</f>
        <v>Qualitative text</v>
      </c>
    </row>
    <row r="8446" spans="1:3" ht="13" x14ac:dyDescent="0.15">
      <c r="A8446" s="1" t="str">
        <f ca="1">IFERROR(__xludf.DUMMYFUNCTION("GOOGLETRANSLATE(A8446, ""zh"", ""en"")"),"Establish a product self-inspection and recall system, an emergency plan system and a market rapid response mechanism.")</f>
        <v>Establish a product self-inspection and recall system, an emergency plan system and a market rapid response mechanism.</v>
      </c>
      <c r="B8446" s="1" t="str">
        <f ca="1">IFERROR(__xludf.DUMMYFUNCTION("GOOGLETRANSLATE(A8446, ""zh"", ""en"")"),"Product quality")</f>
        <v>Product quality</v>
      </c>
      <c r="C8446" s="1" t="str">
        <f ca="1">IFERROR(__xludf.DUMMYFUNCTION("GOOGLETRANSLATE(E8446, ""zh"", ""en"")"),"Qualitative text")</f>
        <v>Qualitative text</v>
      </c>
    </row>
    <row r="8447" spans="1:3" ht="13" x14ac:dyDescent="0.15">
      <c r="A8447" s="1" t="str">
        <f ca="1">IFERROR(__xludf.DUMMYFUNCTION("GOOGLETRANSLATE(A8447, ""zh"", ""en"")"),"Our company requires all contractors to implement the quality management system.")</f>
        <v>Our company requires all contractors to implement the quality management system.</v>
      </c>
      <c r="B8447" s="1" t="str">
        <f ca="1">IFERROR(__xludf.DUMMYFUNCTION("GOOGLETRANSLATE(A8447, ""zh"", ""en"")"),"Product quality")</f>
        <v>Product quality</v>
      </c>
      <c r="C8447" s="1" t="str">
        <f ca="1">IFERROR(__xludf.DUMMYFUNCTION("GOOGLETRANSLATE(E8447, ""zh"", ""en"")"),"Qualitative text")</f>
        <v>Qualitative text</v>
      </c>
    </row>
    <row r="8448" spans="1:3" ht="13" x14ac:dyDescent="0.15">
      <c r="A8448" s="1" t="str">
        <f ca="1">IFERROR(__xludf.DUMMYFUNCTION("GOOGLETRANSLATE(A8448, ""zh"", ""en"")"),"""Quality Review"" runs through all business departments of the company. Relevant responsible departments, in accordance with their quality responsibilities, actively identify quality risks, understand customer quality expectations, take effective measure"&amp;"s, and improve the quality management system to ultimately ensure the quality of products and services.")</f>
        <v>"Quality Review" runs through all business departments of the company. Relevant responsible departments, in accordance with their quality responsibilities, actively identify quality risks, understand customer quality expectations, take effective measures, and improve the quality management system to ultimately ensure the quality of products and services.</v>
      </c>
      <c r="B8448" s="1" t="str">
        <f ca="1">IFERROR(__xludf.DUMMYFUNCTION("GOOGLETRANSLATE(A8448, ""zh"", ""en"")"),"Product quality")</f>
        <v>Product quality</v>
      </c>
      <c r="C8448" s="1" t="str">
        <f ca="1">IFERROR(__xludf.DUMMYFUNCTION("GOOGLETRANSLATE(E8448, ""zh"", ""en"")"),"Qualitative text")</f>
        <v>Qualitative text</v>
      </c>
    </row>
    <row r="8449" spans="1:3" ht="13" x14ac:dyDescent="0.15">
      <c r="A8449" s="1" t="str">
        <f ca="1">IFERROR(__xludf.DUMMYFUNCTION("GOOGLETRANSLATE(A8449, ""zh"", ""en"")"),"The systematic CNAS laboratory accreditation system fully guarantees the participation of all employees in the entire industry chain and effectively ensures that the produced products meet the relevant quality requirements.")</f>
        <v>The systematic CNAS laboratory accreditation system fully guarantees the participation of all employees in the entire industry chain and effectively ensures that the produced products meet the relevant quality requirements.</v>
      </c>
      <c r="B8449" s="1" t="str">
        <f ca="1">IFERROR(__xludf.DUMMYFUNCTION("GOOGLETRANSLATE(A8449, ""zh"", ""en"")"),"Product quality")</f>
        <v>Product quality</v>
      </c>
      <c r="C8449" s="1" t="str">
        <f ca="1">IFERROR(__xludf.DUMMYFUNCTION("GOOGLETRANSLATE(E8449, ""zh"", ""en"")"),"Qualitative text")</f>
        <v>Qualitative text</v>
      </c>
    </row>
    <row r="8450" spans="1:3" ht="13" x14ac:dyDescent="0.15">
      <c r="A8450" s="1" t="str">
        <f ca="1">IFERROR(__xludf.DUMMYFUNCTION("GOOGLETRANSLATE(A8450, ""zh"", ""en"")"),"Maintain a high level of investment in technological research and development to improve product performance.")</f>
        <v>Maintain a high level of investment in technological research and development to improve product performance.</v>
      </c>
      <c r="B8450" s="1" t="str">
        <f ca="1">IFERROR(__xludf.DUMMYFUNCTION("GOOGLETRANSLATE(A8450, ""zh"", ""en"")"),"Product quality")</f>
        <v>Product quality</v>
      </c>
      <c r="C8450" s="1" t="str">
        <f ca="1">IFERROR(__xludf.DUMMYFUNCTION("GOOGLETRANSLATE(E8450, ""zh"", ""en"")"),"Qualitative text")</f>
        <v>Qualitative text</v>
      </c>
    </row>
    <row r="8451" spans="1:3" ht="13" x14ac:dyDescent="0.15">
      <c r="A8451" s="1" t="str">
        <f ca="1">IFERROR(__xludf.DUMMYFUNCTION("GOOGLETRANSLATE(A8451, ""zh"", ""en"")"),"In order to ensure that the company's quality control capabilities are consistent with the company's business development needs, new industry standards and new specifications, and to improve the company's product testing capabilities and service quality, "&amp;"the company continues to increase its investment in quality equipment and quality control center construction.")</f>
        <v>In order to ensure that the company's quality control capabilities are consistent with the company's business development needs, new industry standards and new specifications, and to improve the company's product testing capabilities and service quality, the company continues to increase its investment in quality equipment and quality control center construction.</v>
      </c>
      <c r="B8451" s="1" t="str">
        <f ca="1">IFERROR(__xludf.DUMMYFUNCTION("GOOGLETRANSLATE(A8451, ""zh"", ""en"")"),"Product quality")</f>
        <v>Product quality</v>
      </c>
      <c r="C8451" s="1" t="str">
        <f ca="1">IFERROR(__xludf.DUMMYFUNCTION("GOOGLETRANSLATE(E8451, ""zh"", ""en"")"),"Qualitative text")</f>
        <v>Qualitative text</v>
      </c>
    </row>
    <row r="8452" spans="1:3" ht="13" x14ac:dyDescent="0.15">
      <c r="A8452" s="1" t="str">
        <f ca="1">IFERROR(__xludf.DUMMYFUNCTION("GOOGLETRANSLATE(A8452, ""zh"", ""en"")"),"During the reporting period, the company's customer complaint handling timeliness rate was 100%, and the complaint handling satisfaction rate was 100%.")</f>
        <v>During the reporting period, the company's customer complaint handling timeliness rate was 100%, and the complaint handling satisfaction rate was 100%.</v>
      </c>
      <c r="B8452" s="1" t="str">
        <f ca="1">IFERROR(__xludf.DUMMYFUNCTION("GOOGLETRANSLATE(A8452, ""zh"", ""en"")"),"Product quality")</f>
        <v>Product quality</v>
      </c>
      <c r="C8452" s="1" t="str">
        <f ca="1">IFERROR(__xludf.DUMMYFUNCTION("GOOGLETRANSLATE(E8452, ""zh"", ""en"")"),"Quantitative Text")</f>
        <v>Quantitative Text</v>
      </c>
    </row>
    <row r="8453" spans="1:3" ht="13" x14ac:dyDescent="0.15">
      <c r="A8453" s="1" t="str">
        <f ca="1">IFERROR(__xludf.DUMMYFUNCTION("GOOGLETRANSLATE(A8453, ""zh"", ""en"")"),"Add internal control quality inspection items in key process steps.")</f>
        <v>Add internal control quality inspection items in key process steps.</v>
      </c>
      <c r="B8453" s="1" t="str">
        <f ca="1">IFERROR(__xludf.DUMMYFUNCTION("GOOGLETRANSLATE(A8453, ""zh"", ""en"")"),"Product quality")</f>
        <v>Product quality</v>
      </c>
      <c r="C8453" s="1" t="str">
        <f ca="1">IFERROR(__xludf.DUMMYFUNCTION("GOOGLETRANSLATE(E8453, ""zh"", ""en"")"),"Qualitative text")</f>
        <v>Qualitative text</v>
      </c>
    </row>
    <row r="8454" spans="1:3" ht="13" x14ac:dyDescent="0.15">
      <c r="A8454" s="1" t="str">
        <f ca="1">IFERROR(__xludf.DUMMYFUNCTION("GOOGLETRANSLATE(A8454, ""zh"", ""en"")"),"We pursue product excellence with a craftsman's heart and strive to ensure that customers receive satisfactory products.")</f>
        <v>We pursue product excellence with a craftsman's heart and strive to ensure that customers receive satisfactory products.</v>
      </c>
      <c r="B8454" s="1" t="str">
        <f ca="1">IFERROR(__xludf.DUMMYFUNCTION("GOOGLETRANSLATE(A8454, ""zh"", ""en"")"),"Product quality")</f>
        <v>Product quality</v>
      </c>
      <c r="C8454" s="1" t="str">
        <f ca="1">IFERROR(__xludf.DUMMYFUNCTION("GOOGLETRANSLATE(E8454, ""zh"", ""en"")"),"Qualitative text")</f>
        <v>Qualitative text</v>
      </c>
    </row>
    <row r="8455" spans="1:3" ht="13" x14ac:dyDescent="0.15">
      <c r="A8455" s="1" t="str">
        <f ca="1">IFERROR(__xludf.DUMMYFUNCTION("GOOGLETRANSLATE(A8455, ""zh"", ""en"")"),"In 2021, Dynasty.com received a total of 28,764 complaints, with a complaint closure rate of 80% and a timely resolution rate of 90%; in 2021, Ocean.com received a total of 13,377 complaints, with a complaint response rate of 90.5% and a timely resolution"&amp;" rate of 90.4%.")</f>
        <v>In 2021, Dynasty.com received a total of 28,764 complaints, with a complaint closure rate of 80% and a timely resolution rate of 90%; in 2021, Ocean.com received a total of 13,377 complaints, with a complaint response rate of 90.5% and a timely resolution rate of 90.4%.</v>
      </c>
      <c r="B8455" s="1" t="str">
        <f ca="1">IFERROR(__xludf.DUMMYFUNCTION("GOOGLETRANSLATE(A8455, ""zh"", ""en"")"),"Product quality")</f>
        <v>Product quality</v>
      </c>
      <c r="C8455" s="1" t="str">
        <f ca="1">IFERROR(__xludf.DUMMYFUNCTION("GOOGLETRANSLATE(E8455, ""zh"", ""en"")"),"Quantitative Text")</f>
        <v>Quantitative Text</v>
      </c>
    </row>
    <row r="8456" spans="1:3" ht="13" x14ac:dyDescent="0.15">
      <c r="A8456" s="1" t="str">
        <f ca="1">IFERROR(__xludf.DUMMYFUNCTION("GOOGLETRANSLATE(A8456, ""zh"", ""en"")"),"The company formulates quality policies, quality objectives and process performance indicators, stipulates organizational responsibilities and resource input requirements, and establishes and implements an effective quality management system by clarifying"&amp;" product realization and implementation monitoring measures requirements.")</f>
        <v>The company formulates quality policies, quality objectives and process performance indicators, stipulates organizational responsibilities and resource input requirements, and establishes and implements an effective quality management system by clarifying product realization and implementation monitoring measures requirements.</v>
      </c>
      <c r="B8456" s="1" t="str">
        <f ca="1">IFERROR(__xludf.DUMMYFUNCTION("GOOGLETRANSLATE(A8456, ""zh"", ""en"")"),"Product quality")</f>
        <v>Product quality</v>
      </c>
      <c r="C8456" s="1" t="str">
        <f ca="1">IFERROR(__xludf.DUMMYFUNCTION("GOOGLETRANSLATE(E8456, ""zh"", ""en"")"),"Qualitative text")</f>
        <v>Qualitative text</v>
      </c>
    </row>
    <row r="8457" spans="1:3" ht="13" x14ac:dyDescent="0.15">
      <c r="A8457" s="1" t="str">
        <f ca="1">IFERROR(__xludf.DUMMYFUNCTION("GOOGLETRANSLATE(A8457, ""zh"", ""en"")"),"Through the established consumer communication channels, the company has also simultaneously established a complete consumer complaint feedback mechanism to ensure that consumer complaints and feedback are handled in a timely and effective manner.")</f>
        <v>Through the established consumer communication channels, the company has also simultaneously established a complete consumer complaint feedback mechanism to ensure that consumer complaints and feedback are handled in a timely and effective manner.</v>
      </c>
      <c r="B8457" s="1" t="str">
        <f ca="1">IFERROR(__xludf.DUMMYFUNCTION("GOOGLETRANSLATE(A8457, ""zh"", ""en"")"),"Product quality")</f>
        <v>Product quality</v>
      </c>
      <c r="C8457" s="1" t="str">
        <f ca="1">IFERROR(__xludf.DUMMYFUNCTION("GOOGLETRANSLATE(E8457, ""zh"", ""en"")"),"Qualitative text")</f>
        <v>Qualitative text</v>
      </c>
    </row>
    <row r="8458" spans="1:3" ht="13" x14ac:dyDescent="0.15">
      <c r="A8458" s="1" t="str">
        <f ca="1">IFERROR(__xludf.DUMMYFUNCTION("GOOGLETRANSLATE(A8458, ""zh"", ""en"")"),"During the reporting period, there were 298 customer complaints, all of which were properly resolved.")</f>
        <v>During the reporting period, there were 298 customer complaints, all of which were properly resolved.</v>
      </c>
      <c r="B8458" s="1" t="str">
        <f ca="1">IFERROR(__xludf.DUMMYFUNCTION("GOOGLETRANSLATE(A8458, ""zh"", ""en"")"),"Product quality")</f>
        <v>Product quality</v>
      </c>
      <c r="C8458" s="1" t="str">
        <f ca="1">IFERROR(__xludf.DUMMYFUNCTION("GOOGLETRANSLATE(E8458, ""zh"", ""en"")"),"Quantitative Text")</f>
        <v>Quantitative Text</v>
      </c>
    </row>
    <row r="8459" spans="1:3" ht="13" x14ac:dyDescent="0.15">
      <c r="A8459" s="1" t="str">
        <f ca="1">IFERROR(__xludf.DUMMYFUNCTION("GOOGLETRANSLATE(A8459, ""zh"", ""en"")"),"Instant testing platforms will ultimately achieve the creation of quality branding, circulation quality assurance branding, and grower credit branding.")</f>
        <v>Instant testing platforms will ultimately achieve the creation of quality branding, circulation quality assurance branding, and grower credit branding.</v>
      </c>
      <c r="B8459" s="1" t="str">
        <f ca="1">IFERROR(__xludf.DUMMYFUNCTION("GOOGLETRANSLATE(A8459, ""zh"", ""en"")"),"Product quality")</f>
        <v>Product quality</v>
      </c>
      <c r="C8459" s="1" t="str">
        <f ca="1">IFERROR(__xludf.DUMMYFUNCTION("GOOGLETRANSLATE(E8459, ""zh"", ""en"")"),"Qualitative text")</f>
        <v>Qualitative text</v>
      </c>
    </row>
    <row r="8460" spans="1:3" ht="13" x14ac:dyDescent="0.15">
      <c r="A8460" s="1" t="str">
        <f ca="1">IFERROR(__xludf.DUMMYFUNCTION("GOOGLETRANSLATE(A8460, ""zh"", ""en"")"),"Strengthen quality inspection throughout the entire process and establish a more complete quality performance evaluation mechanism.")</f>
        <v>Strengthen quality inspection throughout the entire process and establish a more complete quality performance evaluation mechanism.</v>
      </c>
      <c r="B8460" s="1" t="str">
        <f ca="1">IFERROR(__xludf.DUMMYFUNCTION("GOOGLETRANSLATE(A8460, ""zh"", ""en"")"),"Product quality")</f>
        <v>Product quality</v>
      </c>
      <c r="C8460" s="1" t="str">
        <f ca="1">IFERROR(__xludf.DUMMYFUNCTION("GOOGLETRANSLATE(E8460, ""zh"", ""en"")"),"Qualitative text")</f>
        <v>Qualitative text</v>
      </c>
    </row>
    <row r="8461" spans="1:3" ht="13" x14ac:dyDescent="0.15">
      <c r="A8461" s="1" t="str">
        <f ca="1">IFERROR(__xludf.DUMMYFUNCTION("GOOGLETRANSLATE(A8461, ""zh"", ""en"")"),"AVIC Group International AVIC Group International has published its complaint telephone number, mailing address and other complaint channel information and consumer complaint handling procedures in a conspicuous location on its official website, mobile cl"&amp;"ient, business premises or office premises, and provides complaint telephone number, official website or other complaint channel information in product or service contracts.")</f>
        <v>AVIC Group International AVIC Group International has published its complaint telephone number, mailing address and other complaint channel information and consumer complaint handling procedures in a conspicuous location on its official website, mobile client, business premises or office premises, and provides complaint telephone number, official website or other complaint channel information in product or service contracts.</v>
      </c>
      <c r="B8461" s="1" t="str">
        <f ca="1">IFERROR(__xludf.DUMMYFUNCTION("GOOGLETRANSLATE(A8461, ""zh"", ""en"")"),"Product quality")</f>
        <v>Product quality</v>
      </c>
      <c r="C8461" s="1" t="str">
        <f ca="1">IFERROR(__xludf.DUMMYFUNCTION("GOOGLETRANSLATE(E8461, ""zh"", ""en"")"),"Qualitative text")</f>
        <v>Qualitative text</v>
      </c>
    </row>
    <row r="8462" spans="1:3" ht="13" x14ac:dyDescent="0.15">
      <c r="A8462" s="1" t="str">
        <f ca="1">IFERROR(__xludf.DUMMYFUNCTION("GOOGLETRANSLATE(A8462, ""zh"", ""en"")"),"TCL Huaxing has established a series of internal quality systems covering customer management, production and manufacturing, quality management and other aspects, and regularly inspects and evaluates each system.")</f>
        <v>TCL Huaxing has established a series of internal quality systems covering customer management, production and manufacturing, quality management and other aspects, and regularly inspects and evaluates each system.</v>
      </c>
      <c r="B8462" s="1" t="str">
        <f ca="1">IFERROR(__xludf.DUMMYFUNCTION("GOOGLETRANSLATE(A8462, ""zh"", ""en"")"),"Product quality")</f>
        <v>Product quality</v>
      </c>
      <c r="C8462" s="1" t="str">
        <f ca="1">IFERROR(__xludf.DUMMYFUNCTION("GOOGLETRANSLATE(E8462, ""zh"", ""en"")"),"Qualitative text")</f>
        <v>Qualitative text</v>
      </c>
    </row>
    <row r="8463" spans="1:3" ht="13" x14ac:dyDescent="0.15">
      <c r="A8463" s="1" t="str">
        <f ca="1">IFERROR(__xludf.DUMMYFUNCTION("GOOGLETRANSLATE(A8463, ""zh"", ""en"")"),"In 2022, the company carried out special work to strengthen on-site management of 10 responsible bodies, introduced lean production concepts, and refined the 6S inspection standards. A total of 292 rectification suggestions were put forward during on-site"&amp;" inspections throughout the year, and all rectifications have been completed.")</f>
        <v>In 2022, the company carried out special work to strengthen on-site management of 10 responsible bodies, introduced lean production concepts, and refined the 6S inspection standards. A total of 292 rectification suggestions were put forward during on-site inspections throughout the year, and all rectifications have been completed.</v>
      </c>
      <c r="B8463" s="1" t="str">
        <f ca="1">IFERROR(__xludf.DUMMYFUNCTION("GOOGLETRANSLATE(A8463, ""zh"", ""en"")"),"Product quality")</f>
        <v>Product quality</v>
      </c>
      <c r="C8463" s="1" t="str">
        <f ca="1">IFERROR(__xludf.DUMMYFUNCTION("GOOGLETRANSLATE(E8463, ""zh"", ""en"")"),"Quantitative Text")</f>
        <v>Quantitative Text</v>
      </c>
    </row>
    <row r="8464" spans="1:3" ht="13" x14ac:dyDescent="0.15">
      <c r="A8464" s="1" t="str">
        <f ca="1">IFERROR(__xludf.DUMMYFUNCTION("GOOGLETRANSLATE(A8464, ""zh"", ""en"")"),"In accordance with the ""Consumer Protection Law of the People's Republic of China"", Pianzihuang has formulated management documents such as the ""User Complaint Management System"", ""Product Quality Complaint Handling System"", and ""Return and Exchang"&amp;"e Management Measures"", and has established a complete after-sales service system.")</f>
        <v>In accordance with the "Consumer Protection Law of the People's Republic of China", Pianzihuang has formulated management documents such as the "User Complaint Management System", "Product Quality Complaint Handling System", and "Return and Exchange Management Measures", and has established a complete after-sales service system.</v>
      </c>
      <c r="B8464" s="1" t="str">
        <f ca="1">IFERROR(__xludf.DUMMYFUNCTION("GOOGLETRANSLATE(A8464, ""zh"", ""en"")"),"Product quality")</f>
        <v>Product quality</v>
      </c>
      <c r="C8464" s="1" t="str">
        <f ca="1">IFERROR(__xludf.DUMMYFUNCTION("GOOGLETRANSLATE(E8464, ""zh"", ""en"")"),"Qualitative text")</f>
        <v>Qualitative text</v>
      </c>
    </row>
    <row r="8465" spans="1:3" ht="13" x14ac:dyDescent="0.15">
      <c r="A8465" s="1" t="str">
        <f ca="1">IFERROR(__xludf.DUMMYFUNCTION("GOOGLETRANSLATE(A8465, ""zh"", ""en"")"),"Ensure stable quality during product use.")</f>
        <v>Ensure stable quality during product use.</v>
      </c>
      <c r="B8465" s="1" t="str">
        <f ca="1">IFERROR(__xludf.DUMMYFUNCTION("GOOGLETRANSLATE(A8465, ""zh"", ""en"")"),"Product quality")</f>
        <v>Product quality</v>
      </c>
      <c r="C8465" s="1" t="str">
        <f ca="1">IFERROR(__xludf.DUMMYFUNCTION("GOOGLETRANSLATE(E8465, ""zh"", ""en"")"),"Qualitative text")</f>
        <v>Qualitative text</v>
      </c>
    </row>
    <row r="8466" spans="1:3" ht="13" x14ac:dyDescent="0.15">
      <c r="A8466" s="1" t="str">
        <f ca="1">IFERROR(__xludf.DUMMYFUNCTION("GOOGLETRANSLATE(A8466, ""zh"", ""en"")"),"Our company has the following major responsibilities to patients and society: 1. The standardization and safety of drug production are the bottom line and lifeblood of our business operations.")</f>
        <v>Our company has the following major responsibilities to patients and society: 1. The standardization and safety of drug production are the bottom line and lifeblood of our business operations.</v>
      </c>
      <c r="B8466" s="1" t="str">
        <f ca="1">IFERROR(__xludf.DUMMYFUNCTION("GOOGLETRANSLATE(A8466, ""zh"", ""en"")"),"Product quality")</f>
        <v>Product quality</v>
      </c>
      <c r="C8466" s="1" t="str">
        <f ca="1">IFERROR(__xludf.DUMMYFUNCTION("GOOGLETRANSLATE(E8466, ""zh"", ""en"")"),"Qualitative text")</f>
        <v>Qualitative text</v>
      </c>
    </row>
    <row r="8467" spans="1:3" ht="13" x14ac:dyDescent="0.15">
      <c r="A8467" s="1" t="str">
        <f ca="1">IFERROR(__xludf.DUMMYFUNCTION("GOOGLETRANSLATE(A8467, ""zh"", ""en"")"),"Carry out quality inspections and security tests before going online to improve the security and robustness of technology products.")</f>
        <v>Carry out quality inspections and security tests before going online to improve the security and robustness of technology products.</v>
      </c>
      <c r="B8467" s="1" t="str">
        <f ca="1">IFERROR(__xludf.DUMMYFUNCTION("GOOGLETRANSLATE(A8467, ""zh"", ""en"")"),"Product quality")</f>
        <v>Product quality</v>
      </c>
      <c r="C8467" s="1" t="str">
        <f ca="1">IFERROR(__xludf.DUMMYFUNCTION("GOOGLETRANSLATE(E8467, ""zh"", ""en"")"),"Qualitative text")</f>
        <v>Qualitative text</v>
      </c>
    </row>
    <row r="8468" spans="1:3" ht="13" x14ac:dyDescent="0.15">
      <c r="A8468" s="1" t="str">
        <f ca="1">IFERROR(__xludf.DUMMYFUNCTION("GOOGLETRANSLATE(A8468, ""zh"", ""en"")"),"Production equipment (such as elevators, special forklifts, etc.) are regularly inspected with a 100% pass rate.")</f>
        <v>Production equipment (such as elevators, special forklifts, etc.) are regularly inspected with a 100% pass rate.</v>
      </c>
      <c r="B8468" s="1" t="str">
        <f ca="1">IFERROR(__xludf.DUMMYFUNCTION("GOOGLETRANSLATE(A8468, ""zh"", ""en"")"),"Product quality")</f>
        <v>Product quality</v>
      </c>
      <c r="C8468" s="1" t="str">
        <f ca="1">IFERROR(__xludf.DUMMYFUNCTION("GOOGLETRANSLATE(E8468, ""zh"", ""en"")"),"Quantitative Text")</f>
        <v>Quantitative Text</v>
      </c>
    </row>
    <row r="8469" spans="1:3" ht="13" x14ac:dyDescent="0.15">
      <c r="A8469" s="1" t="str">
        <f ca="1">IFERROR(__xludf.DUMMYFUNCTION("GOOGLETRANSLATE(A8469, ""zh"", ""en"")"),"The company has long recognized the importance of its industry to human nutrition and health, and has always regarded the safety and nutrition of the company's products as the foundation for realizing corporate value and long-term development. Focusing on"&amp;" the concept of ""feeding plants well and keeping humans healthy"", the company has carried out a series of work in raw material guarantee, technological innovation, product research and development, brand culture communication, etc. Following the path of"&amp;" ""product-product chain-ecological chain"", it has developed into an environmentally friendly ecological enterprise and organic brand planting enterprise dominated by biotechnology, and has made unremitting efforts to make China's agricultural ecosystem "&amp;"bigger and stronger.")</f>
        <v>The company has long recognized the importance of its industry to human nutrition and health, and has always regarded the safety and nutrition of the company's products as the foundation for realizing corporate value and long-term development. Focusing on the concept of "feeding plants well and keeping humans healthy", the company has carried out a series of work in raw material guarantee, technological innovation, product research and development, brand culture communication, etc. Following the path of "product-product chain-ecological chain", it has developed into an environmentally friendly ecological enterprise and organic brand planting enterprise dominated by biotechnology, and has made unremitting efforts to make China's agricultural ecosystem bigger and stronger.</v>
      </c>
      <c r="B8469" s="1" t="str">
        <f ca="1">IFERROR(__xludf.DUMMYFUNCTION("GOOGLETRANSLATE(A8469, ""zh"", ""en"")"),"Product quality")</f>
        <v>Product quality</v>
      </c>
      <c r="C8469" s="1" t="str">
        <f ca="1">IFERROR(__xludf.DUMMYFUNCTION("GOOGLETRANSLATE(E8469, ""zh"", ""en"")"),"Qualitative text")</f>
        <v>Qualitative text</v>
      </c>
    </row>
    <row r="8470" spans="1:3" ht="13" x14ac:dyDescent="0.15">
      <c r="A8470" s="1" t="str">
        <f ca="1">IFERROR(__xludf.DUMMYFUNCTION("GOOGLETRANSLATE(A8470, ""zh"", ""en"")"),"Rapid response and processing mechanism and problem-oriented complaint management mechanism will strengthen the investigation of complaint issues and improve the closed-loop management of complaints.")</f>
        <v>Rapid response and processing mechanism and problem-oriented complaint management mechanism will strengthen the investigation of complaint issues and improve the closed-loop management of complaints.</v>
      </c>
      <c r="B8470" s="1" t="str">
        <f ca="1">IFERROR(__xludf.DUMMYFUNCTION("GOOGLETRANSLATE(A8470, ""zh"", ""en"")"),"Product quality")</f>
        <v>Product quality</v>
      </c>
      <c r="C8470" s="1" t="str">
        <f ca="1">IFERROR(__xludf.DUMMYFUNCTION("GOOGLETRANSLATE(E8470, ""zh"", ""en"")"),"Qualitative text")</f>
        <v>Qualitative text</v>
      </c>
    </row>
    <row r="8471" spans="1:3" ht="13" x14ac:dyDescent="0.15">
      <c r="A8471" s="1" t="str">
        <f ca="1">IFERROR(__xludf.DUMMYFUNCTION("GOOGLETRANSLATE(A8471, ""zh"", ""en"")"),"Strengthening inspections To ensure food safety, the company will intensify supervision and inspection efforts, eliminate potential food safety hazards in a timely manner, and prevent food safety accidents and public opinion incidents.")</f>
        <v>Strengthening inspections To ensure food safety, the company will intensify supervision and inspection efforts, eliminate potential food safety hazards in a timely manner, and prevent food safety accidents and public opinion incidents.</v>
      </c>
      <c r="B8471" s="1" t="str">
        <f ca="1">IFERROR(__xludf.DUMMYFUNCTION("GOOGLETRANSLATE(A8471, ""zh"", ""en"")"),"Product quality")</f>
        <v>Product quality</v>
      </c>
      <c r="C8471" s="1" t="str">
        <f ca="1">IFERROR(__xludf.DUMMYFUNCTION("GOOGLETRANSLATE(E8471, ""zh"", ""en"")"),"Qualitative text")</f>
        <v>Qualitative text</v>
      </c>
    </row>
    <row r="8472" spans="1:3" ht="13" x14ac:dyDescent="0.15">
      <c r="A8472" s="1" t="str">
        <f ca="1">IFERROR(__xludf.DUMMYFUNCTION("GOOGLETRANSLATE(A8472, ""zh"", ""en"")"),"During the reporting period, the company had no product recall incidents.")</f>
        <v>During the reporting period, the company had no product recall incidents.</v>
      </c>
      <c r="B8472" s="1" t="str">
        <f ca="1">IFERROR(__xludf.DUMMYFUNCTION("GOOGLETRANSLATE(A8472, ""zh"", ""en"")"),"Product quality")</f>
        <v>Product quality</v>
      </c>
      <c r="C8472" s="1" t="str">
        <f ca="1">IFERROR(__xludf.DUMMYFUNCTION("GOOGLETRANSLATE(E8472, ""zh"", ""en"")"),"Quantitative Text")</f>
        <v>Quantitative Text</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Rashi Solanki</cp:lastModifiedBy>
  <dcterms:modified xsi:type="dcterms:W3CDTF">2025-10-28T23:17:59Z</dcterms:modified>
</cp:coreProperties>
</file>